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8ee42248ca7e9c/Documents/PDP-8/Add-On Boards/RK05 emulation/BOM/"/>
    </mc:Choice>
  </mc:AlternateContent>
  <xr:revisionPtr revIDLastSave="3" documentId="8_{0A2F5222-18FF-4D59-90BA-45DEDFFA0B73}" xr6:coauthVersionLast="47" xr6:coauthVersionMax="47" xr10:uidLastSave="{B6DB7A93-3045-45A5-B86A-973AB605AEB2}"/>
  <bookViews>
    <workbookView xWindow="1520" yWindow="1520" windowWidth="33620" windowHeight="18840" xr2:uid="{00C607E4-F5CA-4B88-8F75-FEAFAF39518F}"/>
  </bookViews>
  <sheets>
    <sheet name="Bill of Materials" sheetId="1" r:id="rId1"/>
    <sheet name="E1 BOM by bag" sheetId="8" r:id="rId2"/>
    <sheet name="Accessory BOM by bag" sheetId="9" r:id="rId3"/>
    <sheet name="Materials by UPN" sheetId="3" r:id="rId4"/>
    <sheet name="make parts cost by quantity" sheetId="6" r:id="rId5"/>
  </sheets>
  <definedNames>
    <definedName name="_xlnm._FilterDatabase" localSheetId="3" hidden="1">'Materials by UPN'!$F$2:$S$49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3" l="1"/>
  <c r="R18" i="3" s="1"/>
  <c r="O211" i="1" l="1"/>
  <c r="N211" i="1"/>
  <c r="M211" i="1"/>
  <c r="L211" i="1"/>
  <c r="K211" i="1"/>
  <c r="J211" i="1"/>
  <c r="O210" i="1"/>
  <c r="N210" i="1"/>
  <c r="M210" i="1"/>
  <c r="L210" i="1"/>
  <c r="K210" i="1"/>
  <c r="J210" i="1"/>
  <c r="O209" i="1"/>
  <c r="N209" i="1"/>
  <c r="M209" i="1"/>
  <c r="L209" i="1"/>
  <c r="K209" i="1"/>
  <c r="J209" i="1"/>
  <c r="O208" i="1"/>
  <c r="N208" i="1"/>
  <c r="M208" i="1"/>
  <c r="L208" i="1"/>
  <c r="K208" i="1"/>
  <c r="J208" i="1"/>
  <c r="O207" i="1"/>
  <c r="N207" i="1"/>
  <c r="M207" i="1"/>
  <c r="L207" i="1"/>
  <c r="K207" i="1"/>
  <c r="J207" i="1"/>
  <c r="O206" i="1"/>
  <c r="N206" i="1"/>
  <c r="M206" i="1"/>
  <c r="L206" i="1"/>
  <c r="K206" i="1"/>
  <c r="J206" i="1"/>
  <c r="O205" i="1"/>
  <c r="N205" i="1"/>
  <c r="M205" i="1"/>
  <c r="L205" i="1"/>
  <c r="K205" i="1"/>
  <c r="J205" i="1"/>
  <c r="O173" i="1"/>
  <c r="N173" i="1"/>
  <c r="M173" i="1"/>
  <c r="L173" i="1"/>
  <c r="K173" i="1"/>
  <c r="J173" i="1"/>
  <c r="O172" i="1"/>
  <c r="N172" i="1"/>
  <c r="M172" i="1"/>
  <c r="L172" i="1"/>
  <c r="K172" i="1"/>
  <c r="J172" i="1"/>
  <c r="O171" i="1"/>
  <c r="N171" i="1"/>
  <c r="M171" i="1"/>
  <c r="L171" i="1"/>
  <c r="K171" i="1"/>
  <c r="J171" i="1"/>
  <c r="O170" i="1"/>
  <c r="N170" i="1"/>
  <c r="M170" i="1"/>
  <c r="L170" i="1"/>
  <c r="K170" i="1"/>
  <c r="J170" i="1"/>
  <c r="O167" i="1"/>
  <c r="N167" i="1"/>
  <c r="M167" i="1"/>
  <c r="L167" i="1"/>
  <c r="K167" i="1"/>
  <c r="J167" i="1"/>
  <c r="O166" i="1"/>
  <c r="N166" i="1"/>
  <c r="M166" i="1"/>
  <c r="L166" i="1"/>
  <c r="K166" i="1"/>
  <c r="J166" i="1"/>
  <c r="O165" i="1"/>
  <c r="N165" i="1"/>
  <c r="M165" i="1"/>
  <c r="L165" i="1"/>
  <c r="K165" i="1"/>
  <c r="J165" i="1"/>
  <c r="O164" i="1"/>
  <c r="N164" i="1"/>
  <c r="M164" i="1"/>
  <c r="L164" i="1"/>
  <c r="K164" i="1"/>
  <c r="J164" i="1"/>
  <c r="O163" i="1"/>
  <c r="N163" i="1"/>
  <c r="M163" i="1"/>
  <c r="L163" i="1"/>
  <c r="K163" i="1"/>
  <c r="J163" i="1"/>
  <c r="O162" i="1"/>
  <c r="N162" i="1"/>
  <c r="M162" i="1"/>
  <c r="L162" i="1"/>
  <c r="K162" i="1"/>
  <c r="J162" i="1"/>
  <c r="O161" i="1"/>
  <c r="N161" i="1"/>
  <c r="M161" i="1"/>
  <c r="L161" i="1"/>
  <c r="K161" i="1"/>
  <c r="J161" i="1"/>
  <c r="O160" i="1"/>
  <c r="N160" i="1"/>
  <c r="M160" i="1"/>
  <c r="L160" i="1"/>
  <c r="K160" i="1"/>
  <c r="J160" i="1"/>
  <c r="O159" i="1"/>
  <c r="N159" i="1"/>
  <c r="M159" i="1"/>
  <c r="L159" i="1"/>
  <c r="K159" i="1"/>
  <c r="J159" i="1"/>
  <c r="O158" i="1"/>
  <c r="N158" i="1"/>
  <c r="M158" i="1"/>
  <c r="L158" i="1"/>
  <c r="K158" i="1"/>
  <c r="J158" i="1"/>
  <c r="O157" i="1"/>
  <c r="N157" i="1"/>
  <c r="M157" i="1"/>
  <c r="L157" i="1"/>
  <c r="K157" i="1"/>
  <c r="J157" i="1"/>
  <c r="O156" i="1"/>
  <c r="N156" i="1"/>
  <c r="M156" i="1"/>
  <c r="L156" i="1"/>
  <c r="K156" i="1"/>
  <c r="J156" i="1"/>
  <c r="O155" i="1"/>
  <c r="N155" i="1"/>
  <c r="M155" i="1"/>
  <c r="L155" i="1"/>
  <c r="K155" i="1"/>
  <c r="J155" i="1"/>
  <c r="O154" i="1"/>
  <c r="N154" i="1"/>
  <c r="M154" i="1"/>
  <c r="L154" i="1"/>
  <c r="K154" i="1"/>
  <c r="J154" i="1"/>
  <c r="O153" i="1"/>
  <c r="N153" i="1"/>
  <c r="M153" i="1"/>
  <c r="L153" i="1"/>
  <c r="K153" i="1"/>
  <c r="J153" i="1"/>
  <c r="O152" i="1"/>
  <c r="N152" i="1"/>
  <c r="M152" i="1"/>
  <c r="L152" i="1"/>
  <c r="K152" i="1"/>
  <c r="J152" i="1"/>
  <c r="O151" i="1"/>
  <c r="N151" i="1"/>
  <c r="M151" i="1"/>
  <c r="L151" i="1"/>
  <c r="K151" i="1"/>
  <c r="J151" i="1"/>
  <c r="O150" i="1"/>
  <c r="N150" i="1"/>
  <c r="M150" i="1"/>
  <c r="L150" i="1"/>
  <c r="K150" i="1"/>
  <c r="J150" i="1"/>
  <c r="O149" i="1"/>
  <c r="N149" i="1"/>
  <c r="M149" i="1"/>
  <c r="L149" i="1"/>
  <c r="K149" i="1"/>
  <c r="J149" i="1"/>
  <c r="O148" i="1"/>
  <c r="N148" i="1"/>
  <c r="M148" i="1"/>
  <c r="L148" i="1"/>
  <c r="K148" i="1"/>
  <c r="J148" i="1"/>
  <c r="W104" i="6" l="1"/>
  <c r="X104" i="6" s="1"/>
  <c r="W103" i="6"/>
  <c r="X103" i="6" s="1"/>
  <c r="W102" i="6"/>
  <c r="X102" i="6" s="1"/>
  <c r="W101" i="6"/>
  <c r="X101" i="6" s="1"/>
  <c r="W100" i="6"/>
  <c r="X100" i="6" s="1"/>
  <c r="W99" i="6"/>
  <c r="X99" i="6" s="1"/>
  <c r="W121" i="6"/>
  <c r="X121" i="6" s="1"/>
  <c r="W120" i="6"/>
  <c r="X120" i="6" s="1"/>
  <c r="W119" i="6"/>
  <c r="X119" i="6" s="1"/>
  <c r="W118" i="6"/>
  <c r="X118" i="6" s="1"/>
  <c r="W117" i="6"/>
  <c r="X117" i="6" s="1"/>
  <c r="W116" i="6"/>
  <c r="X116" i="6" s="1"/>
  <c r="O126" i="9" l="1"/>
  <c r="N126" i="9"/>
  <c r="M126" i="9"/>
  <c r="L126" i="9"/>
  <c r="K126" i="9"/>
  <c r="J126" i="9"/>
  <c r="O125" i="9"/>
  <c r="N125" i="9"/>
  <c r="M125" i="9"/>
  <c r="L125" i="9"/>
  <c r="K125" i="9"/>
  <c r="J125" i="9"/>
  <c r="O124" i="9"/>
  <c r="N124" i="9"/>
  <c r="M124" i="9"/>
  <c r="L124" i="9"/>
  <c r="K124" i="9"/>
  <c r="J124" i="9"/>
  <c r="O123" i="9"/>
  <c r="N123" i="9"/>
  <c r="M123" i="9"/>
  <c r="L123" i="9"/>
  <c r="K123" i="9"/>
  <c r="J123" i="9"/>
  <c r="O122" i="9"/>
  <c r="N122" i="9"/>
  <c r="M122" i="9"/>
  <c r="L122" i="9"/>
  <c r="K122" i="9"/>
  <c r="J122" i="9"/>
  <c r="O92" i="3"/>
  <c r="Q92" i="3" s="1"/>
  <c r="R92" i="3" s="1"/>
  <c r="O221" i="1"/>
  <c r="N221" i="1"/>
  <c r="M221" i="1"/>
  <c r="L221" i="1"/>
  <c r="K221" i="1"/>
  <c r="J221" i="1"/>
  <c r="O220" i="1"/>
  <c r="N220" i="1"/>
  <c r="M220" i="1"/>
  <c r="L220" i="1"/>
  <c r="K220" i="1"/>
  <c r="J220" i="1"/>
  <c r="O219" i="1"/>
  <c r="N219" i="1"/>
  <c r="M219" i="1"/>
  <c r="L219" i="1"/>
  <c r="K219" i="1"/>
  <c r="J219" i="1"/>
  <c r="O218" i="1"/>
  <c r="N218" i="1"/>
  <c r="M218" i="1"/>
  <c r="L218" i="1"/>
  <c r="K218" i="1"/>
  <c r="J218" i="1"/>
  <c r="O217" i="1"/>
  <c r="N217" i="1"/>
  <c r="M217" i="1"/>
  <c r="L217" i="1"/>
  <c r="K217" i="1"/>
  <c r="J217" i="1"/>
  <c r="P218" i="1" l="1"/>
  <c r="Q218" i="1" s="1"/>
  <c r="P123" i="9"/>
  <c r="Q123" i="9" s="1"/>
  <c r="O106" i="9"/>
  <c r="N106" i="9"/>
  <c r="M106" i="9"/>
  <c r="L106" i="9"/>
  <c r="K106" i="9"/>
  <c r="J106" i="9"/>
  <c r="N74" i="3"/>
  <c r="O74" i="3" s="1"/>
  <c r="O102" i="9"/>
  <c r="N102" i="9"/>
  <c r="M102" i="9"/>
  <c r="L102" i="9"/>
  <c r="K102" i="9"/>
  <c r="J102" i="9"/>
  <c r="O184" i="1"/>
  <c r="N184" i="1"/>
  <c r="M184" i="1"/>
  <c r="L184" i="1"/>
  <c r="K184" i="1"/>
  <c r="J184" i="1"/>
  <c r="O91" i="3"/>
  <c r="Q91" i="3" s="1"/>
  <c r="O101" i="9"/>
  <c r="N101" i="9"/>
  <c r="M101" i="9"/>
  <c r="L101" i="9"/>
  <c r="K101" i="9"/>
  <c r="J101" i="9"/>
  <c r="O183" i="1"/>
  <c r="N183" i="1"/>
  <c r="M183" i="1"/>
  <c r="L183" i="1"/>
  <c r="K183" i="1"/>
  <c r="J183" i="1"/>
  <c r="O90" i="3"/>
  <c r="Q90" i="3" s="1"/>
  <c r="O105" i="9"/>
  <c r="N105" i="9"/>
  <c r="M105" i="9"/>
  <c r="L105" i="9"/>
  <c r="K105" i="9"/>
  <c r="J105" i="9"/>
  <c r="O128" i="9"/>
  <c r="N128" i="9"/>
  <c r="M128" i="9"/>
  <c r="L128" i="9"/>
  <c r="K128" i="9"/>
  <c r="J128" i="9"/>
  <c r="O192" i="1"/>
  <c r="N192" i="1"/>
  <c r="M192" i="1"/>
  <c r="L192" i="1"/>
  <c r="K192" i="1"/>
  <c r="J192" i="1"/>
  <c r="O191" i="1"/>
  <c r="N191" i="1"/>
  <c r="M191" i="1"/>
  <c r="L191" i="1"/>
  <c r="K191" i="1"/>
  <c r="J191" i="1"/>
  <c r="O224" i="1"/>
  <c r="N224" i="1"/>
  <c r="M224" i="1"/>
  <c r="L224" i="1"/>
  <c r="K224" i="1"/>
  <c r="J224" i="1"/>
  <c r="O40" i="9"/>
  <c r="N40" i="9"/>
  <c r="M40" i="9"/>
  <c r="L40" i="9"/>
  <c r="K40" i="9"/>
  <c r="J40" i="9"/>
  <c r="O114" i="1"/>
  <c r="N114" i="1"/>
  <c r="M114" i="1"/>
  <c r="L114" i="1"/>
  <c r="K114" i="1"/>
  <c r="J114" i="1"/>
  <c r="N89" i="3"/>
  <c r="Q89" i="3" s="1"/>
  <c r="R89" i="3" s="1"/>
  <c r="P155" i="1" l="1"/>
  <c r="Q155" i="1" s="1"/>
  <c r="P217" i="1"/>
  <c r="Q217" i="1" s="1"/>
  <c r="P122" i="9"/>
  <c r="Q122" i="9" s="1"/>
  <c r="P184" i="1"/>
  <c r="Q184" i="1" s="1"/>
  <c r="P156" i="1"/>
  <c r="Q156" i="1" s="1"/>
  <c r="P102" i="9"/>
  <c r="Q102" i="9" s="1"/>
  <c r="R91" i="3"/>
  <c r="P183" i="1"/>
  <c r="Q183" i="1" s="1"/>
  <c r="P101" i="9"/>
  <c r="Q101" i="9" s="1"/>
  <c r="R90" i="3"/>
  <c r="P114" i="1"/>
  <c r="Q114" i="1" s="1"/>
  <c r="P40" i="9"/>
  <c r="Q40" i="9" s="1"/>
  <c r="O185" i="1"/>
  <c r="N185" i="1"/>
  <c r="M185" i="1"/>
  <c r="L185" i="1"/>
  <c r="K185" i="1"/>
  <c r="J185" i="1"/>
  <c r="O179" i="1"/>
  <c r="N179" i="1"/>
  <c r="M179" i="1"/>
  <c r="L179" i="1"/>
  <c r="K179" i="1"/>
  <c r="J179" i="1"/>
  <c r="O95" i="9"/>
  <c r="N95" i="9"/>
  <c r="M95" i="9"/>
  <c r="L95" i="9"/>
  <c r="K95" i="9"/>
  <c r="J95" i="9"/>
  <c r="O89" i="9"/>
  <c r="N89" i="9"/>
  <c r="M89" i="9"/>
  <c r="L89" i="9"/>
  <c r="K89" i="9"/>
  <c r="J89" i="9"/>
  <c r="Q17" i="3" l="1"/>
  <c r="R17" i="3" s="1"/>
  <c r="O133" i="9" l="1"/>
  <c r="N133" i="9"/>
  <c r="M133" i="9"/>
  <c r="L133" i="9"/>
  <c r="K133" i="9"/>
  <c r="J133" i="9"/>
  <c r="O130" i="9"/>
  <c r="N130" i="9"/>
  <c r="M130" i="9"/>
  <c r="L130" i="9"/>
  <c r="K130" i="9"/>
  <c r="J130" i="9"/>
  <c r="O129" i="9"/>
  <c r="N129" i="9"/>
  <c r="M129" i="9"/>
  <c r="L129" i="9"/>
  <c r="K129" i="9"/>
  <c r="J129" i="9"/>
  <c r="O127" i="9"/>
  <c r="N127" i="9"/>
  <c r="M127" i="9"/>
  <c r="L127" i="9"/>
  <c r="K127" i="9"/>
  <c r="J127" i="9"/>
  <c r="O121" i="9"/>
  <c r="N121" i="9"/>
  <c r="M121" i="9"/>
  <c r="L121" i="9"/>
  <c r="K121" i="9"/>
  <c r="J121" i="9"/>
  <c r="O119" i="9"/>
  <c r="N119" i="9"/>
  <c r="M119" i="9"/>
  <c r="L119" i="9"/>
  <c r="K119" i="9"/>
  <c r="J119" i="9"/>
  <c r="O118" i="9"/>
  <c r="N118" i="9"/>
  <c r="M118" i="9"/>
  <c r="L118" i="9"/>
  <c r="K118" i="9"/>
  <c r="J118" i="9"/>
  <c r="O114" i="9"/>
  <c r="N114" i="9"/>
  <c r="M114" i="9"/>
  <c r="L114" i="9"/>
  <c r="K114" i="9"/>
  <c r="J114" i="9"/>
  <c r="O113" i="9"/>
  <c r="N113" i="9"/>
  <c r="M113" i="9"/>
  <c r="L113" i="9"/>
  <c r="K113" i="9"/>
  <c r="J113" i="9"/>
  <c r="O112" i="9"/>
  <c r="N112" i="9"/>
  <c r="M112" i="9"/>
  <c r="L112" i="9"/>
  <c r="K112" i="9"/>
  <c r="J112" i="9"/>
  <c r="O111" i="9"/>
  <c r="N111" i="9"/>
  <c r="M111" i="9"/>
  <c r="L111" i="9"/>
  <c r="K111" i="9"/>
  <c r="J111" i="9"/>
  <c r="O109" i="9"/>
  <c r="N109" i="9"/>
  <c r="M109" i="9"/>
  <c r="L109" i="9"/>
  <c r="K109" i="9"/>
  <c r="J109" i="9"/>
  <c r="O108" i="9"/>
  <c r="N108" i="9"/>
  <c r="M108" i="9"/>
  <c r="L108" i="9"/>
  <c r="K108" i="9"/>
  <c r="J108" i="9"/>
  <c r="O107" i="9"/>
  <c r="N107" i="9"/>
  <c r="M107" i="9"/>
  <c r="L107" i="9"/>
  <c r="K107" i="9"/>
  <c r="J107" i="9"/>
  <c r="O104" i="9"/>
  <c r="N104" i="9"/>
  <c r="M104" i="9"/>
  <c r="L104" i="9"/>
  <c r="K104" i="9"/>
  <c r="J104" i="9"/>
  <c r="O103" i="9"/>
  <c r="N103" i="9"/>
  <c r="M103" i="9"/>
  <c r="L103" i="9"/>
  <c r="K103" i="9"/>
  <c r="J103" i="9"/>
  <c r="O100" i="9"/>
  <c r="N100" i="9"/>
  <c r="M100" i="9"/>
  <c r="L100" i="9"/>
  <c r="K100" i="9"/>
  <c r="J100" i="9"/>
  <c r="O99" i="9"/>
  <c r="N99" i="9"/>
  <c r="M99" i="9"/>
  <c r="L99" i="9"/>
  <c r="K99" i="9"/>
  <c r="J99" i="9"/>
  <c r="O98" i="9"/>
  <c r="N98" i="9"/>
  <c r="M98" i="9"/>
  <c r="L98" i="9"/>
  <c r="K98" i="9"/>
  <c r="J98" i="9"/>
  <c r="O97" i="9"/>
  <c r="N97" i="9"/>
  <c r="M97" i="9"/>
  <c r="L97" i="9"/>
  <c r="K97" i="9"/>
  <c r="J97" i="9"/>
  <c r="O94" i="9"/>
  <c r="N94" i="9"/>
  <c r="M94" i="9"/>
  <c r="L94" i="9"/>
  <c r="K94" i="9"/>
  <c r="J94" i="9"/>
  <c r="O92" i="9"/>
  <c r="N92" i="9"/>
  <c r="M92" i="9"/>
  <c r="L92" i="9"/>
  <c r="K92" i="9"/>
  <c r="J92" i="9"/>
  <c r="O91" i="9"/>
  <c r="N91" i="9"/>
  <c r="M91" i="9"/>
  <c r="L91" i="9"/>
  <c r="K91" i="9"/>
  <c r="J91" i="9"/>
  <c r="O88" i="9"/>
  <c r="N88" i="9"/>
  <c r="M88" i="9"/>
  <c r="L88" i="9"/>
  <c r="K88" i="9"/>
  <c r="J88" i="9"/>
  <c r="O86" i="9"/>
  <c r="N86" i="9"/>
  <c r="M86" i="9"/>
  <c r="L86" i="9"/>
  <c r="K86" i="9"/>
  <c r="J86" i="9"/>
  <c r="O85" i="9"/>
  <c r="N85" i="9"/>
  <c r="M85" i="9"/>
  <c r="L85" i="9"/>
  <c r="K85" i="9"/>
  <c r="J85" i="9"/>
  <c r="O81" i="9"/>
  <c r="N81" i="9"/>
  <c r="M81" i="9"/>
  <c r="L81" i="9"/>
  <c r="K81" i="9"/>
  <c r="J81" i="9"/>
  <c r="O80" i="9"/>
  <c r="N80" i="9"/>
  <c r="M80" i="9"/>
  <c r="L80" i="9"/>
  <c r="K80" i="9"/>
  <c r="J80" i="9"/>
  <c r="O79" i="9"/>
  <c r="N79" i="9"/>
  <c r="M79" i="9"/>
  <c r="L79" i="9"/>
  <c r="K79" i="9"/>
  <c r="J79" i="9"/>
  <c r="O78" i="9"/>
  <c r="N78" i="9"/>
  <c r="M78" i="9"/>
  <c r="L78" i="9"/>
  <c r="K78" i="9"/>
  <c r="J78" i="9"/>
  <c r="O77" i="9"/>
  <c r="N77" i="9"/>
  <c r="M77" i="9"/>
  <c r="L77" i="9"/>
  <c r="K77" i="9"/>
  <c r="J77" i="9"/>
  <c r="O75" i="9"/>
  <c r="N75" i="9"/>
  <c r="M75" i="9"/>
  <c r="L75" i="9"/>
  <c r="K75" i="9"/>
  <c r="J75" i="9"/>
  <c r="O74" i="9"/>
  <c r="N74" i="9"/>
  <c r="M74" i="9"/>
  <c r="L74" i="9"/>
  <c r="K74" i="9"/>
  <c r="J74" i="9"/>
  <c r="O70" i="9"/>
  <c r="N70" i="9"/>
  <c r="M70" i="9"/>
  <c r="L70" i="9"/>
  <c r="K70" i="9"/>
  <c r="J70" i="9"/>
  <c r="O69" i="9"/>
  <c r="N69" i="9"/>
  <c r="M69" i="9"/>
  <c r="L69" i="9"/>
  <c r="K69" i="9"/>
  <c r="J69" i="9"/>
  <c r="O68" i="9"/>
  <c r="N68" i="9"/>
  <c r="M68" i="9"/>
  <c r="L68" i="9"/>
  <c r="K68" i="9"/>
  <c r="J68" i="9"/>
  <c r="O67" i="9"/>
  <c r="N67" i="9"/>
  <c r="M67" i="9"/>
  <c r="L67" i="9"/>
  <c r="K67" i="9"/>
  <c r="J67" i="9"/>
  <c r="O64" i="9"/>
  <c r="N64" i="9"/>
  <c r="M64" i="9"/>
  <c r="L64" i="9"/>
  <c r="K64" i="9"/>
  <c r="J64" i="9"/>
  <c r="O66" i="9"/>
  <c r="N66" i="9"/>
  <c r="M66" i="9"/>
  <c r="L66" i="9"/>
  <c r="K66" i="9"/>
  <c r="J66" i="9"/>
  <c r="O62" i="9"/>
  <c r="N62" i="9"/>
  <c r="M62" i="9"/>
  <c r="L62" i="9"/>
  <c r="K62" i="9"/>
  <c r="J62" i="9"/>
  <c r="O61" i="9"/>
  <c r="N61" i="9"/>
  <c r="M61" i="9"/>
  <c r="L61" i="9"/>
  <c r="K61" i="9"/>
  <c r="J61" i="9"/>
  <c r="O59" i="9"/>
  <c r="N59" i="9"/>
  <c r="M59" i="9"/>
  <c r="L59" i="9"/>
  <c r="K59" i="9"/>
  <c r="J59" i="9"/>
  <c r="O58" i="9"/>
  <c r="N58" i="9"/>
  <c r="M58" i="9"/>
  <c r="L58" i="9"/>
  <c r="K58" i="9"/>
  <c r="J58" i="9"/>
  <c r="O54" i="9"/>
  <c r="N54" i="9"/>
  <c r="M54" i="9"/>
  <c r="L54" i="9"/>
  <c r="K54" i="9"/>
  <c r="J54" i="9"/>
  <c r="O53" i="9"/>
  <c r="N53" i="9"/>
  <c r="M53" i="9"/>
  <c r="L53" i="9"/>
  <c r="K53" i="9"/>
  <c r="J53" i="9"/>
  <c r="O52" i="9"/>
  <c r="N52" i="9"/>
  <c r="M52" i="9"/>
  <c r="L52" i="9"/>
  <c r="K52" i="9"/>
  <c r="J52" i="9"/>
  <c r="O51" i="9"/>
  <c r="N51" i="9"/>
  <c r="M51" i="9"/>
  <c r="L51" i="9"/>
  <c r="K51" i="9"/>
  <c r="J51" i="9"/>
  <c r="O50" i="9"/>
  <c r="N50" i="9"/>
  <c r="M50" i="9"/>
  <c r="L50" i="9"/>
  <c r="K50" i="9"/>
  <c r="J50" i="9"/>
  <c r="O48" i="9"/>
  <c r="N48" i="9"/>
  <c r="M48" i="9"/>
  <c r="L48" i="9"/>
  <c r="K48" i="9"/>
  <c r="J48" i="9"/>
  <c r="O47" i="9"/>
  <c r="N47" i="9"/>
  <c r="M47" i="9"/>
  <c r="L47" i="9"/>
  <c r="K47" i="9"/>
  <c r="J47" i="9"/>
  <c r="O43" i="9"/>
  <c r="N43" i="9"/>
  <c r="M43" i="9"/>
  <c r="L43" i="9"/>
  <c r="K43" i="9"/>
  <c r="J43" i="9"/>
  <c r="O39" i="9"/>
  <c r="N39" i="9"/>
  <c r="M39" i="9"/>
  <c r="L39" i="9"/>
  <c r="K39" i="9"/>
  <c r="J39" i="9"/>
  <c r="O42" i="9"/>
  <c r="N42" i="9"/>
  <c r="M42" i="9"/>
  <c r="L42" i="9"/>
  <c r="K42" i="9"/>
  <c r="J42" i="9"/>
  <c r="O37" i="9"/>
  <c r="N37" i="9"/>
  <c r="M37" i="9"/>
  <c r="L37" i="9"/>
  <c r="K37" i="9"/>
  <c r="J37" i="9"/>
  <c r="O36" i="9"/>
  <c r="N36" i="9"/>
  <c r="M36" i="9"/>
  <c r="L36" i="9"/>
  <c r="K36" i="9"/>
  <c r="J36" i="9"/>
  <c r="O32" i="9"/>
  <c r="N32" i="9"/>
  <c r="M32" i="9"/>
  <c r="L32" i="9"/>
  <c r="K32" i="9"/>
  <c r="J32" i="9"/>
  <c r="O31" i="9"/>
  <c r="N31" i="9"/>
  <c r="M31" i="9"/>
  <c r="L31" i="9"/>
  <c r="K31" i="9"/>
  <c r="J31" i="9"/>
  <c r="O30" i="9"/>
  <c r="N30" i="9"/>
  <c r="M30" i="9"/>
  <c r="L30" i="9"/>
  <c r="K30" i="9"/>
  <c r="J30" i="9"/>
  <c r="O29" i="9"/>
  <c r="N29" i="9"/>
  <c r="M29" i="9"/>
  <c r="L29" i="9"/>
  <c r="K29" i="9"/>
  <c r="J29" i="9"/>
  <c r="O26" i="9"/>
  <c r="N26" i="9"/>
  <c r="M26" i="9"/>
  <c r="L26" i="9"/>
  <c r="K26" i="9"/>
  <c r="J26" i="9"/>
  <c r="O28" i="9"/>
  <c r="N28" i="9"/>
  <c r="M28" i="9"/>
  <c r="L28" i="9"/>
  <c r="K28" i="9"/>
  <c r="J28" i="9"/>
  <c r="O24" i="9"/>
  <c r="N24" i="9"/>
  <c r="M24" i="9"/>
  <c r="L24" i="9"/>
  <c r="K24" i="9"/>
  <c r="J24" i="9"/>
  <c r="O23" i="9"/>
  <c r="N23" i="9"/>
  <c r="M23" i="9"/>
  <c r="L23" i="9"/>
  <c r="K23" i="9"/>
  <c r="J23" i="9"/>
  <c r="O19" i="9"/>
  <c r="N19" i="9"/>
  <c r="M19" i="9"/>
  <c r="L19" i="9"/>
  <c r="K19" i="9"/>
  <c r="J19" i="9"/>
  <c r="O18" i="9"/>
  <c r="N18" i="9"/>
  <c r="M18" i="9"/>
  <c r="L18" i="9"/>
  <c r="K18" i="9"/>
  <c r="J18" i="9"/>
  <c r="O17" i="9"/>
  <c r="N17" i="9"/>
  <c r="M17" i="9"/>
  <c r="L17" i="9"/>
  <c r="K17" i="9"/>
  <c r="J17" i="9"/>
  <c r="O16" i="9"/>
  <c r="N16" i="9"/>
  <c r="M16" i="9"/>
  <c r="L16" i="9"/>
  <c r="K16" i="9"/>
  <c r="J16" i="9"/>
  <c r="O13" i="9"/>
  <c r="N13" i="9"/>
  <c r="M13" i="9"/>
  <c r="L13" i="9"/>
  <c r="K13" i="9"/>
  <c r="J13" i="9"/>
  <c r="O15" i="9"/>
  <c r="N15" i="9"/>
  <c r="M15" i="9"/>
  <c r="L15" i="9"/>
  <c r="K15" i="9"/>
  <c r="J15" i="9"/>
  <c r="O11" i="9"/>
  <c r="N11" i="9"/>
  <c r="M11" i="9"/>
  <c r="L11" i="9"/>
  <c r="K11" i="9"/>
  <c r="J11" i="9"/>
  <c r="O10" i="9"/>
  <c r="N10" i="9"/>
  <c r="M10" i="9"/>
  <c r="L10" i="9"/>
  <c r="K10" i="9"/>
  <c r="J10" i="9"/>
  <c r="O6" i="9"/>
  <c r="N6" i="9"/>
  <c r="M6" i="9"/>
  <c r="L6" i="9"/>
  <c r="K6" i="9"/>
  <c r="J6" i="9"/>
  <c r="O5" i="9"/>
  <c r="N5" i="9"/>
  <c r="M5" i="9"/>
  <c r="L5" i="9"/>
  <c r="K5" i="9"/>
  <c r="J5" i="9"/>
  <c r="P19" i="8"/>
  <c r="Q19" i="8" s="1"/>
  <c r="O19" i="8"/>
  <c r="N19" i="8"/>
  <c r="M19" i="8"/>
  <c r="L19" i="8"/>
  <c r="K19" i="8"/>
  <c r="J19" i="8"/>
  <c r="O13" i="1"/>
  <c r="N13" i="1"/>
  <c r="M13" i="1"/>
  <c r="L13" i="1"/>
  <c r="K13" i="1"/>
  <c r="J13" i="1"/>
  <c r="O88" i="3"/>
  <c r="Q88" i="3" s="1"/>
  <c r="R88" i="3" s="1"/>
  <c r="O130" i="1"/>
  <c r="N130" i="1"/>
  <c r="M130" i="1"/>
  <c r="L130" i="1"/>
  <c r="K130" i="1"/>
  <c r="J130" i="1"/>
  <c r="O196" i="1"/>
  <c r="N196" i="1"/>
  <c r="M196" i="1"/>
  <c r="L196" i="1"/>
  <c r="K196" i="1"/>
  <c r="J196" i="1"/>
  <c r="O181" i="1"/>
  <c r="N181" i="1"/>
  <c r="M181" i="1"/>
  <c r="L181" i="1"/>
  <c r="K181" i="1"/>
  <c r="J181" i="1"/>
  <c r="O215" i="1"/>
  <c r="N215" i="1"/>
  <c r="M215" i="1"/>
  <c r="L215" i="1"/>
  <c r="K215" i="1"/>
  <c r="J215" i="1"/>
  <c r="O177" i="1"/>
  <c r="N177" i="1"/>
  <c r="M177" i="1"/>
  <c r="L177" i="1"/>
  <c r="K177" i="1"/>
  <c r="J177" i="1"/>
  <c r="O140" i="1"/>
  <c r="N140" i="1"/>
  <c r="M140" i="1"/>
  <c r="L140" i="1"/>
  <c r="K140" i="1"/>
  <c r="J140" i="1"/>
  <c r="O128" i="1"/>
  <c r="N128" i="1"/>
  <c r="M128" i="1"/>
  <c r="L128" i="1"/>
  <c r="K128" i="1"/>
  <c r="J128" i="1"/>
  <c r="O119" i="1"/>
  <c r="N119" i="1"/>
  <c r="M119" i="1"/>
  <c r="L119" i="1"/>
  <c r="K119" i="1"/>
  <c r="J119" i="1"/>
  <c r="O111" i="1"/>
  <c r="N111" i="1"/>
  <c r="M111" i="1"/>
  <c r="L111" i="1"/>
  <c r="K111" i="1"/>
  <c r="J111" i="1"/>
  <c r="O101" i="1"/>
  <c r="N101" i="1"/>
  <c r="M101" i="1"/>
  <c r="L101" i="1"/>
  <c r="K101" i="1"/>
  <c r="J101" i="1"/>
  <c r="O91" i="1"/>
  <c r="N91" i="1"/>
  <c r="M91" i="1"/>
  <c r="L91" i="1"/>
  <c r="K91" i="1"/>
  <c r="J91" i="1"/>
  <c r="O21" i="1"/>
  <c r="N21" i="1"/>
  <c r="M21" i="1"/>
  <c r="L21" i="1"/>
  <c r="K21" i="1"/>
  <c r="J21" i="1"/>
  <c r="O14" i="8"/>
  <c r="N14" i="8"/>
  <c r="M14" i="8"/>
  <c r="L14" i="8"/>
  <c r="K14" i="8"/>
  <c r="J14" i="8"/>
  <c r="Q87" i="3"/>
  <c r="P14" i="8" s="1"/>
  <c r="Q14" i="8" s="1"/>
  <c r="O87" i="1"/>
  <c r="N87" i="1"/>
  <c r="M87" i="1"/>
  <c r="L87" i="1"/>
  <c r="K87" i="1"/>
  <c r="J87" i="1"/>
  <c r="O76" i="8"/>
  <c r="N76" i="8"/>
  <c r="M76" i="8"/>
  <c r="L76" i="8"/>
  <c r="K76" i="8"/>
  <c r="J76" i="8"/>
  <c r="O80" i="8"/>
  <c r="N80" i="8"/>
  <c r="M80" i="8"/>
  <c r="L80" i="8"/>
  <c r="K80" i="8"/>
  <c r="J80" i="8"/>
  <c r="O73" i="8"/>
  <c r="N73" i="8"/>
  <c r="M73" i="8"/>
  <c r="L73" i="8"/>
  <c r="K73" i="8"/>
  <c r="J73" i="8"/>
  <c r="O68" i="8"/>
  <c r="N68" i="8"/>
  <c r="M68" i="8"/>
  <c r="L68" i="8"/>
  <c r="K68" i="8"/>
  <c r="J68" i="8"/>
  <c r="O57" i="8"/>
  <c r="N57" i="8"/>
  <c r="M57" i="8"/>
  <c r="L57" i="8"/>
  <c r="K57" i="8"/>
  <c r="J57" i="8"/>
  <c r="O46" i="8"/>
  <c r="N46" i="8"/>
  <c r="M46" i="8"/>
  <c r="L46" i="8"/>
  <c r="K46" i="8"/>
  <c r="J46" i="8"/>
  <c r="O34" i="8"/>
  <c r="N34" i="8"/>
  <c r="M34" i="8"/>
  <c r="L34" i="8"/>
  <c r="K34" i="8"/>
  <c r="J34" i="8"/>
  <c r="O22" i="8"/>
  <c r="N22" i="8"/>
  <c r="M22" i="8"/>
  <c r="L22" i="8"/>
  <c r="K22" i="8"/>
  <c r="J22" i="8"/>
  <c r="O10" i="8"/>
  <c r="N10" i="8"/>
  <c r="M10" i="8"/>
  <c r="L10" i="8"/>
  <c r="K10" i="8"/>
  <c r="J10" i="8"/>
  <c r="O86" i="3"/>
  <c r="Q86" i="3" s="1"/>
  <c r="N78" i="3"/>
  <c r="O195" i="1"/>
  <c r="N195" i="1"/>
  <c r="M195" i="1"/>
  <c r="L195" i="1"/>
  <c r="K195" i="1"/>
  <c r="J195" i="1"/>
  <c r="O85" i="3"/>
  <c r="Q85" i="3" s="1"/>
  <c r="P130" i="1" l="1"/>
  <c r="Q130" i="1" s="1"/>
  <c r="P149" i="1"/>
  <c r="Q149" i="1" s="1"/>
  <c r="P206" i="1"/>
  <c r="Q206" i="1" s="1"/>
  <c r="P157" i="1"/>
  <c r="Q157" i="1" s="1"/>
  <c r="P101" i="1"/>
  <c r="Q101" i="1" s="1"/>
  <c r="R86" i="3"/>
  <c r="P153" i="1"/>
  <c r="Q153" i="1" s="1"/>
  <c r="P177" i="1"/>
  <c r="Q177" i="1" s="1"/>
  <c r="P215" i="1"/>
  <c r="Q215" i="1" s="1"/>
  <c r="P21" i="1"/>
  <c r="Q21" i="1" s="1"/>
  <c r="R87" i="3"/>
  <c r="P185" i="1"/>
  <c r="Q185" i="1" s="1"/>
  <c r="P95" i="9"/>
  <c r="Q95" i="9" s="1"/>
  <c r="P119" i="1"/>
  <c r="Q119" i="1" s="1"/>
  <c r="P111" i="1"/>
  <c r="Q111" i="1" s="1"/>
  <c r="R85" i="3"/>
  <c r="P108" i="9"/>
  <c r="Q108" i="9" s="1"/>
  <c r="P195" i="1"/>
  <c r="Q195" i="1" s="1"/>
  <c r="P59" i="9"/>
  <c r="Q59" i="9" s="1"/>
  <c r="P140" i="1"/>
  <c r="Q140" i="1" s="1"/>
  <c r="P128" i="1"/>
  <c r="Q128" i="1" s="1"/>
  <c r="P13" i="1"/>
  <c r="Q13" i="1" s="1"/>
  <c r="P11" i="9"/>
  <c r="Q11" i="9" s="1"/>
  <c r="P24" i="9"/>
  <c r="Q24" i="9" s="1"/>
  <c r="P37" i="9"/>
  <c r="Q37" i="9" s="1"/>
  <c r="P92" i="9"/>
  <c r="Q92" i="9" s="1"/>
  <c r="P119" i="9"/>
  <c r="Q119" i="9" s="1"/>
  <c r="P91" i="1"/>
  <c r="Q91" i="1" s="1"/>
  <c r="P181" i="1"/>
  <c r="Q181" i="1" s="1"/>
  <c r="P62" i="9"/>
  <c r="Q62" i="9" s="1"/>
  <c r="P75" i="9"/>
  <c r="Q75" i="9" s="1"/>
  <c r="P48" i="9"/>
  <c r="Q48" i="9" s="1"/>
  <c r="P86" i="9"/>
  <c r="Q86" i="9" s="1"/>
  <c r="O76" i="3"/>
  <c r="O136" i="1"/>
  <c r="N136" i="1"/>
  <c r="M136" i="1"/>
  <c r="L136" i="1"/>
  <c r="K136" i="1"/>
  <c r="J136" i="1"/>
  <c r="O225" i="1"/>
  <c r="N225" i="1"/>
  <c r="M225" i="1"/>
  <c r="L225" i="1"/>
  <c r="K225" i="1"/>
  <c r="J225" i="1"/>
  <c r="O202" i="1"/>
  <c r="N202" i="1"/>
  <c r="M202" i="1"/>
  <c r="L202" i="1"/>
  <c r="K202" i="1"/>
  <c r="J202" i="1"/>
  <c r="O145" i="1"/>
  <c r="N145" i="1"/>
  <c r="M145" i="1"/>
  <c r="L145" i="1"/>
  <c r="K145" i="1"/>
  <c r="J145" i="1"/>
  <c r="O124" i="1"/>
  <c r="N124" i="1"/>
  <c r="M124" i="1"/>
  <c r="L124" i="1"/>
  <c r="K124" i="1"/>
  <c r="J124" i="1"/>
  <c r="O115" i="1"/>
  <c r="N115" i="1"/>
  <c r="M115" i="1"/>
  <c r="L115" i="1"/>
  <c r="K115" i="1"/>
  <c r="J115" i="1"/>
  <c r="O107" i="1"/>
  <c r="N107" i="1"/>
  <c r="M107" i="1"/>
  <c r="L107" i="1"/>
  <c r="K107" i="1"/>
  <c r="J107" i="1"/>
  <c r="O97" i="1"/>
  <c r="N97" i="1"/>
  <c r="M97" i="1"/>
  <c r="L97" i="1"/>
  <c r="K97" i="1"/>
  <c r="J97" i="1"/>
  <c r="N19" i="3" l="1"/>
  <c r="P29" i="3"/>
  <c r="P37" i="3"/>
  <c r="O13" i="8"/>
  <c r="N13" i="8"/>
  <c r="M13" i="8"/>
  <c r="L13" i="8"/>
  <c r="K13" i="8"/>
  <c r="J13" i="8"/>
  <c r="O65" i="8"/>
  <c r="N65" i="8"/>
  <c r="M65" i="8"/>
  <c r="L65" i="8"/>
  <c r="K65" i="8"/>
  <c r="J65" i="8"/>
  <c r="P83" i="8" l="1"/>
  <c r="Q83" i="8" s="1"/>
  <c r="O83" i="8"/>
  <c r="N83" i="8"/>
  <c r="M83" i="8"/>
  <c r="L83" i="8"/>
  <c r="K83" i="8"/>
  <c r="J83" i="8"/>
  <c r="P36" i="1"/>
  <c r="Q36" i="1" s="1"/>
  <c r="O36" i="1"/>
  <c r="N36" i="1"/>
  <c r="M36" i="1"/>
  <c r="L36" i="1"/>
  <c r="K36" i="1"/>
  <c r="J36" i="1"/>
  <c r="O9" i="8" l="1"/>
  <c r="N9" i="8"/>
  <c r="M9" i="8"/>
  <c r="L9" i="8"/>
  <c r="J9" i="8"/>
  <c r="O9" i="1"/>
  <c r="N9" i="1"/>
  <c r="M9" i="1"/>
  <c r="L9" i="1"/>
  <c r="J9" i="1"/>
  <c r="Q84" i="3"/>
  <c r="R84" i="3" l="1"/>
  <c r="P9" i="1"/>
  <c r="Q9" i="1" s="1"/>
  <c r="P9" i="8"/>
  <c r="Q9" i="8" s="1"/>
  <c r="O20" i="1"/>
  <c r="N20" i="1"/>
  <c r="M20" i="1"/>
  <c r="L20" i="1"/>
  <c r="K20" i="1"/>
  <c r="J20" i="1"/>
  <c r="Q83" i="3"/>
  <c r="O62" i="8"/>
  <c r="N62" i="8"/>
  <c r="M62" i="8"/>
  <c r="L62" i="8"/>
  <c r="K62" i="8"/>
  <c r="J62" i="8"/>
  <c r="O64" i="8"/>
  <c r="N64" i="8"/>
  <c r="M64" i="8"/>
  <c r="L64" i="8"/>
  <c r="K64" i="8"/>
  <c r="J64" i="8"/>
  <c r="O67" i="8"/>
  <c r="N67" i="8"/>
  <c r="M67" i="8"/>
  <c r="L67" i="8"/>
  <c r="K67" i="8"/>
  <c r="J67" i="8"/>
  <c r="O66" i="8"/>
  <c r="N66" i="8"/>
  <c r="M66" i="8"/>
  <c r="L66" i="8"/>
  <c r="K66" i="8"/>
  <c r="J66" i="8"/>
  <c r="O63" i="8"/>
  <c r="N63" i="8"/>
  <c r="M63" i="8"/>
  <c r="L63" i="8"/>
  <c r="K63" i="8"/>
  <c r="J63" i="8"/>
  <c r="O59" i="8"/>
  <c r="N59" i="8"/>
  <c r="M59" i="8"/>
  <c r="L59" i="8"/>
  <c r="K59" i="8"/>
  <c r="J59" i="8"/>
  <c r="O60" i="8"/>
  <c r="N60" i="8"/>
  <c r="M60" i="8"/>
  <c r="L60" i="8"/>
  <c r="K60" i="8"/>
  <c r="J60" i="8"/>
  <c r="O44" i="8"/>
  <c r="N44" i="8"/>
  <c r="M44" i="8"/>
  <c r="L44" i="8"/>
  <c r="K44" i="8"/>
  <c r="J44" i="8"/>
  <c r="O43" i="8"/>
  <c r="N43" i="8"/>
  <c r="M43" i="8"/>
  <c r="L43" i="8"/>
  <c r="K43" i="8"/>
  <c r="J43" i="8"/>
  <c r="O45" i="8"/>
  <c r="N45" i="8"/>
  <c r="M45" i="8"/>
  <c r="L45" i="8"/>
  <c r="K45" i="8"/>
  <c r="J45" i="8"/>
  <c r="O42" i="8"/>
  <c r="N42" i="8"/>
  <c r="M42" i="8"/>
  <c r="L42" i="8"/>
  <c r="K42" i="8"/>
  <c r="J42" i="8"/>
  <c r="O41" i="8"/>
  <c r="N41" i="8"/>
  <c r="M41" i="8"/>
  <c r="L41" i="8"/>
  <c r="K41" i="8"/>
  <c r="J41" i="8"/>
  <c r="O40" i="8"/>
  <c r="N40" i="8"/>
  <c r="M40" i="8"/>
  <c r="L40" i="8"/>
  <c r="K40" i="8"/>
  <c r="J40" i="8"/>
  <c r="O39" i="8"/>
  <c r="N39" i="8"/>
  <c r="M39" i="8"/>
  <c r="L39" i="8"/>
  <c r="K39" i="8"/>
  <c r="J39" i="8"/>
  <c r="O56" i="8"/>
  <c r="N56" i="8"/>
  <c r="M56" i="8"/>
  <c r="L56" i="8"/>
  <c r="K56" i="8"/>
  <c r="J56" i="8"/>
  <c r="O38" i="8"/>
  <c r="N38" i="8"/>
  <c r="M38" i="8"/>
  <c r="L38" i="8"/>
  <c r="K38" i="8"/>
  <c r="J38" i="8"/>
  <c r="O37" i="8"/>
  <c r="N37" i="8"/>
  <c r="M37" i="8"/>
  <c r="L37" i="8"/>
  <c r="K37" i="8"/>
  <c r="J37" i="8"/>
  <c r="O55" i="8"/>
  <c r="N55" i="8"/>
  <c r="M55" i="8"/>
  <c r="L55" i="8"/>
  <c r="K55" i="8"/>
  <c r="J55" i="8"/>
  <c r="O53" i="8"/>
  <c r="N53" i="8"/>
  <c r="M53" i="8"/>
  <c r="L53" i="8"/>
  <c r="K53" i="8"/>
  <c r="J53" i="8"/>
  <c r="O52" i="8"/>
  <c r="N52" i="8"/>
  <c r="M52" i="8"/>
  <c r="L52" i="8"/>
  <c r="K52" i="8"/>
  <c r="J52" i="8"/>
  <c r="O51" i="8"/>
  <c r="N51" i="8"/>
  <c r="M51" i="8"/>
  <c r="L51" i="8"/>
  <c r="K51" i="8"/>
  <c r="J51" i="8"/>
  <c r="O54" i="8"/>
  <c r="N54" i="8"/>
  <c r="M54" i="8"/>
  <c r="L54" i="8"/>
  <c r="K54" i="8"/>
  <c r="J54" i="8"/>
  <c r="O36" i="8"/>
  <c r="N36" i="8"/>
  <c r="M36" i="8"/>
  <c r="L36" i="8"/>
  <c r="K36" i="8"/>
  <c r="J36" i="8"/>
  <c r="O33" i="8"/>
  <c r="N33" i="8"/>
  <c r="M33" i="8"/>
  <c r="L33" i="8"/>
  <c r="K33" i="8"/>
  <c r="J33" i="8"/>
  <c r="O27" i="8"/>
  <c r="N27" i="8"/>
  <c r="M27" i="8"/>
  <c r="L27" i="8"/>
  <c r="K27" i="8"/>
  <c r="J27" i="8"/>
  <c r="O26" i="8"/>
  <c r="N26" i="8"/>
  <c r="M26" i="8"/>
  <c r="L26" i="8"/>
  <c r="K26" i="8"/>
  <c r="J26" i="8"/>
  <c r="O48" i="8"/>
  <c r="N48" i="8"/>
  <c r="M48" i="8"/>
  <c r="L48" i="8"/>
  <c r="K48" i="8"/>
  <c r="J48" i="8"/>
  <c r="O24" i="8"/>
  <c r="N24" i="8"/>
  <c r="M24" i="8"/>
  <c r="L24" i="8"/>
  <c r="K24" i="8"/>
  <c r="J24" i="8"/>
  <c r="O75" i="8"/>
  <c r="N75" i="8"/>
  <c r="M75" i="8"/>
  <c r="L75" i="8"/>
  <c r="K75" i="8"/>
  <c r="J75" i="8"/>
  <c r="O49" i="8"/>
  <c r="N49" i="8"/>
  <c r="M49" i="8"/>
  <c r="L49" i="8"/>
  <c r="K49" i="8"/>
  <c r="J49" i="8"/>
  <c r="O28" i="8"/>
  <c r="N28" i="8"/>
  <c r="M28" i="8"/>
  <c r="L28" i="8"/>
  <c r="K28" i="8"/>
  <c r="J28" i="8"/>
  <c r="O25" i="8"/>
  <c r="N25" i="8"/>
  <c r="M25" i="8"/>
  <c r="L25" i="8"/>
  <c r="K25" i="8"/>
  <c r="J25" i="8"/>
  <c r="O82" i="8"/>
  <c r="N82" i="8"/>
  <c r="M82" i="8"/>
  <c r="L82" i="8"/>
  <c r="K82" i="8"/>
  <c r="J82" i="8"/>
  <c r="O31" i="8"/>
  <c r="N31" i="8"/>
  <c r="M31" i="8"/>
  <c r="L31" i="8"/>
  <c r="K31" i="8"/>
  <c r="J31" i="8"/>
  <c r="O32" i="8"/>
  <c r="N32" i="8"/>
  <c r="M32" i="8"/>
  <c r="L32" i="8"/>
  <c r="K32" i="8"/>
  <c r="J32" i="8"/>
  <c r="O30" i="8"/>
  <c r="N30" i="8"/>
  <c r="M30" i="8"/>
  <c r="L30" i="8"/>
  <c r="K30" i="8"/>
  <c r="J30" i="8"/>
  <c r="O29" i="8"/>
  <c r="N29" i="8"/>
  <c r="M29" i="8"/>
  <c r="L29" i="8"/>
  <c r="K29" i="8"/>
  <c r="J29" i="8"/>
  <c r="O71" i="8"/>
  <c r="N71" i="8"/>
  <c r="M71" i="8"/>
  <c r="L71" i="8"/>
  <c r="K71" i="8"/>
  <c r="J71" i="8"/>
  <c r="O70" i="8"/>
  <c r="N70" i="8"/>
  <c r="M70" i="8"/>
  <c r="L70" i="8"/>
  <c r="K70" i="8"/>
  <c r="J70" i="8"/>
  <c r="O72" i="8"/>
  <c r="N72" i="8"/>
  <c r="M72" i="8"/>
  <c r="L72" i="8"/>
  <c r="K72" i="8"/>
  <c r="J72" i="8"/>
  <c r="O79" i="8"/>
  <c r="N79" i="8"/>
  <c r="M79" i="8"/>
  <c r="L79" i="8"/>
  <c r="K79" i="8"/>
  <c r="J79" i="8"/>
  <c r="O78" i="8"/>
  <c r="N78" i="8"/>
  <c r="M78" i="8"/>
  <c r="L78" i="8"/>
  <c r="K78" i="8"/>
  <c r="J78" i="8"/>
  <c r="O21" i="8"/>
  <c r="N21" i="8"/>
  <c r="M21" i="8"/>
  <c r="L21" i="8"/>
  <c r="K21" i="8"/>
  <c r="J21" i="8"/>
  <c r="O20" i="8"/>
  <c r="N20" i="8"/>
  <c r="M20" i="8"/>
  <c r="L20" i="8"/>
  <c r="K20" i="8"/>
  <c r="J20" i="8"/>
  <c r="O7" i="8"/>
  <c r="N7" i="8"/>
  <c r="M7" i="8"/>
  <c r="L7" i="8"/>
  <c r="K7" i="8"/>
  <c r="J7" i="8"/>
  <c r="O6" i="8"/>
  <c r="N6" i="8"/>
  <c r="M6" i="8"/>
  <c r="L6" i="8"/>
  <c r="K6" i="8"/>
  <c r="J6" i="8"/>
  <c r="O18" i="8"/>
  <c r="N18" i="8"/>
  <c r="M18" i="8"/>
  <c r="L18" i="8"/>
  <c r="K18" i="8"/>
  <c r="J18" i="8"/>
  <c r="O16" i="8"/>
  <c r="N16" i="8"/>
  <c r="M16" i="8"/>
  <c r="L16" i="8"/>
  <c r="K16" i="8"/>
  <c r="J16" i="8"/>
  <c r="O12" i="8"/>
  <c r="N12" i="8"/>
  <c r="M12" i="8"/>
  <c r="L12" i="8"/>
  <c r="K12" i="8"/>
  <c r="J12" i="8"/>
  <c r="O8" i="8"/>
  <c r="N8" i="8"/>
  <c r="M8" i="8"/>
  <c r="L8" i="8"/>
  <c r="K8" i="8"/>
  <c r="J8" i="8"/>
  <c r="P211" i="1" l="1"/>
  <c r="Q211" i="1" s="1"/>
  <c r="P173" i="1"/>
  <c r="Q173" i="1" s="1"/>
  <c r="P167" i="1"/>
  <c r="Q167" i="1" s="1"/>
  <c r="P151" i="1"/>
  <c r="Q151" i="1" s="1"/>
  <c r="P179" i="1"/>
  <c r="Q179" i="1" s="1"/>
  <c r="P89" i="9"/>
  <c r="Q89" i="9" s="1"/>
  <c r="P114" i="9"/>
  <c r="Q114" i="9" s="1"/>
  <c r="P32" i="9"/>
  <c r="Q32" i="9" s="1"/>
  <c r="P19" i="9"/>
  <c r="Q19" i="9" s="1"/>
  <c r="P46" i="8"/>
  <c r="Q46" i="8" s="1"/>
  <c r="P196" i="1"/>
  <c r="Q196" i="1" s="1"/>
  <c r="P57" i="8"/>
  <c r="Q57" i="8" s="1"/>
  <c r="P68" i="8"/>
  <c r="Q68" i="8" s="1"/>
  <c r="P109" i="9"/>
  <c r="Q109" i="9" s="1"/>
  <c r="P54" i="9"/>
  <c r="Q54" i="9" s="1"/>
  <c r="P80" i="8"/>
  <c r="Q80" i="8" s="1"/>
  <c r="P81" i="9"/>
  <c r="Q81" i="9" s="1"/>
  <c r="P43" i="9"/>
  <c r="Q43" i="9" s="1"/>
  <c r="P76" i="8"/>
  <c r="Q76" i="8" s="1"/>
  <c r="P10" i="8"/>
  <c r="Q10" i="8" s="1"/>
  <c r="P22" i="8"/>
  <c r="Q22" i="8" s="1"/>
  <c r="P34" i="8"/>
  <c r="Q34" i="8" s="1"/>
  <c r="P73" i="8"/>
  <c r="Q73" i="8" s="1"/>
  <c r="P130" i="9"/>
  <c r="Q130" i="9" s="1"/>
  <c r="P70" i="9"/>
  <c r="Q70" i="9" s="1"/>
  <c r="P202" i="1"/>
  <c r="Q202" i="1" s="1"/>
  <c r="P225" i="1"/>
  <c r="Q225" i="1" s="1"/>
  <c r="P115" i="1"/>
  <c r="Q115" i="1" s="1"/>
  <c r="P136" i="1"/>
  <c r="Q136" i="1" s="1"/>
  <c r="P97" i="1"/>
  <c r="Q97" i="1" s="1"/>
  <c r="P107" i="1"/>
  <c r="Q107" i="1" s="1"/>
  <c r="P124" i="1"/>
  <c r="Q124" i="1" s="1"/>
  <c r="P145" i="1"/>
  <c r="Q145" i="1" s="1"/>
  <c r="P20" i="1"/>
  <c r="Q20" i="1" s="1"/>
  <c r="R83" i="3"/>
  <c r="F36" i="6"/>
  <c r="G36" i="6" s="1"/>
  <c r="G35" i="6"/>
  <c r="F35" i="6"/>
  <c r="F34" i="6"/>
  <c r="G34" i="6" s="1"/>
  <c r="F33" i="6"/>
  <c r="G33" i="6" s="1"/>
  <c r="F32" i="6"/>
  <c r="G32" i="6" s="1"/>
  <c r="G31" i="6"/>
  <c r="F31" i="6"/>
  <c r="F19" i="6"/>
  <c r="G19" i="6" s="1"/>
  <c r="H19" i="6" s="1"/>
  <c r="D19" i="6"/>
  <c r="D18" i="6"/>
  <c r="F17" i="6"/>
  <c r="D17" i="6"/>
  <c r="G17" i="6" s="1"/>
  <c r="H17" i="6" s="1"/>
  <c r="D16" i="6"/>
  <c r="F15" i="6"/>
  <c r="D15" i="6"/>
  <c r="G15" i="6" s="1"/>
  <c r="H15" i="6" s="1"/>
  <c r="D14" i="6"/>
  <c r="G16" i="6" l="1"/>
  <c r="H16" i="6" s="1"/>
  <c r="G14" i="6"/>
  <c r="H14" i="6" s="1"/>
  <c r="F14" i="6"/>
  <c r="F16" i="6"/>
  <c r="F18" i="6"/>
  <c r="G18" i="6" s="1"/>
  <c r="H18" i="6" s="1"/>
  <c r="O15" i="3" l="1"/>
  <c r="O16" i="3"/>
  <c r="O178" i="1"/>
  <c r="N178" i="1"/>
  <c r="M178" i="1"/>
  <c r="L178" i="1"/>
  <c r="K178" i="1"/>
  <c r="J178" i="1"/>
  <c r="O82" i="3"/>
  <c r="Q82" i="3" s="1"/>
  <c r="P88" i="9" l="1"/>
  <c r="Q88" i="9" s="1"/>
  <c r="P150" i="1"/>
  <c r="Q150" i="1" s="1"/>
  <c r="R82" i="3"/>
  <c r="P178" i="1"/>
  <c r="Q178" i="1" s="1"/>
  <c r="N4" i="3"/>
  <c r="O4" i="3" s="1"/>
  <c r="N3" i="3"/>
  <c r="O3" i="3" s="1"/>
  <c r="O6" i="3"/>
  <c r="Q14" i="3"/>
  <c r="R14" i="3" s="1"/>
  <c r="Q15" i="3"/>
  <c r="Q16" i="3"/>
  <c r="T3" i="3" l="1"/>
  <c r="R16" i="3"/>
  <c r="P51" i="9"/>
  <c r="Q51" i="9" s="1"/>
  <c r="P78" i="9"/>
  <c r="Q78" i="9" s="1"/>
  <c r="P67" i="9"/>
  <c r="Q67" i="9" s="1"/>
  <c r="P29" i="9"/>
  <c r="Q29" i="9" s="1"/>
  <c r="P16" i="9"/>
  <c r="Q16" i="9" s="1"/>
  <c r="P63" i="8"/>
  <c r="Q63" i="8" s="1"/>
  <c r="R15" i="3"/>
  <c r="N80" i="3"/>
  <c r="P79" i="3" l="1"/>
  <c r="O144" i="1" l="1"/>
  <c r="N144" i="1"/>
  <c r="M144" i="1"/>
  <c r="L144" i="1"/>
  <c r="K144" i="1"/>
  <c r="J144" i="1"/>
  <c r="O143" i="1"/>
  <c r="N143" i="1"/>
  <c r="M143" i="1"/>
  <c r="L143" i="1"/>
  <c r="K143" i="1"/>
  <c r="J143" i="1"/>
  <c r="P142" i="1"/>
  <c r="Q142" i="1" s="1"/>
  <c r="O142" i="1"/>
  <c r="N142" i="1"/>
  <c r="M142" i="1"/>
  <c r="L142" i="1"/>
  <c r="K142" i="1"/>
  <c r="J142" i="1"/>
  <c r="O141" i="1"/>
  <c r="N141" i="1"/>
  <c r="M141" i="1"/>
  <c r="L141" i="1"/>
  <c r="K141" i="1"/>
  <c r="J141" i="1"/>
  <c r="O139" i="1"/>
  <c r="N139" i="1"/>
  <c r="M139" i="1"/>
  <c r="L139" i="1"/>
  <c r="K139" i="1"/>
  <c r="J139" i="1"/>
  <c r="O123" i="1"/>
  <c r="N123" i="1"/>
  <c r="M123" i="1"/>
  <c r="L123" i="1"/>
  <c r="K123" i="1"/>
  <c r="J123" i="1"/>
  <c r="O122" i="1"/>
  <c r="N122" i="1"/>
  <c r="M122" i="1"/>
  <c r="L122" i="1"/>
  <c r="K122" i="1"/>
  <c r="J122" i="1"/>
  <c r="P121" i="1"/>
  <c r="Q121" i="1" s="1"/>
  <c r="O121" i="1"/>
  <c r="N121" i="1"/>
  <c r="M121" i="1"/>
  <c r="L121" i="1"/>
  <c r="K121" i="1"/>
  <c r="J121" i="1"/>
  <c r="O120" i="1"/>
  <c r="N120" i="1"/>
  <c r="M120" i="1"/>
  <c r="L120" i="1"/>
  <c r="K120" i="1"/>
  <c r="J120" i="1"/>
  <c r="O118" i="1"/>
  <c r="N118" i="1"/>
  <c r="M118" i="1"/>
  <c r="L118" i="1"/>
  <c r="K118" i="1"/>
  <c r="J118" i="1"/>
  <c r="O5" i="3" l="1"/>
  <c r="N5" i="3"/>
  <c r="O187" i="1" l="1"/>
  <c r="N187" i="1"/>
  <c r="M187" i="1"/>
  <c r="L187" i="1"/>
  <c r="K187" i="1"/>
  <c r="J187" i="1"/>
  <c r="O81" i="3"/>
  <c r="Q81" i="3" l="1"/>
  <c r="P98" i="9" l="1"/>
  <c r="Q98" i="9" s="1"/>
  <c r="P159" i="1"/>
  <c r="Q159" i="1" s="1"/>
  <c r="R81" i="3"/>
  <c r="P187" i="1"/>
  <c r="Q187" i="1" s="1"/>
  <c r="F54" i="6"/>
  <c r="G54" i="6" s="1"/>
  <c r="F53" i="6"/>
  <c r="G53" i="6" s="1"/>
  <c r="F52" i="6"/>
  <c r="G52" i="6" s="1"/>
  <c r="F51" i="6"/>
  <c r="G51" i="6" s="1"/>
  <c r="F50" i="6"/>
  <c r="G50" i="6" s="1"/>
  <c r="F49" i="6"/>
  <c r="G49" i="6" s="1"/>
  <c r="F48" i="6"/>
  <c r="G48" i="6" s="1"/>
  <c r="F71" i="6"/>
  <c r="G71" i="6" s="1"/>
  <c r="F70" i="6"/>
  <c r="G70" i="6" s="1"/>
  <c r="F69" i="6"/>
  <c r="G69" i="6" s="1"/>
  <c r="F68" i="6"/>
  <c r="G68" i="6" s="1"/>
  <c r="F67" i="6"/>
  <c r="G67" i="6" s="1"/>
  <c r="F66" i="6"/>
  <c r="G66" i="6" s="1"/>
  <c r="F65" i="6"/>
  <c r="G65" i="6" s="1"/>
  <c r="F88" i="6"/>
  <c r="G88" i="6" s="1"/>
  <c r="F87" i="6"/>
  <c r="G87" i="6" s="1"/>
  <c r="F86" i="6"/>
  <c r="G86" i="6" s="1"/>
  <c r="F85" i="6"/>
  <c r="G85" i="6" s="1"/>
  <c r="F84" i="6"/>
  <c r="G84" i="6" s="1"/>
  <c r="F83" i="6"/>
  <c r="G83" i="6" s="1"/>
  <c r="F82" i="6"/>
  <c r="G82" i="6" s="1"/>
  <c r="F105" i="6"/>
  <c r="G105" i="6" s="1"/>
  <c r="F104" i="6"/>
  <c r="G104" i="6" s="1"/>
  <c r="F103" i="6"/>
  <c r="G103" i="6" s="1"/>
  <c r="F102" i="6"/>
  <c r="G102" i="6" s="1"/>
  <c r="F101" i="6"/>
  <c r="G101" i="6" s="1"/>
  <c r="F100" i="6"/>
  <c r="G100" i="6" s="1"/>
  <c r="F99" i="6"/>
  <c r="G99" i="6" s="1"/>
  <c r="O70" i="3" l="1"/>
  <c r="F122" i="6"/>
  <c r="G122" i="6" s="1"/>
  <c r="F121" i="6"/>
  <c r="G121" i="6" s="1"/>
  <c r="F120" i="6"/>
  <c r="G120" i="6" s="1"/>
  <c r="F119" i="6"/>
  <c r="G119" i="6" s="1"/>
  <c r="F118" i="6"/>
  <c r="G118" i="6" s="1"/>
  <c r="F117" i="6"/>
  <c r="G117" i="6" s="1"/>
  <c r="F116" i="6"/>
  <c r="G116" i="6" s="1"/>
  <c r="O131" i="1" l="1"/>
  <c r="N131" i="1"/>
  <c r="M131" i="1"/>
  <c r="L131" i="1"/>
  <c r="K131" i="1"/>
  <c r="J131" i="1"/>
  <c r="O112" i="1"/>
  <c r="N112" i="1"/>
  <c r="M112" i="1"/>
  <c r="L112" i="1"/>
  <c r="K112" i="1"/>
  <c r="J112" i="1"/>
  <c r="O102" i="1"/>
  <c r="N102" i="1"/>
  <c r="M102" i="1"/>
  <c r="L102" i="1"/>
  <c r="K102" i="1"/>
  <c r="J102" i="1"/>
  <c r="O92" i="1"/>
  <c r="N92" i="1"/>
  <c r="M92" i="1"/>
  <c r="L92" i="1"/>
  <c r="K92" i="1"/>
  <c r="J92" i="1"/>
  <c r="O113" i="1"/>
  <c r="N113" i="1"/>
  <c r="M113" i="1"/>
  <c r="L113" i="1"/>
  <c r="K113" i="1"/>
  <c r="J113" i="1"/>
  <c r="O110" i="1"/>
  <c r="N110" i="1"/>
  <c r="M110" i="1"/>
  <c r="L110" i="1"/>
  <c r="K110" i="1"/>
  <c r="J110" i="1"/>
  <c r="Q80" i="3"/>
  <c r="O190" i="1"/>
  <c r="N190" i="1"/>
  <c r="M190" i="1"/>
  <c r="L190" i="1"/>
  <c r="K190" i="1"/>
  <c r="J190" i="1"/>
  <c r="O186" i="1"/>
  <c r="N186" i="1"/>
  <c r="M186" i="1"/>
  <c r="L186" i="1"/>
  <c r="K186" i="1"/>
  <c r="J186" i="1"/>
  <c r="O79" i="3"/>
  <c r="Q79" i="3" s="1"/>
  <c r="P158" i="1" s="1"/>
  <c r="Q158" i="1" s="1"/>
  <c r="O182" i="1"/>
  <c r="N182" i="1"/>
  <c r="M182" i="1"/>
  <c r="L182" i="1"/>
  <c r="K182" i="1"/>
  <c r="J182" i="1"/>
  <c r="Q78" i="3"/>
  <c r="P154" i="1" s="1"/>
  <c r="Q154" i="1" s="1"/>
  <c r="R80" i="3" l="1"/>
  <c r="P39" i="9"/>
  <c r="Q39" i="9" s="1"/>
  <c r="R78" i="3"/>
  <c r="P94" i="9"/>
  <c r="Q94" i="9" s="1"/>
  <c r="P186" i="1"/>
  <c r="Q186" i="1" s="1"/>
  <c r="P97" i="9"/>
  <c r="Q97" i="9" s="1"/>
  <c r="P182" i="1"/>
  <c r="Q182" i="1" s="1"/>
  <c r="R79" i="3"/>
  <c r="P113" i="1"/>
  <c r="Q113" i="1" s="1"/>
  <c r="O201" i="1"/>
  <c r="N201" i="1"/>
  <c r="M201" i="1"/>
  <c r="L201" i="1"/>
  <c r="K201" i="1"/>
  <c r="J201" i="1"/>
  <c r="O200" i="1"/>
  <c r="N200" i="1"/>
  <c r="M200" i="1"/>
  <c r="L200" i="1"/>
  <c r="K200" i="1"/>
  <c r="J200" i="1"/>
  <c r="O199" i="1"/>
  <c r="N199" i="1"/>
  <c r="M199" i="1"/>
  <c r="L199" i="1"/>
  <c r="K199" i="1"/>
  <c r="J199" i="1"/>
  <c r="O223" i="1"/>
  <c r="N223" i="1"/>
  <c r="M223" i="1"/>
  <c r="L223" i="1"/>
  <c r="K223" i="1"/>
  <c r="J223" i="1"/>
  <c r="O222" i="1"/>
  <c r="N222" i="1"/>
  <c r="M222" i="1"/>
  <c r="L222" i="1"/>
  <c r="K222" i="1"/>
  <c r="J222" i="1"/>
  <c r="O216" i="1"/>
  <c r="N216" i="1"/>
  <c r="M216" i="1"/>
  <c r="L216" i="1"/>
  <c r="K216" i="1"/>
  <c r="J216" i="1"/>
  <c r="O214" i="1"/>
  <c r="N214" i="1"/>
  <c r="M214" i="1"/>
  <c r="L214" i="1"/>
  <c r="K214" i="1"/>
  <c r="J214" i="1"/>
  <c r="O25" i="1"/>
  <c r="N25" i="1"/>
  <c r="M25" i="1"/>
  <c r="L25" i="1"/>
  <c r="K25" i="1"/>
  <c r="J25" i="1"/>
  <c r="O24" i="1"/>
  <c r="N24" i="1"/>
  <c r="M24" i="1"/>
  <c r="L24" i="1"/>
  <c r="K24" i="1"/>
  <c r="J24" i="1"/>
  <c r="O23" i="1"/>
  <c r="N23" i="1"/>
  <c r="M23" i="1"/>
  <c r="L23" i="1"/>
  <c r="K23" i="1"/>
  <c r="J23" i="1"/>
  <c r="Q77" i="3"/>
  <c r="P170" i="1" s="1"/>
  <c r="Q170" i="1" s="1"/>
  <c r="Q76" i="3"/>
  <c r="Q75" i="3"/>
  <c r="P133" i="9" s="1"/>
  <c r="Q133" i="9" s="1"/>
  <c r="R132" i="9" s="1"/>
  <c r="S132" i="9" s="1"/>
  <c r="Q74" i="3"/>
  <c r="O230" i="1"/>
  <c r="N230" i="1"/>
  <c r="M230" i="1"/>
  <c r="L230" i="1"/>
  <c r="K230" i="1"/>
  <c r="J230" i="1"/>
  <c r="Q73" i="3"/>
  <c r="R73" i="3" s="1"/>
  <c r="Q72" i="3"/>
  <c r="R72" i="3" s="1"/>
  <c r="O194" i="1"/>
  <c r="N194" i="1"/>
  <c r="M194" i="1"/>
  <c r="L194" i="1"/>
  <c r="K194" i="1"/>
  <c r="J194" i="1"/>
  <c r="P71" i="3"/>
  <c r="Q71" i="3" s="1"/>
  <c r="Q70" i="3"/>
  <c r="P152" i="1" s="1"/>
  <c r="Q152" i="1" s="1"/>
  <c r="O69" i="3"/>
  <c r="Q69" i="3" s="1"/>
  <c r="Q10" i="3"/>
  <c r="J176" i="1"/>
  <c r="K176" i="1"/>
  <c r="L176" i="1"/>
  <c r="M176" i="1"/>
  <c r="N176" i="1"/>
  <c r="O176" i="1"/>
  <c r="J180" i="1"/>
  <c r="K180" i="1"/>
  <c r="L180" i="1"/>
  <c r="M180" i="1"/>
  <c r="N180" i="1"/>
  <c r="O180" i="1"/>
  <c r="J188" i="1"/>
  <c r="K188" i="1"/>
  <c r="L188" i="1"/>
  <c r="M188" i="1"/>
  <c r="N188" i="1"/>
  <c r="O188" i="1"/>
  <c r="J189" i="1"/>
  <c r="K189" i="1"/>
  <c r="L189" i="1"/>
  <c r="M189" i="1"/>
  <c r="N189" i="1"/>
  <c r="O189" i="1"/>
  <c r="J193" i="1"/>
  <c r="K193" i="1"/>
  <c r="L193" i="1"/>
  <c r="M193" i="1"/>
  <c r="N193" i="1"/>
  <c r="O193" i="1"/>
  <c r="O10" i="1"/>
  <c r="N10" i="1"/>
  <c r="M10" i="1"/>
  <c r="L10" i="1"/>
  <c r="K10" i="1"/>
  <c r="J10" i="1"/>
  <c r="O19" i="1"/>
  <c r="N19" i="1"/>
  <c r="M19" i="1"/>
  <c r="L19" i="1"/>
  <c r="K19" i="1"/>
  <c r="J19" i="1"/>
  <c r="O18" i="1"/>
  <c r="N18" i="1"/>
  <c r="M18" i="1"/>
  <c r="L18" i="1"/>
  <c r="K18" i="1"/>
  <c r="J18" i="1"/>
  <c r="N68" i="3"/>
  <c r="O68" i="3" s="1"/>
  <c r="N67" i="3"/>
  <c r="O67" i="3" s="1"/>
  <c r="Q67" i="3" s="1"/>
  <c r="N66" i="3"/>
  <c r="O66" i="3" s="1"/>
  <c r="O62" i="3"/>
  <c r="Q62" i="3" s="1"/>
  <c r="O63" i="3"/>
  <c r="Q63" i="3" s="1"/>
  <c r="P64" i="3"/>
  <c r="P60" i="3"/>
  <c r="P61" i="3"/>
  <c r="O60" i="3"/>
  <c r="O77" i="1"/>
  <c r="N77" i="1"/>
  <c r="M77" i="1"/>
  <c r="L77" i="1"/>
  <c r="K77" i="1"/>
  <c r="J77" i="1"/>
  <c r="O33" i="3"/>
  <c r="P65" i="3"/>
  <c r="O65" i="3"/>
  <c r="O48" i="1"/>
  <c r="N48" i="1"/>
  <c r="M48" i="1"/>
  <c r="L48" i="1"/>
  <c r="K48" i="1"/>
  <c r="J48" i="1"/>
  <c r="O47" i="1"/>
  <c r="N47" i="1"/>
  <c r="M47" i="1"/>
  <c r="L47" i="1"/>
  <c r="K47" i="1"/>
  <c r="J47" i="1"/>
  <c r="O46" i="1"/>
  <c r="N46" i="1"/>
  <c r="M46" i="1"/>
  <c r="L46" i="1"/>
  <c r="K46" i="1"/>
  <c r="J46" i="1"/>
  <c r="O30" i="1"/>
  <c r="N30" i="1"/>
  <c r="M30" i="1"/>
  <c r="L30" i="1"/>
  <c r="K30" i="1"/>
  <c r="J30" i="1"/>
  <c r="O29" i="1"/>
  <c r="N29" i="1"/>
  <c r="M29" i="1"/>
  <c r="L29" i="1"/>
  <c r="K29" i="1"/>
  <c r="J29" i="1"/>
  <c r="O28" i="1"/>
  <c r="N28" i="1"/>
  <c r="M28" i="1"/>
  <c r="L28" i="1"/>
  <c r="K28" i="1"/>
  <c r="J28" i="1"/>
  <c r="O64" i="3"/>
  <c r="O52" i="1"/>
  <c r="N52" i="1"/>
  <c r="M52" i="1"/>
  <c r="L52" i="1"/>
  <c r="K52" i="1"/>
  <c r="J52" i="1"/>
  <c r="O61" i="3"/>
  <c r="O135" i="1"/>
  <c r="N135" i="1"/>
  <c r="M135" i="1"/>
  <c r="L135" i="1"/>
  <c r="K135" i="1"/>
  <c r="J135" i="1"/>
  <c r="O134" i="1"/>
  <c r="N134" i="1"/>
  <c r="M134" i="1"/>
  <c r="L134" i="1"/>
  <c r="K134" i="1"/>
  <c r="J134" i="1"/>
  <c r="P133" i="1"/>
  <c r="Q133" i="1" s="1"/>
  <c r="O133" i="1"/>
  <c r="N133" i="1"/>
  <c r="M133" i="1"/>
  <c r="L133" i="1"/>
  <c r="K133" i="1"/>
  <c r="J133" i="1"/>
  <c r="O132" i="1"/>
  <c r="N132" i="1"/>
  <c r="M132" i="1"/>
  <c r="L132" i="1"/>
  <c r="K132" i="1"/>
  <c r="J132" i="1"/>
  <c r="O129" i="1"/>
  <c r="N129" i="1"/>
  <c r="M129" i="1"/>
  <c r="L129" i="1"/>
  <c r="K129" i="1"/>
  <c r="J129" i="1"/>
  <c r="O127" i="1"/>
  <c r="N127" i="1"/>
  <c r="M127" i="1"/>
  <c r="L127" i="1"/>
  <c r="K127" i="1"/>
  <c r="J127" i="1"/>
  <c r="O96" i="1"/>
  <c r="N96" i="1"/>
  <c r="M96" i="1"/>
  <c r="L96" i="1"/>
  <c r="K96" i="1"/>
  <c r="J96" i="1"/>
  <c r="O95" i="1"/>
  <c r="N95" i="1"/>
  <c r="M95" i="1"/>
  <c r="L95" i="1"/>
  <c r="K95" i="1"/>
  <c r="J95" i="1"/>
  <c r="P94" i="1"/>
  <c r="Q94" i="1" s="1"/>
  <c r="O94" i="1"/>
  <c r="N94" i="1"/>
  <c r="M94" i="1"/>
  <c r="L94" i="1"/>
  <c r="K94" i="1"/>
  <c r="J94" i="1"/>
  <c r="O93" i="1"/>
  <c r="N93" i="1"/>
  <c r="M93" i="1"/>
  <c r="L93" i="1"/>
  <c r="K93" i="1"/>
  <c r="J93" i="1"/>
  <c r="O90" i="1"/>
  <c r="N90" i="1"/>
  <c r="M90" i="1"/>
  <c r="L90" i="1"/>
  <c r="K90" i="1"/>
  <c r="J90" i="1"/>
  <c r="O106" i="1"/>
  <c r="N106" i="1"/>
  <c r="M106" i="1"/>
  <c r="L106" i="1"/>
  <c r="K106" i="1"/>
  <c r="J106" i="1"/>
  <c r="O105" i="1"/>
  <c r="N105" i="1"/>
  <c r="M105" i="1"/>
  <c r="L105" i="1"/>
  <c r="K105" i="1"/>
  <c r="J105" i="1"/>
  <c r="P104" i="1"/>
  <c r="Q104" i="1" s="1"/>
  <c r="O104" i="1"/>
  <c r="N104" i="1"/>
  <c r="M104" i="1"/>
  <c r="L104" i="1"/>
  <c r="K104" i="1"/>
  <c r="J104" i="1"/>
  <c r="O103" i="1"/>
  <c r="N103" i="1"/>
  <c r="M103" i="1"/>
  <c r="L103" i="1"/>
  <c r="K103" i="1"/>
  <c r="J103" i="1"/>
  <c r="O100" i="1"/>
  <c r="N100" i="1"/>
  <c r="M100" i="1"/>
  <c r="L100" i="1"/>
  <c r="K100" i="1"/>
  <c r="J100" i="1"/>
  <c r="O86" i="1"/>
  <c r="N86" i="1"/>
  <c r="M86" i="1"/>
  <c r="L86" i="1"/>
  <c r="K86" i="1"/>
  <c r="J86" i="1"/>
  <c r="O80" i="1"/>
  <c r="N80" i="1"/>
  <c r="M80" i="1"/>
  <c r="L80" i="1"/>
  <c r="K80" i="1"/>
  <c r="J80" i="1"/>
  <c r="O76" i="1"/>
  <c r="N76" i="1"/>
  <c r="M76" i="1"/>
  <c r="L76" i="1"/>
  <c r="K76" i="1"/>
  <c r="J76" i="1"/>
  <c r="O75" i="1"/>
  <c r="N75" i="1"/>
  <c r="M75" i="1"/>
  <c r="L75" i="1"/>
  <c r="K75" i="1"/>
  <c r="J75" i="1"/>
  <c r="O74" i="1"/>
  <c r="N74" i="1"/>
  <c r="M74" i="1"/>
  <c r="L74" i="1"/>
  <c r="K74" i="1"/>
  <c r="J74" i="1"/>
  <c r="P73" i="1"/>
  <c r="Q73" i="1" s="1"/>
  <c r="O73" i="1"/>
  <c r="N73" i="1"/>
  <c r="M73" i="1"/>
  <c r="L73" i="1"/>
  <c r="K73" i="1"/>
  <c r="J73" i="1"/>
  <c r="O70" i="1"/>
  <c r="N70" i="1"/>
  <c r="M70" i="1"/>
  <c r="L70" i="1"/>
  <c r="K70" i="1"/>
  <c r="J70" i="1"/>
  <c r="O67" i="1"/>
  <c r="N67" i="1"/>
  <c r="M67" i="1"/>
  <c r="L67" i="1"/>
  <c r="K67" i="1"/>
  <c r="J67" i="1"/>
  <c r="O66" i="1"/>
  <c r="N66" i="1"/>
  <c r="M66" i="1"/>
  <c r="L66" i="1"/>
  <c r="K66" i="1"/>
  <c r="J66" i="1"/>
  <c r="O65" i="1"/>
  <c r="N65" i="1"/>
  <c r="M65" i="1"/>
  <c r="L65" i="1"/>
  <c r="K65" i="1"/>
  <c r="J65" i="1"/>
  <c r="O64" i="1"/>
  <c r="N64" i="1"/>
  <c r="M64" i="1"/>
  <c r="L64" i="1"/>
  <c r="K64" i="1"/>
  <c r="J64" i="1"/>
  <c r="O63" i="1"/>
  <c r="N63" i="1"/>
  <c r="M63" i="1"/>
  <c r="L63" i="1"/>
  <c r="K63" i="1"/>
  <c r="J63" i="1"/>
  <c r="O62" i="1"/>
  <c r="N62" i="1"/>
  <c r="M62" i="1"/>
  <c r="L62" i="1"/>
  <c r="K62" i="1"/>
  <c r="J62" i="1"/>
  <c r="O61" i="1"/>
  <c r="N61" i="1"/>
  <c r="M61" i="1"/>
  <c r="L61" i="1"/>
  <c r="K61" i="1"/>
  <c r="J61" i="1"/>
  <c r="O60" i="1"/>
  <c r="N60" i="1"/>
  <c r="M60" i="1"/>
  <c r="L60" i="1"/>
  <c r="K60" i="1"/>
  <c r="J60" i="1"/>
  <c r="O59" i="1"/>
  <c r="N59" i="1"/>
  <c r="M59" i="1"/>
  <c r="L59" i="1"/>
  <c r="K59" i="1"/>
  <c r="J59" i="1"/>
  <c r="O58" i="1"/>
  <c r="N58" i="1"/>
  <c r="M58" i="1"/>
  <c r="L58" i="1"/>
  <c r="K58" i="1"/>
  <c r="J58" i="1"/>
  <c r="O57" i="1"/>
  <c r="N57" i="1"/>
  <c r="M57" i="1"/>
  <c r="L57" i="1"/>
  <c r="K57" i="1"/>
  <c r="J57" i="1"/>
  <c r="O56" i="1"/>
  <c r="N56" i="1"/>
  <c r="M56" i="1"/>
  <c r="L56" i="1"/>
  <c r="K56" i="1"/>
  <c r="J56" i="1"/>
  <c r="O55" i="1"/>
  <c r="N55" i="1"/>
  <c r="M55" i="1"/>
  <c r="L55" i="1"/>
  <c r="K55" i="1"/>
  <c r="J55" i="1"/>
  <c r="O54" i="1"/>
  <c r="N54" i="1"/>
  <c r="M54" i="1"/>
  <c r="L54" i="1"/>
  <c r="K54" i="1"/>
  <c r="J54" i="1"/>
  <c r="O53" i="1"/>
  <c r="N53" i="1"/>
  <c r="M53" i="1"/>
  <c r="L53" i="1"/>
  <c r="K53" i="1"/>
  <c r="J53" i="1"/>
  <c r="O51" i="1"/>
  <c r="N51" i="1"/>
  <c r="M51" i="1"/>
  <c r="L51" i="1"/>
  <c r="K51" i="1"/>
  <c r="J51" i="1"/>
  <c r="O43" i="1"/>
  <c r="N43" i="1"/>
  <c r="M43" i="1"/>
  <c r="L43" i="1"/>
  <c r="K43" i="1"/>
  <c r="J43" i="1"/>
  <c r="O40" i="1"/>
  <c r="N40" i="1"/>
  <c r="M40" i="1"/>
  <c r="L40" i="1"/>
  <c r="K40" i="1"/>
  <c r="J40" i="1"/>
  <c r="O39" i="1"/>
  <c r="N39" i="1"/>
  <c r="M39" i="1"/>
  <c r="L39" i="1"/>
  <c r="K39" i="1"/>
  <c r="J39" i="1"/>
  <c r="O35" i="1"/>
  <c r="N35" i="1"/>
  <c r="M35" i="1"/>
  <c r="L35" i="1"/>
  <c r="K35" i="1"/>
  <c r="J35" i="1"/>
  <c r="O34" i="1"/>
  <c r="N34" i="1"/>
  <c r="M34" i="1"/>
  <c r="L34" i="1"/>
  <c r="K34" i="1"/>
  <c r="J34" i="1"/>
  <c r="O33" i="1"/>
  <c r="N33" i="1"/>
  <c r="M33" i="1"/>
  <c r="L33" i="1"/>
  <c r="K33" i="1"/>
  <c r="J33" i="1"/>
  <c r="O32" i="1"/>
  <c r="N32" i="1"/>
  <c r="M32" i="1"/>
  <c r="L32" i="1"/>
  <c r="K32" i="1"/>
  <c r="J32" i="1"/>
  <c r="O31" i="1"/>
  <c r="N31" i="1"/>
  <c r="M31" i="1"/>
  <c r="L31" i="1"/>
  <c r="K31" i="1"/>
  <c r="J31" i="1"/>
  <c r="O17" i="1"/>
  <c r="N17" i="1"/>
  <c r="M17" i="1"/>
  <c r="L17" i="1"/>
  <c r="K17" i="1"/>
  <c r="J17" i="1"/>
  <c r="O16" i="1"/>
  <c r="N16" i="1"/>
  <c r="M16" i="1"/>
  <c r="L16" i="1"/>
  <c r="K16" i="1"/>
  <c r="J16" i="1"/>
  <c r="O15" i="1"/>
  <c r="N15" i="1"/>
  <c r="M15" i="1"/>
  <c r="L15" i="1"/>
  <c r="K15" i="1"/>
  <c r="J15" i="1"/>
  <c r="O14" i="1"/>
  <c r="N14" i="1"/>
  <c r="M14" i="1"/>
  <c r="L14" i="1"/>
  <c r="K14" i="1"/>
  <c r="J14" i="1"/>
  <c r="O12" i="1"/>
  <c r="N12" i="1"/>
  <c r="M12" i="1"/>
  <c r="L12" i="1"/>
  <c r="K12" i="1"/>
  <c r="J12" i="1"/>
  <c r="O11" i="1"/>
  <c r="N11" i="1"/>
  <c r="M11" i="1"/>
  <c r="L11" i="1"/>
  <c r="K11" i="1"/>
  <c r="J11" i="1"/>
  <c r="O8" i="1"/>
  <c r="N8" i="1"/>
  <c r="M8" i="1"/>
  <c r="L8" i="1"/>
  <c r="K8" i="1"/>
  <c r="J8" i="1"/>
  <c r="O7" i="1"/>
  <c r="N7" i="1"/>
  <c r="K7" i="1"/>
  <c r="M7" i="1"/>
  <c r="L7" i="1"/>
  <c r="J7" i="1"/>
  <c r="O59" i="3"/>
  <c r="Q59" i="3" s="1"/>
  <c r="O58" i="3"/>
  <c r="Q58" i="3" s="1"/>
  <c r="O31" i="3"/>
  <c r="O55" i="3"/>
  <c r="Q55" i="3" s="1"/>
  <c r="P207" i="1" l="1"/>
  <c r="Q207" i="1" s="1"/>
  <c r="P160" i="1"/>
  <c r="Q160" i="1" s="1"/>
  <c r="P164" i="1"/>
  <c r="Q164" i="1" s="1"/>
  <c r="P208" i="1"/>
  <c r="Q208" i="1" s="1"/>
  <c r="P105" i="9"/>
  <c r="Q105" i="9" s="1"/>
  <c r="P192" i="1"/>
  <c r="Q192" i="1" s="1"/>
  <c r="P205" i="1"/>
  <c r="Q205" i="1" s="1"/>
  <c r="P148" i="1"/>
  <c r="Q148" i="1" s="1"/>
  <c r="P100" i="9"/>
  <c r="Q100" i="9" s="1"/>
  <c r="P161" i="1"/>
  <c r="Q161" i="1" s="1"/>
  <c r="R74" i="3"/>
  <c r="P165" i="1"/>
  <c r="Q165" i="1" s="1"/>
  <c r="P209" i="1"/>
  <c r="Q209" i="1" s="1"/>
  <c r="P106" i="9"/>
  <c r="Q106" i="9" s="1"/>
  <c r="P128" i="9"/>
  <c r="Q128" i="9" s="1"/>
  <c r="P55" i="8"/>
  <c r="Q55" i="8" s="1"/>
  <c r="P27" i="8"/>
  <c r="Q27" i="8" s="1"/>
  <c r="P121" i="9"/>
  <c r="Q121" i="9" s="1"/>
  <c r="P99" i="9"/>
  <c r="Q99" i="9" s="1"/>
  <c r="P28" i="8"/>
  <c r="Q28" i="8" s="1"/>
  <c r="R69" i="3"/>
  <c r="P31" i="8"/>
  <c r="Q31" i="8" s="1"/>
  <c r="R70" i="3"/>
  <c r="P91" i="9"/>
  <c r="Q91" i="9" s="1"/>
  <c r="P23" i="1"/>
  <c r="Q23" i="1" s="1"/>
  <c r="P111" i="9"/>
  <c r="Q111" i="9" s="1"/>
  <c r="P72" i="8"/>
  <c r="Q72" i="8" s="1"/>
  <c r="P230" i="1"/>
  <c r="Q230" i="1" s="1"/>
  <c r="R229" i="1" s="1"/>
  <c r="S229" i="1" s="1"/>
  <c r="P50" i="9"/>
  <c r="Q50" i="9" s="1"/>
  <c r="P77" i="9"/>
  <c r="Q77" i="9" s="1"/>
  <c r="P66" i="9"/>
  <c r="Q66" i="9" s="1"/>
  <c r="P42" i="9"/>
  <c r="Q42" i="9" s="1"/>
  <c r="P28" i="9"/>
  <c r="Q28" i="9" s="1"/>
  <c r="P15" i="9"/>
  <c r="Q15" i="9" s="1"/>
  <c r="P79" i="8"/>
  <c r="Q79" i="8" s="1"/>
  <c r="R10" i="3"/>
  <c r="P118" i="9"/>
  <c r="Q118" i="9" s="1"/>
  <c r="P85" i="9"/>
  <c r="Q85" i="9" s="1"/>
  <c r="R75" i="3"/>
  <c r="R76" i="3"/>
  <c r="P223" i="1"/>
  <c r="Q223" i="1" s="1"/>
  <c r="R71" i="3"/>
  <c r="P188" i="1"/>
  <c r="Q188" i="1" s="1"/>
  <c r="R58" i="3"/>
  <c r="R77" i="3"/>
  <c r="P216" i="1"/>
  <c r="Q216" i="1" s="1"/>
  <c r="P47" i="1"/>
  <c r="Q47" i="1" s="1"/>
  <c r="Q64" i="3"/>
  <c r="R55" i="3"/>
  <c r="P120" i="1"/>
  <c r="Q120" i="1" s="1"/>
  <c r="P141" i="1"/>
  <c r="Q141" i="1" s="1"/>
  <c r="P131" i="1"/>
  <c r="Q131" i="1" s="1"/>
  <c r="P112" i="1"/>
  <c r="Q112" i="1" s="1"/>
  <c r="P102" i="1"/>
  <c r="Q102" i="1" s="1"/>
  <c r="P92" i="1"/>
  <c r="Q92" i="1" s="1"/>
  <c r="R59" i="3"/>
  <c r="P199" i="1"/>
  <c r="Q199" i="1" s="1"/>
  <c r="P214" i="1"/>
  <c r="Q214" i="1" s="1"/>
  <c r="R67" i="3"/>
  <c r="P34" i="1"/>
  <c r="Q34" i="1" s="1"/>
  <c r="Q68" i="3"/>
  <c r="Q61" i="3"/>
  <c r="P29" i="1" s="1"/>
  <c r="Q29" i="1" s="1"/>
  <c r="Q66" i="3"/>
  <c r="P19" i="1"/>
  <c r="Q19" i="1" s="1"/>
  <c r="R62" i="3"/>
  <c r="P56" i="1"/>
  <c r="Q56" i="1" s="1"/>
  <c r="R63" i="3"/>
  <c r="P31" i="1"/>
  <c r="Q31" i="1" s="1"/>
  <c r="Q60" i="3"/>
  <c r="Q65" i="3"/>
  <c r="Q57" i="3"/>
  <c r="R61" i="3" l="1"/>
  <c r="P52" i="1"/>
  <c r="Q52" i="1" s="1"/>
  <c r="P6" i="9"/>
  <c r="Q6" i="9" s="1"/>
  <c r="P87" i="1"/>
  <c r="Q87" i="1" s="1"/>
  <c r="P64" i="9"/>
  <c r="Q64" i="9" s="1"/>
  <c r="P26" i="9"/>
  <c r="Q26" i="9" s="1"/>
  <c r="P13" i="9"/>
  <c r="Q13" i="9" s="1"/>
  <c r="P60" i="8"/>
  <c r="Q60" i="8" s="1"/>
  <c r="P49" i="8"/>
  <c r="Q49" i="8" s="1"/>
  <c r="P30" i="1"/>
  <c r="Q30" i="1" s="1"/>
  <c r="P32" i="8"/>
  <c r="Q32" i="8" s="1"/>
  <c r="P33" i="8"/>
  <c r="Q33" i="8" s="1"/>
  <c r="P78" i="8"/>
  <c r="Q78" i="8" s="1"/>
  <c r="P64" i="8"/>
  <c r="Q64" i="8" s="1"/>
  <c r="P29" i="8"/>
  <c r="Q29" i="8" s="1"/>
  <c r="P30" i="8"/>
  <c r="Q30" i="8" s="1"/>
  <c r="P54" i="8"/>
  <c r="Q54" i="8" s="1"/>
  <c r="R60" i="3"/>
  <c r="R64" i="3"/>
  <c r="P28" i="1"/>
  <c r="Q28" i="1" s="1"/>
  <c r="R68" i="3"/>
  <c r="P103" i="1"/>
  <c r="Q103" i="1" s="1"/>
  <c r="P93" i="1"/>
  <c r="Q93" i="1" s="1"/>
  <c r="P132" i="1"/>
  <c r="Q132" i="1" s="1"/>
  <c r="P18" i="1"/>
  <c r="Q18" i="1" s="1"/>
  <c r="R66" i="3"/>
  <c r="R65" i="3"/>
  <c r="P48" i="1"/>
  <c r="Q48" i="1" s="1"/>
  <c r="P77" i="1"/>
  <c r="Q77" i="1" s="1"/>
  <c r="R57" i="3"/>
  <c r="P67" i="1"/>
  <c r="Q67" i="1" s="1"/>
  <c r="P35" i="1"/>
  <c r="Q35" i="1" s="1"/>
  <c r="O28" i="3"/>
  <c r="Q9" i="3"/>
  <c r="P74" i="9" l="1"/>
  <c r="Q74" i="9" s="1"/>
  <c r="P61" i="9"/>
  <c r="Q61" i="9" s="1"/>
  <c r="P139" i="1"/>
  <c r="Q139" i="1" s="1"/>
  <c r="R9" i="3"/>
  <c r="P180" i="1"/>
  <c r="Q180" i="1" s="1"/>
  <c r="P129" i="1"/>
  <c r="Q129" i="1" s="1"/>
  <c r="O51" i="3"/>
  <c r="Q50" i="3"/>
  <c r="P162" i="1" s="1"/>
  <c r="Q162" i="1" s="1"/>
  <c r="O30" i="3"/>
  <c r="O53" i="3"/>
  <c r="Q7" i="3"/>
  <c r="Q5" i="3"/>
  <c r="O49" i="3"/>
  <c r="Q48" i="3"/>
  <c r="Q47" i="3"/>
  <c r="Q46" i="3"/>
  <c r="Q45" i="3"/>
  <c r="Q44" i="3"/>
  <c r="Q43" i="3"/>
  <c r="Q42" i="3"/>
  <c r="Q41" i="3"/>
  <c r="Q40" i="3"/>
  <c r="P27" i="3"/>
  <c r="Q39" i="3"/>
  <c r="O38" i="3"/>
  <c r="O37" i="3"/>
  <c r="O36" i="3"/>
  <c r="Q35" i="3"/>
  <c r="Q34" i="3"/>
  <c r="Q3" i="3"/>
  <c r="O13" i="3"/>
  <c r="Q32" i="3"/>
  <c r="Q31" i="3"/>
  <c r="P54" i="3"/>
  <c r="Q54" i="3" s="1"/>
  <c r="R54" i="3" s="1"/>
  <c r="O26" i="3"/>
  <c r="O23" i="3"/>
  <c r="O22" i="3"/>
  <c r="O21" i="3"/>
  <c r="Q20" i="3"/>
  <c r="Q6" i="3"/>
  <c r="O11" i="3"/>
  <c r="P163" i="1" l="1"/>
  <c r="Q163" i="1" s="1"/>
  <c r="P191" i="1"/>
  <c r="Q191" i="1" s="1"/>
  <c r="P124" i="9"/>
  <c r="Q124" i="9" s="1"/>
  <c r="P219" i="1"/>
  <c r="Q219" i="1" s="1"/>
  <c r="P125" i="9"/>
  <c r="Q125" i="9" s="1"/>
  <c r="P220" i="1"/>
  <c r="Q220" i="1" s="1"/>
  <c r="P126" i="9"/>
  <c r="Q126" i="9" s="1"/>
  <c r="P221" i="1"/>
  <c r="Q221" i="1" s="1"/>
  <c r="P16" i="8"/>
  <c r="Q16" i="8" s="1"/>
  <c r="P40" i="8"/>
  <c r="Q40" i="8" s="1"/>
  <c r="P62" i="8"/>
  <c r="Q62" i="8" s="1"/>
  <c r="P42" i="8"/>
  <c r="Q42" i="8" s="1"/>
  <c r="P36" i="8"/>
  <c r="Q36" i="8" s="1"/>
  <c r="P67" i="8"/>
  <c r="Q67" i="8" s="1"/>
  <c r="P38" i="8"/>
  <c r="Q38" i="8" s="1"/>
  <c r="P18" i="8"/>
  <c r="Q18" i="8" s="1"/>
  <c r="P26" i="8"/>
  <c r="Q26" i="8" s="1"/>
  <c r="P31" i="9"/>
  <c r="Q31" i="9" s="1"/>
  <c r="P18" i="9"/>
  <c r="Q18" i="9" s="1"/>
  <c r="P104" i="9"/>
  <c r="Q104" i="9" s="1"/>
  <c r="P53" i="9"/>
  <c r="Q53" i="9" s="1"/>
  <c r="P127" i="9"/>
  <c r="Q127" i="9" s="1"/>
  <c r="P80" i="9"/>
  <c r="Q80" i="9" s="1"/>
  <c r="P69" i="9"/>
  <c r="Q69" i="9" s="1"/>
  <c r="P43" i="8"/>
  <c r="Q43" i="8" s="1"/>
  <c r="P41" i="8"/>
  <c r="Q41" i="8" s="1"/>
  <c r="P5" i="9"/>
  <c r="Q5" i="9" s="1"/>
  <c r="R4" i="9" s="1"/>
  <c r="S4" i="9" s="1"/>
  <c r="P75" i="8"/>
  <c r="Q75" i="8" s="1"/>
  <c r="P66" i="8"/>
  <c r="Q66" i="8" s="1"/>
  <c r="P37" i="8"/>
  <c r="Q37" i="8" s="1"/>
  <c r="P44" i="8"/>
  <c r="Q44" i="8" s="1"/>
  <c r="P48" i="8"/>
  <c r="Q48" i="8" s="1"/>
  <c r="P56" i="8"/>
  <c r="Q56" i="8" s="1"/>
  <c r="P103" i="9"/>
  <c r="Q103" i="9" s="1"/>
  <c r="P70" i="8"/>
  <c r="Q70" i="8" s="1"/>
  <c r="P45" i="8"/>
  <c r="Q45" i="8" s="1"/>
  <c r="P20" i="8"/>
  <c r="Q20" i="8" s="1"/>
  <c r="P39" i="8"/>
  <c r="Q39" i="8" s="1"/>
  <c r="P144" i="1"/>
  <c r="Q144" i="1" s="1"/>
  <c r="P123" i="1"/>
  <c r="Q123" i="1" s="1"/>
  <c r="P222" i="1"/>
  <c r="Q222" i="1" s="1"/>
  <c r="P190" i="1"/>
  <c r="Q190" i="1" s="1"/>
  <c r="P24" i="1"/>
  <c r="Q24" i="1" s="1"/>
  <c r="P76" i="1"/>
  <c r="Q76" i="1" s="1"/>
  <c r="P58" i="1"/>
  <c r="Q58" i="1" s="1"/>
  <c r="P12" i="1"/>
  <c r="Q12" i="1" s="1"/>
  <c r="P46" i="1"/>
  <c r="Q46" i="1" s="1"/>
  <c r="P61" i="1"/>
  <c r="Q61" i="1" s="1"/>
  <c r="P10" i="1"/>
  <c r="Q10" i="1" s="1"/>
  <c r="P43" i="1"/>
  <c r="Q43" i="1" s="1"/>
  <c r="P135" i="1"/>
  <c r="Q135" i="1" s="1"/>
  <c r="P96" i="1"/>
  <c r="Q96" i="1" s="1"/>
  <c r="P106" i="1"/>
  <c r="Q106" i="1" s="1"/>
  <c r="P65" i="1"/>
  <c r="Q65" i="1" s="1"/>
  <c r="P193" i="1"/>
  <c r="Q193" i="1" s="1"/>
  <c r="P59" i="1"/>
  <c r="Q59" i="1" s="1"/>
  <c r="P39" i="1"/>
  <c r="Q39" i="1" s="1"/>
  <c r="P62" i="1"/>
  <c r="Q62" i="1" s="1"/>
  <c r="P80" i="1"/>
  <c r="Q80" i="1" s="1"/>
  <c r="P57" i="1"/>
  <c r="Q57" i="1" s="1"/>
  <c r="P75" i="1"/>
  <c r="Q75" i="1" s="1"/>
  <c r="P66" i="1"/>
  <c r="Q66" i="1" s="1"/>
  <c r="P60" i="1"/>
  <c r="Q60" i="1" s="1"/>
  <c r="P51" i="1"/>
  <c r="Q51" i="1" s="1"/>
  <c r="P63" i="1"/>
  <c r="Q63" i="1" s="1"/>
  <c r="P86" i="1"/>
  <c r="Q86" i="1" s="1"/>
  <c r="R85" i="1" s="1"/>
  <c r="S85" i="1" s="1"/>
  <c r="P16" i="1"/>
  <c r="Q16" i="1" s="1"/>
  <c r="P64" i="1"/>
  <c r="Q64" i="1" s="1"/>
  <c r="Q22" i="3"/>
  <c r="R22" i="3" s="1"/>
  <c r="Q36" i="3"/>
  <c r="Q11" i="3"/>
  <c r="R11" i="3" s="1"/>
  <c r="Q12" i="3"/>
  <c r="Q25" i="3"/>
  <c r="Q24" i="3"/>
  <c r="Q4" i="3"/>
  <c r="Q13" i="3"/>
  <c r="Q28" i="3"/>
  <c r="Q23" i="3"/>
  <c r="Q26" i="3"/>
  <c r="Q29" i="3"/>
  <c r="Q27" i="3"/>
  <c r="R27" i="3" s="1"/>
  <c r="Q8" i="3"/>
  <c r="R43" i="3"/>
  <c r="R20" i="3"/>
  <c r="R35" i="3"/>
  <c r="R39" i="3"/>
  <c r="R46" i="3"/>
  <c r="R7" i="3"/>
  <c r="Q30" i="3"/>
  <c r="R3" i="3"/>
  <c r="R32" i="3"/>
  <c r="R41" i="3"/>
  <c r="R50" i="3"/>
  <c r="Q19" i="3"/>
  <c r="R26" i="3"/>
  <c r="Q33" i="3"/>
  <c r="R44" i="3"/>
  <c r="Q49" i="3"/>
  <c r="Q21" i="3"/>
  <c r="R47" i="3"/>
  <c r="R13" i="3"/>
  <c r="Q51" i="3"/>
  <c r="R34" i="3"/>
  <c r="Q38" i="3"/>
  <c r="R45" i="3"/>
  <c r="R5" i="3"/>
  <c r="R6" i="3"/>
  <c r="R31" i="3"/>
  <c r="R40" i="3"/>
  <c r="R48" i="3"/>
  <c r="Q53" i="3"/>
  <c r="P171" i="1" s="1"/>
  <c r="Q171" i="1" s="1"/>
  <c r="R42" i="3"/>
  <c r="Q37" i="3"/>
  <c r="P172" i="1" l="1"/>
  <c r="Q172" i="1" s="1"/>
  <c r="P166" i="1"/>
  <c r="Q166" i="1" s="1"/>
  <c r="P210" i="1"/>
  <c r="Q210" i="1" s="1"/>
  <c r="R204" i="1" s="1"/>
  <c r="S204" i="1" s="1"/>
  <c r="P224" i="1"/>
  <c r="Q224" i="1" s="1"/>
  <c r="R213" i="1" s="1"/>
  <c r="S213" i="1" s="1"/>
  <c r="P194" i="1"/>
  <c r="Q194" i="1" s="1"/>
  <c r="P107" i="9"/>
  <c r="Q107" i="9" s="1"/>
  <c r="P129" i="9"/>
  <c r="Q129" i="9" s="1"/>
  <c r="R116" i="9" s="1"/>
  <c r="S116" i="9" s="1"/>
  <c r="P13" i="8"/>
  <c r="Q13" i="8" s="1"/>
  <c r="P6" i="8"/>
  <c r="Q6" i="8" s="1"/>
  <c r="P82" i="8"/>
  <c r="Q82" i="8" s="1"/>
  <c r="P24" i="8"/>
  <c r="Q24" i="8" s="1"/>
  <c r="P51" i="8"/>
  <c r="Q51" i="8" s="1"/>
  <c r="P52" i="8"/>
  <c r="Q52" i="8" s="1"/>
  <c r="P59" i="8"/>
  <c r="Q59" i="8" s="1"/>
  <c r="P7" i="8"/>
  <c r="Q7" i="8" s="1"/>
  <c r="P118" i="1"/>
  <c r="Q118" i="1" s="1"/>
  <c r="P36" i="9"/>
  <c r="Q36" i="9" s="1"/>
  <c r="R34" i="9" s="1"/>
  <c r="S34" i="9" s="1"/>
  <c r="P23" i="9"/>
  <c r="Q23" i="9" s="1"/>
  <c r="P10" i="9"/>
  <c r="Q10" i="9" s="1"/>
  <c r="P58" i="9"/>
  <c r="Q58" i="9" s="1"/>
  <c r="P47" i="9"/>
  <c r="Q47" i="9" s="1"/>
  <c r="P113" i="9"/>
  <c r="Q113" i="9" s="1"/>
  <c r="P71" i="8"/>
  <c r="Q71" i="8" s="1"/>
  <c r="P21" i="8"/>
  <c r="Q21" i="8" s="1"/>
  <c r="P8" i="8"/>
  <c r="Q8" i="8" s="1"/>
  <c r="P52" i="9"/>
  <c r="Q52" i="9" s="1"/>
  <c r="P79" i="9"/>
  <c r="Q79" i="9" s="1"/>
  <c r="R72" i="9" s="1"/>
  <c r="S72" i="9" s="1"/>
  <c r="P68" i="9"/>
  <c r="Q68" i="9" s="1"/>
  <c r="P112" i="9"/>
  <c r="Q112" i="9" s="1"/>
  <c r="P30" i="9"/>
  <c r="Q30" i="9" s="1"/>
  <c r="P17" i="9"/>
  <c r="Q17" i="9" s="1"/>
  <c r="P53" i="8"/>
  <c r="Q53" i="8" s="1"/>
  <c r="P65" i="8"/>
  <c r="Q65" i="8" s="1"/>
  <c r="P25" i="8"/>
  <c r="Q25" i="8" s="1"/>
  <c r="P12" i="8"/>
  <c r="Q12" i="8" s="1"/>
  <c r="R12" i="3"/>
  <c r="P122" i="1"/>
  <c r="Q122" i="1" s="1"/>
  <c r="P143" i="1"/>
  <c r="Q143" i="1" s="1"/>
  <c r="R138" i="1" s="1"/>
  <c r="S138" i="1" s="1"/>
  <c r="P200" i="1"/>
  <c r="Q200" i="1" s="1"/>
  <c r="P25" i="1"/>
  <c r="Q25" i="1" s="1"/>
  <c r="P201" i="1"/>
  <c r="Q201" i="1" s="1"/>
  <c r="P110" i="1"/>
  <c r="Q110" i="1" s="1"/>
  <c r="R109" i="1" s="1"/>
  <c r="S109" i="1" s="1"/>
  <c r="R4" i="3"/>
  <c r="R29" i="3"/>
  <c r="P33" i="1"/>
  <c r="Q33" i="1" s="1"/>
  <c r="P8" i="1"/>
  <c r="Q8" i="1" s="1"/>
  <c r="R23" i="3"/>
  <c r="P15" i="1"/>
  <c r="Q15" i="1" s="1"/>
  <c r="R36" i="3"/>
  <c r="P53" i="1"/>
  <c r="Q53" i="1" s="1"/>
  <c r="P54" i="1"/>
  <c r="Q54" i="1" s="1"/>
  <c r="R28" i="3"/>
  <c r="P32" i="1"/>
  <c r="Q32" i="1" s="1"/>
  <c r="P14" i="1"/>
  <c r="Q14" i="1" s="1"/>
  <c r="P7" i="1"/>
  <c r="Q7" i="1" s="1"/>
  <c r="P40" i="1"/>
  <c r="Q40" i="1" s="1"/>
  <c r="P134" i="1"/>
  <c r="Q134" i="1" s="1"/>
  <c r="P95" i="1"/>
  <c r="Q95" i="1" s="1"/>
  <c r="P105" i="1"/>
  <c r="Q105" i="1" s="1"/>
  <c r="P189" i="1"/>
  <c r="Q189" i="1" s="1"/>
  <c r="P55" i="1"/>
  <c r="Q55" i="1" s="1"/>
  <c r="P70" i="1"/>
  <c r="Q70" i="1" s="1"/>
  <c r="P74" i="1"/>
  <c r="Q74" i="1" s="1"/>
  <c r="P90" i="1"/>
  <c r="Q90" i="1" s="1"/>
  <c r="P100" i="1"/>
  <c r="Q100" i="1" s="1"/>
  <c r="P176" i="1"/>
  <c r="Q176" i="1" s="1"/>
  <c r="P127" i="1"/>
  <c r="Q127" i="1" s="1"/>
  <c r="P11" i="1"/>
  <c r="Q11" i="1" s="1"/>
  <c r="P17" i="1"/>
  <c r="Q17" i="1" s="1"/>
  <c r="R25" i="3"/>
  <c r="R24" i="3"/>
  <c r="R8" i="3"/>
  <c r="R38" i="3"/>
  <c r="R21" i="3"/>
  <c r="R33" i="3"/>
  <c r="R30" i="3"/>
  <c r="R51" i="3"/>
  <c r="R37" i="3"/>
  <c r="R49" i="3"/>
  <c r="R19" i="3"/>
  <c r="R53" i="3"/>
  <c r="S1" i="3"/>
  <c r="R147" i="1" l="1"/>
  <c r="S147" i="1" s="1"/>
  <c r="R175" i="1"/>
  <c r="S175" i="1" s="1"/>
  <c r="R126" i="1"/>
  <c r="S126" i="1" s="1"/>
  <c r="R117" i="1"/>
  <c r="S117" i="1" s="1"/>
  <c r="R8" i="9"/>
  <c r="S8" i="9" s="1"/>
  <c r="R83" i="9"/>
  <c r="S83" i="9" s="1"/>
  <c r="R45" i="9"/>
  <c r="S45" i="9" s="1"/>
  <c r="R56" i="9"/>
  <c r="S56" i="9" s="1"/>
  <c r="R21" i="9"/>
  <c r="S21" i="9" s="1"/>
  <c r="R27" i="1"/>
  <c r="R50" i="1"/>
  <c r="R89" i="1"/>
  <c r="S89" i="1" s="1"/>
  <c r="R99" i="1"/>
  <c r="S99" i="1" s="1"/>
  <c r="R6" i="1" l="1"/>
  <c r="R3" i="1" l="1"/>
  <c r="S3" i="1" s="1"/>
</calcChain>
</file>

<file path=xl/sharedStrings.xml><?xml version="1.0" encoding="utf-8"?>
<sst xmlns="http://schemas.openxmlformats.org/spreadsheetml/2006/main" count="1015" uniqueCount="358">
  <si>
    <t>Qty</t>
  </si>
  <si>
    <t>Description</t>
  </si>
  <si>
    <t>Supplier</t>
  </si>
  <si>
    <t>Manufacturer's part number</t>
  </si>
  <si>
    <t>cost ea</t>
  </si>
  <si>
    <t>ext cost</t>
  </si>
  <si>
    <t>Amazon</t>
  </si>
  <si>
    <t>Manufacturer</t>
  </si>
  <si>
    <t>Emulator Main Board</t>
  </si>
  <si>
    <t>Emulator Main Board Assembled</t>
  </si>
  <si>
    <t>Emulator Front Panel Board</t>
  </si>
  <si>
    <t>Emulator Front Panel Board Assembled</t>
  </si>
  <si>
    <t>Ver</t>
  </si>
  <si>
    <t>v03</t>
  </si>
  <si>
    <t>JLCPCB</t>
  </si>
  <si>
    <t>servo motor</t>
  </si>
  <si>
    <t>dipswitch, right angle, 4-switch piano type</t>
  </si>
  <si>
    <t>Nylon Flag Spade Quick Disconnect, 22-18 AWG</t>
  </si>
  <si>
    <t>screw, Cap, M3 x 8mm, black</t>
  </si>
  <si>
    <t>v00</t>
  </si>
  <si>
    <t>M930GW Terminator Board</t>
  </si>
  <si>
    <t>v0</t>
  </si>
  <si>
    <t>Front Panel board assembled</t>
  </si>
  <si>
    <t>v1</t>
  </si>
  <si>
    <t>Emulator Main Board assembled</t>
  </si>
  <si>
    <t>Clevis pin, M3 x 20</t>
  </si>
  <si>
    <t>microSD card adapter board, assembled</t>
  </si>
  <si>
    <t>AliExpress</t>
  </si>
  <si>
    <t>tax &amp; shipping</t>
  </si>
  <si>
    <t>Link</t>
  </si>
  <si>
    <t>https://www.aliexpress.us/item/2251832744877636.html</t>
  </si>
  <si>
    <t>https://www.amazon.com/dp/B07SCJ69H4</t>
  </si>
  <si>
    <t>https://www.amazon.com/dp/B0C625XHQM</t>
  </si>
  <si>
    <t>https://www.aliexpress.us/item/3256804121267045.html</t>
  </si>
  <si>
    <t>Lattice Semiconductor</t>
  </si>
  <si>
    <t>Digikey</t>
  </si>
  <si>
    <t>ICE40HX1K-TQ144</t>
  </si>
  <si>
    <t>https://www.digikey.com/en/products/detail/lattice-semiconductor-corporation/ICE40HX1K-TQ144/3083575</t>
  </si>
  <si>
    <t>edge connector, 1PCS, 3.175mm, 2x43 86 pin</t>
  </si>
  <si>
    <t>https://www.aliexpress.us/item/2255801094078491.html</t>
  </si>
  <si>
    <t>https://www.amazon.com/gp/product/B072LGMRVD</t>
  </si>
  <si>
    <t>https://www.amazon.com/gp/product/B07CMQ1SQH</t>
  </si>
  <si>
    <t>per order quantity</t>
  </si>
  <si>
    <t>microSD Card Carriage Assembly</t>
  </si>
  <si>
    <t>M2 split lockwasher</t>
  </si>
  <si>
    <t>M2 Stainless Steel Nylock Self Locking Nut</t>
  </si>
  <si>
    <t>https://www.amazon.com/gp/product/B07L2W3QX3</t>
  </si>
  <si>
    <t>M2 x 8mm screw, steel</t>
  </si>
  <si>
    <t>https://www.amazon.com/gp/product/B01M5DVI7A</t>
  </si>
  <si>
    <t>https://www.amazon.com/gp/product/B07HFYZ9YM</t>
  </si>
  <si>
    <t>https://www.amazon.com/gp/product/B09LLZHY87</t>
  </si>
  <si>
    <t>M2 nylon flat washer</t>
  </si>
  <si>
    <t>https://www.amazon.com/uxcell-Insulating-Washers-Gaskets-Spacers/dp/B01N6B5KJN</t>
  </si>
  <si>
    <t>microSD card carrier bracket, 3D printed</t>
  </si>
  <si>
    <t>RK05em Bezel, 3D printed</t>
  </si>
  <si>
    <t>OLED display module, 128x64, 0.96 inch</t>
  </si>
  <si>
    <t>https://www.amazon.com/Stainless-Self-Locking-Industrial-Construction-Fasteners/dp/B09SLLQ3KV</t>
  </si>
  <si>
    <t>M3 self locking nut</t>
  </si>
  <si>
    <t>R4EBLKBLKEF0</t>
  </si>
  <si>
    <t>https://www.digikey.com/en/products/detail/e-switch/R4EBLKBLKEF0/1805289</t>
  </si>
  <si>
    <t>R4ABLKBLKEF0</t>
  </si>
  <si>
    <t>https://www.digikey.com/en/products/detail/e-switch/R4ABLKBLKEF0/1805255</t>
  </si>
  <si>
    <t>Rocker switch, on-off</t>
  </si>
  <si>
    <t>Rocker switch, on-mom</t>
  </si>
  <si>
    <t>N25Q032A13ESC40F</t>
  </si>
  <si>
    <t>Alliance Memory, Inc.</t>
  </si>
  <si>
    <t>Modified edge connector</t>
  </si>
  <si>
    <t>LD1117DT12CTR</t>
  </si>
  <si>
    <t>IC REG LINEAR 1.2V 800MA DPAK</t>
  </si>
  <si>
    <t>STMicroelectronics</t>
  </si>
  <si>
    <t>https://www.digikey.com/en/products/detail/stmicroelectronics/LD1117DT12CTR/2623278</t>
  </si>
  <si>
    <t>item order cost</t>
  </si>
  <si>
    <t>https://www.amazon.com/Premium-Plastic-Strength-Resistant-Self-Locking/dp/B09H5L583V</t>
  </si>
  <si>
    <t>https://www.amazon.com/gp/product/B073ST7Q27</t>
  </si>
  <si>
    <t>Self-Adhesive Clear Rubber Feet, 6mm dia x 2mm thick</t>
  </si>
  <si>
    <t>https://www.amazon.com/gp/product/B06XR8CV8P</t>
  </si>
  <si>
    <t>upn</t>
  </si>
  <si>
    <t>Single Row 40 Pin 2.54 mm Male Pin Header Connector, cut to 3 pins</t>
  </si>
  <si>
    <t>https://www.amazon.com/gp/product/B07CGGSDWF</t>
  </si>
  <si>
    <t>Header Connector Strip, female, 40-pin single Row, 2.54mm, cut to 20 pins</t>
  </si>
  <si>
    <t>https://www.aliexpress.us/item/3256805464087324.html</t>
  </si>
  <si>
    <t>zip-tie, 4-inch, black</t>
  </si>
  <si>
    <t>https://www.digikey.com/en/products/detail/alliance-memory-inc/N25Q032A13ESC40F/12810023</t>
  </si>
  <si>
    <t>IC, FPGA, iCE40 HX Field Programmable Gate Array, 144-TQFP</t>
  </si>
  <si>
    <t>IC, FLASH, serial, 32Mbit SPI, 108MHZ, 8-SOIC</t>
  </si>
  <si>
    <t>M3 Threaded Spacer,  hex, nylon, black, 12mm, female-female</t>
  </si>
  <si>
    <t>M3 Threaded Spacer, hex, nylon, black, 25mm + 6mm, female-male</t>
  </si>
  <si>
    <t>M2 Threaded Spacer, hex, nylon, black, 10mm, female-female</t>
  </si>
  <si>
    <t>RK05 Emulator Accessories</t>
  </si>
  <si>
    <t>IDC flat cable connector</t>
  </si>
  <si>
    <t>M993GW Cable Clamp, 3D printed</t>
  </si>
  <si>
    <t>40 signal flat cable, 1 foot segment</t>
  </si>
  <si>
    <t>Header, 40-pin, right-angle, with ejectors</t>
  </si>
  <si>
    <t>Threaded Insert, M2</t>
  </si>
  <si>
    <t>https://www.amazon.com/gp/product/B0B8GN63S2</t>
  </si>
  <si>
    <t>M2 Phillips Round Pan Head Machine Screws (M2 x 4mm), Stainless Steel</t>
  </si>
  <si>
    <t>M3 split lockwasher</t>
  </si>
  <si>
    <t>https://www.amazon.com/gp/product/B07Z2FJ2XW</t>
  </si>
  <si>
    <t>M3 x 12mm cap screw, black</t>
  </si>
  <si>
    <t>https://www.aliexpress.us/item/3256805242052170.html</t>
  </si>
  <si>
    <t>https://www.aliexpress.us/item/3256805094941943.html</t>
  </si>
  <si>
    <t>TOTAL</t>
  </si>
  <si>
    <t>Raspberry Pi Pico H (SC0917), with pre-soldered headers</t>
  </si>
  <si>
    <t>https://www.digikey.com/en/products/detail/raspberry-pi/SC0917/16608257</t>
  </si>
  <si>
    <t>https://www.amazon.com/dp/B07TXD47PZ</t>
  </si>
  <si>
    <t>connector, 3-pin, 3.96 EP PLUG HSG 3P(BLACK)</t>
  </si>
  <si>
    <t>table lookup goes to this row</t>
  </si>
  <si>
    <t>CONN HEADER VERT 3POS, 3.96MM</t>
  </si>
  <si>
    <t>Digikey/JLCPCB</t>
  </si>
  <si>
    <t>4-1123724-2</t>
  </si>
  <si>
    <t>5-1123722-3</t>
  </si>
  <si>
    <t>1123721-2</t>
  </si>
  <si>
    <t>https://www.digikey.com/en/products/detail/te-connectivity-amp-connectors/4-1123724-2/5439777</t>
  </si>
  <si>
    <t>https://www.digikey.com/en/products/detail/te-connectivity-amp-connectors/1123721-2/686921</t>
  </si>
  <si>
    <t>https://www.digikey.com/en/products/detail/te-connectivity-amp-connectors/5-1123722-3/10467997</t>
  </si>
  <si>
    <t>TE Connectivity AMP Connectors</t>
  </si>
  <si>
    <t>J7, J8</t>
  </si>
  <si>
    <t>CONN HEADER VERT 2x4 Pos, 2.54mm</t>
  </si>
  <si>
    <t>CONN HEADER VERT 2x8 Pos, 2.54mm</t>
  </si>
  <si>
    <t>CONN HEADER VERT 2x5 Pos, 2.54mm</t>
  </si>
  <si>
    <t>J1</t>
  </si>
  <si>
    <t>J14</t>
  </si>
  <si>
    <t>J13</t>
  </si>
  <si>
    <t>U22A, U22B</t>
  </si>
  <si>
    <t xml:space="preserve">U22 </t>
  </si>
  <si>
    <t>J3</t>
  </si>
  <si>
    <t>Main Board Power Cable</t>
  </si>
  <si>
    <t xml:space="preserve">https://a.aliexpress.com/_mNdt2Is </t>
  </si>
  <si>
    <t>v3</t>
  </si>
  <si>
    <t>v2</t>
  </si>
  <si>
    <t>microSD sliding door, 3D printed</t>
  </si>
  <si>
    <t>v14</t>
  </si>
  <si>
    <t>v05</t>
  </si>
  <si>
    <t>https://www.amazon.com/gp/product/B09MYBZZKZ</t>
  </si>
  <si>
    <t>https://www.aliexpress.us/item/3256805773340189.html</t>
  </si>
  <si>
    <t>https://www.aliexpress.us/item/3256803424019097.html</t>
  </si>
  <si>
    <t>Flat Cable, 8-pin 2x4 IDC, 10cm</t>
  </si>
  <si>
    <t>https://www.aliexpress.us/item/3256803248238815.html</t>
  </si>
  <si>
    <t>Flat Cable, 16-pin 2x8 IDC, 10cm</t>
  </si>
  <si>
    <t>Flat Cable, 40-pin 2x20 IDC, 1m</t>
  </si>
  <si>
    <t>RK05-to-RK05 Cable, 1 meter length</t>
  </si>
  <si>
    <t>RK05-to-RK8-E Cable, 1 meter length</t>
  </si>
  <si>
    <t>RK05-to-Tester Cable, 1 meter length</t>
  </si>
  <si>
    <t>RK05 Emulator Top Level Assembly</t>
  </si>
  <si>
    <t>UPN</t>
  </si>
  <si>
    <t>CONN SOCKET Pin, 18-22AWG, crimp tin</t>
  </si>
  <si>
    <t>https://www.amazon.com/dp/B07Q5XJTMV</t>
  </si>
  <si>
    <t>DC-to-DC Converter, 12V input to 5V 10A output</t>
  </si>
  <si>
    <t>Power Trigger Module, USB Type C, 12V</t>
  </si>
  <si>
    <t>J21, J22, J23</t>
  </si>
  <si>
    <t>Single Row 40 Pin 2.54 mm Male Pin Header Connector, cut to 4 pins</t>
  </si>
  <si>
    <t>Bolt, 1/4-inch x 0.5 inch</t>
  </si>
  <si>
    <t>Nut, 1/4-inch self locking</t>
  </si>
  <si>
    <t>M3 nut</t>
  </si>
  <si>
    <t>https://www.amazon.com/Powlankou-Pieces-Button-Socket-Stainless/dp/B07ZSXD89C</t>
  </si>
  <si>
    <t>https://www.amazon.com/dp/B06VY6F67P</t>
  </si>
  <si>
    <t>https://www.amazon.com/gp/product/B01HTG4WHY</t>
  </si>
  <si>
    <t>Rack Mount Tray, 19-Inch 1U Server, Vented Shelves</t>
  </si>
  <si>
    <t>M3 Threaded Spacer, hex, nylon, black, 20mm + 6mm, female-male</t>
  </si>
  <si>
    <t>T1</t>
  </si>
  <si>
    <t>A1</t>
  </si>
  <si>
    <t>A2</t>
  </si>
  <si>
    <t>A3</t>
  </si>
  <si>
    <t>A4</t>
  </si>
  <si>
    <t>A5</t>
  </si>
  <si>
    <t>E1</t>
  </si>
  <si>
    <t>RK05 Emulator</t>
  </si>
  <si>
    <t>Emulator/Tester Total</t>
  </si>
  <si>
    <t>Fender Washer, M3x16x1.0 mm</t>
  </si>
  <si>
    <t>https://www.aliexpress.us/item/3256802393168670.html</t>
  </si>
  <si>
    <t>A6</t>
  </si>
  <si>
    <t>M930GW Terminator Board, assembled</t>
  </si>
  <si>
    <t>PCB, M993GW RK05 Adapter Card</t>
  </si>
  <si>
    <t>PCB, RK05 Tester Cable Adapter</t>
  </si>
  <si>
    <t>PCB, RK05 Power Distribution</t>
  </si>
  <si>
    <t>RK05 Emulator/Tester</t>
  </si>
  <si>
    <t>https://www.amazon.com/gp/product/B07CNFTK99</t>
  </si>
  <si>
    <t>https://www.aliexpress.us/item/3256804612946913.html</t>
  </si>
  <si>
    <t>EA50-5V</t>
  </si>
  <si>
    <t>22AWG 2 Conductor, Low-Voltage Tinned-Copper Wire, 1.5 inch</t>
  </si>
  <si>
    <t>TOBSUN</t>
  </si>
  <si>
    <t>DL240510</t>
  </si>
  <si>
    <t>LY-KREE</t>
  </si>
  <si>
    <t>Tray Rack Mount Kit for Emulator</t>
  </si>
  <si>
    <t>A7</t>
  </si>
  <si>
    <t>PCB, RK05 Emulator Power Supply</t>
  </si>
  <si>
    <t>Power Supply for 3 Emulators</t>
  </si>
  <si>
    <t>PCB</t>
  </si>
  <si>
    <t>PCBA</t>
  </si>
  <si>
    <t>Shipping</t>
  </si>
  <si>
    <t>$/unit</t>
  </si>
  <si>
    <t>https://www.aliexpress.us/item/3256802974608811.html</t>
  </si>
  <si>
    <t>105/106</t>
  </si>
  <si>
    <t>PCB, M993GW RK05 Adapter Card/PCB, RK05 Tester Cable Adapter (These two boards are the same size and have ENIG surface finish.)</t>
  </si>
  <si>
    <t>RK05 Emulator Dress Panel</t>
  </si>
  <si>
    <t>https://www.aliexpress.us/item/2251832658426440.html</t>
  </si>
  <si>
    <t>Spade Lug, Fork, 16-22AWG, SV1.25-4, Red</t>
  </si>
  <si>
    <t>https://www.digikey.com/en/products/detail/amphenol-cs-fci/86130402113345E1LF/5201672</t>
  </si>
  <si>
    <t>86130402113345E1LF</t>
  </si>
  <si>
    <t>Amphenol ICC (FCI)</t>
  </si>
  <si>
    <t>A8</t>
  </si>
  <si>
    <t>A9</t>
  </si>
  <si>
    <t>Tray Rack Mount Hardware for Power Regulator</t>
  </si>
  <si>
    <t>RK05 Adapter Board without flat cables</t>
  </si>
  <si>
    <t>RK05 Tester Adapter Board without flat cables</t>
  </si>
  <si>
    <t>Flat Cable, 40-pin 2x20 IDC, 30cm</t>
  </si>
  <si>
    <t>USB Type C Charger, 25W, with USB C to USB C 6 foot cable</t>
  </si>
  <si>
    <t>https://www.amazon.com/dp/B097MVXSQ5</t>
  </si>
  <si>
    <t>Power Supply for 3 Emulators, without the DC-to-DC Converter, AC Adapter and mounting hardware</t>
  </si>
  <si>
    <t>M3 screw, hex, 6 mm, black</t>
  </si>
  <si>
    <t>M3 screw, hex, 8 mm, black</t>
  </si>
  <si>
    <t>bag</t>
  </si>
  <si>
    <t>A</t>
  </si>
  <si>
    <t>B</t>
  </si>
  <si>
    <t>D</t>
  </si>
  <si>
    <t>C</t>
  </si>
  <si>
    <t>-</t>
  </si>
  <si>
    <t>E</t>
  </si>
  <si>
    <t>F</t>
  </si>
  <si>
    <t>G</t>
  </si>
  <si>
    <t>H</t>
  </si>
  <si>
    <t>J'</t>
  </si>
  <si>
    <t>J</t>
  </si>
  <si>
    <t>ALINSIN STORE</t>
  </si>
  <si>
    <t>https://www.aliexpress.us/item/3256803055482916.html</t>
  </si>
  <si>
    <t>Comp</t>
  </si>
  <si>
    <t>Tax</t>
  </si>
  <si>
    <t>K</t>
  </si>
  <si>
    <t>G'</t>
  </si>
  <si>
    <t>L</t>
  </si>
  <si>
    <t>Ziplock</t>
  </si>
  <si>
    <t>Main Board</t>
  </si>
  <si>
    <t>Bezel</t>
  </si>
  <si>
    <t>Dress Panel</t>
  </si>
  <si>
    <t>Top Level Hardware</t>
  </si>
  <si>
    <t>Top Level Front</t>
  </si>
  <si>
    <t>Main Board Electrical</t>
  </si>
  <si>
    <t>Front Panel</t>
  </si>
  <si>
    <t>microSD Board</t>
  </si>
  <si>
    <t>Rack Mount Tray Hardware</t>
  </si>
  <si>
    <t>Front Panel Board Electrical</t>
  </si>
  <si>
    <t>https://www.amazon.com/gp/product/B07XBF98NV</t>
  </si>
  <si>
    <t>3" x 5" Small Plastic Bags- Reclosable Zip Bags</t>
  </si>
  <si>
    <t>K2</t>
  </si>
  <si>
    <t>Front Panel Board Hardware</t>
  </si>
  <si>
    <t>RK05 Emulator Rack Mount Tray for 3 Emulators (I'd rather you purchase this directly from Amazon)</t>
  </si>
  <si>
    <t>Light Shield, thick paper</t>
  </si>
  <si>
    <t>Hobby Lobby</t>
  </si>
  <si>
    <t>Edge connectors</t>
  </si>
  <si>
    <t>P</t>
  </si>
  <si>
    <t>P'</t>
  </si>
  <si>
    <t>RPi Pico</t>
  </si>
  <si>
    <t>M</t>
  </si>
  <si>
    <t>N</t>
  </si>
  <si>
    <t>Flat Cables</t>
  </si>
  <si>
    <t>Antistatic</t>
  </si>
  <si>
    <t>Connector, 20-pin single row, socket strip, 2.54mm</t>
  </si>
  <si>
    <t>Connector, 4-pin single Row, socket strip, 2.54mm</t>
  </si>
  <si>
    <t>22AWG 2 Conductor, Low-Voltage Tinned-Copper Wire, 3.5 inch</t>
  </si>
  <si>
    <t>200 v03, SLA (Resin), LEDO 6060, Natural White</t>
  </si>
  <si>
    <t>200 v03</t>
  </si>
  <si>
    <t>202 v05</t>
  </si>
  <si>
    <t>205 v03</t>
  </si>
  <si>
    <t>n/a</t>
  </si>
  <si>
    <t>Threaded Insert, M3 x L=6 x OD=4.5</t>
  </si>
  <si>
    <t>https://www.aliexpress.us/item/3256805885174058.html</t>
  </si>
  <si>
    <t>Surface Finish: ENIG</t>
  </si>
  <si>
    <t>Surface Finish: LeadFree HASL</t>
  </si>
  <si>
    <t>PCB Color: Black, Surface Finish: LeadFree HASL, Remove Order Number: Specify a location</t>
  </si>
  <si>
    <t>PCB, M993GW RK05 Adapter Board</t>
  </si>
  <si>
    <t>PCB, RK05 Tester Cable Adapter Board</t>
  </si>
  <si>
    <t>22AWG 2 Conductor, Low-Voltage Tinned-Copper Wire, 12-inch (30.5 cm)</t>
  </si>
  <si>
    <t>https://www.aliexpress.us/item/3256804434717398.html</t>
  </si>
  <si>
    <t>Toggle Switch, SPDT, 6A 125V</t>
  </si>
  <si>
    <t>T</t>
  </si>
  <si>
    <t>S</t>
  </si>
  <si>
    <t>Q</t>
  </si>
  <si>
    <t>BT</t>
  </si>
  <si>
    <t>BE</t>
  </si>
  <si>
    <t>BP</t>
  </si>
  <si>
    <t>C1</t>
  </si>
  <si>
    <t>C2</t>
  </si>
  <si>
    <t>CH</t>
  </si>
  <si>
    <t>S2</t>
  </si>
  <si>
    <t>S1</t>
  </si>
  <si>
    <t>S3</t>
  </si>
  <si>
    <t xml:space="preserve">https://www.aliexpress.us/item/3256802834769879.html </t>
  </si>
  <si>
    <t>Antistatic bag, 15x20 cm</t>
  </si>
  <si>
    <t>Antistatic bag, 6x9 cm</t>
  </si>
  <si>
    <t>Antistatic 15x20</t>
  </si>
  <si>
    <t>Antistatic 6x9</t>
  </si>
  <si>
    <t>A'</t>
  </si>
  <si>
    <t>D'</t>
  </si>
  <si>
    <t>E'</t>
  </si>
  <si>
    <t>F'</t>
  </si>
  <si>
    <t>H'</t>
  </si>
  <si>
    <t>L'</t>
  </si>
  <si>
    <t>K'</t>
  </si>
  <si>
    <t>M'</t>
  </si>
  <si>
    <t>N'</t>
  </si>
  <si>
    <t>T1'</t>
  </si>
  <si>
    <t>Ziplock Sandwich Bag</t>
  </si>
  <si>
    <t>Costco</t>
  </si>
  <si>
    <t>BE'</t>
  </si>
  <si>
    <t>BT'</t>
  </si>
  <si>
    <t>BP'</t>
  </si>
  <si>
    <t>Power Supply, Minimal</t>
  </si>
  <si>
    <t>Q'</t>
  </si>
  <si>
    <t>S3'</t>
  </si>
  <si>
    <t>S1'</t>
  </si>
  <si>
    <t>S'</t>
  </si>
  <si>
    <t>Power Supply Electrical &amp; Hardware</t>
  </si>
  <si>
    <t>T'</t>
  </si>
  <si>
    <t>M3 Threaded Spacer, hex, nylon, black, 30mm + 6mm, female-male</t>
  </si>
  <si>
    <t>RK05 Emulator/Tester Adapter Electrical &amp; Hardware</t>
  </si>
  <si>
    <t>Flat Cables, 40-pin 2x20 IDC, 1m Length</t>
  </si>
  <si>
    <t>RK05 Emulator Side-Side Electrical &amp; Hardware</t>
  </si>
  <si>
    <t>Ziplock Sandwich</t>
  </si>
  <si>
    <t>v20</t>
  </si>
  <si>
    <t>204 v20</t>
  </si>
  <si>
    <t>204 v20, FDM (Plastic), PLA, Black</t>
  </si>
  <si>
    <t>envelope</t>
  </si>
  <si>
    <t>201 v05</t>
  </si>
  <si>
    <t>201 v05, FDM (Plastic), PLA, White</t>
  </si>
  <si>
    <t>RK05em connector filler/shim, 3D printed</t>
  </si>
  <si>
    <t>BE2</t>
  </si>
  <si>
    <t>T2</t>
  </si>
  <si>
    <t>T2'</t>
  </si>
  <si>
    <t>BE2'</t>
  </si>
  <si>
    <t>R2</t>
  </si>
  <si>
    <t>R2'</t>
  </si>
  <si>
    <t>H1</t>
  </si>
  <si>
    <t>H1'</t>
  </si>
  <si>
    <t>H2</t>
  </si>
  <si>
    <t>H2'</t>
  </si>
  <si>
    <t>CH'</t>
  </si>
  <si>
    <t>S2'</t>
  </si>
  <si>
    <t>Flat Cable, 40-pin 2x20 IDC, 20cm</t>
  </si>
  <si>
    <t>Flat Cables, 40-pin 2x20 IDC, 20cm &amp; 30cm Length</t>
  </si>
  <si>
    <t>RK05-to-RK05 Cable, Side-to-Side, 20cm length</t>
  </si>
  <si>
    <t>RK05 Lamp Lens, 3D printed</t>
  </si>
  <si>
    <t>Light Shield, 3D printed</t>
  </si>
  <si>
    <t>Rectifier, 40V 450mV@5A 5A DO-27 Schottky Barrier Diode</t>
  </si>
  <si>
    <t>SR540L</t>
  </si>
  <si>
    <t>Comchip</t>
  </si>
  <si>
    <t>https://www.aliexpress.us/item/3256805591615901.html</t>
  </si>
  <si>
    <t>Resistor, 4.7k, 1/4W 5%</t>
  </si>
  <si>
    <t>https://www.aliexpress.us/item/3256805483572082.html</t>
  </si>
  <si>
    <t>https://www.aliexpress.us/item/2255800416538696.html</t>
  </si>
  <si>
    <t>M930GW_Terminator_Board_ordering_instructions.pdf</t>
  </si>
  <si>
    <t>Mini Digital Voltmeter</t>
  </si>
  <si>
    <t>https://www.aliexpress.us/item/3256805856942849.html</t>
  </si>
  <si>
    <t>Power Supply for 3 Emulators (version v1)</t>
  </si>
  <si>
    <t>Power Supply for 3 Emulators (version v2)</t>
  </si>
  <si>
    <t>Power Supply for 3 Emulators, without the DC-to-DC Converter (version v1)</t>
  </si>
  <si>
    <t>Power Supply for 3 Emulators, without the DC-to-DC Converter (version v2)</t>
  </si>
  <si>
    <t>207 v03</t>
  </si>
  <si>
    <t>207 v03, SLA (Resin), LEDO 6060, Natural White + blk paint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</si>
</sst>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0"/>
    <numFmt numFmtId="165" formatCode="&quot;$&quot;#,##0.00"/>
    <numFmt numFmtId="166" formatCode="&quot;$&quot;#,##0"/>
    <numFmt numFmtId="167" formatCode="&quot;Bag &quot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165" fontId="0" fillId="0" borderId="0" xfId="0" applyNumberFormat="1" applyAlignment="1">
      <alignment horizontal="center"/>
    </xf>
    <xf numFmtId="0" fontId="2" fillId="0" borderId="0" xfId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164" fontId="0" fillId="2" borderId="0" xfId="0" applyNumberFormat="1" applyFill="1"/>
    <xf numFmtId="164" fontId="0" fillId="2" borderId="1" xfId="0" applyNumberFormat="1" applyFill="1" applyBorder="1"/>
    <xf numFmtId="165" fontId="0" fillId="0" borderId="1" xfId="0" applyNumberFormat="1" applyBorder="1"/>
    <xf numFmtId="165" fontId="0" fillId="0" borderId="0" xfId="0" applyNumberFormat="1"/>
    <xf numFmtId="165" fontId="0" fillId="4" borderId="0" xfId="0" applyNumberFormat="1" applyFill="1"/>
    <xf numFmtId="0" fontId="0" fillId="3" borderId="0" xfId="0" applyFill="1" applyAlignment="1">
      <alignment horizontal="left"/>
    </xf>
    <xf numFmtId="0" fontId="4" fillId="3" borderId="0" xfId="0" applyFont="1" applyFill="1"/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5" fillId="0" borderId="0" xfId="0" applyFo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164" fontId="3" fillId="2" borderId="3" xfId="0" applyNumberFormat="1" applyFont="1" applyFill="1" applyBorder="1"/>
    <xf numFmtId="0" fontId="3" fillId="2" borderId="4" xfId="0" applyFont="1" applyFill="1" applyBorder="1" applyAlignment="1">
      <alignment horizontal="right"/>
    </xf>
    <xf numFmtId="165" fontId="3" fillId="2" borderId="5" xfId="0" applyNumberFormat="1" applyFont="1" applyFill="1" applyBorder="1"/>
    <xf numFmtId="166" fontId="3" fillId="2" borderId="0" xfId="0" applyNumberFormat="1" applyFont="1" applyFill="1"/>
    <xf numFmtId="0" fontId="3" fillId="0" borderId="0" xfId="0" applyFont="1"/>
    <xf numFmtId="164" fontId="3" fillId="2" borderId="0" xfId="0" applyNumberFormat="1" applyFont="1" applyFill="1"/>
    <xf numFmtId="165" fontId="3" fillId="2" borderId="1" xfId="0" applyNumberFormat="1" applyFont="1" applyFill="1" applyBorder="1"/>
    <xf numFmtId="166" fontId="3" fillId="0" borderId="0" xfId="0" applyNumberFormat="1" applyFont="1"/>
    <xf numFmtId="167" fontId="1" fillId="2" borderId="6" xfId="0" applyNumberFormat="1" applyFont="1" applyFill="1" applyBorder="1"/>
    <xf numFmtId="0" fontId="1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1" fillId="2" borderId="6" xfId="0" applyFont="1" applyFill="1" applyBorder="1" applyAlignment="1">
      <alignment horizontal="center"/>
    </xf>
    <xf numFmtId="0" fontId="0" fillId="2" borderId="6" xfId="0" applyFill="1" applyBorder="1"/>
    <xf numFmtId="164" fontId="0" fillId="2" borderId="6" xfId="0" applyNumberFormat="1" applyFill="1" applyBorder="1"/>
    <xf numFmtId="0" fontId="1" fillId="0" borderId="6" xfId="0" applyFont="1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Border="1"/>
    <xf numFmtId="164" fontId="0" fillId="0" borderId="6" xfId="0" applyNumberFormat="1" applyBorder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RK05 Emulator Power Supply PCB (107)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02849205704325"/>
          <c:y val="0.16435185185185186"/>
          <c:w val="0.78518656579941304"/>
          <c:h val="0.6571139545056867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'make parts cost by quantity'!$B$116:$B$122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'make parts cost by quantity'!$G$116:$G$122</c:f>
              <c:numCache>
                <c:formatCode>"$"#,##0.00</c:formatCode>
                <c:ptCount val="7"/>
                <c:pt idx="0">
                  <c:v>0.94000000000000006</c:v>
                </c:pt>
                <c:pt idx="1">
                  <c:v>1.9700000000000002</c:v>
                </c:pt>
                <c:pt idx="2">
                  <c:v>1.8694999999999999</c:v>
                </c:pt>
                <c:pt idx="3">
                  <c:v>1.6213333333333333</c:v>
                </c:pt>
                <c:pt idx="4">
                  <c:v>1.2775999999999998</c:v>
                </c:pt>
                <c:pt idx="5">
                  <c:v>0.96540000000000004</c:v>
                </c:pt>
                <c:pt idx="6">
                  <c:v>0.82765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E-463D-89FA-CA8AE7570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519247"/>
        <c:axId val="736773535"/>
      </c:scatterChart>
      <c:valAx>
        <c:axId val="124551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Quantity</a:t>
                </a:r>
              </a:p>
            </c:rich>
          </c:tx>
          <c:layout>
            <c:manualLayout>
              <c:xMode val="edge"/>
              <c:yMode val="edge"/>
              <c:x val="0.48358442694663167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73535"/>
        <c:crosses val="autoZero"/>
        <c:crossBetween val="midCat"/>
      </c:valAx>
      <c:valAx>
        <c:axId val="7367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$/unit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40927493438320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1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/>
              <a:t>M993GW RK05 Adapter &amp; Tester Cable Adapter</a:t>
            </a:r>
            <a:r>
              <a:rPr lang="en-US" sz="1100" b="0" baseline="0"/>
              <a:t> </a:t>
            </a:r>
            <a:r>
              <a:rPr lang="en-US" sz="1100" b="0"/>
              <a:t>PCBs (105/106)</a:t>
            </a:r>
          </a:p>
        </c:rich>
      </c:tx>
      <c:layout>
        <c:manualLayout>
          <c:xMode val="edge"/>
          <c:yMode val="edge"/>
          <c:x val="0.21438524294986008"/>
          <c:y val="2.29762063562391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02849205704325"/>
          <c:y val="0.16435185185185186"/>
          <c:w val="0.78518656579941304"/>
          <c:h val="0.6571139545056867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'make parts cost by quantity'!$B$99:$B$105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'make parts cost by quantity'!$G$99:$G$105</c:f>
              <c:numCache>
                <c:formatCode>"$"#,##0.00</c:formatCode>
                <c:ptCount val="7"/>
                <c:pt idx="0">
                  <c:v>8.3019999999999996</c:v>
                </c:pt>
                <c:pt idx="1">
                  <c:v>5.6760000000000002</c:v>
                </c:pt>
                <c:pt idx="2">
                  <c:v>4.0789999999999997</c:v>
                </c:pt>
                <c:pt idx="3">
                  <c:v>3.3879999999999999</c:v>
                </c:pt>
                <c:pt idx="4">
                  <c:v>2.6230000000000002</c:v>
                </c:pt>
                <c:pt idx="5">
                  <c:v>2.0832999999999999</c:v>
                </c:pt>
                <c:pt idx="6">
                  <c:v>1.8862999999999999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A-46EA-A40D-945AF878F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519247"/>
        <c:axId val="736773535"/>
      </c:scatterChart>
      <c:valAx>
        <c:axId val="124551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Quantity</a:t>
                </a:r>
              </a:p>
            </c:rich>
          </c:tx>
          <c:layout>
            <c:manualLayout>
              <c:xMode val="edge"/>
              <c:yMode val="edge"/>
              <c:x val="0.48358442694663167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73535"/>
        <c:crosses val="autoZero"/>
        <c:crossBetween val="midCat"/>
      </c:valAx>
      <c:valAx>
        <c:axId val="7367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$/unit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40927493438320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1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M930GW Terminator Board, assembled (104)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02849205704325"/>
          <c:y val="0.16435185185185186"/>
          <c:w val="0.78518656579941304"/>
          <c:h val="0.6571139545056867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'make parts cost by quantity'!$B$82:$B$85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'make parts cost by quantity'!$G$82:$G$85</c:f>
              <c:numCache>
                <c:formatCode>"$"#,##0.00</c:formatCode>
                <c:ptCount val="4"/>
                <c:pt idx="0">
                  <c:v>13.384</c:v>
                </c:pt>
                <c:pt idx="1">
                  <c:v>8.3889999999999993</c:v>
                </c:pt>
                <c:pt idx="2">
                  <c:v>5.1704999999999997</c:v>
                </c:pt>
                <c:pt idx="3">
                  <c:v>4.0880000000000001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4-4879-9870-4038194E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519247"/>
        <c:axId val="736773535"/>
      </c:scatterChart>
      <c:valAx>
        <c:axId val="124551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Quantity</a:t>
                </a:r>
              </a:p>
            </c:rich>
          </c:tx>
          <c:layout>
            <c:manualLayout>
              <c:xMode val="edge"/>
              <c:yMode val="edge"/>
              <c:x val="0.48358442694663167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73535"/>
        <c:crosses val="autoZero"/>
        <c:crossBetween val="midCat"/>
      </c:valAx>
      <c:valAx>
        <c:axId val="7367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$/unit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40927493438320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1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RK05 Emulator Dress Panel (103)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02849205704325"/>
          <c:y val="0.16435185185185186"/>
          <c:w val="0.78518656579941304"/>
          <c:h val="0.6571139545056867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'make parts cost by quantity'!$B$65:$B$68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'make parts cost by quantity'!$G$65:$G$68</c:f>
              <c:numCache>
                <c:formatCode>"$"#,##0.00</c:formatCode>
                <c:ptCount val="4"/>
                <c:pt idx="0">
                  <c:v>2.16</c:v>
                </c:pt>
                <c:pt idx="1">
                  <c:v>2.726</c:v>
                </c:pt>
                <c:pt idx="2">
                  <c:v>2.0925000000000002</c:v>
                </c:pt>
                <c:pt idx="3">
                  <c:v>1.9370000000000001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4-4363-8527-C0903CA54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519247"/>
        <c:axId val="736773535"/>
      </c:scatterChart>
      <c:valAx>
        <c:axId val="124551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Quantity</a:t>
                </a:r>
              </a:p>
            </c:rich>
          </c:tx>
          <c:layout>
            <c:manualLayout>
              <c:xMode val="edge"/>
              <c:yMode val="edge"/>
              <c:x val="0.48358442694663167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73535"/>
        <c:crosses val="autoZero"/>
        <c:crossBetween val="midCat"/>
      </c:valAx>
      <c:valAx>
        <c:axId val="7367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$/unit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40927493438320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1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microSD card adapter board, assembled (102)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02849205704325"/>
          <c:y val="0.16435185185185186"/>
          <c:w val="0.78518656579941304"/>
          <c:h val="0.6571139545056867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'make parts cost by quantity'!$B$48:$B$51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'make parts cost by quantity'!$G$48:$G$51</c:f>
              <c:numCache>
                <c:formatCode>"$"#,##0.00</c:formatCode>
                <c:ptCount val="4"/>
                <c:pt idx="0">
                  <c:v>3.5880000000000001</c:v>
                </c:pt>
                <c:pt idx="1">
                  <c:v>2.1920000000000002</c:v>
                </c:pt>
                <c:pt idx="2">
                  <c:v>1.6759999999999997</c:v>
                </c:pt>
                <c:pt idx="3">
                  <c:v>1.2803333333333335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4-4042-B8FA-CF31AC933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519247"/>
        <c:axId val="736773535"/>
      </c:scatterChart>
      <c:valAx>
        <c:axId val="124551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Quantity</a:t>
                </a:r>
              </a:p>
            </c:rich>
          </c:tx>
          <c:layout>
            <c:manualLayout>
              <c:xMode val="edge"/>
              <c:yMode val="edge"/>
              <c:x val="0.48358442694663167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73535"/>
        <c:crosses val="autoZero"/>
        <c:crossBetween val="midCat"/>
      </c:valAx>
      <c:valAx>
        <c:axId val="7367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$/unit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40927493438320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1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Front Panel board assembled (101)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02849205704325"/>
          <c:y val="0.16435185185185186"/>
          <c:w val="0.78518656579941304"/>
          <c:h val="0.6571139545056867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'make parts cost by quantity'!$B$31:$B$34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'make parts cost by quantity'!$G$31:$G$34</c:f>
              <c:numCache>
                <c:formatCode>"$"#,##0.00</c:formatCode>
                <c:ptCount val="4"/>
                <c:pt idx="0">
                  <c:v>11.564</c:v>
                </c:pt>
                <c:pt idx="1">
                  <c:v>8.3659999999999997</c:v>
                </c:pt>
                <c:pt idx="2">
                  <c:v>6.6073333333333331</c:v>
                </c:pt>
                <c:pt idx="3">
                  <c:v>5.7204999999999995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D-4845-91C4-167A9D6BA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519247"/>
        <c:axId val="736773535"/>
      </c:scatterChart>
      <c:valAx>
        <c:axId val="124551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Quantity</a:t>
                </a:r>
              </a:p>
            </c:rich>
          </c:tx>
          <c:layout>
            <c:manualLayout>
              <c:xMode val="edge"/>
              <c:yMode val="edge"/>
              <c:x val="0.48358442694663167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73535"/>
        <c:crosses val="autoZero"/>
        <c:crossBetween val="midCat"/>
      </c:valAx>
      <c:valAx>
        <c:axId val="7367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$/unit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40927493438320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1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Emulator Main Board assembled (100)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02849205704325"/>
          <c:y val="0.16435185185185186"/>
          <c:w val="0.78518656579941304"/>
          <c:h val="0.6571139545056867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'make parts cost by quantity'!$B$14:$B$19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'make parts cost by quantity'!$H$14:$H$19</c:f>
              <c:numCache>
                <c:formatCode>"$"#,##0.00</c:formatCode>
                <c:ptCount val="6"/>
                <c:pt idx="0">
                  <c:v>41.691384250000006</c:v>
                </c:pt>
                <c:pt idx="1">
                  <c:v>34.368694249999997</c:v>
                </c:pt>
                <c:pt idx="2">
                  <c:v>31.220957583333334</c:v>
                </c:pt>
                <c:pt idx="3">
                  <c:v>29.426740500000001</c:v>
                </c:pt>
                <c:pt idx="4">
                  <c:v>28.703199249999997</c:v>
                </c:pt>
                <c:pt idx="5">
                  <c:v>27.800972583333337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3-487C-9F3A-60592113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519247"/>
        <c:axId val="736773535"/>
      </c:scatterChart>
      <c:valAx>
        <c:axId val="124551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Quantity</a:t>
                </a:r>
              </a:p>
            </c:rich>
          </c:tx>
          <c:layout>
            <c:manualLayout>
              <c:xMode val="edge"/>
              <c:yMode val="edge"/>
              <c:x val="0.48358442694663167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73535"/>
        <c:crosses val="autoZero"/>
        <c:crossBetween val="midCat"/>
      </c:valAx>
      <c:valAx>
        <c:axId val="7367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$/unit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40927493438320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1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RK05 Emulator Power Supply PCB (107)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02849205704325"/>
          <c:y val="0.16435185185185186"/>
          <c:w val="0.78518656579941304"/>
          <c:h val="0.6571139545056867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'make parts cost by quantity'!$S$116:$S$121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'make parts cost by quantity'!$X$116:$X$121</c:f>
              <c:numCache>
                <c:formatCode>"$"#,##0.00</c:formatCode>
                <c:ptCount val="6"/>
                <c:pt idx="0">
                  <c:v>4.2</c:v>
                </c:pt>
                <c:pt idx="1">
                  <c:v>2.4200000000000004</c:v>
                </c:pt>
                <c:pt idx="2">
                  <c:v>2.6733333333333333</c:v>
                </c:pt>
                <c:pt idx="3">
                  <c:v>2.165</c:v>
                </c:pt>
                <c:pt idx="4">
                  <c:v>1.8560000000000003</c:v>
                </c:pt>
                <c:pt idx="5">
                  <c:v>1.6466666666666669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3-4859-BF85-D4D7E3551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519247"/>
        <c:axId val="736773535"/>
      </c:scatterChart>
      <c:valAx>
        <c:axId val="124551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Quantity</a:t>
                </a:r>
              </a:p>
            </c:rich>
          </c:tx>
          <c:layout>
            <c:manualLayout>
              <c:xMode val="edge"/>
              <c:yMode val="edge"/>
              <c:x val="0.48358442694663167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73535"/>
        <c:crosses val="autoZero"/>
        <c:crossBetween val="midCat"/>
      </c:valAx>
      <c:valAx>
        <c:axId val="7367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$/unit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40927493438320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1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/>
              <a:t>M993GW RK05 Adapter &amp; Tester Cable Adapter</a:t>
            </a:r>
            <a:r>
              <a:rPr lang="en-US" sz="1100" b="0" baseline="0"/>
              <a:t> </a:t>
            </a:r>
            <a:r>
              <a:rPr lang="en-US" sz="1100" b="0"/>
              <a:t>PCBs (105/106)</a:t>
            </a:r>
          </a:p>
        </c:rich>
      </c:tx>
      <c:layout>
        <c:manualLayout>
          <c:xMode val="edge"/>
          <c:yMode val="edge"/>
          <c:x val="0.21438524294986008"/>
          <c:y val="2.29762063562391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02849205704325"/>
          <c:y val="0.16435185185185186"/>
          <c:w val="0.78518656579941304"/>
          <c:h val="0.6571139545056867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'make parts cost by quantity'!$S$99:$S$104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'make parts cost by quantity'!$X$99:$X$104</c:f>
              <c:numCache>
                <c:formatCode>"$"#,##0.00</c:formatCode>
                <c:ptCount val="6"/>
                <c:pt idx="0">
                  <c:v>9.1</c:v>
                </c:pt>
                <c:pt idx="1">
                  <c:v>6.1400000000000006</c:v>
                </c:pt>
                <c:pt idx="2">
                  <c:v>4.62</c:v>
                </c:pt>
                <c:pt idx="3">
                  <c:v>4.7015000000000002</c:v>
                </c:pt>
                <c:pt idx="4">
                  <c:v>4.0979999999999999</c:v>
                </c:pt>
                <c:pt idx="5">
                  <c:v>3.6783333333333332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3-437B-A2D5-6A4C67D85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519247"/>
        <c:axId val="736773535"/>
      </c:scatterChart>
      <c:valAx>
        <c:axId val="124551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Quantity</a:t>
                </a:r>
              </a:p>
            </c:rich>
          </c:tx>
          <c:layout>
            <c:manualLayout>
              <c:xMode val="edge"/>
              <c:yMode val="edge"/>
              <c:x val="0.48358442694663167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73535"/>
        <c:crosses val="autoZero"/>
        <c:crossBetween val="midCat"/>
      </c:valAx>
      <c:valAx>
        <c:axId val="7367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$/unit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40927493438320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1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114</xdr:row>
      <xdr:rowOff>0</xdr:rowOff>
    </xdr:from>
    <xdr:to>
      <xdr:col>15</xdr:col>
      <xdr:colOff>304800</xdr:colOff>
      <xdr:row>128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79A872-2A46-4DCD-AA7D-8F32A9523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97</xdr:row>
      <xdr:rowOff>0</xdr:rowOff>
    </xdr:from>
    <xdr:to>
      <xdr:col>15</xdr:col>
      <xdr:colOff>304800</xdr:colOff>
      <xdr:row>111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D43E1C-7B06-4E21-9F8B-075F18DBD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80</xdr:row>
      <xdr:rowOff>0</xdr:rowOff>
    </xdr:from>
    <xdr:to>
      <xdr:col>15</xdr:col>
      <xdr:colOff>304800</xdr:colOff>
      <xdr:row>94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94E9EA-0A1F-4121-B6CE-862C0BA2E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63</xdr:row>
      <xdr:rowOff>0</xdr:rowOff>
    </xdr:from>
    <xdr:to>
      <xdr:col>15</xdr:col>
      <xdr:colOff>304800</xdr:colOff>
      <xdr:row>77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1B294E-17EF-4DE8-AEE8-D9EFCAC5C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15</xdr:col>
      <xdr:colOff>304800</xdr:colOff>
      <xdr:row>60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A1E3C1-68A8-46E8-97DB-726681DB9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15</xdr:col>
      <xdr:colOff>304800</xdr:colOff>
      <xdr:row>43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944C13-B6B6-4A29-9E93-69D5522F5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15</xdr:col>
      <xdr:colOff>304800</xdr:colOff>
      <xdr:row>25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A1EB7B-5E59-4FDC-B9E7-7CC32B853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114</xdr:row>
      <xdr:rowOff>0</xdr:rowOff>
    </xdr:from>
    <xdr:to>
      <xdr:col>32</xdr:col>
      <xdr:colOff>304800</xdr:colOff>
      <xdr:row>128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EC3127-635C-4CD1-BC53-3A3AEC5B1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97</xdr:row>
      <xdr:rowOff>0</xdr:rowOff>
    </xdr:from>
    <xdr:to>
      <xdr:col>32</xdr:col>
      <xdr:colOff>304800</xdr:colOff>
      <xdr:row>111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237F23-8963-42B5-AF94-4EE86A69E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com/dp/B07TXD47PZ" TargetMode="External"/><Relationship Id="rId21" Type="http://schemas.openxmlformats.org/officeDocument/2006/relationships/hyperlink" Target="https://www.amazon.com/gp/product/B07CGGSDWF" TargetMode="External"/><Relationship Id="rId34" Type="http://schemas.openxmlformats.org/officeDocument/2006/relationships/hyperlink" Target="https://www.aliexpress.us/item/3256805773340189.html" TargetMode="External"/><Relationship Id="rId42" Type="http://schemas.openxmlformats.org/officeDocument/2006/relationships/hyperlink" Target="https://www.amazon.com/gp/product/B06XR8CV8P" TargetMode="External"/><Relationship Id="rId47" Type="http://schemas.openxmlformats.org/officeDocument/2006/relationships/hyperlink" Target="https://www.amazon.com/gp/product/B07CNFTK99" TargetMode="External"/><Relationship Id="rId50" Type="http://schemas.openxmlformats.org/officeDocument/2006/relationships/hyperlink" Target="https://www.aliexpress.us/item/3256803248238815.html" TargetMode="External"/><Relationship Id="rId55" Type="http://schemas.openxmlformats.org/officeDocument/2006/relationships/hyperlink" Target="https://www.aliexpress.us/item/3256803055482916.html" TargetMode="External"/><Relationship Id="rId63" Type="http://schemas.openxmlformats.org/officeDocument/2006/relationships/hyperlink" Target="https://www.aliexpress.us/item/3256805591615901.html" TargetMode="External"/><Relationship Id="rId7" Type="http://schemas.openxmlformats.org/officeDocument/2006/relationships/hyperlink" Target="https://www.amazon.com/gp/product/B07CMQ1SQH" TargetMode="External"/><Relationship Id="rId2" Type="http://schemas.openxmlformats.org/officeDocument/2006/relationships/hyperlink" Target="https://www.amazon.com/dp/B07SCJ69H4" TargetMode="External"/><Relationship Id="rId16" Type="http://schemas.openxmlformats.org/officeDocument/2006/relationships/hyperlink" Target="https://www.digikey.com/en/products/detail/e-switch/R4ABLKBLKEF0/1805255" TargetMode="External"/><Relationship Id="rId29" Type="http://schemas.openxmlformats.org/officeDocument/2006/relationships/hyperlink" Target="https://www.digikey.com/en/products/detail/te-connectivity-amp-connectors/5-1123722-3/10467997" TargetMode="External"/><Relationship Id="rId11" Type="http://schemas.openxmlformats.org/officeDocument/2006/relationships/hyperlink" Target="https://www.amazon.com/gp/product/B09LLZHY87" TargetMode="External"/><Relationship Id="rId24" Type="http://schemas.openxmlformats.org/officeDocument/2006/relationships/hyperlink" Target="https://www.digikey.com/en/products/detail/alliance-memory-inc/N25Q032A13ESC40F/12810023" TargetMode="External"/><Relationship Id="rId32" Type="http://schemas.openxmlformats.org/officeDocument/2006/relationships/hyperlink" Target="https://www.amazon.com/gp/product/B07CGGSDWF" TargetMode="External"/><Relationship Id="rId37" Type="http://schemas.openxmlformats.org/officeDocument/2006/relationships/hyperlink" Target="https://www.aliexpress.us/item/3256803424019097.html" TargetMode="External"/><Relationship Id="rId40" Type="http://schemas.openxmlformats.org/officeDocument/2006/relationships/hyperlink" Target="https://www.aliexpress.us/item/3256803248238815.html" TargetMode="External"/><Relationship Id="rId45" Type="http://schemas.openxmlformats.org/officeDocument/2006/relationships/hyperlink" Target="https://www.amazon.com/gp/product/B01HTG4WHY" TargetMode="External"/><Relationship Id="rId53" Type="http://schemas.openxmlformats.org/officeDocument/2006/relationships/hyperlink" Target="https://www.digikey.com/en/products/detail/amphenol-cs-fci/86130402113345E1LF/5201672" TargetMode="External"/><Relationship Id="rId58" Type="http://schemas.openxmlformats.org/officeDocument/2006/relationships/hyperlink" Target="https://www.aliexpress.us/item/3256804434717398.html" TargetMode="External"/><Relationship Id="rId66" Type="http://schemas.openxmlformats.org/officeDocument/2006/relationships/hyperlink" Target="https://www.aliexpress.us/item/3256805856942849.html" TargetMode="External"/><Relationship Id="rId5" Type="http://schemas.openxmlformats.org/officeDocument/2006/relationships/hyperlink" Target="https://www.digikey.com/en/products/detail/lattice-semiconductor-corporation/ICE40HX1K-TQ144/3083575" TargetMode="External"/><Relationship Id="rId61" Type="http://schemas.openxmlformats.org/officeDocument/2006/relationships/hyperlink" Target="https://www.aliexpress.us/item/3256803248238815.html" TargetMode="External"/><Relationship Id="rId19" Type="http://schemas.openxmlformats.org/officeDocument/2006/relationships/hyperlink" Target="https://www.amazon.com/gp/product/B073ST7Q27" TargetMode="External"/><Relationship Id="rId14" Type="http://schemas.openxmlformats.org/officeDocument/2006/relationships/hyperlink" Target="https://www.amazon.com/Stainless-Self-Locking-Industrial-Construction-Fasteners/dp/B09SLLQ3KV" TargetMode="External"/><Relationship Id="rId22" Type="http://schemas.openxmlformats.org/officeDocument/2006/relationships/hyperlink" Target="https://www.digikey.com/en/products/detail/raspberry-pi/SC0917/16608257" TargetMode="External"/><Relationship Id="rId27" Type="http://schemas.openxmlformats.org/officeDocument/2006/relationships/hyperlink" Target="https://www.digikey.com/en/products/detail/te-connectivity-amp-connectors/4-1123724-2/5439777" TargetMode="External"/><Relationship Id="rId30" Type="http://schemas.openxmlformats.org/officeDocument/2006/relationships/hyperlink" Target="https://www.amazon.com/dp/B07SCJ69H4" TargetMode="External"/><Relationship Id="rId35" Type="http://schemas.openxmlformats.org/officeDocument/2006/relationships/hyperlink" Target="https://www.aliexpress.us/item/3256805773340189.html" TargetMode="External"/><Relationship Id="rId43" Type="http://schemas.openxmlformats.org/officeDocument/2006/relationships/hyperlink" Target="https://www.amazon.com/Powlankou-Pieces-Button-Socket-Stainless/dp/B07ZSXD89C" TargetMode="External"/><Relationship Id="rId48" Type="http://schemas.openxmlformats.org/officeDocument/2006/relationships/hyperlink" Target="https://www.aliexpress.us/item/3256804612946913.html" TargetMode="External"/><Relationship Id="rId56" Type="http://schemas.openxmlformats.org/officeDocument/2006/relationships/hyperlink" Target="https://www.amazon.com/gp/product/B07XBF98NV" TargetMode="External"/><Relationship Id="rId64" Type="http://schemas.openxmlformats.org/officeDocument/2006/relationships/hyperlink" Target="https://www.aliexpress.us/item/3256805483572082.html" TargetMode="External"/><Relationship Id="rId8" Type="http://schemas.openxmlformats.org/officeDocument/2006/relationships/hyperlink" Target="https://www.amazon.com/gp/product/B07L2W3QX3" TargetMode="External"/><Relationship Id="rId51" Type="http://schemas.openxmlformats.org/officeDocument/2006/relationships/hyperlink" Target="https://www.aliexpress.us/item/3256802974608811.html" TargetMode="External"/><Relationship Id="rId3" Type="http://schemas.openxmlformats.org/officeDocument/2006/relationships/hyperlink" Target="https://www.amazon.com/dp/B0C625XHQM" TargetMode="External"/><Relationship Id="rId12" Type="http://schemas.openxmlformats.org/officeDocument/2006/relationships/hyperlink" Target="https://www.amazon.com/uxcell-Insulating-Washers-Gaskets-Spacers/dp/B01N6B5KJN" TargetMode="External"/><Relationship Id="rId17" Type="http://schemas.openxmlformats.org/officeDocument/2006/relationships/hyperlink" Target="https://www.digikey.com/en/products/detail/stmicroelectronics/LD1117DT12CTR/2623278" TargetMode="External"/><Relationship Id="rId25" Type="http://schemas.openxmlformats.org/officeDocument/2006/relationships/hyperlink" Target="https://www.amazon.com/gp/product/B0B8GN63S2" TargetMode="External"/><Relationship Id="rId33" Type="http://schemas.openxmlformats.org/officeDocument/2006/relationships/hyperlink" Target="https://www.aliexpress.us/item/3256805773340189.html" TargetMode="External"/><Relationship Id="rId38" Type="http://schemas.openxmlformats.org/officeDocument/2006/relationships/hyperlink" Target="https://www.aliexpress.us/item/3256803248238815.html" TargetMode="External"/><Relationship Id="rId46" Type="http://schemas.openxmlformats.org/officeDocument/2006/relationships/hyperlink" Target="https://www.aliexpress.us/item/3256802393168670.html" TargetMode="External"/><Relationship Id="rId59" Type="http://schemas.openxmlformats.org/officeDocument/2006/relationships/hyperlink" Target="https://www.aliexpress.us/item/3256802834769879.html" TargetMode="External"/><Relationship Id="rId67" Type="http://schemas.openxmlformats.org/officeDocument/2006/relationships/printerSettings" Target="../printerSettings/printerSettings3.bin"/><Relationship Id="rId20" Type="http://schemas.openxmlformats.org/officeDocument/2006/relationships/hyperlink" Target="https://www.amazon.com/gp/product/B06XR8CV8P" TargetMode="External"/><Relationship Id="rId41" Type="http://schemas.openxmlformats.org/officeDocument/2006/relationships/hyperlink" Target="https://www.amazon.com/dp/B07Q5XJTMV" TargetMode="External"/><Relationship Id="rId54" Type="http://schemas.openxmlformats.org/officeDocument/2006/relationships/hyperlink" Target="https://www.amazon.com/dp/B097MVXSQ5" TargetMode="External"/><Relationship Id="rId62" Type="http://schemas.openxmlformats.org/officeDocument/2006/relationships/hyperlink" Target="https://www.aliexpress.us/item/3256805242052170.html" TargetMode="External"/><Relationship Id="rId1" Type="http://schemas.openxmlformats.org/officeDocument/2006/relationships/hyperlink" Target="https://www.aliexpress.us/item/2251832744877636.html" TargetMode="External"/><Relationship Id="rId6" Type="http://schemas.openxmlformats.org/officeDocument/2006/relationships/hyperlink" Target="https://www.aliexpress.us/item/2255801094078491.html" TargetMode="External"/><Relationship Id="rId15" Type="http://schemas.openxmlformats.org/officeDocument/2006/relationships/hyperlink" Target="https://www.digikey.com/en/products/detail/e-switch/R4EBLKBLKEF0/1805289" TargetMode="External"/><Relationship Id="rId23" Type="http://schemas.openxmlformats.org/officeDocument/2006/relationships/hyperlink" Target="https://www.aliexpress.us/item/3256805464087324.html" TargetMode="External"/><Relationship Id="rId28" Type="http://schemas.openxmlformats.org/officeDocument/2006/relationships/hyperlink" Target="https://www.digikey.com/en/products/detail/te-connectivity-amp-connectors/1123721-2/686921" TargetMode="External"/><Relationship Id="rId36" Type="http://schemas.openxmlformats.org/officeDocument/2006/relationships/hyperlink" Target="https://www.aliexpress.us/item/3256803424019097.html" TargetMode="External"/><Relationship Id="rId49" Type="http://schemas.openxmlformats.org/officeDocument/2006/relationships/hyperlink" Target="https://www.amazon.com/dp/B07SCJ69H4" TargetMode="External"/><Relationship Id="rId57" Type="http://schemas.openxmlformats.org/officeDocument/2006/relationships/hyperlink" Target="https://www.aliexpress.us/item/3256805885174058.html" TargetMode="External"/><Relationship Id="rId10" Type="http://schemas.openxmlformats.org/officeDocument/2006/relationships/hyperlink" Target="https://www.amazon.com/gp/product/B07HFYZ9YM" TargetMode="External"/><Relationship Id="rId31" Type="http://schemas.openxmlformats.org/officeDocument/2006/relationships/hyperlink" Target="https://a.aliexpress.com/_mNdt2Is" TargetMode="External"/><Relationship Id="rId44" Type="http://schemas.openxmlformats.org/officeDocument/2006/relationships/hyperlink" Target="https://www.amazon.com/dp/B06VY6F67P" TargetMode="External"/><Relationship Id="rId52" Type="http://schemas.openxmlformats.org/officeDocument/2006/relationships/hyperlink" Target="https://www.aliexpress.us/item/2251832658426440.html" TargetMode="External"/><Relationship Id="rId60" Type="http://schemas.openxmlformats.org/officeDocument/2006/relationships/hyperlink" Target="https://www.aliexpress.us/item/3256804121267045.html" TargetMode="External"/><Relationship Id="rId65" Type="http://schemas.openxmlformats.org/officeDocument/2006/relationships/hyperlink" Target="https://www.aliexpress.us/item/2255800416538696.html" TargetMode="External"/><Relationship Id="rId4" Type="http://schemas.openxmlformats.org/officeDocument/2006/relationships/hyperlink" Target="https://www.aliexpress.us/item/3256804121267045.html" TargetMode="External"/><Relationship Id="rId9" Type="http://schemas.openxmlformats.org/officeDocument/2006/relationships/hyperlink" Target="https://www.amazon.com/gp/product/B01M5DVI7A" TargetMode="External"/><Relationship Id="rId13" Type="http://schemas.openxmlformats.org/officeDocument/2006/relationships/hyperlink" Target="https://www.amazon.com/gp/product/B072LGMRVD" TargetMode="External"/><Relationship Id="rId18" Type="http://schemas.openxmlformats.org/officeDocument/2006/relationships/hyperlink" Target="https://www.amazon.com/Premium-Plastic-Strength-Resistant-Self-Locking/dp/B09H5L583V" TargetMode="External"/><Relationship Id="rId39" Type="http://schemas.openxmlformats.org/officeDocument/2006/relationships/hyperlink" Target="https://www.aliexpress.us/item/3256803248238815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5690-F76C-4733-9A59-A1D3B764B504}">
  <dimension ref="A1:V230"/>
  <sheetViews>
    <sheetView tabSelected="1" workbookViewId="0">
      <pane ySplit="580" activePane="bottomLeft"/>
      <selection activeCell="I1" sqref="I1:I1048576"/>
      <selection pane="bottomLeft" activeCell="A4" sqref="A4"/>
    </sheetView>
  </sheetViews>
  <sheetFormatPr defaultRowHeight="14.5" x14ac:dyDescent="0.35"/>
  <cols>
    <col min="1" max="4" width="4.54296875" style="1" customWidth="1"/>
    <col min="5" max="5" width="2.54296875" style="1" customWidth="1"/>
    <col min="6" max="6" width="5.54296875" style="2" customWidth="1"/>
    <col min="7" max="7" width="4.54296875" style="2" customWidth="1"/>
    <col min="8" max="8" width="13.54296875" style="15" customWidth="1"/>
    <col min="9" max="9" width="5.54296875" style="2" customWidth="1"/>
    <col min="10" max="10" width="61.54296875" bestFit="1" customWidth="1"/>
    <col min="11" max="11" width="4.54296875" customWidth="1"/>
    <col min="12" max="12" width="19.1796875" customWidth="1"/>
    <col min="13" max="13" width="25.54296875" customWidth="1"/>
    <col min="14" max="14" width="15.54296875" customWidth="1"/>
    <col min="15" max="15" width="49.453125" bestFit="1" customWidth="1"/>
    <col min="16" max="16" width="9.54296875" style="4" customWidth="1"/>
    <col min="17" max="18" width="9.54296875" customWidth="1"/>
  </cols>
  <sheetData>
    <row r="1" spans="1:19" x14ac:dyDescent="0.35">
      <c r="F1" s="3" t="s">
        <v>0</v>
      </c>
      <c r="G1" s="3" t="s">
        <v>144</v>
      </c>
      <c r="H1" s="16"/>
      <c r="I1" s="3"/>
      <c r="J1" s="1" t="s">
        <v>1</v>
      </c>
      <c r="K1" s="1" t="s">
        <v>12</v>
      </c>
      <c r="L1" s="1" t="s">
        <v>7</v>
      </c>
      <c r="M1" s="1" t="s">
        <v>3</v>
      </c>
      <c r="N1" s="1" t="s">
        <v>2</v>
      </c>
      <c r="O1" s="1" t="s">
        <v>29</v>
      </c>
      <c r="P1" s="9" t="s">
        <v>4</v>
      </c>
      <c r="Q1" s="3" t="s">
        <v>5</v>
      </c>
    </row>
    <row r="2" spans="1:19" ht="23.5" x14ac:dyDescent="0.55000000000000004">
      <c r="A2" s="29" t="s">
        <v>175</v>
      </c>
      <c r="B2" s="17"/>
      <c r="C2" s="17"/>
      <c r="D2" s="17"/>
      <c r="E2" s="17"/>
      <c r="F2" s="18"/>
      <c r="G2" s="18"/>
      <c r="Q2" s="13" t="s">
        <v>101</v>
      </c>
    </row>
    <row r="3" spans="1:19" s="41" customFormat="1" ht="18.5" x14ac:dyDescent="0.45">
      <c r="A3" s="30" t="s">
        <v>165</v>
      </c>
      <c r="B3" s="30" t="s">
        <v>175</v>
      </c>
      <c r="C3" s="30"/>
      <c r="D3" s="30"/>
      <c r="E3" s="30"/>
      <c r="F3" s="35"/>
      <c r="G3" s="35"/>
      <c r="H3" s="36"/>
      <c r="I3" s="35"/>
      <c r="J3" s="30"/>
      <c r="K3" s="30"/>
      <c r="L3" s="30"/>
      <c r="M3" s="30"/>
      <c r="N3" s="30"/>
      <c r="O3" s="30"/>
      <c r="P3" s="37"/>
      <c r="Q3" s="38" t="s">
        <v>167</v>
      </c>
      <c r="R3" s="39">
        <f>SUM(R5:R83)</f>
        <v>83.89961241448178</v>
      </c>
      <c r="S3" s="40">
        <f>CEILING(R3,1)</f>
        <v>84</v>
      </c>
    </row>
    <row r="4" spans="1:19" x14ac:dyDescent="0.35">
      <c r="Q4" s="13"/>
      <c r="R4" s="4"/>
    </row>
    <row r="5" spans="1:19" s="1" customFormat="1" x14ac:dyDescent="0.35">
      <c r="F5" s="3" t="s">
        <v>0</v>
      </c>
      <c r="G5" s="3" t="s">
        <v>144</v>
      </c>
      <c r="H5" s="16"/>
      <c r="I5" s="3" t="s">
        <v>211</v>
      </c>
      <c r="J5" s="1" t="s">
        <v>1</v>
      </c>
      <c r="K5" s="1" t="s">
        <v>12</v>
      </c>
      <c r="L5" s="1" t="s">
        <v>7</v>
      </c>
      <c r="M5" s="1" t="s">
        <v>3</v>
      </c>
      <c r="N5" s="1" t="s">
        <v>2</v>
      </c>
      <c r="O5" s="1" t="s">
        <v>29</v>
      </c>
      <c r="P5" s="9" t="s">
        <v>4</v>
      </c>
      <c r="Q5" s="3" t="s">
        <v>5</v>
      </c>
      <c r="R5" s="12"/>
    </row>
    <row r="6" spans="1:19" x14ac:dyDescent="0.35">
      <c r="B6" s="19" t="s">
        <v>143</v>
      </c>
      <c r="C6" s="19"/>
      <c r="D6" s="19"/>
      <c r="E6" s="19"/>
      <c r="F6" s="20"/>
      <c r="G6" s="20"/>
      <c r="H6" s="21"/>
      <c r="I6" s="20"/>
      <c r="J6" s="22"/>
      <c r="K6" s="22"/>
      <c r="L6" s="22"/>
      <c r="M6" s="22"/>
      <c r="N6" s="22"/>
      <c r="O6" s="22"/>
      <c r="P6" s="23"/>
      <c r="Q6" s="22"/>
      <c r="R6" s="24">
        <f>SUM(Q6:Q26)</f>
        <v>17.453572457575753</v>
      </c>
    </row>
    <row r="7" spans="1:19" x14ac:dyDescent="0.35">
      <c r="F7" s="2">
        <v>1</v>
      </c>
      <c r="G7" s="2">
        <v>200</v>
      </c>
      <c r="I7" s="2" t="s">
        <v>212</v>
      </c>
      <c r="J7" t="str">
        <f>VLOOKUP($G7,'Materials by UPN'!$G$3:$R$112,2)</f>
        <v>RK05 Lamp Lens, 3D printed</v>
      </c>
      <c r="K7" t="str">
        <f>IF(VLOOKUP($G7,'Materials by UPN'!$G$3:$R$112,3)="","",VLOOKUP($G7,'Materials by UPN'!$G$3:$R$112,3))</f>
        <v>v03</v>
      </c>
      <c r="L7" t="str">
        <f>IF(VLOOKUP($G7,'Materials by UPN'!$G$3:$R$112,4)="","",VLOOKUP($G7,'Materials by UPN'!$G$3:$R$112,4))</f>
        <v/>
      </c>
      <c r="M7" t="str">
        <f>IF(VLOOKUP($G7,'Materials by UPN'!$G$3:$R$112,5)="","",VLOOKUP($G7,'Materials by UPN'!$G$3:$R$112,5))</f>
        <v>200 v03</v>
      </c>
      <c r="N7" t="str">
        <f>VLOOKUP($G7,'Materials by UPN'!$G$3:$R$112,6)</f>
        <v>JLCPCB</v>
      </c>
      <c r="O7" t="str">
        <f>IF(VLOOKUP($G7,'Materials by UPN'!$G$3:$R$112,7)="","",VLOOKUP($G7,'Materials by UPN'!$G$3:$R$112,7))</f>
        <v>200 v03, SLA (Resin), LEDO 6060, Natural White</v>
      </c>
      <c r="P7" s="4">
        <f>VLOOKUP($G7,'Materials by UPN'!$G$3:$R$112,11)</f>
        <v>1.6966666666666665</v>
      </c>
      <c r="Q7" s="4">
        <f>F7*P7</f>
        <v>1.6966666666666665</v>
      </c>
      <c r="R7" s="11"/>
    </row>
    <row r="8" spans="1:19" x14ac:dyDescent="0.35">
      <c r="F8" s="2">
        <v>1</v>
      </c>
      <c r="G8" s="2">
        <v>201</v>
      </c>
      <c r="I8" s="2" t="s">
        <v>213</v>
      </c>
      <c r="J8" t="str">
        <f>VLOOKUP($G8,'Materials by UPN'!$G$3:$R$112,2)</f>
        <v>RK05em Bezel, 3D printed</v>
      </c>
      <c r="K8" t="str">
        <f>IF(VLOOKUP($G8,'Materials by UPN'!$G$3:$R$112,3)="","",VLOOKUP($G8,'Materials by UPN'!$G$3:$R$112,3))</f>
        <v>v05</v>
      </c>
      <c r="L8" t="str">
        <f>IF(VLOOKUP($G8,'Materials by UPN'!$G$3:$R$112,4)="","",VLOOKUP($G8,'Materials by UPN'!$G$3:$R$112,4))</f>
        <v/>
      </c>
      <c r="M8" t="str">
        <f>IF(VLOOKUP($G8,'Materials by UPN'!$G$3:$R$112,5)="","",VLOOKUP($G8,'Materials by UPN'!$G$3:$R$112,5))</f>
        <v>201 v05</v>
      </c>
      <c r="N8" t="str">
        <f>VLOOKUP($G8,'Materials by UPN'!$G$3:$R$112,6)</f>
        <v>JLCPCB</v>
      </c>
      <c r="O8" t="str">
        <f>IF(VLOOKUP($G8,'Materials by UPN'!$G$3:$R$112,7)="","",VLOOKUP($G8,'Materials by UPN'!$G$3:$R$112,7))</f>
        <v>201 v05, FDM (Plastic), PLA, White</v>
      </c>
      <c r="P8" s="4">
        <f>VLOOKUP($G8,'Materials by UPN'!$G$3:$R$112,11)</f>
        <v>4.992</v>
      </c>
      <c r="Q8" s="4">
        <f t="shared" ref="Q8:Q17" si="0">F8*P8</f>
        <v>4.992</v>
      </c>
      <c r="R8" s="11"/>
    </row>
    <row r="9" spans="1:19" x14ac:dyDescent="0.35">
      <c r="F9" s="2">
        <v>1</v>
      </c>
      <c r="G9" s="2">
        <v>207</v>
      </c>
      <c r="I9" s="2" t="s">
        <v>212</v>
      </c>
      <c r="J9" t="str">
        <f>VLOOKUP($G9,'Materials by UPN'!$G$3:$R$112,2)</f>
        <v>Light Shield, 3D printed</v>
      </c>
      <c r="K9" t="s">
        <v>19</v>
      </c>
      <c r="L9" t="str">
        <f>IF(VLOOKUP($G9,'Materials by UPN'!$G$3:$R$112,4)="","",VLOOKUP($G9,'Materials by UPN'!$G$3:$R$112,4))</f>
        <v/>
      </c>
      <c r="M9" t="str">
        <f>IF(VLOOKUP($G9,'Materials by UPN'!$G$3:$R$112,5)="","",VLOOKUP($G9,'Materials by UPN'!$G$3:$R$112,5))</f>
        <v>207 v03</v>
      </c>
      <c r="N9" t="str">
        <f>VLOOKUP($G9,'Materials by UPN'!$G$3:$R$112,6)</f>
        <v>JLCPCB</v>
      </c>
      <c r="O9" t="str">
        <f>IF(VLOOKUP($G9,'Materials by UPN'!$G$3:$R$112,7)="","",VLOOKUP($G9,'Materials by UPN'!$G$3:$R$112,7))</f>
        <v>207 v03, SLA (Resin), LEDO 6060, Natural White + blk paint</v>
      </c>
      <c r="P9" s="4">
        <f>VLOOKUP($G9,'Materials by UPN'!$G$3:$R$112,11)</f>
        <v>0.42499999999999999</v>
      </c>
      <c r="Q9" s="4">
        <f>F9*P9</f>
        <v>0.42499999999999999</v>
      </c>
      <c r="R9" s="11"/>
    </row>
    <row r="10" spans="1:19" x14ac:dyDescent="0.35">
      <c r="F10" s="2">
        <v>1</v>
      </c>
      <c r="G10" s="2">
        <v>103</v>
      </c>
      <c r="I10" s="2" t="s">
        <v>215</v>
      </c>
      <c r="J10" t="str">
        <f>VLOOKUP($G10,'Materials by UPN'!$G$3:$R$112,2)</f>
        <v>RK05 Emulator Dress Panel</v>
      </c>
      <c r="K10" t="str">
        <f>IF(VLOOKUP($G10,'Materials by UPN'!$G$3:$R$112,3)="","",VLOOKUP($G10,'Materials by UPN'!$G$3:$R$112,3))</f>
        <v>v00</v>
      </c>
      <c r="L10" t="str">
        <f>IF(VLOOKUP($G10,'Materials by UPN'!$G$3:$R$112,4)="","",VLOOKUP($G10,'Materials by UPN'!$G$3:$R$112,4))</f>
        <v/>
      </c>
      <c r="M10" t="str">
        <f>IF(VLOOKUP($G10,'Materials by UPN'!$G$3:$R$112,5)="","",VLOOKUP($G10,'Materials by UPN'!$G$3:$R$112,5))</f>
        <v/>
      </c>
      <c r="N10" t="str">
        <f>VLOOKUP($G10,'Materials by UPN'!$G$3:$R$112,6)</f>
        <v>JLCPCB</v>
      </c>
      <c r="O10" t="str">
        <f>IF(VLOOKUP($G10,'Materials by UPN'!$G$3:$R$112,7)="","",VLOOKUP($G10,'Materials by UPN'!$G$3:$R$112,7))</f>
        <v>Surface Finish: LeadFree HASL</v>
      </c>
      <c r="P10" s="4">
        <f>VLOOKUP($G10,'Materials by UPN'!$G$3:$R$112,11)</f>
        <v>3.133</v>
      </c>
      <c r="Q10" s="4">
        <f>F10*P10</f>
        <v>3.133</v>
      </c>
      <c r="R10" s="11"/>
    </row>
    <row r="11" spans="1:19" x14ac:dyDescent="0.35">
      <c r="F11" s="2">
        <v>6</v>
      </c>
      <c r="G11" s="2">
        <v>300</v>
      </c>
      <c r="I11" s="2" t="s">
        <v>213</v>
      </c>
      <c r="J11" t="str">
        <f>VLOOKUP($G11,'Materials by UPN'!$G$3:$R$112,2)</f>
        <v>Threaded Insert, M3 x L=6 x OD=4.5</v>
      </c>
      <c r="K11" t="str">
        <f>IF(VLOOKUP($G11,'Materials by UPN'!$G$3:$R$112,3)="","",VLOOKUP($G11,'Materials by UPN'!$G$3:$R$112,3))</f>
        <v/>
      </c>
      <c r="L11" t="str">
        <f>IF(VLOOKUP($G11,'Materials by UPN'!$G$3:$R$112,4)="","",VLOOKUP($G11,'Materials by UPN'!$G$3:$R$112,4))</f>
        <v/>
      </c>
      <c r="M11" t="str">
        <f>IF(VLOOKUP($G11,'Materials by UPN'!$G$3:$R$112,5)="","",VLOOKUP($G11,'Materials by UPN'!$G$3:$R$112,5))</f>
        <v/>
      </c>
      <c r="N11" t="str">
        <f>VLOOKUP($G11,'Materials by UPN'!$G$3:$R$112,6)</f>
        <v>AliExpress</v>
      </c>
      <c r="O11" t="str">
        <f>IF(VLOOKUP($G11,'Materials by UPN'!$G$3:$R$112,7)="","",VLOOKUP($G11,'Materials by UPN'!$G$3:$R$112,7))</f>
        <v>https://www.aliexpress.us/item/3256805885174058.html</v>
      </c>
      <c r="P11" s="4">
        <f>VLOOKUP($G11,'Materials by UPN'!$G$3:$R$112,11)</f>
        <v>3.7000000000000005E-2</v>
      </c>
      <c r="Q11" s="4">
        <f t="shared" si="0"/>
        <v>0.22200000000000003</v>
      </c>
      <c r="R11" s="11"/>
    </row>
    <row r="12" spans="1:19" x14ac:dyDescent="0.35">
      <c r="F12" s="2">
        <v>0</v>
      </c>
      <c r="G12" s="2">
        <v>301</v>
      </c>
      <c r="I12" s="2" t="s">
        <v>214</v>
      </c>
      <c r="J12" t="str">
        <f>VLOOKUP($G12,'Materials by UPN'!$G$3:$R$112,2)</f>
        <v>M3 Threaded Spacer, hex, nylon, black, 25mm + 6mm, female-male</v>
      </c>
      <c r="K12" t="str">
        <f>IF(VLOOKUP($G12,'Materials by UPN'!$G$3:$R$112,3)="","",VLOOKUP($G12,'Materials by UPN'!$G$3:$R$112,3))</f>
        <v/>
      </c>
      <c r="L12" t="str">
        <f>IF(VLOOKUP($G12,'Materials by UPN'!$G$3:$R$112,4)="","",VLOOKUP($G12,'Materials by UPN'!$G$3:$R$112,4))</f>
        <v/>
      </c>
      <c r="M12" t="str">
        <f>IF(VLOOKUP($G12,'Materials by UPN'!$G$3:$R$112,5)="","",VLOOKUP($G12,'Materials by UPN'!$G$3:$R$112,5))</f>
        <v/>
      </c>
      <c r="N12" t="str">
        <f>VLOOKUP($G12,'Materials by UPN'!$G$3:$R$112,6)</f>
        <v>AliExpress</v>
      </c>
      <c r="O12" t="str">
        <f>IF(VLOOKUP($G12,'Materials by UPN'!$G$3:$R$112,7)="","",VLOOKUP($G12,'Materials by UPN'!$G$3:$R$112,7))</f>
        <v>https://www.aliexpress.us/item/3256804121267045.html</v>
      </c>
      <c r="P12" s="4">
        <f>VLOOKUP($G12,'Materials by UPN'!$G$3:$R$112,11)</f>
        <v>8.14E-2</v>
      </c>
      <c r="Q12" s="4">
        <f t="shared" si="0"/>
        <v>0</v>
      </c>
      <c r="R12" s="11"/>
    </row>
    <row r="13" spans="1:19" x14ac:dyDescent="0.35">
      <c r="F13" s="2">
        <v>4</v>
      </c>
      <c r="G13" s="2">
        <v>369</v>
      </c>
      <c r="I13" s="2" t="s">
        <v>214</v>
      </c>
      <c r="J13" t="str">
        <f>VLOOKUP($G13,'Materials by UPN'!$G$3:$R$112,2)</f>
        <v>M3 Threaded Spacer, hex, nylon, black, 30mm + 6mm, female-male</v>
      </c>
      <c r="K13" t="str">
        <f>IF(VLOOKUP($G13,'Materials by UPN'!$G$3:$R$112,3)="","",VLOOKUP($G13,'Materials by UPN'!$G$3:$R$112,3))</f>
        <v/>
      </c>
      <c r="L13" t="str">
        <f>IF(VLOOKUP($G13,'Materials by UPN'!$G$3:$R$112,4)="","",VLOOKUP($G13,'Materials by UPN'!$G$3:$R$112,4))</f>
        <v/>
      </c>
      <c r="M13" t="str">
        <f>IF(VLOOKUP($G13,'Materials by UPN'!$G$3:$R$112,5)="","",VLOOKUP($G13,'Materials by UPN'!$G$3:$R$112,5))</f>
        <v/>
      </c>
      <c r="N13" t="str">
        <f>VLOOKUP($G13,'Materials by UPN'!$G$3:$R$112,6)</f>
        <v>AliExpress</v>
      </c>
      <c r="O13" t="str">
        <f>IF(VLOOKUP($G13,'Materials by UPN'!$G$3:$R$112,7)="","",VLOOKUP($G13,'Materials by UPN'!$G$3:$R$112,7))</f>
        <v>https://www.aliexpress.us/item/3256804121267045.html</v>
      </c>
      <c r="P13" s="4">
        <f>VLOOKUP($G13,'Materials by UPN'!$G$3:$R$112,11)</f>
        <v>9.9226500000000009E-2</v>
      </c>
      <c r="Q13" s="4">
        <f>F13*P13</f>
        <v>0.39690600000000004</v>
      </c>
      <c r="R13" s="11"/>
    </row>
    <row r="14" spans="1:19" x14ac:dyDescent="0.35">
      <c r="F14" s="2">
        <v>1</v>
      </c>
      <c r="G14" s="2">
        <v>303</v>
      </c>
      <c r="I14" s="2" t="s">
        <v>212</v>
      </c>
      <c r="J14" t="str">
        <f>VLOOKUP($G14,'Materials by UPN'!$G$3:$R$112,2)</f>
        <v>Rocker switch, on-mom</v>
      </c>
      <c r="K14" t="str">
        <f>IF(VLOOKUP($G14,'Materials by UPN'!$G$3:$R$112,3)="","",VLOOKUP($G14,'Materials by UPN'!$G$3:$R$112,3))</f>
        <v/>
      </c>
      <c r="L14" t="str">
        <f>IF(VLOOKUP($G14,'Materials by UPN'!$G$3:$R$112,4)="","",VLOOKUP($G14,'Materials by UPN'!$G$3:$R$112,4))</f>
        <v/>
      </c>
      <c r="M14" t="str">
        <f>IF(VLOOKUP($G14,'Materials by UPN'!$G$3:$R$112,5)="","",VLOOKUP($G14,'Materials by UPN'!$G$3:$R$112,5))</f>
        <v>R4EBLKBLKEF0</v>
      </c>
      <c r="N14" t="str">
        <f>VLOOKUP($G14,'Materials by UPN'!$G$3:$R$112,6)</f>
        <v>Digikey</v>
      </c>
      <c r="O14" t="str">
        <f>IF(VLOOKUP($G14,'Materials by UPN'!$G$3:$R$112,7)="","",VLOOKUP($G14,'Materials by UPN'!$G$3:$R$112,7))</f>
        <v>https://www.digikey.com/en/products/detail/e-switch/R4EBLKBLKEF0/1805289</v>
      </c>
      <c r="P14" s="4">
        <f>VLOOKUP($G14,'Materials by UPN'!$G$3:$R$112,11)</f>
        <v>2.0649999999999999</v>
      </c>
      <c r="Q14" s="4">
        <f t="shared" si="0"/>
        <v>2.0649999999999999</v>
      </c>
      <c r="R14" s="11"/>
    </row>
    <row r="15" spans="1:19" x14ac:dyDescent="0.35">
      <c r="F15" s="2">
        <v>1</v>
      </c>
      <c r="G15" s="2">
        <v>304</v>
      </c>
      <c r="I15" s="2" t="s">
        <v>212</v>
      </c>
      <c r="J15" t="str">
        <f>VLOOKUP($G15,'Materials by UPN'!$G$3:$R$112,2)</f>
        <v>Rocker switch, on-off</v>
      </c>
      <c r="K15" t="str">
        <f>IF(VLOOKUP($G15,'Materials by UPN'!$G$3:$R$112,3)="","",VLOOKUP($G15,'Materials by UPN'!$G$3:$R$112,3))</f>
        <v/>
      </c>
      <c r="L15" t="str">
        <f>IF(VLOOKUP($G15,'Materials by UPN'!$G$3:$R$112,4)="","",VLOOKUP($G15,'Materials by UPN'!$G$3:$R$112,4))</f>
        <v/>
      </c>
      <c r="M15" t="str">
        <f>IF(VLOOKUP($G15,'Materials by UPN'!$G$3:$R$112,5)="","",VLOOKUP($G15,'Materials by UPN'!$G$3:$R$112,5))</f>
        <v>R4ABLKBLKEF0</v>
      </c>
      <c r="N15" t="str">
        <f>VLOOKUP($G15,'Materials by UPN'!$G$3:$R$112,6)</f>
        <v>Digikey</v>
      </c>
      <c r="O15" t="str">
        <f>IF(VLOOKUP($G15,'Materials by UPN'!$G$3:$R$112,7)="","",VLOOKUP($G15,'Materials by UPN'!$G$3:$R$112,7))</f>
        <v>https://www.digikey.com/en/products/detail/e-switch/R4ABLKBLKEF0/1805255</v>
      </c>
      <c r="P15" s="4">
        <f>VLOOKUP($G15,'Materials by UPN'!$G$3:$R$112,11)</f>
        <v>1.3560000000000001</v>
      </c>
      <c r="Q15" s="4">
        <f t="shared" si="0"/>
        <v>1.3560000000000001</v>
      </c>
      <c r="R15" s="11"/>
    </row>
    <row r="16" spans="1:19" x14ac:dyDescent="0.35">
      <c r="F16" s="2">
        <v>4</v>
      </c>
      <c r="G16" s="2">
        <v>331</v>
      </c>
      <c r="I16" s="2" t="s">
        <v>214</v>
      </c>
      <c r="J16" t="str">
        <f>VLOOKUP($G16,'Materials by UPN'!$G$3:$R$112,2)</f>
        <v>M3 screw, hex, 8 mm, black</v>
      </c>
      <c r="K16" t="str">
        <f>IF(VLOOKUP($G16,'Materials by UPN'!$G$3:$R$112,3)="","",VLOOKUP($G16,'Materials by UPN'!$G$3:$R$112,3))</f>
        <v/>
      </c>
      <c r="L16" t="str">
        <f>IF(VLOOKUP($G16,'Materials by UPN'!$G$3:$R$112,4)="","",VLOOKUP($G16,'Materials by UPN'!$G$3:$R$112,4))</f>
        <v/>
      </c>
      <c r="M16" t="str">
        <f>IF(VLOOKUP($G16,'Materials by UPN'!$G$3:$R$112,5)="","",VLOOKUP($G16,'Materials by UPN'!$G$3:$R$112,5))</f>
        <v/>
      </c>
      <c r="N16" t="str">
        <f>VLOOKUP($G16,'Materials by UPN'!$G$3:$R$112,6)</f>
        <v>AliExpress</v>
      </c>
      <c r="O16" t="str">
        <f>IF(VLOOKUP($G16,'Materials by UPN'!$G$3:$R$112,7)="","",VLOOKUP($G16,'Materials by UPN'!$G$3:$R$112,7))</f>
        <v>https://www.aliexpress.us/item/3256805242052170.html</v>
      </c>
      <c r="P16" s="4">
        <f>VLOOKUP($G16,'Materials by UPN'!$G$3:$R$112,11)</f>
        <v>3.4749999999999996E-2</v>
      </c>
      <c r="Q16" s="4">
        <f t="shared" si="0"/>
        <v>0.13899999999999998</v>
      </c>
      <c r="R16" s="11"/>
    </row>
    <row r="17" spans="2:18" x14ac:dyDescent="0.35">
      <c r="F17" s="2">
        <v>4</v>
      </c>
      <c r="G17" s="2">
        <v>332</v>
      </c>
      <c r="I17" s="2" t="s">
        <v>214</v>
      </c>
      <c r="J17" t="str">
        <f>VLOOKUP($G17,'Materials by UPN'!$G$3:$R$112,2)</f>
        <v>M3 split lockwasher</v>
      </c>
      <c r="K17" t="str">
        <f>IF(VLOOKUP($G17,'Materials by UPN'!$G$3:$R$112,3)="","",VLOOKUP($G17,'Materials by UPN'!$G$3:$R$112,3))</f>
        <v/>
      </c>
      <c r="L17" t="str">
        <f>IF(VLOOKUP($G17,'Materials by UPN'!$G$3:$R$112,4)="","",VLOOKUP($G17,'Materials by UPN'!$G$3:$R$112,4))</f>
        <v/>
      </c>
      <c r="M17" t="str">
        <f>IF(VLOOKUP($G17,'Materials by UPN'!$G$3:$R$112,5)="","",VLOOKUP($G17,'Materials by UPN'!$G$3:$R$112,5))</f>
        <v/>
      </c>
      <c r="N17" t="str">
        <f>VLOOKUP($G17,'Materials by UPN'!$G$3:$R$112,6)</f>
        <v>Amazon</v>
      </c>
      <c r="O17" t="str">
        <f>IF(VLOOKUP($G17,'Materials by UPN'!$G$3:$R$112,7)="","",VLOOKUP($G17,'Materials by UPN'!$G$3:$R$112,7))</f>
        <v>https://www.amazon.com/gp/product/B07Z2FJ2XW</v>
      </c>
      <c r="P17" s="4">
        <f>VLOOKUP($G17,'Materials by UPN'!$G$3:$R$112,11)</f>
        <v>2.1528450000000001E-2</v>
      </c>
      <c r="Q17" s="4">
        <f t="shared" si="0"/>
        <v>8.6113800000000004E-2</v>
      </c>
      <c r="R17" s="11"/>
    </row>
    <row r="18" spans="2:18" x14ac:dyDescent="0.35">
      <c r="F18" s="2">
        <v>1</v>
      </c>
      <c r="G18" s="2">
        <v>347</v>
      </c>
      <c r="I18" s="2" t="s">
        <v>253</v>
      </c>
      <c r="J18" t="str">
        <f>VLOOKUP($G18,'Materials by UPN'!$G$3:$R$112,2)</f>
        <v>Flat Cable, 8-pin 2x4 IDC, 10cm</v>
      </c>
      <c r="K18" t="str">
        <f>IF(VLOOKUP($G18,'Materials by UPN'!$G$3:$R$112,3)="","",VLOOKUP($G18,'Materials by UPN'!$G$3:$R$112,3))</f>
        <v/>
      </c>
      <c r="L18" t="str">
        <f>IF(VLOOKUP($G18,'Materials by UPN'!$G$3:$R$112,4)="","",VLOOKUP($G18,'Materials by UPN'!$G$3:$R$112,4))</f>
        <v/>
      </c>
      <c r="M18" t="str">
        <f>IF(VLOOKUP($G18,'Materials by UPN'!$G$3:$R$112,5)="","",VLOOKUP($G18,'Materials by UPN'!$G$3:$R$112,5))</f>
        <v/>
      </c>
      <c r="N18" t="str">
        <f>VLOOKUP($G18,'Materials by UPN'!$G$3:$R$112,6)</f>
        <v>AliExpress</v>
      </c>
      <c r="O18" t="str">
        <f>IF(VLOOKUP($G18,'Materials by UPN'!$G$3:$R$112,7)="","",VLOOKUP($G18,'Materials by UPN'!$G$3:$R$112,7))</f>
        <v>https://www.aliexpress.us/item/3256803248238815.html</v>
      </c>
      <c r="P18" s="4">
        <f>VLOOKUP($G18,'Materials by UPN'!$G$3:$R$112,11)</f>
        <v>1.1704045454545453</v>
      </c>
      <c r="Q18" s="4">
        <f>F18*P18</f>
        <v>1.1704045454545453</v>
      </c>
      <c r="R18" s="11"/>
    </row>
    <row r="19" spans="2:18" x14ac:dyDescent="0.35">
      <c r="F19" s="2">
        <v>1</v>
      </c>
      <c r="G19" s="2">
        <v>348</v>
      </c>
      <c r="I19" s="2" t="s">
        <v>253</v>
      </c>
      <c r="J19" t="str">
        <f>VLOOKUP($G19,'Materials by UPN'!$G$3:$R$112,2)</f>
        <v>Flat Cable, 16-pin 2x8 IDC, 10cm</v>
      </c>
      <c r="K19" t="str">
        <f>IF(VLOOKUP($G19,'Materials by UPN'!$G$3:$R$112,3)="","",VLOOKUP($G19,'Materials by UPN'!$G$3:$R$112,3))</f>
        <v/>
      </c>
      <c r="L19" t="str">
        <f>IF(VLOOKUP($G19,'Materials by UPN'!$G$3:$R$112,4)="","",VLOOKUP($G19,'Materials by UPN'!$G$3:$R$112,4))</f>
        <v/>
      </c>
      <c r="M19" t="str">
        <f>IF(VLOOKUP($G19,'Materials by UPN'!$G$3:$R$112,5)="","",VLOOKUP($G19,'Materials by UPN'!$G$3:$R$112,5))</f>
        <v/>
      </c>
      <c r="N19" t="str">
        <f>VLOOKUP($G19,'Materials by UPN'!$G$3:$R$112,6)</f>
        <v>AliExpress</v>
      </c>
      <c r="O19" t="str">
        <f>IF(VLOOKUP($G19,'Materials by UPN'!$G$3:$R$112,7)="","",VLOOKUP($G19,'Materials by UPN'!$G$3:$R$112,7))</f>
        <v>https://www.aliexpress.us/item/3256803248238815.html</v>
      </c>
      <c r="P19" s="4">
        <f>VLOOKUP($G19,'Materials by UPN'!$G$3:$R$112,11)</f>
        <v>1.3298745454545453</v>
      </c>
      <c r="Q19" s="4">
        <f>F19*P19</f>
        <v>1.3298745454545453</v>
      </c>
      <c r="R19" s="11"/>
    </row>
    <row r="20" spans="2:18" x14ac:dyDescent="0.35">
      <c r="F20" s="2">
        <v>10</v>
      </c>
      <c r="G20" s="2">
        <v>364</v>
      </c>
      <c r="I20" s="2" t="s">
        <v>216</v>
      </c>
      <c r="J20" t="str">
        <f>VLOOKUP($G20,'Materials by UPN'!$G$3:$R$112,2)</f>
        <v>3" x 5" Small Plastic Bags- Reclosable Zip Bags</v>
      </c>
      <c r="K20" t="str">
        <f>IF(VLOOKUP($G20,'Materials by UPN'!$G$3:$R$112,3)="","",VLOOKUP($G20,'Materials by UPN'!$G$3:$R$112,3))</f>
        <v/>
      </c>
      <c r="L20" t="str">
        <f>IF(VLOOKUP($G20,'Materials by UPN'!$G$3:$R$112,4)="","",VLOOKUP($G20,'Materials by UPN'!$G$3:$R$112,4))</f>
        <v/>
      </c>
      <c r="M20" t="str">
        <f>IF(VLOOKUP($G20,'Materials by UPN'!$G$3:$R$112,5)="","",VLOOKUP($G20,'Materials by UPN'!$G$3:$R$112,5))</f>
        <v/>
      </c>
      <c r="N20" t="str">
        <f>VLOOKUP($G20,'Materials by UPN'!$G$3:$R$112,6)</f>
        <v>Amazon</v>
      </c>
      <c r="O20" t="str">
        <f>IF(VLOOKUP($G20,'Materials by UPN'!$G$3:$R$112,7)="","",VLOOKUP($G20,'Materials by UPN'!$G$3:$R$112,7))</f>
        <v>https://www.amazon.com/gp/product/B07XBF98NV</v>
      </c>
      <c r="P20" s="4">
        <f>VLOOKUP($G20,'Materials by UPN'!$G$3:$R$112,11)</f>
        <v>1.9379999999999998E-2</v>
      </c>
      <c r="Q20" s="4">
        <f>F20*P20</f>
        <v>0.19379999999999997</v>
      </c>
      <c r="R20" s="11"/>
    </row>
    <row r="21" spans="2:18" x14ac:dyDescent="0.35">
      <c r="F21" s="2">
        <v>1</v>
      </c>
      <c r="G21" s="2">
        <v>368</v>
      </c>
      <c r="I21" s="2" t="s">
        <v>216</v>
      </c>
      <c r="J21" t="str">
        <f>VLOOKUP($G21,'Materials by UPN'!$G$3:$R$112,2)</f>
        <v>Ziplock Sandwich Bag</v>
      </c>
      <c r="K21" t="str">
        <f>IF(VLOOKUP($G21,'Materials by UPN'!$G$3:$R$112,3)="","",VLOOKUP($G21,'Materials by UPN'!$G$3:$R$112,3))</f>
        <v/>
      </c>
      <c r="L21" t="str">
        <f>IF(VLOOKUP($G21,'Materials by UPN'!$G$3:$R$112,4)="","",VLOOKUP($G21,'Materials by UPN'!$G$3:$R$112,4))</f>
        <v/>
      </c>
      <c r="M21" t="str">
        <f>IF(VLOOKUP($G21,'Materials by UPN'!$G$3:$R$112,5)="","",VLOOKUP($G21,'Materials by UPN'!$G$3:$R$112,5))</f>
        <v/>
      </c>
      <c r="N21" t="str">
        <f>VLOOKUP($G21,'Materials by UPN'!$G$3:$R$112,6)</f>
        <v>Costco</v>
      </c>
      <c r="O21" t="str">
        <f>IF(VLOOKUP($G21,'Materials by UPN'!$G$3:$R$112,7)="","",VLOOKUP($G21,'Materials by UPN'!$G$3:$R$112,7))</f>
        <v/>
      </c>
      <c r="P21" s="4">
        <f>VLOOKUP($G21,'Materials by UPN'!$G$3:$R$112,11)</f>
        <v>0</v>
      </c>
      <c r="Q21" s="4">
        <f>F21*P21</f>
        <v>0</v>
      </c>
      <c r="R21" s="11"/>
    </row>
    <row r="22" spans="2:18" x14ac:dyDescent="0.35">
      <c r="B22" s="1" t="s">
        <v>183</v>
      </c>
      <c r="Q22" s="4"/>
      <c r="R22" s="11"/>
    </row>
    <row r="23" spans="2:18" x14ac:dyDescent="0.35">
      <c r="F23" s="2">
        <v>2</v>
      </c>
      <c r="G23" s="2">
        <v>358</v>
      </c>
      <c r="I23" s="2" t="s">
        <v>229</v>
      </c>
      <c r="J23" t="str">
        <f>VLOOKUP($G23,'Materials by UPN'!$G$3:$R$112,2)</f>
        <v>Fender Washer, M3x16x1.0 mm</v>
      </c>
      <c r="K23" t="str">
        <f>IF(VLOOKUP($G23,'Materials by UPN'!$G$3:$R$112,3)="","",VLOOKUP($G23,'Materials by UPN'!$G$3:$R$112,3))</f>
        <v/>
      </c>
      <c r="L23" t="str">
        <f>IF(VLOOKUP($G23,'Materials by UPN'!$G$3:$R$112,4)="","",VLOOKUP($G23,'Materials by UPN'!$G$3:$R$112,4))</f>
        <v/>
      </c>
      <c r="M23" t="str">
        <f>IF(VLOOKUP($G23,'Materials by UPN'!$G$3:$R$112,5)="","",VLOOKUP($G23,'Materials by UPN'!$G$3:$R$112,5))</f>
        <v/>
      </c>
      <c r="N23" t="str">
        <f>VLOOKUP($G23,'Materials by UPN'!$G$3:$R$112,6)</f>
        <v>AliExpress</v>
      </c>
      <c r="O23" t="str">
        <f>IF(VLOOKUP($G23,'Materials by UPN'!$G$3:$R$112,7)="","",VLOOKUP($G23,'Materials by UPN'!$G$3:$R$112,7))</f>
        <v>https://www.aliexpress.us/item/3256802393168670.html</v>
      </c>
      <c r="P23" s="4">
        <f>VLOOKUP($G23,'Materials by UPN'!$G$3:$R$112,11)</f>
        <v>6.7625000000000005E-2</v>
      </c>
      <c r="Q23" s="4">
        <f>F23*P23</f>
        <v>0.13525000000000001</v>
      </c>
      <c r="R23" s="11"/>
    </row>
    <row r="24" spans="2:18" x14ac:dyDescent="0.35">
      <c r="F24" s="2">
        <v>2</v>
      </c>
      <c r="G24" s="2">
        <v>331</v>
      </c>
      <c r="I24" s="2" t="s">
        <v>229</v>
      </c>
      <c r="J24" t="str">
        <f>VLOOKUP($G24,'Materials by UPN'!$G$3:$R$112,2)</f>
        <v>M3 screw, hex, 8 mm, black</v>
      </c>
      <c r="K24" t="str">
        <f>IF(VLOOKUP($G24,'Materials by UPN'!$G$3:$R$112,3)="","",VLOOKUP($G24,'Materials by UPN'!$G$3:$R$112,3))</f>
        <v/>
      </c>
      <c r="L24" t="str">
        <f>IF(VLOOKUP($G24,'Materials by UPN'!$G$3:$R$112,4)="","",VLOOKUP($G24,'Materials by UPN'!$G$3:$R$112,4))</f>
        <v/>
      </c>
      <c r="M24" t="str">
        <f>IF(VLOOKUP($G24,'Materials by UPN'!$G$3:$R$112,5)="","",VLOOKUP($G24,'Materials by UPN'!$G$3:$R$112,5))</f>
        <v/>
      </c>
      <c r="N24" t="str">
        <f>VLOOKUP($G24,'Materials by UPN'!$G$3:$R$112,6)</f>
        <v>AliExpress</v>
      </c>
      <c r="O24" t="str">
        <f>IF(VLOOKUP($G24,'Materials by UPN'!$G$3:$R$112,7)="","",VLOOKUP($G24,'Materials by UPN'!$G$3:$R$112,7))</f>
        <v>https://www.aliexpress.us/item/3256805242052170.html</v>
      </c>
      <c r="P24" s="4">
        <f>VLOOKUP($G24,'Materials by UPN'!$G$3:$R$112,11)</f>
        <v>3.4749999999999996E-2</v>
      </c>
      <c r="Q24" s="4">
        <f>F24*P24</f>
        <v>6.9499999999999992E-2</v>
      </c>
      <c r="R24" s="11"/>
    </row>
    <row r="25" spans="2:18" x14ac:dyDescent="0.35">
      <c r="F25" s="2">
        <v>2</v>
      </c>
      <c r="G25" s="2">
        <v>332</v>
      </c>
      <c r="I25" s="2" t="s">
        <v>229</v>
      </c>
      <c r="J25" t="str">
        <f>VLOOKUP($G25,'Materials by UPN'!$G$3:$R$112,2)</f>
        <v>M3 split lockwasher</v>
      </c>
      <c r="K25" t="str">
        <f>IF(VLOOKUP($G25,'Materials by UPN'!$G$3:$R$112,3)="","",VLOOKUP($G25,'Materials by UPN'!$G$3:$R$112,3))</f>
        <v/>
      </c>
      <c r="L25" t="str">
        <f>IF(VLOOKUP($G25,'Materials by UPN'!$G$3:$R$112,4)="","",VLOOKUP($G25,'Materials by UPN'!$G$3:$R$112,4))</f>
        <v/>
      </c>
      <c r="M25" t="str">
        <f>IF(VLOOKUP($G25,'Materials by UPN'!$G$3:$R$112,5)="","",VLOOKUP($G25,'Materials by UPN'!$G$3:$R$112,5))</f>
        <v/>
      </c>
      <c r="N25" t="str">
        <f>VLOOKUP($G25,'Materials by UPN'!$G$3:$R$112,6)</f>
        <v>Amazon</v>
      </c>
      <c r="O25" t="str">
        <f>IF(VLOOKUP($G25,'Materials by UPN'!$G$3:$R$112,7)="","",VLOOKUP($G25,'Materials by UPN'!$G$3:$R$112,7))</f>
        <v>https://www.amazon.com/gp/product/B07Z2FJ2XW</v>
      </c>
      <c r="P25" s="4">
        <f>VLOOKUP($G25,'Materials by UPN'!$G$3:$R$112,11)</f>
        <v>2.1528450000000001E-2</v>
      </c>
      <c r="Q25" s="4">
        <f>F25*P25</f>
        <v>4.3056900000000002E-2</v>
      </c>
      <c r="R25" s="11"/>
    </row>
    <row r="26" spans="2:18" x14ac:dyDescent="0.35">
      <c r="R26" s="11"/>
    </row>
    <row r="27" spans="2:18" x14ac:dyDescent="0.35">
      <c r="B27" s="19" t="s">
        <v>8</v>
      </c>
      <c r="C27" s="19"/>
      <c r="D27" s="19"/>
      <c r="E27" s="19"/>
      <c r="F27" s="20"/>
      <c r="G27" s="20"/>
      <c r="H27" s="21"/>
      <c r="I27" s="20"/>
      <c r="J27" s="22"/>
      <c r="K27" s="22"/>
      <c r="L27" s="22"/>
      <c r="M27" s="22"/>
      <c r="N27" s="22"/>
      <c r="O27" s="22"/>
      <c r="P27" s="23"/>
      <c r="Q27" s="22"/>
      <c r="R27" s="24">
        <f>SUM(Q27:Q49)</f>
        <v>50.654121481680669</v>
      </c>
    </row>
    <row r="28" spans="2:18" x14ac:dyDescent="0.35">
      <c r="F28" s="2">
        <v>1</v>
      </c>
      <c r="G28" s="2">
        <v>341</v>
      </c>
      <c r="H28" s="15" t="s">
        <v>121</v>
      </c>
      <c r="I28" s="2" t="s">
        <v>217</v>
      </c>
      <c r="J28" t="str">
        <f>VLOOKUP($G28,'Materials by UPN'!$G$3:$R$112,2)</f>
        <v>CONN HEADER VERT 2x4 Pos, 2.54mm</v>
      </c>
      <c r="K28" t="str">
        <f>IF(VLOOKUP($G28,'Materials by UPN'!$G$3:$R$112,3)="","",VLOOKUP($G28,'Materials by UPN'!$G$3:$R$112,3))</f>
        <v/>
      </c>
      <c r="L28" t="str">
        <f>IF(VLOOKUP($G28,'Materials by UPN'!$G$3:$R$112,4)="","",VLOOKUP($G28,'Materials by UPN'!$G$3:$R$112,4))</f>
        <v/>
      </c>
      <c r="M28" t="str">
        <f>IF(VLOOKUP($G28,'Materials by UPN'!$G$3:$R$112,5)="","",VLOOKUP($G28,'Materials by UPN'!$G$3:$R$112,5))</f>
        <v/>
      </c>
      <c r="N28" t="str">
        <f>VLOOKUP($G28,'Materials by UPN'!$G$3:$R$112,6)</f>
        <v>AliExpress</v>
      </c>
      <c r="O28" t="str">
        <f>IF(VLOOKUP($G28,'Materials by UPN'!$G$3:$R$112,7)="","",VLOOKUP($G28,'Materials by UPN'!$G$3:$R$112,7))</f>
        <v>https://www.aliexpress.us/item/3256805773340189.html</v>
      </c>
      <c r="P28" s="4">
        <f>VLOOKUP($G28,'Materials by UPN'!$G$3:$R$112,11)</f>
        <v>6.7799999999999999E-2</v>
      </c>
      <c r="Q28" s="4">
        <f t="shared" ref="Q28:Q35" si="1">F28*P28</f>
        <v>6.7799999999999999E-2</v>
      </c>
      <c r="R28" s="11"/>
    </row>
    <row r="29" spans="2:18" x14ac:dyDescent="0.35">
      <c r="F29" s="2">
        <v>1</v>
      </c>
      <c r="G29" s="2">
        <v>342</v>
      </c>
      <c r="H29" s="15" t="s">
        <v>122</v>
      </c>
      <c r="I29" s="2" t="s">
        <v>217</v>
      </c>
      <c r="J29" t="str">
        <f>VLOOKUP($G29,'Materials by UPN'!$G$3:$R$112,2)</f>
        <v>CONN HEADER VERT 2x8 Pos, 2.54mm</v>
      </c>
      <c r="K29" t="str">
        <f>IF(VLOOKUP($G29,'Materials by UPN'!$G$3:$R$112,3)="","",VLOOKUP($G29,'Materials by UPN'!$G$3:$R$112,3))</f>
        <v/>
      </c>
      <c r="L29" t="str">
        <f>IF(VLOOKUP($G29,'Materials by UPN'!$G$3:$R$112,4)="","",VLOOKUP($G29,'Materials by UPN'!$G$3:$R$112,4))</f>
        <v/>
      </c>
      <c r="M29" t="str">
        <f>IF(VLOOKUP($G29,'Materials by UPN'!$G$3:$R$112,5)="","",VLOOKUP($G29,'Materials by UPN'!$G$3:$R$112,5))</f>
        <v/>
      </c>
      <c r="N29" t="str">
        <f>VLOOKUP($G29,'Materials by UPN'!$G$3:$R$112,6)</f>
        <v>AliExpress</v>
      </c>
      <c r="O29" t="str">
        <f>IF(VLOOKUP($G29,'Materials by UPN'!$G$3:$R$112,7)="","",VLOOKUP($G29,'Materials by UPN'!$G$3:$R$112,7))</f>
        <v>https://www.aliexpress.us/item/3256805773340189.html</v>
      </c>
      <c r="P29" s="4">
        <f>VLOOKUP($G29,'Materials by UPN'!$G$3:$R$112,11)</f>
        <v>0.12908449999999999</v>
      </c>
      <c r="Q29" s="4">
        <f t="shared" si="1"/>
        <v>0.12908449999999999</v>
      </c>
      <c r="R29" s="11"/>
    </row>
    <row r="30" spans="2:18" x14ac:dyDescent="0.35">
      <c r="F30" s="2">
        <v>1</v>
      </c>
      <c r="G30" s="2">
        <v>345</v>
      </c>
      <c r="H30" s="15" t="s">
        <v>120</v>
      </c>
      <c r="I30" s="2" t="s">
        <v>217</v>
      </c>
      <c r="J30" t="str">
        <f>VLOOKUP($G30,'Materials by UPN'!$G$3:$R$112,2)</f>
        <v>CONN HEADER VERT 2x5 Pos, 2.54mm</v>
      </c>
      <c r="K30" t="str">
        <f>IF(VLOOKUP($G30,'Materials by UPN'!$G$3:$R$112,3)="","",VLOOKUP($G30,'Materials by UPN'!$G$3:$R$112,3))</f>
        <v/>
      </c>
      <c r="L30" t="str">
        <f>IF(VLOOKUP($G30,'Materials by UPN'!$G$3:$R$112,4)="","",VLOOKUP($G30,'Materials by UPN'!$G$3:$R$112,4))</f>
        <v/>
      </c>
      <c r="M30" t="str">
        <f>IF(VLOOKUP($G30,'Materials by UPN'!$G$3:$R$112,5)="","",VLOOKUP($G30,'Materials by UPN'!$G$3:$R$112,5))</f>
        <v/>
      </c>
      <c r="N30" t="str">
        <f>VLOOKUP($G30,'Materials by UPN'!$G$3:$R$112,6)</f>
        <v>AliExpress</v>
      </c>
      <c r="O30" t="str">
        <f>IF(VLOOKUP($G30,'Materials by UPN'!$G$3:$R$112,7)="","",VLOOKUP($G30,'Materials by UPN'!$G$3:$R$112,7))</f>
        <v>https://www.aliexpress.us/item/3256805773340189.html</v>
      </c>
      <c r="P30" s="4">
        <f>VLOOKUP($G30,'Materials by UPN'!$G$3:$R$112,11)</f>
        <v>8.0677812500000001E-2</v>
      </c>
      <c r="Q30" s="4">
        <f t="shared" si="1"/>
        <v>8.0677812500000001E-2</v>
      </c>
      <c r="R30" s="11"/>
    </row>
    <row r="31" spans="2:18" x14ac:dyDescent="0.35">
      <c r="F31" s="2">
        <v>2</v>
      </c>
      <c r="G31" s="2">
        <v>344</v>
      </c>
      <c r="H31" s="15" t="s">
        <v>123</v>
      </c>
      <c r="I31" s="2" t="s">
        <v>217</v>
      </c>
      <c r="J31" t="str">
        <f>VLOOKUP($G31,'Materials by UPN'!$G$3:$R$112,2)</f>
        <v>Connector, 20-pin single row, socket strip, 2.54mm</v>
      </c>
      <c r="K31" t="str">
        <f>IF(VLOOKUP($G31,'Materials by UPN'!$G$3:$R$112,3)="","",VLOOKUP($G31,'Materials by UPN'!$G$3:$R$112,3))</f>
        <v/>
      </c>
      <c r="L31" t="str">
        <f>IF(VLOOKUP($G31,'Materials by UPN'!$G$3:$R$112,4)="","",VLOOKUP($G31,'Materials by UPN'!$G$3:$R$112,4))</f>
        <v/>
      </c>
      <c r="M31" t="str">
        <f>IF(VLOOKUP($G31,'Materials by UPN'!$G$3:$R$112,5)="","",VLOOKUP($G31,'Materials by UPN'!$G$3:$R$112,5))</f>
        <v/>
      </c>
      <c r="N31" t="str">
        <f>VLOOKUP($G31,'Materials by UPN'!$G$3:$R$112,6)</f>
        <v>AliExpress</v>
      </c>
      <c r="O31" t="str">
        <f>IF(VLOOKUP($G31,'Materials by UPN'!$G$3:$R$112,7)="","",VLOOKUP($G31,'Materials by UPN'!$G$3:$R$112,7))</f>
        <v>https://www.aliexpress.us/item/3256803424019097.html</v>
      </c>
      <c r="P31" s="4">
        <f>VLOOKUP($G31,'Materials by UPN'!$G$3:$R$112,11)</f>
        <v>0.51200000000000001</v>
      </c>
      <c r="Q31" s="4">
        <f t="shared" si="1"/>
        <v>1.024</v>
      </c>
      <c r="R31" s="11"/>
    </row>
    <row r="32" spans="2:18" x14ac:dyDescent="0.35">
      <c r="F32" s="2">
        <v>1</v>
      </c>
      <c r="G32" s="2">
        <v>309</v>
      </c>
      <c r="H32" s="15" t="s">
        <v>124</v>
      </c>
      <c r="I32" s="2" t="s">
        <v>249</v>
      </c>
      <c r="J32" t="str">
        <f>VLOOKUP($G32,'Materials by UPN'!$G$3:$R$112,2)</f>
        <v>Raspberry Pi Pico H (SC0917), with pre-soldered headers</v>
      </c>
      <c r="K32" t="str">
        <f>IF(VLOOKUP($G32,'Materials by UPN'!$G$3:$R$112,3)="","",VLOOKUP($G32,'Materials by UPN'!$G$3:$R$112,3))</f>
        <v/>
      </c>
      <c r="L32" t="str">
        <f>IF(VLOOKUP($G32,'Materials by UPN'!$G$3:$R$112,4)="","",VLOOKUP($G32,'Materials by UPN'!$G$3:$R$112,4))</f>
        <v/>
      </c>
      <c r="M32" t="str">
        <f>IF(VLOOKUP($G32,'Materials by UPN'!$G$3:$R$112,5)="","",VLOOKUP($G32,'Materials by UPN'!$G$3:$R$112,5))</f>
        <v/>
      </c>
      <c r="N32" t="str">
        <f>VLOOKUP($G32,'Materials by UPN'!$G$3:$R$112,6)</f>
        <v>Digikey</v>
      </c>
      <c r="O32" t="str">
        <f>IF(VLOOKUP($G32,'Materials by UPN'!$G$3:$R$112,7)="","",VLOOKUP($G32,'Materials by UPN'!$G$3:$R$112,7))</f>
        <v>https://www.digikey.com/en/products/detail/raspberry-pi/SC0917/16608257</v>
      </c>
      <c r="P32" s="4">
        <f>VLOOKUP($G32,'Materials by UPN'!$G$3:$R$112,11)</f>
        <v>6.0870000000000006</v>
      </c>
      <c r="Q32" s="4">
        <f t="shared" si="1"/>
        <v>6.0870000000000006</v>
      </c>
      <c r="R32" s="11"/>
    </row>
    <row r="33" spans="3:20" x14ac:dyDescent="0.35">
      <c r="F33" s="2">
        <v>1</v>
      </c>
      <c r="G33" s="2">
        <v>310</v>
      </c>
      <c r="I33" s="2" t="s">
        <v>217</v>
      </c>
      <c r="J33" t="str">
        <f>VLOOKUP($G33,'Materials by UPN'!$G$3:$R$112,2)</f>
        <v>Single Row 40 Pin 2.54 mm Male Pin Header Connector, cut to 3 pins</v>
      </c>
      <c r="K33" t="str">
        <f>IF(VLOOKUP($G33,'Materials by UPN'!$G$3:$R$112,3)="","",VLOOKUP($G33,'Materials by UPN'!$G$3:$R$112,3))</f>
        <v/>
      </c>
      <c r="L33" t="str">
        <f>IF(VLOOKUP($G33,'Materials by UPN'!$G$3:$R$112,4)="","",VLOOKUP($G33,'Materials by UPN'!$G$3:$R$112,4))</f>
        <v/>
      </c>
      <c r="M33" t="str">
        <f>IF(VLOOKUP($G33,'Materials by UPN'!$G$3:$R$112,5)="","",VLOOKUP($G33,'Materials by UPN'!$G$3:$R$112,5))</f>
        <v/>
      </c>
      <c r="N33" t="str">
        <f>VLOOKUP($G33,'Materials by UPN'!$G$3:$R$112,6)</f>
        <v>Amazon</v>
      </c>
      <c r="O33" t="str">
        <f>IF(VLOOKUP($G33,'Materials by UPN'!$G$3:$R$112,7)="","",VLOOKUP($G33,'Materials by UPN'!$G$3:$R$112,7))</f>
        <v>https://www.amazon.com/gp/product/B06XR8CV8P</v>
      </c>
      <c r="P33" s="4">
        <f>VLOOKUP($G33,'Materials by UPN'!$G$3:$R$112,11)</f>
        <v>1.6156156156156155E-2</v>
      </c>
      <c r="Q33" s="4">
        <f t="shared" si="1"/>
        <v>1.6156156156156155E-2</v>
      </c>
      <c r="R33" s="11"/>
    </row>
    <row r="34" spans="3:20" x14ac:dyDescent="0.35">
      <c r="F34" s="2">
        <v>1</v>
      </c>
      <c r="G34" s="2">
        <v>340</v>
      </c>
      <c r="H34" s="15" t="s">
        <v>125</v>
      </c>
      <c r="I34" s="2" t="s">
        <v>217</v>
      </c>
      <c r="J34" t="str">
        <f>VLOOKUP($G34,'Materials by UPN'!$G$3:$R$112,2)</f>
        <v>CONN HEADER VERT 3POS, 3.96MM</v>
      </c>
      <c r="K34" t="str">
        <f>IF(VLOOKUP($G34,'Materials by UPN'!$G$3:$R$112,3)="","",VLOOKUP($G34,'Materials by UPN'!$G$3:$R$112,3))</f>
        <v/>
      </c>
      <c r="L34" t="str">
        <f>IF(VLOOKUP($G34,'Materials by UPN'!$G$3:$R$112,4)="","",VLOOKUP($G34,'Materials by UPN'!$G$3:$R$112,4))</f>
        <v>TE Connectivity AMP Connectors</v>
      </c>
      <c r="M34" t="str">
        <f>IF(VLOOKUP($G34,'Materials by UPN'!$G$3:$R$112,5)="","",VLOOKUP($G34,'Materials by UPN'!$G$3:$R$112,5))</f>
        <v>4-1123724-2</v>
      </c>
      <c r="N34" t="str">
        <f>VLOOKUP($G34,'Materials by UPN'!$G$3:$R$112,6)</f>
        <v>Digikey</v>
      </c>
      <c r="O34" t="str">
        <f>IF(VLOOKUP($G34,'Materials by UPN'!$G$3:$R$112,7)="","",VLOOKUP($G34,'Materials by UPN'!$G$3:$R$112,7))</f>
        <v>https://www.digikey.com/en/products/detail/te-connectivity-amp-connectors/4-1123724-2/5439777</v>
      </c>
      <c r="P34" s="4">
        <f>VLOOKUP($G34,'Materials by UPN'!$G$3:$R$112,11)</f>
        <v>0.14770028112741537</v>
      </c>
      <c r="Q34" s="4">
        <f t="shared" si="1"/>
        <v>0.14770028112741537</v>
      </c>
      <c r="R34" s="11"/>
    </row>
    <row r="35" spans="3:20" x14ac:dyDescent="0.35">
      <c r="F35" s="2">
        <v>1</v>
      </c>
      <c r="G35" s="2">
        <v>338</v>
      </c>
      <c r="I35" s="2" t="s">
        <v>228</v>
      </c>
      <c r="J35" t="str">
        <f>VLOOKUP($G35,'Materials by UPN'!$G$3:$R$112,2)</f>
        <v>Antistatic bag, 15x20 cm</v>
      </c>
      <c r="K35" t="str">
        <f>IF(VLOOKUP($G35,'Materials by UPN'!$G$3:$R$112,3)="","",VLOOKUP($G35,'Materials by UPN'!$G$3:$R$112,3))</f>
        <v/>
      </c>
      <c r="L35" t="str">
        <f>IF(VLOOKUP($G35,'Materials by UPN'!$G$3:$R$112,4)="","",VLOOKUP($G35,'Materials by UPN'!$G$3:$R$112,4))</f>
        <v/>
      </c>
      <c r="M35" t="str">
        <f>IF(VLOOKUP($G35,'Materials by UPN'!$G$3:$R$112,5)="","",VLOOKUP($G35,'Materials by UPN'!$G$3:$R$112,5))</f>
        <v/>
      </c>
      <c r="N35" t="str">
        <f>VLOOKUP($G35,'Materials by UPN'!$G$3:$R$112,6)</f>
        <v>Amazon</v>
      </c>
      <c r="O35" t="str">
        <f>IF(VLOOKUP($G35,'Materials by UPN'!$G$3:$R$112,7)="","",VLOOKUP($G35,'Materials by UPN'!$G$3:$R$112,7))</f>
        <v>https://www.amazon.com/dp/B07TXD47PZ</v>
      </c>
      <c r="P35" s="4">
        <f>VLOOKUP($G35,'Materials by UPN'!$G$3:$R$112,11)</f>
        <v>0.16580000000000003</v>
      </c>
      <c r="Q35" s="4">
        <f t="shared" si="1"/>
        <v>0.16580000000000003</v>
      </c>
      <c r="R35" s="11"/>
    </row>
    <row r="36" spans="3:20" x14ac:dyDescent="0.35">
      <c r="F36" s="2">
        <v>1</v>
      </c>
      <c r="G36" s="2">
        <v>367</v>
      </c>
      <c r="I36" s="2" t="s">
        <v>250</v>
      </c>
      <c r="J36" t="str">
        <f>VLOOKUP($G36,'Materials by UPN'!$G$3:$R$112,2)</f>
        <v>Antistatic bag, 6x9 cm</v>
      </c>
      <c r="K36" t="str">
        <f>IF(VLOOKUP($G36,'Materials by UPN'!$G$3:$R$112,3)="","",VLOOKUP($G36,'Materials by UPN'!$G$3:$R$112,3))</f>
        <v/>
      </c>
      <c r="L36" t="str">
        <f>IF(VLOOKUP($G36,'Materials by UPN'!$G$3:$R$112,4)="","",VLOOKUP($G36,'Materials by UPN'!$G$3:$R$112,4))</f>
        <v/>
      </c>
      <c r="M36" t="str">
        <f>IF(VLOOKUP($G36,'Materials by UPN'!$G$3:$R$112,5)="","",VLOOKUP($G36,'Materials by UPN'!$G$3:$R$112,5))</f>
        <v/>
      </c>
      <c r="N36" t="str">
        <f>VLOOKUP($G36,'Materials by UPN'!$G$3:$R$112,6)</f>
        <v>AliExpress</v>
      </c>
      <c r="O36" t="str">
        <f>IF(VLOOKUP($G36,'Materials by UPN'!$G$3:$R$112,7)="","",VLOOKUP($G36,'Materials by UPN'!$G$3:$R$112,7))</f>
        <v xml:space="preserve">https://www.aliexpress.us/item/3256802834769879.html </v>
      </c>
      <c r="P36" s="4">
        <f>VLOOKUP($G36,'Materials by UPN'!$G$3:$R$112,11)</f>
        <v>8.5311499999999998E-2</v>
      </c>
      <c r="Q36" s="4">
        <f>F36*P36</f>
        <v>8.5311499999999998E-2</v>
      </c>
      <c r="R36" s="11"/>
    </row>
    <row r="37" spans="3:20" x14ac:dyDescent="0.35">
      <c r="L37" s="10"/>
      <c r="O37" s="8"/>
      <c r="Q37" s="4"/>
      <c r="R37" s="11"/>
    </row>
    <row r="38" spans="3:20" x14ac:dyDescent="0.35">
      <c r="C38" s="1" t="s">
        <v>66</v>
      </c>
      <c r="O38" s="8"/>
      <c r="Q38" s="4"/>
      <c r="R38" s="11"/>
    </row>
    <row r="39" spans="3:20" x14ac:dyDescent="0.35">
      <c r="F39" s="2">
        <v>2</v>
      </c>
      <c r="G39" s="2">
        <v>313</v>
      </c>
      <c r="H39" s="15" t="s">
        <v>116</v>
      </c>
      <c r="I39" s="2" t="s">
        <v>252</v>
      </c>
      <c r="J39" t="str">
        <f>VLOOKUP($G39,'Materials by UPN'!$G$3:$R$112,2)</f>
        <v>edge connector, 1PCS, 3.175mm, 2x43 86 pin</v>
      </c>
      <c r="K39" t="str">
        <f>IF(VLOOKUP($G39,'Materials by UPN'!$G$3:$R$112,3)="","",VLOOKUP($G39,'Materials by UPN'!$G$3:$R$112,3))</f>
        <v/>
      </c>
      <c r="L39" t="str">
        <f>IF(VLOOKUP($G39,'Materials by UPN'!$G$3:$R$112,4)="","",VLOOKUP($G39,'Materials by UPN'!$G$3:$R$112,4))</f>
        <v/>
      </c>
      <c r="M39" t="str">
        <f>IF(VLOOKUP($G39,'Materials by UPN'!$G$3:$R$112,5)="","",VLOOKUP($G39,'Materials by UPN'!$G$3:$R$112,5))</f>
        <v/>
      </c>
      <c r="N39" t="str">
        <f>VLOOKUP($G39,'Materials by UPN'!$G$3:$R$112,6)</f>
        <v>AliExpress</v>
      </c>
      <c r="O39" t="str">
        <f>IF(VLOOKUP($G39,'Materials by UPN'!$G$3:$R$112,7)="","",VLOOKUP($G39,'Materials by UPN'!$G$3:$R$112,7))</f>
        <v>https://www.aliexpress.us/item/2255801094078491.html</v>
      </c>
      <c r="P39" s="4">
        <f>VLOOKUP($G39,'Materials by UPN'!$G$3:$R$112,11)</f>
        <v>3.371</v>
      </c>
      <c r="Q39" s="4">
        <f>F39*P39</f>
        <v>6.742</v>
      </c>
      <c r="R39" s="11"/>
    </row>
    <row r="40" spans="3:20" x14ac:dyDescent="0.35">
      <c r="F40" s="2">
        <v>1</v>
      </c>
      <c r="G40" s="2">
        <v>202</v>
      </c>
      <c r="I40" s="2" t="s">
        <v>217</v>
      </c>
      <c r="J40" t="str">
        <f>VLOOKUP($G40,'Materials by UPN'!$G$3:$R$112,2)</f>
        <v>RK05em connector filler/shim, 3D printed</v>
      </c>
      <c r="K40" t="str">
        <f>IF(VLOOKUP($G40,'Materials by UPN'!$G$3:$R$112,3)="","",VLOOKUP($G40,'Materials by UPN'!$G$3:$R$112,3))</f>
        <v>v05</v>
      </c>
      <c r="L40" t="str">
        <f>IF(VLOOKUP($G40,'Materials by UPN'!$G$3:$R$112,4)="","",VLOOKUP($G40,'Materials by UPN'!$G$3:$R$112,4))</f>
        <v/>
      </c>
      <c r="M40" t="str">
        <f>IF(VLOOKUP($G40,'Materials by UPN'!$G$3:$R$112,5)="","",VLOOKUP($G40,'Materials by UPN'!$G$3:$R$112,5))</f>
        <v>202 v05</v>
      </c>
      <c r="N40" t="str">
        <f>VLOOKUP($G40,'Materials by UPN'!$G$3:$R$112,6)</f>
        <v>JLCPCB</v>
      </c>
      <c r="O40" t="str">
        <f>IF(VLOOKUP($G40,'Materials by UPN'!$G$3:$R$112,7)="","",VLOOKUP($G40,'Materials by UPN'!$G$3:$R$112,7))</f>
        <v>200 v03, SLA (Resin), LEDO 6060, Natural White</v>
      </c>
      <c r="P40" s="4">
        <f>VLOOKUP($G40,'Materials by UPN'!$G$3:$R$112,11)</f>
        <v>1.0696666666666668</v>
      </c>
      <c r="Q40" s="4">
        <f>F40*P40</f>
        <v>1.0696666666666668</v>
      </c>
      <c r="R40" s="11"/>
    </row>
    <row r="41" spans="3:20" x14ac:dyDescent="0.35">
      <c r="R41" s="11"/>
    </row>
    <row r="42" spans="3:20" x14ac:dyDescent="0.35">
      <c r="C42" s="1" t="s">
        <v>9</v>
      </c>
      <c r="R42" s="11"/>
    </row>
    <row r="43" spans="3:20" x14ac:dyDescent="0.35">
      <c r="F43" s="2">
        <v>1</v>
      </c>
      <c r="G43" s="2">
        <v>100</v>
      </c>
      <c r="I43" s="2" t="s">
        <v>219</v>
      </c>
      <c r="J43" t="str">
        <f>VLOOKUP($G43,'Materials by UPN'!$G$3:$R$112,2)</f>
        <v>Emulator Main Board assembled</v>
      </c>
      <c r="K43" t="str">
        <f>IF(VLOOKUP($G43,'Materials by UPN'!$G$3:$R$112,3)="","",VLOOKUP($G43,'Materials by UPN'!$G$3:$R$112,3))</f>
        <v>v1</v>
      </c>
      <c r="L43" t="str">
        <f>IF(VLOOKUP($G43,'Materials by UPN'!$G$3:$R$112,4)="","",VLOOKUP($G43,'Materials by UPN'!$G$3:$R$112,4))</f>
        <v/>
      </c>
      <c r="M43" t="str">
        <f>IF(VLOOKUP($G43,'Materials by UPN'!$G$3:$R$112,5)="","",VLOOKUP($G43,'Materials by UPN'!$G$3:$R$112,5))</f>
        <v/>
      </c>
      <c r="N43" t="str">
        <f>VLOOKUP($G43,'Materials by UPN'!$G$3:$R$112,6)</f>
        <v>JLCPCB</v>
      </c>
      <c r="O43" t="str">
        <f>IF(VLOOKUP($G43,'Materials by UPN'!$G$3:$R$112,7)="","",VLOOKUP($G43,'Materials by UPN'!$G$3:$R$112,7))</f>
        <v>Surface Finish: LeadFree HASL</v>
      </c>
      <c r="P43" s="4">
        <f>VLOOKUP($G43,'Materials by UPN'!$G$3:$R$112,11)</f>
        <v>33.939095000000002</v>
      </c>
      <c r="Q43" s="4">
        <f>F43*P43</f>
        <v>33.939095000000002</v>
      </c>
      <c r="R43" s="11"/>
      <c r="T43" s="4"/>
    </row>
    <row r="44" spans="3:20" x14ac:dyDescent="0.35">
      <c r="Q44" s="4"/>
      <c r="R44" s="11"/>
    </row>
    <row r="45" spans="3:20" x14ac:dyDescent="0.35">
      <c r="C45" s="1" t="s">
        <v>126</v>
      </c>
      <c r="Q45" s="4"/>
      <c r="R45" s="11"/>
    </row>
    <row r="46" spans="3:20" x14ac:dyDescent="0.35">
      <c r="F46" s="2">
        <v>2</v>
      </c>
      <c r="G46" s="2">
        <v>312</v>
      </c>
      <c r="I46" s="2" t="s">
        <v>217</v>
      </c>
      <c r="J46" t="str">
        <f>VLOOKUP($G46,'Materials by UPN'!$G$3:$R$112,2)</f>
        <v>connector, 3-pin, 3.96 EP PLUG HSG 3P(BLACK)</v>
      </c>
      <c r="K46" t="str">
        <f>IF(VLOOKUP($G46,'Materials by UPN'!$G$3:$R$112,3)="","",VLOOKUP($G46,'Materials by UPN'!$G$3:$R$112,3))</f>
        <v/>
      </c>
      <c r="L46" t="str">
        <f>IF(VLOOKUP($G46,'Materials by UPN'!$G$3:$R$112,4)="","",VLOOKUP($G46,'Materials by UPN'!$G$3:$R$112,4))</f>
        <v>TE Connectivity AMP Connectors</v>
      </c>
      <c r="M46" t="str">
        <f>IF(VLOOKUP($G46,'Materials by UPN'!$G$3:$R$112,5)="","",VLOOKUP($G46,'Materials by UPN'!$G$3:$R$112,5))</f>
        <v>5-1123722-3</v>
      </c>
      <c r="N46" t="str">
        <f>VLOOKUP($G46,'Materials by UPN'!$G$3:$R$112,6)</f>
        <v>Digikey</v>
      </c>
      <c r="O46" t="str">
        <f>IF(VLOOKUP($G46,'Materials by UPN'!$G$3:$R$112,7)="","",VLOOKUP($G46,'Materials by UPN'!$G$3:$R$112,7))</f>
        <v>https://www.digikey.com/en/products/detail/te-connectivity-amp-connectors/5-1123722-3/10467997</v>
      </c>
      <c r="P46" s="4">
        <f>VLOOKUP($G46,'Materials by UPN'!$G$3:$R$112,11)</f>
        <v>9.9301318950070216E-2</v>
      </c>
      <c r="Q46" s="4">
        <f>F46*P46</f>
        <v>0.19860263790014043</v>
      </c>
      <c r="R46" s="11"/>
    </row>
    <row r="47" spans="3:20" x14ac:dyDescent="0.35">
      <c r="F47" s="2">
        <v>4</v>
      </c>
      <c r="G47" s="2">
        <v>339</v>
      </c>
      <c r="I47" s="2" t="s">
        <v>217</v>
      </c>
      <c r="J47" t="str">
        <f>VLOOKUP($G47,'Materials by UPN'!$G$3:$R$112,2)</f>
        <v>CONN SOCKET Pin, 18-22AWG, crimp tin</v>
      </c>
      <c r="K47" t="str">
        <f>IF(VLOOKUP($G47,'Materials by UPN'!$G$3:$R$112,3)="","",VLOOKUP($G47,'Materials by UPN'!$G$3:$R$112,3))</f>
        <v/>
      </c>
      <c r="L47" t="str">
        <f>IF(VLOOKUP($G47,'Materials by UPN'!$G$3:$R$112,4)="","",VLOOKUP($G47,'Materials by UPN'!$G$3:$R$112,4))</f>
        <v>TE Connectivity AMP Connectors</v>
      </c>
      <c r="M47" t="str">
        <f>IF(VLOOKUP($G47,'Materials by UPN'!$G$3:$R$112,5)="","",VLOOKUP($G47,'Materials by UPN'!$G$3:$R$112,5))</f>
        <v>1123721-2</v>
      </c>
      <c r="N47" t="str">
        <f>VLOOKUP($G47,'Materials by UPN'!$G$3:$R$112,6)</f>
        <v>Digikey</v>
      </c>
      <c r="O47" t="str">
        <f>IF(VLOOKUP($G47,'Materials by UPN'!$G$3:$R$112,7)="","",VLOOKUP($G47,'Materials by UPN'!$G$3:$R$112,7))</f>
        <v>https://www.digikey.com/en/products/detail/te-connectivity-amp-connectors/1123721-2/686921</v>
      </c>
      <c r="P47" s="4">
        <f>VLOOKUP($G47,'Materials by UPN'!$G$3:$R$112,11)</f>
        <v>0.17641108789317883</v>
      </c>
      <c r="Q47" s="4">
        <f>F47*P47</f>
        <v>0.70564435157271532</v>
      </c>
      <c r="R47" s="11"/>
    </row>
    <row r="48" spans="3:20" x14ac:dyDescent="0.35">
      <c r="F48" s="2">
        <v>1</v>
      </c>
      <c r="G48" s="2">
        <v>346</v>
      </c>
      <c r="I48" s="2" t="s">
        <v>217</v>
      </c>
      <c r="J48" t="str">
        <f>VLOOKUP($G48,'Materials by UPN'!$G$3:$R$112,2)</f>
        <v>22AWG 2 Conductor, Low-Voltage Tinned-Copper Wire, 12-inch (30.5 cm)</v>
      </c>
      <c r="K48" t="str">
        <f>IF(VLOOKUP($G48,'Materials by UPN'!$G$3:$R$112,3)="","",VLOOKUP($G48,'Materials by UPN'!$G$3:$R$112,3))</f>
        <v/>
      </c>
      <c r="L48" t="str">
        <f>IF(VLOOKUP($G48,'Materials by UPN'!$G$3:$R$112,4)="","",VLOOKUP($G48,'Materials by UPN'!$G$3:$R$112,4))</f>
        <v/>
      </c>
      <c r="M48" t="str">
        <f>IF(VLOOKUP($G48,'Materials by UPN'!$G$3:$R$112,5)="","",VLOOKUP($G48,'Materials by UPN'!$G$3:$R$112,5))</f>
        <v/>
      </c>
      <c r="N48" t="str">
        <f>VLOOKUP($G48,'Materials by UPN'!$G$3:$R$112,6)</f>
        <v>Amazon</v>
      </c>
      <c r="O48" t="str">
        <f>IF(VLOOKUP($G48,'Materials by UPN'!$G$3:$R$112,7)="","",VLOOKUP($G48,'Materials by UPN'!$G$3:$R$112,7))</f>
        <v>https://www.amazon.com/dp/B07SCJ69H4</v>
      </c>
      <c r="P48" s="4">
        <f>VLOOKUP($G48,'Materials by UPN'!$G$3:$R$112,11)</f>
        <v>0.19558257575757576</v>
      </c>
      <c r="Q48" s="4">
        <f>F48*P48</f>
        <v>0.19558257575757576</v>
      </c>
      <c r="R48" s="11"/>
    </row>
    <row r="49" spans="2:18" x14ac:dyDescent="0.35">
      <c r="R49" s="11"/>
    </row>
    <row r="50" spans="2:18" x14ac:dyDescent="0.35">
      <c r="B50" s="19" t="s">
        <v>10</v>
      </c>
      <c r="C50" s="19"/>
      <c r="D50" s="19"/>
      <c r="E50" s="19"/>
      <c r="F50" s="20"/>
      <c r="G50" s="20"/>
      <c r="H50" s="21"/>
      <c r="I50" s="20"/>
      <c r="J50" s="22"/>
      <c r="K50" s="22"/>
      <c r="L50" s="22"/>
      <c r="M50" s="22"/>
      <c r="N50" s="22"/>
      <c r="O50" s="22"/>
      <c r="P50" s="23"/>
      <c r="Q50" s="22"/>
      <c r="R50" s="24">
        <f>SUM(Q50:Q81)</f>
        <v>15.791918475225364</v>
      </c>
    </row>
    <row r="51" spans="2:18" x14ac:dyDescent="0.35">
      <c r="F51" s="2">
        <v>2</v>
      </c>
      <c r="G51" s="2">
        <v>315</v>
      </c>
      <c r="I51" s="2" t="s">
        <v>218</v>
      </c>
      <c r="J51" t="str">
        <f>VLOOKUP($G51,'Materials by UPN'!$G$3:$R$112,2)</f>
        <v>M2 x 8mm screw, steel</v>
      </c>
      <c r="K51" t="str">
        <f>IF(VLOOKUP($G51,'Materials by UPN'!$G$3:$R$112,3)="","",VLOOKUP($G51,'Materials by UPN'!$G$3:$R$112,3))</f>
        <v/>
      </c>
      <c r="L51" t="str">
        <f>IF(VLOOKUP($G51,'Materials by UPN'!$G$3:$R$112,4)="","",VLOOKUP($G51,'Materials by UPN'!$G$3:$R$112,4))</f>
        <v/>
      </c>
      <c r="M51" t="str">
        <f>IF(VLOOKUP($G51,'Materials by UPN'!$G$3:$R$112,5)="","",VLOOKUP($G51,'Materials by UPN'!$G$3:$R$112,5))</f>
        <v/>
      </c>
      <c r="N51" t="str">
        <f>VLOOKUP($G51,'Materials by UPN'!$G$3:$R$112,6)</f>
        <v>Amazon</v>
      </c>
      <c r="O51" t="str">
        <f>IF(VLOOKUP($G51,'Materials by UPN'!$G$3:$R$112,7)="","",VLOOKUP($G51,'Materials by UPN'!$G$3:$R$112,7))</f>
        <v>https://www.amazon.com/gp/product/B01M5DVI7A</v>
      </c>
      <c r="P51" s="4">
        <f>VLOOKUP($G51,'Materials by UPN'!$G$3:$R$112,11)</f>
        <v>8.9666666666666658E-2</v>
      </c>
      <c r="Q51" s="4">
        <f t="shared" ref="Q51:Q67" si="2">F51*P51</f>
        <v>0.17933333333333332</v>
      </c>
      <c r="R51" s="11"/>
    </row>
    <row r="52" spans="2:18" x14ac:dyDescent="0.35">
      <c r="F52" s="2">
        <v>1</v>
      </c>
      <c r="G52" s="2">
        <v>342</v>
      </c>
      <c r="I52" s="2" t="s">
        <v>220</v>
      </c>
      <c r="J52" t="str">
        <f>VLOOKUP($G52,'Materials by UPN'!$G$3:$R$112,2)</f>
        <v>CONN HEADER VERT 2x8 Pos, 2.54mm</v>
      </c>
      <c r="K52" t="str">
        <f>IF(VLOOKUP($G52,'Materials by UPN'!$G$3:$R$112,3)="","",VLOOKUP($G52,'Materials by UPN'!$G$3:$R$112,3))</f>
        <v/>
      </c>
      <c r="L52" t="str">
        <f>IF(VLOOKUP($G52,'Materials by UPN'!$G$3:$R$112,4)="","",VLOOKUP($G52,'Materials by UPN'!$G$3:$R$112,4))</f>
        <v/>
      </c>
      <c r="M52" t="str">
        <f>IF(VLOOKUP($G52,'Materials by UPN'!$G$3:$R$112,5)="","",VLOOKUP($G52,'Materials by UPN'!$G$3:$R$112,5))</f>
        <v/>
      </c>
      <c r="N52" t="str">
        <f>VLOOKUP($G52,'Materials by UPN'!$G$3:$R$112,6)</f>
        <v>AliExpress</v>
      </c>
      <c r="O52" t="str">
        <f>IF(VLOOKUP($G52,'Materials by UPN'!$G$3:$R$112,7)="","",VLOOKUP($G52,'Materials by UPN'!$G$3:$R$112,7))</f>
        <v>https://www.aliexpress.us/item/3256805773340189.html</v>
      </c>
      <c r="P52" s="4">
        <f>VLOOKUP($G52,'Materials by UPN'!$G$3:$R$112,11)</f>
        <v>0.12908449999999999</v>
      </c>
      <c r="Q52" s="4">
        <f>F52*P52</f>
        <v>0.12908449999999999</v>
      </c>
      <c r="R52" s="11"/>
    </row>
    <row r="53" spans="2:18" x14ac:dyDescent="0.35">
      <c r="F53" s="2">
        <v>1</v>
      </c>
      <c r="G53" s="2">
        <v>317</v>
      </c>
      <c r="I53" s="2" t="s">
        <v>220</v>
      </c>
      <c r="J53" t="str">
        <f>VLOOKUP($G53,'Materials by UPN'!$G$3:$R$112,2)</f>
        <v>dipswitch, right angle, 4-switch piano type</v>
      </c>
      <c r="K53" t="str">
        <f>IF(VLOOKUP($G53,'Materials by UPN'!$G$3:$R$112,3)="","",VLOOKUP($G53,'Materials by UPN'!$G$3:$R$112,3))</f>
        <v/>
      </c>
      <c r="L53" t="str">
        <f>IF(VLOOKUP($G53,'Materials by UPN'!$G$3:$R$112,4)="","",VLOOKUP($G53,'Materials by UPN'!$G$3:$R$112,4))</f>
        <v>ALINSIN STORE</v>
      </c>
      <c r="M53" t="str">
        <f>IF(VLOOKUP($G53,'Materials by UPN'!$G$3:$R$112,5)="","",VLOOKUP($G53,'Materials by UPN'!$G$3:$R$112,5))</f>
        <v/>
      </c>
      <c r="N53" t="str">
        <f>VLOOKUP($G53,'Materials by UPN'!$G$3:$R$112,6)</f>
        <v>AliExpress</v>
      </c>
      <c r="O53" t="str">
        <f>IF(VLOOKUP($G53,'Materials by UPN'!$G$3:$R$112,7)="","",VLOOKUP($G53,'Materials by UPN'!$G$3:$R$112,7))</f>
        <v>https://www.aliexpress.us/item/3256803055482916.html</v>
      </c>
      <c r="P53" s="4">
        <f>VLOOKUP($G53,'Materials by UPN'!$G$3:$R$112,11)</f>
        <v>0.43500000000000005</v>
      </c>
      <c r="Q53" s="4">
        <f t="shared" si="2"/>
        <v>0.43500000000000005</v>
      </c>
      <c r="R53" s="11"/>
    </row>
    <row r="54" spans="2:18" x14ac:dyDescent="0.35">
      <c r="F54" s="2">
        <v>2</v>
      </c>
      <c r="G54" s="2">
        <v>318</v>
      </c>
      <c r="I54" s="2" t="s">
        <v>220</v>
      </c>
      <c r="J54" t="str">
        <f>VLOOKUP($G54,'Materials by UPN'!$G$3:$R$112,2)</f>
        <v>22AWG 2 Conductor, Low-Voltage Tinned-Copper Wire, 3.5 inch</v>
      </c>
      <c r="K54" t="str">
        <f>IF(VLOOKUP($G54,'Materials by UPN'!$G$3:$R$112,3)="","",VLOOKUP($G54,'Materials by UPN'!$G$3:$R$112,3))</f>
        <v/>
      </c>
      <c r="L54" t="str">
        <f>IF(VLOOKUP($G54,'Materials by UPN'!$G$3:$R$112,4)="","",VLOOKUP($G54,'Materials by UPN'!$G$3:$R$112,4))</f>
        <v/>
      </c>
      <c r="M54" t="str">
        <f>IF(VLOOKUP($G54,'Materials by UPN'!$G$3:$R$112,5)="","",VLOOKUP($G54,'Materials by UPN'!$G$3:$R$112,5))</f>
        <v/>
      </c>
      <c r="N54" t="str">
        <f>VLOOKUP($G54,'Materials by UPN'!$G$3:$R$112,6)</f>
        <v>Amazon</v>
      </c>
      <c r="O54" t="str">
        <f>IF(VLOOKUP($G54,'Materials by UPN'!$G$3:$R$112,7)="","",VLOOKUP($G54,'Materials by UPN'!$G$3:$R$112,7))</f>
        <v>https://www.amazon.com/dp/B07SCJ69H4</v>
      </c>
      <c r="P54" s="4">
        <f>VLOOKUP($G54,'Materials by UPN'!$G$3:$R$112,11)</f>
        <v>5.7117035398230091E-2</v>
      </c>
      <c r="Q54" s="4">
        <f t="shared" si="2"/>
        <v>0.11423407079646018</v>
      </c>
      <c r="R54" s="11"/>
    </row>
    <row r="55" spans="2:18" x14ac:dyDescent="0.35">
      <c r="F55" s="2">
        <v>4</v>
      </c>
      <c r="G55" s="2">
        <v>319</v>
      </c>
      <c r="I55" s="2" t="s">
        <v>220</v>
      </c>
      <c r="J55" t="str">
        <f>VLOOKUP($G55,'Materials by UPN'!$G$3:$R$112,2)</f>
        <v>Nylon Flag Spade Quick Disconnect, 22-18 AWG</v>
      </c>
      <c r="K55" t="str">
        <f>IF(VLOOKUP($G55,'Materials by UPN'!$G$3:$R$112,3)="","",VLOOKUP($G55,'Materials by UPN'!$G$3:$R$112,3))</f>
        <v/>
      </c>
      <c r="L55" t="str">
        <f>IF(VLOOKUP($G55,'Materials by UPN'!$G$3:$R$112,4)="","",VLOOKUP($G55,'Materials by UPN'!$G$3:$R$112,4))</f>
        <v/>
      </c>
      <c r="M55" t="str">
        <f>IF(VLOOKUP($G55,'Materials by UPN'!$G$3:$R$112,5)="","",VLOOKUP($G55,'Materials by UPN'!$G$3:$R$112,5))</f>
        <v/>
      </c>
      <c r="N55" t="str">
        <f>VLOOKUP($G55,'Materials by UPN'!$G$3:$R$112,6)</f>
        <v>Amazon</v>
      </c>
      <c r="O55" t="str">
        <f>IF(VLOOKUP($G55,'Materials by UPN'!$G$3:$R$112,7)="","",VLOOKUP($G55,'Materials by UPN'!$G$3:$R$112,7))</f>
        <v>https://www.amazon.com/dp/B0C625XHQM</v>
      </c>
      <c r="P55" s="4">
        <f>VLOOKUP($G55,'Materials by UPN'!$G$3:$R$112,11)</f>
        <v>8.6092250000000009E-2</v>
      </c>
      <c r="Q55" s="4">
        <f t="shared" si="2"/>
        <v>0.34436900000000004</v>
      </c>
      <c r="R55" s="11"/>
    </row>
    <row r="56" spans="2:18" x14ac:dyDescent="0.35">
      <c r="F56" s="2">
        <v>1</v>
      </c>
      <c r="G56" s="2">
        <v>343</v>
      </c>
      <c r="I56" s="2" t="s">
        <v>220</v>
      </c>
      <c r="J56" t="str">
        <f>VLOOKUP($G56,'Materials by UPN'!$G$3:$R$112,2)</f>
        <v>Connector, 4-pin single Row, socket strip, 2.54mm</v>
      </c>
      <c r="K56" t="str">
        <f>IF(VLOOKUP($G56,'Materials by UPN'!$G$3:$R$112,3)="","",VLOOKUP($G56,'Materials by UPN'!$G$3:$R$112,3))</f>
        <v/>
      </c>
      <c r="L56" t="str">
        <f>IF(VLOOKUP($G56,'Materials by UPN'!$G$3:$R$112,4)="","",VLOOKUP($G56,'Materials by UPN'!$G$3:$R$112,4))</f>
        <v/>
      </c>
      <c r="M56" t="str">
        <f>IF(VLOOKUP($G56,'Materials by UPN'!$G$3:$R$112,5)="","",VLOOKUP($G56,'Materials by UPN'!$G$3:$R$112,5))</f>
        <v/>
      </c>
      <c r="N56" t="str">
        <f>VLOOKUP($G56,'Materials by UPN'!$G$3:$R$112,6)</f>
        <v>AliExpress</v>
      </c>
      <c r="O56" t="str">
        <f>IF(VLOOKUP($G56,'Materials by UPN'!$G$3:$R$112,7)="","",VLOOKUP($G56,'Materials by UPN'!$G$3:$R$112,7))</f>
        <v>https://www.aliexpress.us/item/3256803424019097.html</v>
      </c>
      <c r="P56" s="4">
        <f>VLOOKUP($G56,'Materials by UPN'!$G$3:$R$112,11)</f>
        <v>9.9000000000000005E-2</v>
      </c>
      <c r="Q56" s="4">
        <f t="shared" si="2"/>
        <v>9.9000000000000005E-2</v>
      </c>
      <c r="R56" s="11"/>
    </row>
    <row r="57" spans="2:18" x14ac:dyDescent="0.35">
      <c r="F57" s="2">
        <v>0</v>
      </c>
      <c r="G57" s="2">
        <v>321</v>
      </c>
      <c r="I57" s="2" t="s">
        <v>218</v>
      </c>
      <c r="J57" t="str">
        <f>VLOOKUP($G57,'Materials by UPN'!$G$3:$R$112,2)</f>
        <v>M2 Phillips Round Pan Head Machine Screws (M2 x 4mm), Stainless Steel</v>
      </c>
      <c r="K57" t="str">
        <f>IF(VLOOKUP($G57,'Materials by UPN'!$G$3:$R$112,3)="","",VLOOKUP($G57,'Materials by UPN'!$G$3:$R$112,3))</f>
        <v/>
      </c>
      <c r="L57" t="str">
        <f>IF(VLOOKUP($G57,'Materials by UPN'!$G$3:$R$112,4)="","",VLOOKUP($G57,'Materials by UPN'!$G$3:$R$112,4))</f>
        <v/>
      </c>
      <c r="M57" t="str">
        <f>IF(VLOOKUP($G57,'Materials by UPN'!$G$3:$R$112,5)="","",VLOOKUP($G57,'Materials by UPN'!$G$3:$R$112,5))</f>
        <v/>
      </c>
      <c r="N57" t="str">
        <f>VLOOKUP($G57,'Materials by UPN'!$G$3:$R$112,6)</f>
        <v>Amazon</v>
      </c>
      <c r="O57" t="str">
        <f>IF(VLOOKUP($G57,'Materials by UPN'!$G$3:$R$112,7)="","",VLOOKUP($G57,'Materials by UPN'!$G$3:$R$112,7))</f>
        <v>https://www.amazon.com/gp/product/B07HFYZ9YM</v>
      </c>
      <c r="P57" s="4">
        <f>VLOOKUP($G57,'Materials by UPN'!$G$3:$R$112,11)</f>
        <v>8.6099999999999996E-2</v>
      </c>
      <c r="Q57" s="4">
        <f t="shared" si="2"/>
        <v>0</v>
      </c>
      <c r="R57" s="11"/>
    </row>
    <row r="58" spans="2:18" x14ac:dyDescent="0.35">
      <c r="F58" s="2">
        <v>2</v>
      </c>
      <c r="G58" s="2">
        <v>322</v>
      </c>
      <c r="I58" s="2" t="s">
        <v>218</v>
      </c>
      <c r="J58" t="str">
        <f>VLOOKUP($G58,'Materials by UPN'!$G$3:$R$112,2)</f>
        <v>M2 split lockwasher</v>
      </c>
      <c r="K58" t="str">
        <f>IF(VLOOKUP($G58,'Materials by UPN'!$G$3:$R$112,3)="","",VLOOKUP($G58,'Materials by UPN'!$G$3:$R$112,3))</f>
        <v/>
      </c>
      <c r="L58" t="str">
        <f>IF(VLOOKUP($G58,'Materials by UPN'!$G$3:$R$112,4)="","",VLOOKUP($G58,'Materials by UPN'!$G$3:$R$112,4))</f>
        <v/>
      </c>
      <c r="M58" t="str">
        <f>IF(VLOOKUP($G58,'Materials by UPN'!$G$3:$R$112,5)="","",VLOOKUP($G58,'Materials by UPN'!$G$3:$R$112,5))</f>
        <v/>
      </c>
      <c r="N58" t="str">
        <f>VLOOKUP($G58,'Materials by UPN'!$G$3:$R$112,6)</f>
        <v>Amazon</v>
      </c>
      <c r="O58" t="str">
        <f>IF(VLOOKUP($G58,'Materials by UPN'!$G$3:$R$112,7)="","",VLOOKUP($G58,'Materials by UPN'!$G$3:$R$112,7))</f>
        <v>https://www.amazon.com/gp/product/B09LLZHY87</v>
      </c>
      <c r="P58" s="4">
        <f>VLOOKUP($G58,'Materials by UPN'!$G$3:$R$112,11)</f>
        <v>2.2620000000000001E-2</v>
      </c>
      <c r="Q58" s="4">
        <f t="shared" si="2"/>
        <v>4.5240000000000002E-2</v>
      </c>
      <c r="R58" s="11"/>
    </row>
    <row r="59" spans="2:18" x14ac:dyDescent="0.35">
      <c r="F59" s="2">
        <v>1</v>
      </c>
      <c r="G59" s="2">
        <v>323</v>
      </c>
      <c r="I59" s="2" t="s">
        <v>220</v>
      </c>
      <c r="J59" t="str">
        <f>VLOOKUP($G59,'Materials by UPN'!$G$3:$R$112,2)</f>
        <v>OLED display module, 128x64, 0.96 inch</v>
      </c>
      <c r="K59" t="str">
        <f>IF(VLOOKUP($G59,'Materials by UPN'!$G$3:$R$112,3)="","",VLOOKUP($G59,'Materials by UPN'!$G$3:$R$112,3))</f>
        <v/>
      </c>
      <c r="L59" t="str">
        <f>IF(VLOOKUP($G59,'Materials by UPN'!$G$3:$R$112,4)="","",VLOOKUP($G59,'Materials by UPN'!$G$3:$R$112,4))</f>
        <v/>
      </c>
      <c r="M59" t="str">
        <f>IF(VLOOKUP($G59,'Materials by UPN'!$G$3:$R$112,5)="","",VLOOKUP($G59,'Materials by UPN'!$G$3:$R$112,5))</f>
        <v/>
      </c>
      <c r="N59" t="str">
        <f>VLOOKUP($G59,'Materials by UPN'!$G$3:$R$112,6)</f>
        <v>AliExpress</v>
      </c>
      <c r="O59" t="str">
        <f>IF(VLOOKUP($G59,'Materials by UPN'!$G$3:$R$112,7)="","",VLOOKUP($G59,'Materials by UPN'!$G$3:$R$112,7))</f>
        <v>https://www.aliexpress.us/item/3256805094941943.html</v>
      </c>
      <c r="P59" s="4">
        <f>VLOOKUP($G59,'Materials by UPN'!$G$3:$R$112,11)</f>
        <v>1.6054545454545455</v>
      </c>
      <c r="Q59" s="4">
        <f t="shared" si="2"/>
        <v>1.6054545454545455</v>
      </c>
      <c r="R59" s="11"/>
    </row>
    <row r="60" spans="2:18" x14ac:dyDescent="0.35">
      <c r="F60" s="2">
        <v>2</v>
      </c>
      <c r="G60" s="2">
        <v>324</v>
      </c>
      <c r="I60" s="2" t="s">
        <v>218</v>
      </c>
      <c r="J60" t="str">
        <f>VLOOKUP($G60,'Materials by UPN'!$G$3:$R$112,2)</f>
        <v>M2 Threaded Spacer, hex, nylon, black, 10mm, female-female</v>
      </c>
      <c r="K60" t="str">
        <f>IF(VLOOKUP($G60,'Materials by UPN'!$G$3:$R$112,3)="","",VLOOKUP($G60,'Materials by UPN'!$G$3:$R$112,3))</f>
        <v/>
      </c>
      <c r="L60" t="str">
        <f>IF(VLOOKUP($G60,'Materials by UPN'!$G$3:$R$112,4)="","",VLOOKUP($G60,'Materials by UPN'!$G$3:$R$112,4))</f>
        <v/>
      </c>
      <c r="M60" t="str">
        <f>IF(VLOOKUP($G60,'Materials by UPN'!$G$3:$R$112,5)="","",VLOOKUP($G60,'Materials by UPN'!$G$3:$R$112,5))</f>
        <v/>
      </c>
      <c r="N60" t="str">
        <f>VLOOKUP($G60,'Materials by UPN'!$G$3:$R$112,6)</f>
        <v>AliExpress</v>
      </c>
      <c r="O60" t="str">
        <f>IF(VLOOKUP($G60,'Materials by UPN'!$G$3:$R$112,7)="","",VLOOKUP($G60,'Materials by UPN'!$G$3:$R$112,7))</f>
        <v>https://www.aliexpress.us/item/3256805464087324.html</v>
      </c>
      <c r="P60" s="4">
        <f>VLOOKUP($G60,'Materials by UPN'!$G$3:$R$112,11)</f>
        <v>4.4600000000000001E-2</v>
      </c>
      <c r="Q60" s="4">
        <f t="shared" si="2"/>
        <v>8.9200000000000002E-2</v>
      </c>
      <c r="R60" s="11"/>
    </row>
    <row r="61" spans="2:18" x14ac:dyDescent="0.35">
      <c r="F61" s="2">
        <v>2</v>
      </c>
      <c r="G61" s="2">
        <v>325</v>
      </c>
      <c r="I61" s="2" t="s">
        <v>218</v>
      </c>
      <c r="J61" t="str">
        <f>VLOOKUP($G61,'Materials by UPN'!$G$3:$R$112,2)</f>
        <v>M2 nylon flat washer</v>
      </c>
      <c r="K61" t="str">
        <f>IF(VLOOKUP($G61,'Materials by UPN'!$G$3:$R$112,3)="","",VLOOKUP($G61,'Materials by UPN'!$G$3:$R$112,3))</f>
        <v/>
      </c>
      <c r="L61" t="str">
        <f>IF(VLOOKUP($G61,'Materials by UPN'!$G$3:$R$112,4)="","",VLOOKUP($G61,'Materials by UPN'!$G$3:$R$112,4))</f>
        <v/>
      </c>
      <c r="M61" t="str">
        <f>IF(VLOOKUP($G61,'Materials by UPN'!$G$3:$R$112,5)="","",VLOOKUP($G61,'Materials by UPN'!$G$3:$R$112,5))</f>
        <v/>
      </c>
      <c r="N61" t="str">
        <f>VLOOKUP($G61,'Materials by UPN'!$G$3:$R$112,6)</f>
        <v>Amazon</v>
      </c>
      <c r="O61" t="str">
        <f>IF(VLOOKUP($G61,'Materials by UPN'!$G$3:$R$112,7)="","",VLOOKUP($G61,'Materials by UPN'!$G$3:$R$112,7))</f>
        <v>https://www.amazon.com/uxcell-Insulating-Washers-Gaskets-Spacers/dp/B01N6B5KJN</v>
      </c>
      <c r="P61" s="4">
        <f>VLOOKUP($G61,'Materials by UPN'!$G$3:$R$112,11)</f>
        <v>3.7650000000000003E-2</v>
      </c>
      <c r="Q61" s="4">
        <f t="shared" si="2"/>
        <v>7.5300000000000006E-2</v>
      </c>
      <c r="R61" s="11"/>
    </row>
    <row r="62" spans="2:18" x14ac:dyDescent="0.35">
      <c r="F62" s="2">
        <v>8</v>
      </c>
      <c r="G62" s="2">
        <v>326</v>
      </c>
      <c r="I62" s="2" t="s">
        <v>218</v>
      </c>
      <c r="J62" t="str">
        <f>VLOOKUP($G62,'Materials by UPN'!$G$3:$R$112,2)</f>
        <v>M3 Threaded Spacer,  hex, nylon, black, 12mm, female-female</v>
      </c>
      <c r="K62" t="str">
        <f>IF(VLOOKUP($G62,'Materials by UPN'!$G$3:$R$112,3)="","",VLOOKUP($G62,'Materials by UPN'!$G$3:$R$112,3))</f>
        <v/>
      </c>
      <c r="L62" t="str">
        <f>IF(VLOOKUP($G62,'Materials by UPN'!$G$3:$R$112,4)="","",VLOOKUP($G62,'Materials by UPN'!$G$3:$R$112,4))</f>
        <v/>
      </c>
      <c r="M62" t="str">
        <f>IF(VLOOKUP($G62,'Materials by UPN'!$G$3:$R$112,5)="","",VLOOKUP($G62,'Materials by UPN'!$G$3:$R$112,5))</f>
        <v/>
      </c>
      <c r="N62" t="str">
        <f>VLOOKUP($G62,'Materials by UPN'!$G$3:$R$112,6)</f>
        <v>Amazon</v>
      </c>
      <c r="O62" t="str">
        <f>IF(VLOOKUP($G62,'Materials by UPN'!$G$3:$R$112,7)="","",VLOOKUP($G62,'Materials by UPN'!$G$3:$R$112,7))</f>
        <v>https://www.amazon.com/gp/product/B072LGMRVD</v>
      </c>
      <c r="P62" s="4">
        <f>VLOOKUP($G62,'Materials by UPN'!$G$3:$R$112,11)</f>
        <v>6.7500000000000004E-2</v>
      </c>
      <c r="Q62" s="4">
        <f t="shared" si="2"/>
        <v>0.54</v>
      </c>
      <c r="R62" s="11"/>
    </row>
    <row r="63" spans="2:18" x14ac:dyDescent="0.35">
      <c r="F63" s="2">
        <v>8</v>
      </c>
      <c r="G63" s="2">
        <v>327</v>
      </c>
      <c r="I63" s="2" t="s">
        <v>218</v>
      </c>
      <c r="J63" t="str">
        <f>VLOOKUP($G63,'Materials by UPN'!$G$3:$R$112,2)</f>
        <v>M3 screw, hex, 6 mm, black</v>
      </c>
      <c r="K63" t="str">
        <f>IF(VLOOKUP($G63,'Materials by UPN'!$G$3:$R$112,3)="","",VLOOKUP($G63,'Materials by UPN'!$G$3:$R$112,3))</f>
        <v/>
      </c>
      <c r="L63" t="str">
        <f>IF(VLOOKUP($G63,'Materials by UPN'!$G$3:$R$112,4)="","",VLOOKUP($G63,'Materials by UPN'!$G$3:$R$112,4))</f>
        <v/>
      </c>
      <c r="M63" t="str">
        <f>IF(VLOOKUP($G63,'Materials by UPN'!$G$3:$R$112,5)="","",VLOOKUP($G63,'Materials by UPN'!$G$3:$R$112,5))</f>
        <v/>
      </c>
      <c r="N63" t="str">
        <f>VLOOKUP($G63,'Materials by UPN'!$G$3:$R$112,6)</f>
        <v>AliExpress</v>
      </c>
      <c r="O63" t="str">
        <f>IF(VLOOKUP($G63,'Materials by UPN'!$G$3:$R$112,7)="","",VLOOKUP($G63,'Materials by UPN'!$G$3:$R$112,7))</f>
        <v>https://www.aliexpress.us/item/3256805242052170.html</v>
      </c>
      <c r="P63" s="4">
        <f>VLOOKUP($G63,'Materials by UPN'!$G$3:$R$112,11)</f>
        <v>2.9749999999999999E-2</v>
      </c>
      <c r="Q63" s="4">
        <f t="shared" si="2"/>
        <v>0.23799999999999999</v>
      </c>
      <c r="R63" s="11"/>
    </row>
    <row r="64" spans="2:18" x14ac:dyDescent="0.35">
      <c r="F64" s="2">
        <v>2</v>
      </c>
      <c r="G64" s="2">
        <v>331</v>
      </c>
      <c r="I64" s="2" t="s">
        <v>218</v>
      </c>
      <c r="J64" t="str">
        <f>VLOOKUP($G64,'Materials by UPN'!$G$3:$R$112,2)</f>
        <v>M3 screw, hex, 8 mm, black</v>
      </c>
      <c r="K64" t="str">
        <f>IF(VLOOKUP($G64,'Materials by UPN'!$G$3:$R$112,3)="","",VLOOKUP($G64,'Materials by UPN'!$G$3:$R$112,3))</f>
        <v/>
      </c>
      <c r="L64" t="str">
        <f>IF(VLOOKUP($G64,'Materials by UPN'!$G$3:$R$112,4)="","",VLOOKUP($G64,'Materials by UPN'!$G$3:$R$112,4))</f>
        <v/>
      </c>
      <c r="M64" t="str">
        <f>IF(VLOOKUP($G64,'Materials by UPN'!$G$3:$R$112,5)="","",VLOOKUP($G64,'Materials by UPN'!$G$3:$R$112,5))</f>
        <v/>
      </c>
      <c r="N64" t="str">
        <f>VLOOKUP($G64,'Materials by UPN'!$G$3:$R$112,6)</f>
        <v>AliExpress</v>
      </c>
      <c r="O64" t="str">
        <f>IF(VLOOKUP($G64,'Materials by UPN'!$G$3:$R$112,7)="","",VLOOKUP($G64,'Materials by UPN'!$G$3:$R$112,7))</f>
        <v>https://www.aliexpress.us/item/3256805242052170.html</v>
      </c>
      <c r="P64" s="4">
        <f>VLOOKUP($G64,'Materials by UPN'!$G$3:$R$112,11)</f>
        <v>3.4749999999999996E-2</v>
      </c>
      <c r="Q64" s="4">
        <f t="shared" si="2"/>
        <v>6.9499999999999992E-2</v>
      </c>
      <c r="R64" s="11"/>
    </row>
    <row r="65" spans="3:18" x14ac:dyDescent="0.35">
      <c r="F65" s="2">
        <v>2</v>
      </c>
      <c r="G65" s="2">
        <v>328</v>
      </c>
      <c r="I65" s="2" t="s">
        <v>218</v>
      </c>
      <c r="J65" t="str">
        <f>VLOOKUP($G65,'Materials by UPN'!$G$3:$R$112,2)</f>
        <v>M3 self locking nut</v>
      </c>
      <c r="K65" t="str">
        <f>IF(VLOOKUP($G65,'Materials by UPN'!$G$3:$R$112,3)="","",VLOOKUP($G65,'Materials by UPN'!$G$3:$R$112,3))</f>
        <v/>
      </c>
      <c r="L65" t="str">
        <f>IF(VLOOKUP($G65,'Materials by UPN'!$G$3:$R$112,4)="","",VLOOKUP($G65,'Materials by UPN'!$G$3:$R$112,4))</f>
        <v/>
      </c>
      <c r="M65" t="str">
        <f>IF(VLOOKUP($G65,'Materials by UPN'!$G$3:$R$112,5)="","",VLOOKUP($G65,'Materials by UPN'!$G$3:$R$112,5))</f>
        <v/>
      </c>
      <c r="N65" t="str">
        <f>VLOOKUP($G65,'Materials by UPN'!$G$3:$R$112,6)</f>
        <v>Amazon</v>
      </c>
      <c r="O65" t="str">
        <f>IF(VLOOKUP($G65,'Materials by UPN'!$G$3:$R$112,7)="","",VLOOKUP($G65,'Materials by UPN'!$G$3:$R$112,7))</f>
        <v>https://www.amazon.com/Stainless-Self-Locking-Industrial-Construction-Fasteners/dp/B09SLLQ3KV</v>
      </c>
      <c r="P65" s="4">
        <f>VLOOKUP($G65,'Materials by UPN'!$G$3:$R$112,11)</f>
        <v>5.4533333333333329E-2</v>
      </c>
      <c r="Q65" s="4">
        <f t="shared" si="2"/>
        <v>0.10906666666666666</v>
      </c>
      <c r="R65" s="11"/>
    </row>
    <row r="66" spans="3:18" x14ac:dyDescent="0.35">
      <c r="F66" s="2">
        <v>12</v>
      </c>
      <c r="G66" s="2">
        <v>329</v>
      </c>
      <c r="I66" s="2" t="s">
        <v>218</v>
      </c>
      <c r="J66" t="str">
        <f>VLOOKUP($G66,'Materials by UPN'!$G$3:$R$112,2)</f>
        <v>Self-Adhesive Clear Rubber Feet, 6mm dia x 2mm thick</v>
      </c>
      <c r="K66" t="str">
        <f>IF(VLOOKUP($G66,'Materials by UPN'!$G$3:$R$112,3)="","",VLOOKUP($G66,'Materials by UPN'!$G$3:$R$112,3))</f>
        <v/>
      </c>
      <c r="L66" t="str">
        <f>IF(VLOOKUP($G66,'Materials by UPN'!$G$3:$R$112,4)="","",VLOOKUP($G66,'Materials by UPN'!$G$3:$R$112,4))</f>
        <v/>
      </c>
      <c r="M66" t="str">
        <f>IF(VLOOKUP($G66,'Materials by UPN'!$G$3:$R$112,5)="","",VLOOKUP($G66,'Materials by UPN'!$G$3:$R$112,5))</f>
        <v/>
      </c>
      <c r="N66" t="str">
        <f>VLOOKUP($G66,'Materials by UPN'!$G$3:$R$112,6)</f>
        <v>Amazon</v>
      </c>
      <c r="O66" t="str">
        <f>IF(VLOOKUP($G66,'Materials by UPN'!$G$3:$R$112,7)="","",VLOOKUP($G66,'Materials by UPN'!$G$3:$R$112,7))</f>
        <v>https://www.amazon.com/gp/product/B073ST7Q27</v>
      </c>
      <c r="P66" s="4">
        <f>VLOOKUP($G66,'Materials by UPN'!$G$3:$R$112,11)</f>
        <v>1.4225000000000002E-2</v>
      </c>
      <c r="Q66" s="4">
        <f t="shared" si="2"/>
        <v>0.17070000000000002</v>
      </c>
      <c r="R66" s="11"/>
    </row>
    <row r="67" spans="3:18" x14ac:dyDescent="0.35">
      <c r="F67" s="2">
        <v>1</v>
      </c>
      <c r="G67" s="2">
        <v>338</v>
      </c>
      <c r="I67" s="2" t="s">
        <v>221</v>
      </c>
      <c r="J67" t="str">
        <f>VLOOKUP($G67,'Materials by UPN'!$G$3:$R$112,2)</f>
        <v>Antistatic bag, 15x20 cm</v>
      </c>
      <c r="K67" t="str">
        <f>IF(VLOOKUP($G67,'Materials by UPN'!$G$3:$R$112,3)="","",VLOOKUP($G67,'Materials by UPN'!$G$3:$R$112,3))</f>
        <v/>
      </c>
      <c r="L67" t="str">
        <f>IF(VLOOKUP($G67,'Materials by UPN'!$G$3:$R$112,4)="","",VLOOKUP($G67,'Materials by UPN'!$G$3:$R$112,4))</f>
        <v/>
      </c>
      <c r="M67" t="str">
        <f>IF(VLOOKUP($G67,'Materials by UPN'!$G$3:$R$112,5)="","",VLOOKUP($G67,'Materials by UPN'!$G$3:$R$112,5))</f>
        <v/>
      </c>
      <c r="N67" t="str">
        <f>VLOOKUP($G67,'Materials by UPN'!$G$3:$R$112,6)</f>
        <v>Amazon</v>
      </c>
      <c r="O67" t="str">
        <f>IF(VLOOKUP($G67,'Materials by UPN'!$G$3:$R$112,7)="","",VLOOKUP($G67,'Materials by UPN'!$G$3:$R$112,7))</f>
        <v>https://www.amazon.com/dp/B07TXD47PZ</v>
      </c>
      <c r="P67" s="4">
        <f>VLOOKUP($G67,'Materials by UPN'!$G$3:$R$112,11)</f>
        <v>0.16580000000000003</v>
      </c>
      <c r="Q67" s="4">
        <f t="shared" si="2"/>
        <v>0.16580000000000003</v>
      </c>
      <c r="R67" s="11"/>
    </row>
    <row r="68" spans="3:18" x14ac:dyDescent="0.35">
      <c r="R68" s="11"/>
    </row>
    <row r="69" spans="3:18" x14ac:dyDescent="0.35">
      <c r="C69" s="1" t="s">
        <v>11</v>
      </c>
      <c r="R69" s="11"/>
    </row>
    <row r="70" spans="3:18" x14ac:dyDescent="0.35">
      <c r="F70" s="2">
        <v>1</v>
      </c>
      <c r="G70" s="2">
        <v>101</v>
      </c>
      <c r="I70" s="2" t="s">
        <v>222</v>
      </c>
      <c r="J70" t="str">
        <f>VLOOKUP($G70,'Materials by UPN'!$G$3:$R$112,2)</f>
        <v>Front Panel board assembled</v>
      </c>
      <c r="K70" t="str">
        <f>IF(VLOOKUP($G70,'Materials by UPN'!$G$3:$R$112,3)="","",VLOOKUP($G70,'Materials by UPN'!$G$3:$R$112,3))</f>
        <v>v3</v>
      </c>
      <c r="L70" t="str">
        <f>IF(VLOOKUP($G70,'Materials by UPN'!$G$3:$R$112,4)="","",VLOOKUP($G70,'Materials by UPN'!$G$3:$R$112,4))</f>
        <v/>
      </c>
      <c r="M70" t="str">
        <f>IF(VLOOKUP($G70,'Materials by UPN'!$G$3:$R$112,5)="","",VLOOKUP($G70,'Materials by UPN'!$G$3:$R$112,5))</f>
        <v/>
      </c>
      <c r="N70" t="str">
        <f>VLOOKUP($G70,'Materials by UPN'!$G$3:$R$112,6)</f>
        <v>JLCPCB</v>
      </c>
      <c r="O70" t="str">
        <f>IF(VLOOKUP($G70,'Materials by UPN'!$G$3:$R$112,7)="","",VLOOKUP($G70,'Materials by UPN'!$G$3:$R$112,7))</f>
        <v>Surface Finish: LeadFree HASL</v>
      </c>
      <c r="P70" s="4">
        <f>VLOOKUP($G70,'Materials by UPN'!$G$3:$R$112,11)</f>
        <v>7.4703074999999997</v>
      </c>
      <c r="Q70" s="4">
        <f>F70*P70</f>
        <v>7.4703074999999997</v>
      </c>
      <c r="R70" s="11"/>
    </row>
    <row r="71" spans="3:18" x14ac:dyDescent="0.35">
      <c r="Q71" s="4"/>
      <c r="R71" s="11"/>
    </row>
    <row r="72" spans="3:18" x14ac:dyDescent="0.35">
      <c r="C72" s="1" t="s">
        <v>43</v>
      </c>
      <c r="R72" s="11"/>
    </row>
    <row r="73" spans="3:18" x14ac:dyDescent="0.35">
      <c r="F73" s="2">
        <v>1</v>
      </c>
      <c r="G73" s="2">
        <v>204</v>
      </c>
      <c r="I73" s="2" t="s">
        <v>227</v>
      </c>
      <c r="J73" t="str">
        <f>VLOOKUP($G73,'Materials by UPN'!$G$3:$R$112,2)</f>
        <v>microSD card carrier bracket, 3D printed</v>
      </c>
      <c r="K73" t="str">
        <f>IF(VLOOKUP($G73,'Materials by UPN'!$G$3:$R$112,3)="","",VLOOKUP($G73,'Materials by UPN'!$G$3:$R$112,3))</f>
        <v>v20</v>
      </c>
      <c r="L73" t="str">
        <f>IF(VLOOKUP($G73,'Materials by UPN'!$G$3:$R$112,4)="","",VLOOKUP($G73,'Materials by UPN'!$G$3:$R$112,4))</f>
        <v/>
      </c>
      <c r="M73" t="str">
        <f>IF(VLOOKUP($G73,'Materials by UPN'!$G$3:$R$112,5)="","",VLOOKUP($G73,'Materials by UPN'!$G$3:$R$112,5))</f>
        <v>204 v20</v>
      </c>
      <c r="N73" t="str">
        <f>VLOOKUP($G73,'Materials by UPN'!$G$3:$R$112,6)</f>
        <v>JLCPCB</v>
      </c>
      <c r="O73" t="str">
        <f>IF(VLOOKUP($G73,'Materials by UPN'!$G$3:$R$112,7)="","",VLOOKUP($G73,'Materials by UPN'!$G$3:$R$112,7))</f>
        <v>204 v20, FDM (Plastic), PLA, Black</v>
      </c>
      <c r="P73" s="4">
        <f>VLOOKUP($G73,'Materials by UPN'!$G$3:$R$112,11)</f>
        <v>2.0623076923076922</v>
      </c>
      <c r="Q73" s="4">
        <f>F73*P73</f>
        <v>2.0623076923076922</v>
      </c>
      <c r="R73" s="11"/>
    </row>
    <row r="74" spans="3:18" x14ac:dyDescent="0.35">
      <c r="F74" s="2">
        <v>2</v>
      </c>
      <c r="G74" s="2">
        <v>311</v>
      </c>
      <c r="I74" s="2" t="s">
        <v>227</v>
      </c>
      <c r="J74" t="str">
        <f>VLOOKUP($G74,'Materials by UPN'!$G$3:$R$112,2)</f>
        <v>Threaded Insert, M2</v>
      </c>
      <c r="K74" t="str">
        <f>IF(VLOOKUP($G74,'Materials by UPN'!$G$3:$R$112,3)="","",VLOOKUP($G74,'Materials by UPN'!$G$3:$R$112,3))</f>
        <v/>
      </c>
      <c r="L74" t="str">
        <f>IF(VLOOKUP($G74,'Materials by UPN'!$G$3:$R$112,4)="","",VLOOKUP($G74,'Materials by UPN'!$G$3:$R$112,4))</f>
        <v/>
      </c>
      <c r="M74" t="str">
        <f>IF(VLOOKUP($G74,'Materials by UPN'!$G$3:$R$112,5)="","",VLOOKUP($G74,'Materials by UPN'!$G$3:$R$112,5))</f>
        <v/>
      </c>
      <c r="N74" t="str">
        <f>VLOOKUP($G74,'Materials by UPN'!$G$3:$R$112,6)</f>
        <v>Amazon</v>
      </c>
      <c r="O74" t="str">
        <f>IF(VLOOKUP($G74,'Materials by UPN'!$G$3:$R$112,7)="","",VLOOKUP($G74,'Materials by UPN'!$G$3:$R$112,7))</f>
        <v>https://www.amazon.com/gp/product/B0B8GN63S2</v>
      </c>
      <c r="P74" s="4">
        <f>VLOOKUP($G74,'Materials by UPN'!$G$3:$R$112,11)</f>
        <v>9.2557249999999994E-2</v>
      </c>
      <c r="Q74" s="4">
        <f>F74*P74</f>
        <v>0.18511449999999999</v>
      </c>
      <c r="R74" s="11"/>
    </row>
    <row r="75" spans="3:18" x14ac:dyDescent="0.35">
      <c r="F75" s="2">
        <v>2</v>
      </c>
      <c r="G75" s="2">
        <v>321</v>
      </c>
      <c r="I75" s="2" t="s">
        <v>243</v>
      </c>
      <c r="J75" t="str">
        <f>VLOOKUP($G75,'Materials by UPN'!$G$3:$R$112,2)</f>
        <v>M2 Phillips Round Pan Head Machine Screws (M2 x 4mm), Stainless Steel</v>
      </c>
      <c r="K75" t="str">
        <f>IF(VLOOKUP($G75,'Materials by UPN'!$G$3:$R$112,3)="","",VLOOKUP($G75,'Materials by UPN'!$G$3:$R$112,3))</f>
        <v/>
      </c>
      <c r="L75" t="str">
        <f>IF(VLOOKUP($G75,'Materials by UPN'!$G$3:$R$112,4)="","",VLOOKUP($G75,'Materials by UPN'!$G$3:$R$112,4))</f>
        <v/>
      </c>
      <c r="M75" t="str">
        <f>IF(VLOOKUP($G75,'Materials by UPN'!$G$3:$R$112,5)="","",VLOOKUP($G75,'Materials by UPN'!$G$3:$R$112,5))</f>
        <v/>
      </c>
      <c r="N75" t="str">
        <f>VLOOKUP($G75,'Materials by UPN'!$G$3:$R$112,6)</f>
        <v>Amazon</v>
      </c>
      <c r="O75" t="str">
        <f>IF(VLOOKUP($G75,'Materials by UPN'!$G$3:$R$112,7)="","",VLOOKUP($G75,'Materials by UPN'!$G$3:$R$112,7))</f>
        <v>https://www.amazon.com/gp/product/B07HFYZ9YM</v>
      </c>
      <c r="P75" s="4">
        <f>VLOOKUP($G75,'Materials by UPN'!$G$3:$R$112,11)</f>
        <v>8.6099999999999996E-2</v>
      </c>
      <c r="Q75" s="4">
        <f>F75*P75</f>
        <v>0.17219999999999999</v>
      </c>
      <c r="R75" s="11"/>
    </row>
    <row r="76" spans="3:18" x14ac:dyDescent="0.35">
      <c r="F76" s="2">
        <v>2</v>
      </c>
      <c r="G76" s="2">
        <v>322</v>
      </c>
      <c r="I76" s="2" t="s">
        <v>243</v>
      </c>
      <c r="J76" t="str">
        <f>VLOOKUP($G76,'Materials by UPN'!$G$3:$R$112,2)</f>
        <v>M2 split lockwasher</v>
      </c>
      <c r="K76" t="str">
        <f>IF(VLOOKUP($G76,'Materials by UPN'!$G$3:$R$112,3)="","",VLOOKUP($G76,'Materials by UPN'!$G$3:$R$112,3))</f>
        <v/>
      </c>
      <c r="L76" t="str">
        <f>IF(VLOOKUP($G76,'Materials by UPN'!$G$3:$R$112,4)="","",VLOOKUP($G76,'Materials by UPN'!$G$3:$R$112,4))</f>
        <v/>
      </c>
      <c r="M76" t="str">
        <f>IF(VLOOKUP($G76,'Materials by UPN'!$G$3:$R$112,5)="","",VLOOKUP($G76,'Materials by UPN'!$G$3:$R$112,5))</f>
        <v/>
      </c>
      <c r="N76" t="str">
        <f>VLOOKUP($G76,'Materials by UPN'!$G$3:$R$112,6)</f>
        <v>Amazon</v>
      </c>
      <c r="O76" t="str">
        <f>IF(VLOOKUP($G76,'Materials by UPN'!$G$3:$R$112,7)="","",VLOOKUP($G76,'Materials by UPN'!$G$3:$R$112,7))</f>
        <v>https://www.amazon.com/gp/product/B09LLZHY87</v>
      </c>
      <c r="P76" s="4">
        <f>VLOOKUP($G76,'Materials by UPN'!$G$3:$R$112,11)</f>
        <v>2.2620000000000001E-2</v>
      </c>
      <c r="Q76" s="4">
        <f>F76*P76</f>
        <v>4.5240000000000002E-2</v>
      </c>
      <c r="R76" s="11"/>
    </row>
    <row r="77" spans="3:18" x14ac:dyDescent="0.35">
      <c r="F77" s="2">
        <v>1</v>
      </c>
      <c r="G77" s="2">
        <v>341</v>
      </c>
      <c r="H77" s="15" t="s">
        <v>121</v>
      </c>
      <c r="I77" s="2" t="s">
        <v>227</v>
      </c>
      <c r="J77" t="str">
        <f>VLOOKUP($G77,'Materials by UPN'!$G$3:$R$112,2)</f>
        <v>CONN HEADER VERT 2x4 Pos, 2.54mm</v>
      </c>
      <c r="K77" t="str">
        <f>IF(VLOOKUP($G77,'Materials by UPN'!$G$3:$R$112,3)="","",VLOOKUP($G77,'Materials by UPN'!$G$3:$R$112,3))</f>
        <v/>
      </c>
      <c r="L77" t="str">
        <f>IF(VLOOKUP($G77,'Materials by UPN'!$G$3:$R$112,4)="","",VLOOKUP($G77,'Materials by UPN'!$G$3:$R$112,4))</f>
        <v/>
      </c>
      <c r="M77" t="str">
        <f>IF(VLOOKUP($G77,'Materials by UPN'!$G$3:$R$112,5)="","",VLOOKUP($G77,'Materials by UPN'!$G$3:$R$112,5))</f>
        <v/>
      </c>
      <c r="N77" t="str">
        <f>VLOOKUP($G77,'Materials by UPN'!$G$3:$R$112,6)</f>
        <v>AliExpress</v>
      </c>
      <c r="O77" t="str">
        <f>IF(VLOOKUP($G77,'Materials by UPN'!$G$3:$R$112,7)="","",VLOOKUP($G77,'Materials by UPN'!$G$3:$R$112,7))</f>
        <v>https://www.aliexpress.us/item/3256805773340189.html</v>
      </c>
      <c r="P77" s="4">
        <f>VLOOKUP($G77,'Materials by UPN'!$G$3:$R$112,11)</f>
        <v>6.7799999999999999E-2</v>
      </c>
      <c r="Q77" s="4">
        <f>F77*P77</f>
        <v>6.7799999999999999E-2</v>
      </c>
      <c r="R77" s="11"/>
    </row>
    <row r="78" spans="3:18" x14ac:dyDescent="0.35">
      <c r="R78" s="11"/>
    </row>
    <row r="79" spans="3:18" x14ac:dyDescent="0.35">
      <c r="D79" s="1" t="s">
        <v>26</v>
      </c>
      <c r="R79" s="11"/>
    </row>
    <row r="80" spans="3:18" x14ac:dyDescent="0.35">
      <c r="F80" s="2">
        <v>1</v>
      </c>
      <c r="G80" s="2">
        <v>102</v>
      </c>
      <c r="I80" s="2" t="s">
        <v>227</v>
      </c>
      <c r="J80" t="str">
        <f>VLOOKUP($G80,'Materials by UPN'!$G$3:$R$112,2)</f>
        <v>microSD card adapter board, assembled</v>
      </c>
      <c r="K80" t="str">
        <f>IF(VLOOKUP($G80,'Materials by UPN'!$G$3:$R$112,3)="","",VLOOKUP($G80,'Materials by UPN'!$G$3:$R$112,3))</f>
        <v>v1</v>
      </c>
      <c r="L80" t="str">
        <f>IF(VLOOKUP($G80,'Materials by UPN'!$G$3:$R$112,4)="","",VLOOKUP($G80,'Materials by UPN'!$G$3:$R$112,4))</f>
        <v/>
      </c>
      <c r="M80" t="str">
        <f>IF(VLOOKUP($G80,'Materials by UPN'!$G$3:$R$112,5)="","",VLOOKUP($G80,'Materials by UPN'!$G$3:$R$112,5))</f>
        <v/>
      </c>
      <c r="N80" t="str">
        <f>VLOOKUP($G80,'Materials by UPN'!$G$3:$R$112,6)</f>
        <v>JLCPCB</v>
      </c>
      <c r="O80" t="str">
        <f>IF(VLOOKUP($G80,'Materials by UPN'!$G$3:$R$112,7)="","",VLOOKUP($G80,'Materials by UPN'!$G$3:$R$112,7))</f>
        <v>Surface Finish: LeadFree HASL</v>
      </c>
      <c r="P80" s="4">
        <f>VLOOKUP($G80,'Materials by UPN'!$G$3:$R$112,11)</f>
        <v>1.3796666666666666</v>
      </c>
      <c r="Q80" s="4">
        <f>F80*P80</f>
        <v>1.3796666666666666</v>
      </c>
      <c r="R80" s="11"/>
    </row>
    <row r="81" spans="1:19" x14ac:dyDescent="0.35">
      <c r="R81" s="11"/>
    </row>
    <row r="82" spans="1:19" x14ac:dyDescent="0.35">
      <c r="R82" s="11"/>
    </row>
    <row r="83" spans="1:19" x14ac:dyDescent="0.35">
      <c r="R83" s="11"/>
    </row>
    <row r="84" spans="1:19" ht="23.5" x14ac:dyDescent="0.55000000000000004">
      <c r="A84" s="29" t="s">
        <v>88</v>
      </c>
      <c r="B84" s="17"/>
      <c r="C84" s="17"/>
      <c r="D84" s="17"/>
      <c r="E84" s="17"/>
      <c r="F84" s="18"/>
      <c r="G84" s="18"/>
      <c r="H84" s="28"/>
      <c r="I84" s="18"/>
      <c r="R84" s="11"/>
    </row>
    <row r="85" spans="1:19" s="41" customFormat="1" ht="18.5" x14ac:dyDescent="0.45">
      <c r="A85" s="30" t="s">
        <v>159</v>
      </c>
      <c r="B85" s="30" t="s">
        <v>20</v>
      </c>
      <c r="C85" s="30"/>
      <c r="D85" s="30"/>
      <c r="E85" s="30"/>
      <c r="F85" s="35"/>
      <c r="G85" s="35"/>
      <c r="H85" s="36"/>
      <c r="I85" s="35"/>
      <c r="J85" s="30"/>
      <c r="K85" s="30"/>
      <c r="L85" s="30"/>
      <c r="M85" s="30"/>
      <c r="N85" s="30"/>
      <c r="O85" s="30"/>
      <c r="P85" s="42"/>
      <c r="Q85" s="30"/>
      <c r="R85" s="43">
        <f>SUM(Q85:Q88)</f>
        <v>8.5548000000000002</v>
      </c>
      <c r="S85" s="40">
        <f>CEILING(R85,1)</f>
        <v>9</v>
      </c>
    </row>
    <row r="86" spans="1:19" x14ac:dyDescent="0.35">
      <c r="F86" s="2">
        <v>1</v>
      </c>
      <c r="G86" s="2">
        <v>104</v>
      </c>
      <c r="I86" s="2" t="s">
        <v>159</v>
      </c>
      <c r="J86" t="str">
        <f>VLOOKUP($G86,'Materials by UPN'!$G$3:$R$112,2)</f>
        <v>M930GW Terminator Board, assembled</v>
      </c>
      <c r="K86" t="str">
        <f>IF(VLOOKUP($G86,'Materials by UPN'!$G$3:$R$112,3)="","",VLOOKUP($G86,'Materials by UPN'!$G$3:$R$112,3))</f>
        <v>v0</v>
      </c>
      <c r="L86" t="str">
        <f>IF(VLOOKUP($G86,'Materials by UPN'!$G$3:$R$112,4)="","",VLOOKUP($G86,'Materials by UPN'!$G$3:$R$112,4))</f>
        <v/>
      </c>
      <c r="M86" t="str">
        <f>IF(VLOOKUP($G86,'Materials by UPN'!$G$3:$R$112,5)="","",VLOOKUP($G86,'Materials by UPN'!$G$3:$R$112,5))</f>
        <v/>
      </c>
      <c r="N86" t="str">
        <f>VLOOKUP($G86,'Materials by UPN'!$G$3:$R$112,6)</f>
        <v>JLCPCB</v>
      </c>
      <c r="O86" t="str">
        <f>IF(VLOOKUP($G86,'Materials by UPN'!$G$3:$R$112,7)="","",VLOOKUP($G86,'Materials by UPN'!$G$3:$R$112,7))</f>
        <v>M930GW_Terminator_Board_ordering_instructions.pdf</v>
      </c>
      <c r="P86" s="4">
        <f>VLOOKUP($G86,'Materials by UPN'!$G$3:$R$112,11)</f>
        <v>8.3889999999999993</v>
      </c>
      <c r="Q86" s="4">
        <f>F86*P86</f>
        <v>8.3889999999999993</v>
      </c>
      <c r="R86" s="25"/>
    </row>
    <row r="87" spans="1:19" x14ac:dyDescent="0.35">
      <c r="F87" s="2">
        <v>1</v>
      </c>
      <c r="G87" s="2">
        <v>338</v>
      </c>
      <c r="I87" s="2" t="s">
        <v>300</v>
      </c>
      <c r="J87" t="str">
        <f>VLOOKUP($G87,'Materials by UPN'!$G$3:$R$112,2)</f>
        <v>Antistatic bag, 15x20 cm</v>
      </c>
      <c r="K87" t="str">
        <f>IF(VLOOKUP($G87,'Materials by UPN'!$G$3:$R$112,3)="","",VLOOKUP($G87,'Materials by UPN'!$G$3:$R$112,3))</f>
        <v/>
      </c>
      <c r="L87" t="str">
        <f>IF(VLOOKUP($G87,'Materials by UPN'!$G$3:$R$112,4)="","",VLOOKUP($G87,'Materials by UPN'!$G$3:$R$112,4))</f>
        <v/>
      </c>
      <c r="M87" t="str">
        <f>IF(VLOOKUP($G87,'Materials by UPN'!$G$3:$R$112,5)="","",VLOOKUP($G87,'Materials by UPN'!$G$3:$R$112,5))</f>
        <v/>
      </c>
      <c r="N87" t="str">
        <f>VLOOKUP($G87,'Materials by UPN'!$G$3:$R$112,6)</f>
        <v>Amazon</v>
      </c>
      <c r="O87" t="str">
        <f>IF(VLOOKUP($G87,'Materials by UPN'!$G$3:$R$112,7)="","",VLOOKUP($G87,'Materials by UPN'!$G$3:$R$112,7))</f>
        <v>https://www.amazon.com/dp/B07TXD47PZ</v>
      </c>
      <c r="P87" s="4">
        <f>VLOOKUP($G87,'Materials by UPN'!$G$3:$R$112,11)</f>
        <v>0.16580000000000003</v>
      </c>
      <c r="Q87" s="4">
        <f>F87*P87</f>
        <v>0.16580000000000003</v>
      </c>
      <c r="R87" s="25"/>
    </row>
    <row r="88" spans="1:19" x14ac:dyDescent="0.35">
      <c r="R88" s="25"/>
    </row>
    <row r="89" spans="1:19" s="41" customFormat="1" ht="18.5" x14ac:dyDescent="0.45">
      <c r="A89" s="30" t="s">
        <v>160</v>
      </c>
      <c r="B89" s="30" t="s">
        <v>141</v>
      </c>
      <c r="C89" s="30"/>
      <c r="D89" s="30"/>
      <c r="E89" s="30"/>
      <c r="F89" s="35"/>
      <c r="G89" s="35"/>
      <c r="H89" s="36"/>
      <c r="I89" s="35"/>
      <c r="J89" s="30"/>
      <c r="K89" s="30"/>
      <c r="L89" s="30"/>
      <c r="M89" s="30"/>
      <c r="N89" s="30"/>
      <c r="O89" s="30"/>
      <c r="P89" s="42"/>
      <c r="Q89" s="30"/>
      <c r="R89" s="43">
        <f>SUM(Q89:Q98)</f>
        <v>21.195456245752261</v>
      </c>
      <c r="S89" s="40">
        <f>CEILING(R89,1)</f>
        <v>22</v>
      </c>
    </row>
    <row r="90" spans="1:19" x14ac:dyDescent="0.35">
      <c r="F90" s="2">
        <v>1</v>
      </c>
      <c r="G90" s="2">
        <v>105</v>
      </c>
      <c r="I90" s="2" t="s">
        <v>278</v>
      </c>
      <c r="J90" t="str">
        <f>VLOOKUP($G90,'Materials by UPN'!$G$3:$R$112,2)</f>
        <v>PCB, M993GW RK05 Adapter Board</v>
      </c>
      <c r="K90" t="str">
        <f>IF(VLOOKUP($G90,'Materials by UPN'!$G$3:$R$112,3)="","",VLOOKUP($G90,'Materials by UPN'!$G$3:$R$112,3))</f>
        <v>v2</v>
      </c>
      <c r="L90" t="str">
        <f>IF(VLOOKUP($G90,'Materials by UPN'!$G$3:$R$112,4)="","",VLOOKUP($G90,'Materials by UPN'!$G$3:$R$112,4))</f>
        <v/>
      </c>
      <c r="M90" t="str">
        <f>IF(VLOOKUP($G90,'Materials by UPN'!$G$3:$R$112,5)="","",VLOOKUP($G90,'Materials by UPN'!$G$3:$R$112,5))</f>
        <v/>
      </c>
      <c r="N90" t="str">
        <f>VLOOKUP($G90,'Materials by UPN'!$G$3:$R$112,6)</f>
        <v>JLCPCB</v>
      </c>
      <c r="O90" t="str">
        <f>IF(VLOOKUP($G90,'Materials by UPN'!$G$3:$R$112,7)="","",VLOOKUP($G90,'Materials by UPN'!$G$3:$R$112,7))</f>
        <v>Surface Finish: ENIG</v>
      </c>
      <c r="P90" s="4">
        <f>VLOOKUP($G90,'Materials by UPN'!$G$3:$R$112,11)</f>
        <v>5.6760000000000002</v>
      </c>
      <c r="Q90" s="4">
        <f t="shared" ref="Q90:Q96" si="3">F90*P90</f>
        <v>5.6760000000000002</v>
      </c>
      <c r="R90" s="25"/>
    </row>
    <row r="91" spans="1:19" x14ac:dyDescent="0.35">
      <c r="F91" s="2">
        <v>1</v>
      </c>
      <c r="G91" s="2">
        <v>368</v>
      </c>
      <c r="I91" s="2" t="s">
        <v>303</v>
      </c>
      <c r="J91" t="str">
        <f>VLOOKUP($G91,'Materials by UPN'!$G$3:$R$112,2)</f>
        <v>Ziplock Sandwich Bag</v>
      </c>
      <c r="K91" t="str">
        <f>IF(VLOOKUP($G91,'Materials by UPN'!$G$3:$R$112,3)="","",VLOOKUP($G91,'Materials by UPN'!$G$3:$R$112,3))</f>
        <v/>
      </c>
      <c r="L91" t="str">
        <f>IF(VLOOKUP($G91,'Materials by UPN'!$G$3:$R$112,4)="","",VLOOKUP($G91,'Materials by UPN'!$G$3:$R$112,4))</f>
        <v/>
      </c>
      <c r="M91" t="str">
        <f>IF(VLOOKUP($G91,'Materials by UPN'!$G$3:$R$112,5)="","",VLOOKUP($G91,'Materials by UPN'!$G$3:$R$112,5))</f>
        <v/>
      </c>
      <c r="N91" t="str">
        <f>VLOOKUP($G91,'Materials by UPN'!$G$3:$R$112,6)</f>
        <v>Costco</v>
      </c>
      <c r="O91" t="str">
        <f>IF(VLOOKUP($G91,'Materials by UPN'!$G$3:$R$112,7)="","",VLOOKUP($G91,'Materials by UPN'!$G$3:$R$112,7))</f>
        <v/>
      </c>
      <c r="P91" s="4">
        <f>VLOOKUP($G91,'Materials by UPN'!$G$3:$R$112,11)</f>
        <v>0</v>
      </c>
      <c r="Q91" s="4">
        <f>F91*P91</f>
        <v>0</v>
      </c>
      <c r="R91" s="25"/>
    </row>
    <row r="92" spans="1:19" x14ac:dyDescent="0.35">
      <c r="F92" s="2">
        <v>2</v>
      </c>
      <c r="G92" s="2">
        <v>336</v>
      </c>
      <c r="I92" s="2" t="s">
        <v>274</v>
      </c>
      <c r="J92" t="str">
        <f>VLOOKUP($G92,'Materials by UPN'!$G$3:$R$112,2)</f>
        <v>Header, 40-pin, right-angle, with ejectors</v>
      </c>
      <c r="K92" t="str">
        <f>IF(VLOOKUP($G92,'Materials by UPN'!$G$3:$R$112,3)="","",VLOOKUP($G92,'Materials by UPN'!$G$3:$R$112,3))</f>
        <v/>
      </c>
      <c r="L92" t="str">
        <f>IF(VLOOKUP($G92,'Materials by UPN'!$G$3:$R$112,4)="","",VLOOKUP($G92,'Materials by UPN'!$G$3:$R$112,4))</f>
        <v>Amphenol ICC (FCI)</v>
      </c>
      <c r="M92" t="str">
        <f>IF(VLOOKUP($G92,'Materials by UPN'!$G$3:$R$112,5)="","",VLOOKUP($G92,'Materials by UPN'!$G$3:$R$112,5))</f>
        <v>86130402113345E1LF</v>
      </c>
      <c r="N92" t="str">
        <f>VLOOKUP($G92,'Materials by UPN'!$G$3:$R$112,6)</f>
        <v>Digikey</v>
      </c>
      <c r="O92" t="str">
        <f>IF(VLOOKUP($G92,'Materials by UPN'!$G$3:$R$112,7)="","",VLOOKUP($G92,'Materials by UPN'!$G$3:$R$112,7))</f>
        <v>https://www.digikey.com/en/products/detail/amphenol-cs-fci/86130402113345E1LF/5201672</v>
      </c>
      <c r="P92" s="4">
        <f>VLOOKUP($G92,'Materials by UPN'!$G$3:$R$112,11)</f>
        <v>1.789927135696644</v>
      </c>
      <c r="Q92" s="4">
        <f>F92*P92</f>
        <v>3.5798542713932879</v>
      </c>
      <c r="R92" s="25"/>
    </row>
    <row r="93" spans="1:19" x14ac:dyDescent="0.35">
      <c r="F93" s="2">
        <v>2</v>
      </c>
      <c r="G93" s="2">
        <v>349</v>
      </c>
      <c r="I93" s="2" t="s">
        <v>280</v>
      </c>
      <c r="J93" t="str">
        <f>VLOOKUP($G93,'Materials by UPN'!$G$3:$R$112,2)</f>
        <v>Flat Cable, 40-pin 2x20 IDC, 1m</v>
      </c>
      <c r="K93" t="str">
        <f>IF(VLOOKUP($G93,'Materials by UPN'!$G$3:$R$112,3)="","",VLOOKUP($G93,'Materials by UPN'!$G$3:$R$112,3))</f>
        <v/>
      </c>
      <c r="L93" t="str">
        <f>IF(VLOOKUP($G93,'Materials by UPN'!$G$3:$R$112,4)="","",VLOOKUP($G93,'Materials by UPN'!$G$3:$R$112,4))</f>
        <v/>
      </c>
      <c r="M93" t="str">
        <f>IF(VLOOKUP($G93,'Materials by UPN'!$G$3:$R$112,5)="","",VLOOKUP($G93,'Materials by UPN'!$G$3:$R$112,5))</f>
        <v/>
      </c>
      <c r="N93" t="str">
        <f>VLOOKUP($G93,'Materials by UPN'!$G$3:$R$112,6)</f>
        <v>AliExpress</v>
      </c>
      <c r="O93" t="str">
        <f>IF(VLOOKUP($G93,'Materials by UPN'!$G$3:$R$112,7)="","",VLOOKUP($G93,'Materials by UPN'!$G$3:$R$112,7))</f>
        <v>https://www.aliexpress.us/item/3256803248238815.html</v>
      </c>
      <c r="P93" s="4">
        <f>VLOOKUP($G93,'Materials by UPN'!$G$3:$R$112,11)</f>
        <v>5.5018500000000001</v>
      </c>
      <c r="Q93" s="4">
        <f t="shared" si="3"/>
        <v>11.0037</v>
      </c>
      <c r="R93" s="25"/>
    </row>
    <row r="94" spans="1:19" x14ac:dyDescent="0.35">
      <c r="F94" s="2">
        <v>1</v>
      </c>
      <c r="G94" s="2">
        <v>205</v>
      </c>
      <c r="I94" s="2" t="s">
        <v>274</v>
      </c>
      <c r="J94" t="str">
        <f>VLOOKUP($G94,'Materials by UPN'!$G$3:$R$112,2)</f>
        <v>M993GW Cable Clamp, 3D printed</v>
      </c>
      <c r="K94" t="str">
        <f>IF(VLOOKUP($G94,'Materials by UPN'!$G$3:$R$112,3)="","",VLOOKUP($G94,'Materials by UPN'!$G$3:$R$112,3))</f>
        <v>v03</v>
      </c>
      <c r="L94" t="str">
        <f>IF(VLOOKUP($G94,'Materials by UPN'!$G$3:$R$112,4)="","",VLOOKUP($G94,'Materials by UPN'!$G$3:$R$112,4))</f>
        <v/>
      </c>
      <c r="M94" t="str">
        <f>IF(VLOOKUP($G94,'Materials by UPN'!$G$3:$R$112,5)="","",VLOOKUP($G94,'Materials by UPN'!$G$3:$R$112,5))</f>
        <v>205 v03</v>
      </c>
      <c r="N94" t="str">
        <f>VLOOKUP($G94,'Materials by UPN'!$G$3:$R$112,6)</f>
        <v>JLCPCB</v>
      </c>
      <c r="O94" t="str">
        <f>IF(VLOOKUP($G94,'Materials by UPN'!$G$3:$R$112,7)="","",VLOOKUP($G94,'Materials by UPN'!$G$3:$R$112,7))</f>
        <v>200 v03, SLA (Resin), LEDO 6060, Natural White</v>
      </c>
      <c r="P94" s="4">
        <f>VLOOKUP($G94,'Materials by UPN'!$G$3:$R$112,11)</f>
        <v>0.61869230769230765</v>
      </c>
      <c r="Q94" s="4">
        <f t="shared" si="3"/>
        <v>0.61869230769230765</v>
      </c>
      <c r="R94" s="25"/>
    </row>
    <row r="95" spans="1:19" x14ac:dyDescent="0.35">
      <c r="F95" s="2">
        <v>2</v>
      </c>
      <c r="G95" s="2">
        <v>334</v>
      </c>
      <c r="I95" s="2" t="s">
        <v>274</v>
      </c>
      <c r="J95" t="str">
        <f>VLOOKUP($G95,'Materials by UPN'!$G$3:$R$112,2)</f>
        <v>M3 x 12mm cap screw, black</v>
      </c>
      <c r="K95" t="str">
        <f>IF(VLOOKUP($G95,'Materials by UPN'!$G$3:$R$112,3)="","",VLOOKUP($G95,'Materials by UPN'!$G$3:$R$112,3))</f>
        <v/>
      </c>
      <c r="L95" t="str">
        <f>IF(VLOOKUP($G95,'Materials by UPN'!$G$3:$R$112,4)="","",VLOOKUP($G95,'Materials by UPN'!$G$3:$R$112,4))</f>
        <v/>
      </c>
      <c r="M95" t="str">
        <f>IF(VLOOKUP($G95,'Materials by UPN'!$G$3:$R$112,5)="","",VLOOKUP($G95,'Materials by UPN'!$G$3:$R$112,5))</f>
        <v/>
      </c>
      <c r="N95" t="str">
        <f>VLOOKUP($G95,'Materials by UPN'!$G$3:$R$112,6)</f>
        <v>Amazon</v>
      </c>
      <c r="O95" t="str">
        <f>IF(VLOOKUP($G95,'Materials by UPN'!$G$3:$R$112,7)="","",VLOOKUP($G95,'Materials by UPN'!$G$3:$R$112,7))</f>
        <v>https://www.amazon.com/gp/product/B07CNFTK99</v>
      </c>
      <c r="P95" s="4">
        <f>VLOOKUP($G95,'Materials by UPN'!$G$3:$R$112,11)</f>
        <v>8.4691500000000003E-2</v>
      </c>
      <c r="Q95" s="4">
        <f t="shared" si="3"/>
        <v>0.16938300000000001</v>
      </c>
      <c r="R95" s="25"/>
    </row>
    <row r="96" spans="1:19" x14ac:dyDescent="0.35">
      <c r="F96" s="2">
        <v>2</v>
      </c>
      <c r="G96" s="2">
        <v>328</v>
      </c>
      <c r="I96" s="2" t="s">
        <v>274</v>
      </c>
      <c r="J96" t="str">
        <f>VLOOKUP($G96,'Materials by UPN'!$G$3:$R$112,2)</f>
        <v>M3 self locking nut</v>
      </c>
      <c r="K96" t="str">
        <f>IF(VLOOKUP($G96,'Materials by UPN'!$G$3:$R$112,3)="","",VLOOKUP($G96,'Materials by UPN'!$G$3:$R$112,3))</f>
        <v/>
      </c>
      <c r="L96" t="str">
        <f>IF(VLOOKUP($G96,'Materials by UPN'!$G$3:$R$112,4)="","",VLOOKUP($G96,'Materials by UPN'!$G$3:$R$112,4))</f>
        <v/>
      </c>
      <c r="M96" t="str">
        <f>IF(VLOOKUP($G96,'Materials by UPN'!$G$3:$R$112,5)="","",VLOOKUP($G96,'Materials by UPN'!$G$3:$R$112,5))</f>
        <v/>
      </c>
      <c r="N96" t="str">
        <f>VLOOKUP($G96,'Materials by UPN'!$G$3:$R$112,6)</f>
        <v>Amazon</v>
      </c>
      <c r="O96" t="str">
        <f>IF(VLOOKUP($G96,'Materials by UPN'!$G$3:$R$112,7)="","",VLOOKUP($G96,'Materials by UPN'!$G$3:$R$112,7))</f>
        <v>https://www.amazon.com/Stainless-Self-Locking-Industrial-Construction-Fasteners/dp/B09SLLQ3KV</v>
      </c>
      <c r="P96" s="4">
        <f>VLOOKUP($G96,'Materials by UPN'!$G$3:$R$112,11)</f>
        <v>5.4533333333333329E-2</v>
      </c>
      <c r="Q96" s="4">
        <f t="shared" si="3"/>
        <v>0.10906666666666666</v>
      </c>
      <c r="R96" s="25"/>
    </row>
    <row r="97" spans="1:22" x14ac:dyDescent="0.35">
      <c r="F97" s="2">
        <v>2</v>
      </c>
      <c r="G97" s="2">
        <v>364</v>
      </c>
      <c r="I97" s="2" t="s">
        <v>312</v>
      </c>
      <c r="J97" t="str">
        <f>VLOOKUP($G97,'Materials by UPN'!$G$3:$R$112,2)</f>
        <v>3" x 5" Small Plastic Bags- Reclosable Zip Bags</v>
      </c>
      <c r="K97" t="str">
        <f>IF(VLOOKUP($G97,'Materials by UPN'!$G$3:$R$112,3)="","",VLOOKUP($G97,'Materials by UPN'!$G$3:$R$112,3))</f>
        <v/>
      </c>
      <c r="L97" t="str">
        <f>IF(VLOOKUP($G97,'Materials by UPN'!$G$3:$R$112,4)="","",VLOOKUP($G97,'Materials by UPN'!$G$3:$R$112,4))</f>
        <v/>
      </c>
      <c r="M97" t="str">
        <f>IF(VLOOKUP($G97,'Materials by UPN'!$G$3:$R$112,5)="","",VLOOKUP($G97,'Materials by UPN'!$G$3:$R$112,5))</f>
        <v/>
      </c>
      <c r="N97" t="str">
        <f>VLOOKUP($G97,'Materials by UPN'!$G$3:$R$112,6)</f>
        <v>Amazon</v>
      </c>
      <c r="O97" t="str">
        <f>IF(VLOOKUP($G97,'Materials by UPN'!$G$3:$R$112,7)="","",VLOOKUP($G97,'Materials by UPN'!$G$3:$R$112,7))</f>
        <v>https://www.amazon.com/gp/product/B07XBF98NV</v>
      </c>
      <c r="P97" s="4">
        <f>VLOOKUP($G97,'Materials by UPN'!$G$3:$R$112,11)</f>
        <v>1.9379999999999998E-2</v>
      </c>
      <c r="Q97" s="4">
        <f>F97*P97</f>
        <v>3.8759999999999996E-2</v>
      </c>
      <c r="R97" s="25"/>
    </row>
    <row r="98" spans="1:22" x14ac:dyDescent="0.35">
      <c r="R98" s="25"/>
    </row>
    <row r="99" spans="1:22" s="41" customFormat="1" ht="18.5" x14ac:dyDescent="0.45">
      <c r="A99" s="30" t="s">
        <v>161</v>
      </c>
      <c r="B99" s="30" t="s">
        <v>140</v>
      </c>
      <c r="C99" s="30"/>
      <c r="D99" s="30"/>
      <c r="E99" s="30"/>
      <c r="F99" s="35"/>
      <c r="G99" s="35"/>
      <c r="H99" s="36"/>
      <c r="I99" s="35"/>
      <c r="J99" s="30"/>
      <c r="K99" s="30"/>
      <c r="L99" s="30"/>
      <c r="M99" s="30"/>
      <c r="N99" s="30"/>
      <c r="O99" s="30"/>
      <c r="P99" s="42"/>
      <c r="Q99" s="30"/>
      <c r="R99" s="43">
        <f>SUM(Q99:Q108)</f>
        <v>31.348452491504524</v>
      </c>
      <c r="S99" s="40">
        <f>CEILING(R99,1)</f>
        <v>32</v>
      </c>
      <c r="V99" s="44"/>
    </row>
    <row r="100" spans="1:22" x14ac:dyDescent="0.35">
      <c r="F100" s="2">
        <v>2</v>
      </c>
      <c r="G100" s="2">
        <v>105</v>
      </c>
      <c r="I100" s="2" t="s">
        <v>325</v>
      </c>
      <c r="J100" t="str">
        <f>VLOOKUP($G100,'Materials by UPN'!$G$3:$R$112,2)</f>
        <v>PCB, M993GW RK05 Adapter Board</v>
      </c>
      <c r="K100" t="str">
        <f>IF(VLOOKUP($G100,'Materials by UPN'!$G$3:$R$112,3)="","",VLOOKUP($G100,'Materials by UPN'!$G$3:$R$112,3))</f>
        <v>v2</v>
      </c>
      <c r="L100" t="str">
        <f>IF(VLOOKUP($G100,'Materials by UPN'!$G$3:$R$112,4)="","",VLOOKUP($G100,'Materials by UPN'!$G$3:$R$112,4))</f>
        <v/>
      </c>
      <c r="M100" t="str">
        <f>IF(VLOOKUP($G100,'Materials by UPN'!$G$3:$R$112,5)="","",VLOOKUP($G100,'Materials by UPN'!$G$3:$R$112,5))</f>
        <v/>
      </c>
      <c r="N100" t="str">
        <f>VLOOKUP($G100,'Materials by UPN'!$G$3:$R$112,6)</f>
        <v>JLCPCB</v>
      </c>
      <c r="O100" t="str">
        <f>IF(VLOOKUP($G100,'Materials by UPN'!$G$3:$R$112,7)="","",VLOOKUP($G100,'Materials by UPN'!$G$3:$R$112,7))</f>
        <v>Surface Finish: ENIG</v>
      </c>
      <c r="P100" s="4">
        <f>VLOOKUP($G100,'Materials by UPN'!$G$3:$R$112,11)</f>
        <v>5.6760000000000002</v>
      </c>
      <c r="Q100" s="4">
        <f t="shared" ref="Q100:Q106" si="4">F100*P100</f>
        <v>11.352</v>
      </c>
      <c r="R100" s="25"/>
    </row>
    <row r="101" spans="1:22" x14ac:dyDescent="0.35">
      <c r="F101" s="2">
        <v>1</v>
      </c>
      <c r="G101" s="2">
        <v>368</v>
      </c>
      <c r="I101" s="2" t="s">
        <v>328</v>
      </c>
      <c r="J101" t="str">
        <f>VLOOKUP($G101,'Materials by UPN'!$G$3:$R$112,2)</f>
        <v>Ziplock Sandwich Bag</v>
      </c>
      <c r="K101" t="str">
        <f>IF(VLOOKUP($G101,'Materials by UPN'!$G$3:$R$112,3)="","",VLOOKUP($G101,'Materials by UPN'!$G$3:$R$112,3))</f>
        <v/>
      </c>
      <c r="L101" t="str">
        <f>IF(VLOOKUP($G101,'Materials by UPN'!$G$3:$R$112,4)="","",VLOOKUP($G101,'Materials by UPN'!$G$3:$R$112,4))</f>
        <v/>
      </c>
      <c r="M101" t="str">
        <f>IF(VLOOKUP($G101,'Materials by UPN'!$G$3:$R$112,5)="","",VLOOKUP($G101,'Materials by UPN'!$G$3:$R$112,5))</f>
        <v/>
      </c>
      <c r="N101" t="str">
        <f>VLOOKUP($G101,'Materials by UPN'!$G$3:$R$112,6)</f>
        <v>Costco</v>
      </c>
      <c r="O101" t="str">
        <f>IF(VLOOKUP($G101,'Materials by UPN'!$G$3:$R$112,7)="","",VLOOKUP($G101,'Materials by UPN'!$G$3:$R$112,7))</f>
        <v/>
      </c>
      <c r="P101" s="4">
        <f>VLOOKUP($G101,'Materials by UPN'!$G$3:$R$112,11)</f>
        <v>0</v>
      </c>
      <c r="Q101" s="4">
        <f>F101*P101</f>
        <v>0</v>
      </c>
      <c r="R101" s="25"/>
    </row>
    <row r="102" spans="1:22" x14ac:dyDescent="0.35">
      <c r="F102" s="2">
        <v>4</v>
      </c>
      <c r="G102" s="2">
        <v>336</v>
      </c>
      <c r="I102" s="2" t="s">
        <v>326</v>
      </c>
      <c r="J102" t="str">
        <f>VLOOKUP($G102,'Materials by UPN'!$G$3:$R$112,2)</f>
        <v>Header, 40-pin, right-angle, with ejectors</v>
      </c>
      <c r="K102" t="str">
        <f>IF(VLOOKUP($G102,'Materials by UPN'!$G$3:$R$112,3)="","",VLOOKUP($G102,'Materials by UPN'!$G$3:$R$112,3))</f>
        <v/>
      </c>
      <c r="L102" t="str">
        <f>IF(VLOOKUP($G102,'Materials by UPN'!$G$3:$R$112,4)="","",VLOOKUP($G102,'Materials by UPN'!$G$3:$R$112,4))</f>
        <v>Amphenol ICC (FCI)</v>
      </c>
      <c r="M102" t="str">
        <f>IF(VLOOKUP($G102,'Materials by UPN'!$G$3:$R$112,5)="","",VLOOKUP($G102,'Materials by UPN'!$G$3:$R$112,5))</f>
        <v>86130402113345E1LF</v>
      </c>
      <c r="N102" t="str">
        <f>VLOOKUP($G102,'Materials by UPN'!$G$3:$R$112,6)</f>
        <v>Digikey</v>
      </c>
      <c r="O102" t="str">
        <f>IF(VLOOKUP($G102,'Materials by UPN'!$G$3:$R$112,7)="","",VLOOKUP($G102,'Materials by UPN'!$G$3:$R$112,7))</f>
        <v>https://www.digikey.com/en/products/detail/amphenol-cs-fci/86130402113345E1LF/5201672</v>
      </c>
      <c r="P102" s="4">
        <f>VLOOKUP($G102,'Materials by UPN'!$G$3:$R$112,11)</f>
        <v>1.789927135696644</v>
      </c>
      <c r="Q102" s="4">
        <f t="shared" si="4"/>
        <v>7.1597085427865759</v>
      </c>
      <c r="R102" s="25"/>
    </row>
    <row r="103" spans="1:22" x14ac:dyDescent="0.35">
      <c r="F103" s="2">
        <v>2</v>
      </c>
      <c r="G103" s="2">
        <v>349</v>
      </c>
      <c r="I103" s="2" t="s">
        <v>280</v>
      </c>
      <c r="J103" t="str">
        <f>VLOOKUP($G103,'Materials by UPN'!$G$3:$R$112,2)</f>
        <v>Flat Cable, 40-pin 2x20 IDC, 1m</v>
      </c>
      <c r="K103" t="str">
        <f>IF(VLOOKUP($G103,'Materials by UPN'!$G$3:$R$112,3)="","",VLOOKUP($G103,'Materials by UPN'!$G$3:$R$112,3))</f>
        <v/>
      </c>
      <c r="L103" t="str">
        <f>IF(VLOOKUP($G103,'Materials by UPN'!$G$3:$R$112,4)="","",VLOOKUP($G103,'Materials by UPN'!$G$3:$R$112,4))</f>
        <v/>
      </c>
      <c r="M103" t="str">
        <f>IF(VLOOKUP($G103,'Materials by UPN'!$G$3:$R$112,5)="","",VLOOKUP($G103,'Materials by UPN'!$G$3:$R$112,5))</f>
        <v/>
      </c>
      <c r="N103" t="str">
        <f>VLOOKUP($G103,'Materials by UPN'!$G$3:$R$112,6)</f>
        <v>AliExpress</v>
      </c>
      <c r="O103" t="str">
        <f>IF(VLOOKUP($G103,'Materials by UPN'!$G$3:$R$112,7)="","",VLOOKUP($G103,'Materials by UPN'!$G$3:$R$112,7))</f>
        <v>https://www.aliexpress.us/item/3256803248238815.html</v>
      </c>
      <c r="P103" s="4">
        <f>VLOOKUP($G103,'Materials by UPN'!$G$3:$R$112,11)</f>
        <v>5.5018500000000001</v>
      </c>
      <c r="Q103" s="4">
        <f t="shared" si="4"/>
        <v>11.0037</v>
      </c>
      <c r="R103" s="25"/>
    </row>
    <row r="104" spans="1:22" x14ac:dyDescent="0.35">
      <c r="F104" s="2">
        <v>2</v>
      </c>
      <c r="G104" s="2">
        <v>205</v>
      </c>
      <c r="I104" s="2" t="s">
        <v>326</v>
      </c>
      <c r="J104" t="str">
        <f>VLOOKUP($G104,'Materials by UPN'!$G$3:$R$112,2)</f>
        <v>M993GW Cable Clamp, 3D printed</v>
      </c>
      <c r="K104" t="str">
        <f>IF(VLOOKUP($G104,'Materials by UPN'!$G$3:$R$112,3)="","",VLOOKUP($G104,'Materials by UPN'!$G$3:$R$112,3))</f>
        <v>v03</v>
      </c>
      <c r="L104" t="str">
        <f>IF(VLOOKUP($G104,'Materials by UPN'!$G$3:$R$112,4)="","",VLOOKUP($G104,'Materials by UPN'!$G$3:$R$112,4))</f>
        <v/>
      </c>
      <c r="M104" t="str">
        <f>IF(VLOOKUP($G104,'Materials by UPN'!$G$3:$R$112,5)="","",VLOOKUP($G104,'Materials by UPN'!$G$3:$R$112,5))</f>
        <v>205 v03</v>
      </c>
      <c r="N104" t="str">
        <f>VLOOKUP($G104,'Materials by UPN'!$G$3:$R$112,6)</f>
        <v>JLCPCB</v>
      </c>
      <c r="O104" t="str">
        <f>IF(VLOOKUP($G104,'Materials by UPN'!$G$3:$R$112,7)="","",VLOOKUP($G104,'Materials by UPN'!$G$3:$R$112,7))</f>
        <v>200 v03, SLA (Resin), LEDO 6060, Natural White</v>
      </c>
      <c r="P104" s="4">
        <f>VLOOKUP($G104,'Materials by UPN'!$G$3:$R$112,11)</f>
        <v>0.61869230769230765</v>
      </c>
      <c r="Q104" s="4">
        <f t="shared" si="4"/>
        <v>1.2373846153846153</v>
      </c>
      <c r="R104" s="25"/>
    </row>
    <row r="105" spans="1:22" x14ac:dyDescent="0.35">
      <c r="F105" s="2">
        <v>4</v>
      </c>
      <c r="G105" s="2">
        <v>334</v>
      </c>
      <c r="I105" s="2" t="s">
        <v>326</v>
      </c>
      <c r="J105" t="str">
        <f>VLOOKUP($G105,'Materials by UPN'!$G$3:$R$112,2)</f>
        <v>M3 x 12mm cap screw, black</v>
      </c>
      <c r="K105" t="str">
        <f>IF(VLOOKUP($G105,'Materials by UPN'!$G$3:$R$112,3)="","",VLOOKUP($G105,'Materials by UPN'!$G$3:$R$112,3))</f>
        <v/>
      </c>
      <c r="L105" t="str">
        <f>IF(VLOOKUP($G105,'Materials by UPN'!$G$3:$R$112,4)="","",VLOOKUP($G105,'Materials by UPN'!$G$3:$R$112,4))</f>
        <v/>
      </c>
      <c r="M105" t="str">
        <f>IF(VLOOKUP($G105,'Materials by UPN'!$G$3:$R$112,5)="","",VLOOKUP($G105,'Materials by UPN'!$G$3:$R$112,5))</f>
        <v/>
      </c>
      <c r="N105" t="str">
        <f>VLOOKUP($G105,'Materials by UPN'!$G$3:$R$112,6)</f>
        <v>Amazon</v>
      </c>
      <c r="O105" t="str">
        <f>IF(VLOOKUP($G105,'Materials by UPN'!$G$3:$R$112,7)="","",VLOOKUP($G105,'Materials by UPN'!$G$3:$R$112,7))</f>
        <v>https://www.amazon.com/gp/product/B07CNFTK99</v>
      </c>
      <c r="P105" s="4">
        <f>VLOOKUP($G105,'Materials by UPN'!$G$3:$R$112,11)</f>
        <v>8.4691500000000003E-2</v>
      </c>
      <c r="Q105" s="4">
        <f t="shared" si="4"/>
        <v>0.33876600000000001</v>
      </c>
      <c r="R105" s="25"/>
    </row>
    <row r="106" spans="1:22" x14ac:dyDescent="0.35">
      <c r="F106" s="2">
        <v>4</v>
      </c>
      <c r="G106" s="2">
        <v>328</v>
      </c>
      <c r="I106" s="2" t="s">
        <v>326</v>
      </c>
      <c r="J106" t="str">
        <f>VLOOKUP($G106,'Materials by UPN'!$G$3:$R$112,2)</f>
        <v>M3 self locking nut</v>
      </c>
      <c r="K106" t="str">
        <f>IF(VLOOKUP($G106,'Materials by UPN'!$G$3:$R$112,3)="","",VLOOKUP($G106,'Materials by UPN'!$G$3:$R$112,3))</f>
        <v/>
      </c>
      <c r="L106" t="str">
        <f>IF(VLOOKUP($G106,'Materials by UPN'!$G$3:$R$112,4)="","",VLOOKUP($G106,'Materials by UPN'!$G$3:$R$112,4))</f>
        <v/>
      </c>
      <c r="M106" t="str">
        <f>IF(VLOOKUP($G106,'Materials by UPN'!$G$3:$R$112,5)="","",VLOOKUP($G106,'Materials by UPN'!$G$3:$R$112,5))</f>
        <v/>
      </c>
      <c r="N106" t="str">
        <f>VLOOKUP($G106,'Materials by UPN'!$G$3:$R$112,6)</f>
        <v>Amazon</v>
      </c>
      <c r="O106" t="str">
        <f>IF(VLOOKUP($G106,'Materials by UPN'!$G$3:$R$112,7)="","",VLOOKUP($G106,'Materials by UPN'!$G$3:$R$112,7))</f>
        <v>https://www.amazon.com/Stainless-Self-Locking-Industrial-Construction-Fasteners/dp/B09SLLQ3KV</v>
      </c>
      <c r="P106" s="4">
        <f>VLOOKUP($G106,'Materials by UPN'!$G$3:$R$112,11)</f>
        <v>5.4533333333333329E-2</v>
      </c>
      <c r="Q106" s="4">
        <f t="shared" si="4"/>
        <v>0.21813333333333332</v>
      </c>
      <c r="R106" s="25"/>
    </row>
    <row r="107" spans="1:22" x14ac:dyDescent="0.35">
      <c r="F107" s="2">
        <v>2</v>
      </c>
      <c r="G107" s="2">
        <v>364</v>
      </c>
      <c r="I107" s="2" t="s">
        <v>327</v>
      </c>
      <c r="J107" t="str">
        <f>VLOOKUP($G107,'Materials by UPN'!$G$3:$R$112,2)</f>
        <v>3" x 5" Small Plastic Bags- Reclosable Zip Bags</v>
      </c>
      <c r="K107" t="str">
        <f>IF(VLOOKUP($G107,'Materials by UPN'!$G$3:$R$112,3)="","",VLOOKUP($G107,'Materials by UPN'!$G$3:$R$112,3))</f>
        <v/>
      </c>
      <c r="L107" t="str">
        <f>IF(VLOOKUP($G107,'Materials by UPN'!$G$3:$R$112,4)="","",VLOOKUP($G107,'Materials by UPN'!$G$3:$R$112,4))</f>
        <v/>
      </c>
      <c r="M107" t="str">
        <f>IF(VLOOKUP($G107,'Materials by UPN'!$G$3:$R$112,5)="","",VLOOKUP($G107,'Materials by UPN'!$G$3:$R$112,5))</f>
        <v/>
      </c>
      <c r="N107" t="str">
        <f>VLOOKUP($G107,'Materials by UPN'!$G$3:$R$112,6)</f>
        <v>Amazon</v>
      </c>
      <c r="O107" t="str">
        <f>IF(VLOOKUP($G107,'Materials by UPN'!$G$3:$R$112,7)="","",VLOOKUP($G107,'Materials by UPN'!$G$3:$R$112,7))</f>
        <v>https://www.amazon.com/gp/product/B07XBF98NV</v>
      </c>
      <c r="P107" s="4">
        <f>VLOOKUP($G107,'Materials by UPN'!$G$3:$R$112,11)</f>
        <v>1.9379999999999998E-2</v>
      </c>
      <c r="Q107" s="4">
        <f>F107*P107</f>
        <v>3.8759999999999996E-2</v>
      </c>
      <c r="R107" s="25"/>
    </row>
    <row r="108" spans="1:22" x14ac:dyDescent="0.35">
      <c r="R108" s="25"/>
    </row>
    <row r="109" spans="1:22" s="41" customFormat="1" ht="18.5" x14ac:dyDescent="0.45">
      <c r="A109" s="30" t="s">
        <v>162</v>
      </c>
      <c r="B109" s="30" t="s">
        <v>339</v>
      </c>
      <c r="C109" s="30"/>
      <c r="D109" s="30"/>
      <c r="E109" s="30"/>
      <c r="F109" s="35"/>
      <c r="G109" s="35"/>
      <c r="H109" s="36"/>
      <c r="I109" s="35"/>
      <c r="J109" s="30"/>
      <c r="K109" s="30"/>
      <c r="L109" s="30"/>
      <c r="M109" s="30"/>
      <c r="N109" s="30"/>
      <c r="O109" s="30"/>
      <c r="P109" s="42"/>
      <c r="Q109" s="30"/>
      <c r="R109" s="43">
        <f>SUM(Q109:Q116)</f>
        <v>22.808468542786578</v>
      </c>
      <c r="S109" s="40">
        <f>CEILING(R109,1)</f>
        <v>23</v>
      </c>
    </row>
    <row r="110" spans="1:22" x14ac:dyDescent="0.35">
      <c r="F110" s="2">
        <v>2</v>
      </c>
      <c r="G110" s="2">
        <v>105</v>
      </c>
      <c r="I110" s="2" t="s">
        <v>325</v>
      </c>
      <c r="J110" t="str">
        <f>VLOOKUP($G110,'Materials by UPN'!$G$3:$R$112,2)</f>
        <v>PCB, M993GW RK05 Adapter Board</v>
      </c>
      <c r="K110" t="str">
        <f>IF(VLOOKUP($G110,'Materials by UPN'!$G$3:$R$112,3)="","",VLOOKUP($G110,'Materials by UPN'!$G$3:$R$112,3))</f>
        <v>v2</v>
      </c>
      <c r="L110" t="str">
        <f>IF(VLOOKUP($G110,'Materials by UPN'!$G$3:$R$112,4)="","",VLOOKUP($G110,'Materials by UPN'!$G$3:$R$112,4))</f>
        <v/>
      </c>
      <c r="M110" t="str">
        <f>IF(VLOOKUP($G110,'Materials by UPN'!$G$3:$R$112,5)="","",VLOOKUP($G110,'Materials by UPN'!$G$3:$R$112,5))</f>
        <v/>
      </c>
      <c r="N110" t="str">
        <f>VLOOKUP($G110,'Materials by UPN'!$G$3:$R$112,6)</f>
        <v>JLCPCB</v>
      </c>
      <c r="O110" t="str">
        <f>IF(VLOOKUP($G110,'Materials by UPN'!$G$3:$R$112,7)="","",VLOOKUP($G110,'Materials by UPN'!$G$3:$R$112,7))</f>
        <v>Surface Finish: ENIG</v>
      </c>
      <c r="P110" s="4">
        <f>VLOOKUP($G110,'Materials by UPN'!$G$3:$R$112,11)</f>
        <v>5.6760000000000002</v>
      </c>
      <c r="Q110" s="4">
        <f t="shared" ref="Q110:Q115" si="5">F110*P110</f>
        <v>11.352</v>
      </c>
      <c r="R110" s="25"/>
    </row>
    <row r="111" spans="1:22" x14ac:dyDescent="0.35">
      <c r="F111" s="2">
        <v>1</v>
      </c>
      <c r="G111" s="2">
        <v>368</v>
      </c>
      <c r="I111" s="2" t="s">
        <v>328</v>
      </c>
      <c r="J111" t="str">
        <f>VLOOKUP($G111,'Materials by UPN'!$G$3:$R$112,2)</f>
        <v>Ziplock Sandwich Bag</v>
      </c>
      <c r="K111" t="str">
        <f>IF(VLOOKUP($G111,'Materials by UPN'!$G$3:$R$112,3)="","",VLOOKUP($G111,'Materials by UPN'!$G$3:$R$112,3))</f>
        <v/>
      </c>
      <c r="L111" t="str">
        <f>IF(VLOOKUP($G111,'Materials by UPN'!$G$3:$R$112,4)="","",VLOOKUP($G111,'Materials by UPN'!$G$3:$R$112,4))</f>
        <v/>
      </c>
      <c r="M111" t="str">
        <f>IF(VLOOKUP($G111,'Materials by UPN'!$G$3:$R$112,5)="","",VLOOKUP($G111,'Materials by UPN'!$G$3:$R$112,5))</f>
        <v/>
      </c>
      <c r="N111" t="str">
        <f>VLOOKUP($G111,'Materials by UPN'!$G$3:$R$112,6)</f>
        <v>Costco</v>
      </c>
      <c r="O111" t="str">
        <f>IF(VLOOKUP($G111,'Materials by UPN'!$G$3:$R$112,7)="","",VLOOKUP($G111,'Materials by UPN'!$G$3:$R$112,7))</f>
        <v/>
      </c>
      <c r="P111" s="4">
        <f>VLOOKUP($G111,'Materials by UPN'!$G$3:$R$112,11)</f>
        <v>0</v>
      </c>
      <c r="Q111" s="4">
        <f t="shared" si="5"/>
        <v>0</v>
      </c>
      <c r="R111" s="25"/>
    </row>
    <row r="112" spans="1:22" x14ac:dyDescent="0.35">
      <c r="F112" s="2">
        <v>4</v>
      </c>
      <c r="G112" s="2">
        <v>336</v>
      </c>
      <c r="I112" s="2" t="s">
        <v>329</v>
      </c>
      <c r="J112" t="str">
        <f>VLOOKUP($G112,'Materials by UPN'!$G$3:$R$112,2)</f>
        <v>Header, 40-pin, right-angle, with ejectors</v>
      </c>
      <c r="K112" t="str">
        <f>IF(VLOOKUP($G112,'Materials by UPN'!$G$3:$R$112,3)="","",VLOOKUP($G112,'Materials by UPN'!$G$3:$R$112,3))</f>
        <v/>
      </c>
      <c r="L112" t="str">
        <f>IF(VLOOKUP($G112,'Materials by UPN'!$G$3:$R$112,4)="","",VLOOKUP($G112,'Materials by UPN'!$G$3:$R$112,4))</f>
        <v>Amphenol ICC (FCI)</v>
      </c>
      <c r="M112" t="str">
        <f>IF(VLOOKUP($G112,'Materials by UPN'!$G$3:$R$112,5)="","",VLOOKUP($G112,'Materials by UPN'!$G$3:$R$112,5))</f>
        <v>86130402113345E1LF</v>
      </c>
      <c r="N112" t="str">
        <f>VLOOKUP($G112,'Materials by UPN'!$G$3:$R$112,6)</f>
        <v>Digikey</v>
      </c>
      <c r="O112" t="str">
        <f>IF(VLOOKUP($G112,'Materials by UPN'!$G$3:$R$112,7)="","",VLOOKUP($G112,'Materials by UPN'!$G$3:$R$112,7))</f>
        <v>https://www.digikey.com/en/products/detail/amphenol-cs-fci/86130402113345E1LF/5201672</v>
      </c>
      <c r="P112" s="4">
        <f>VLOOKUP($G112,'Materials by UPN'!$G$3:$R$112,11)</f>
        <v>1.789927135696644</v>
      </c>
      <c r="Q112" s="4">
        <f t="shared" si="5"/>
        <v>7.1597085427865759</v>
      </c>
      <c r="R112" s="25"/>
    </row>
    <row r="113" spans="1:19" x14ac:dyDescent="0.35">
      <c r="F113" s="2">
        <v>1</v>
      </c>
      <c r="G113" s="2">
        <v>361</v>
      </c>
      <c r="I113" s="2" t="s">
        <v>281</v>
      </c>
      <c r="J113" t="str">
        <f>VLOOKUP($G113,'Materials by UPN'!$G$3:$R$112,2)</f>
        <v>Flat Cable, 40-pin 2x20 IDC, 30cm</v>
      </c>
      <c r="K113" t="str">
        <f>IF(VLOOKUP($G113,'Materials by UPN'!$G$3:$R$112,3)="","",VLOOKUP($G113,'Materials by UPN'!$G$3:$R$112,3))</f>
        <v/>
      </c>
      <c r="L113" t="str">
        <f>IF(VLOOKUP($G113,'Materials by UPN'!$G$3:$R$112,4)="","",VLOOKUP($G113,'Materials by UPN'!$G$3:$R$112,4))</f>
        <v/>
      </c>
      <c r="M113" t="str">
        <f>IF(VLOOKUP($G113,'Materials by UPN'!$G$3:$R$112,5)="","",VLOOKUP($G113,'Materials by UPN'!$G$3:$R$112,5))</f>
        <v/>
      </c>
      <c r="N113" t="str">
        <f>VLOOKUP($G113,'Materials by UPN'!$G$3:$R$112,6)</f>
        <v>AliExpress</v>
      </c>
      <c r="O113" t="str">
        <f>IF(VLOOKUP($G113,'Materials by UPN'!$G$3:$R$112,7)="","",VLOOKUP($G113,'Materials by UPN'!$G$3:$R$112,7))</f>
        <v>https://www.aliexpress.us/item/3256803248238815.html</v>
      </c>
      <c r="P113" s="4">
        <f>VLOOKUP($G113,'Materials by UPN'!$G$3:$R$112,11)</f>
        <v>2.129</v>
      </c>
      <c r="Q113" s="4">
        <f t="shared" si="5"/>
        <v>2.129</v>
      </c>
      <c r="R113" s="25"/>
    </row>
    <row r="114" spans="1:19" x14ac:dyDescent="0.35">
      <c r="F114" s="2">
        <v>1</v>
      </c>
      <c r="G114" s="2">
        <v>370</v>
      </c>
      <c r="I114" s="2" t="s">
        <v>281</v>
      </c>
      <c r="J114" t="str">
        <f>VLOOKUP($G114,'Materials by UPN'!$G$3:$R$112,2)</f>
        <v>Flat Cable, 40-pin 2x20 IDC, 20cm</v>
      </c>
      <c r="K114" t="str">
        <f>IF(VLOOKUP($G114,'Materials by UPN'!$G$3:$R$112,3)="","",VLOOKUP($G114,'Materials by UPN'!$G$3:$R$112,3))</f>
        <v/>
      </c>
      <c r="L114" t="str">
        <f>IF(VLOOKUP($G114,'Materials by UPN'!$G$3:$R$112,4)="","",VLOOKUP($G114,'Materials by UPN'!$G$3:$R$112,4))</f>
        <v/>
      </c>
      <c r="M114" t="str">
        <f>IF(VLOOKUP($G114,'Materials by UPN'!$G$3:$R$112,5)="","",VLOOKUP($G114,'Materials by UPN'!$G$3:$R$112,5))</f>
        <v/>
      </c>
      <c r="N114" t="str">
        <f>VLOOKUP($G114,'Materials by UPN'!$G$3:$R$112,6)</f>
        <v>AliExpress</v>
      </c>
      <c r="O114" t="str">
        <f>IF(VLOOKUP($G114,'Materials by UPN'!$G$3:$R$112,7)="","",VLOOKUP($G114,'Materials by UPN'!$G$3:$R$112,7))</f>
        <v>https://www.aliexpress.us/item/3256803248238815.html</v>
      </c>
      <c r="P114" s="4">
        <f>VLOOKUP($G114,'Materials by UPN'!$G$3:$R$112,11)</f>
        <v>2.129</v>
      </c>
      <c r="Q114" s="4">
        <f t="shared" si="5"/>
        <v>2.129</v>
      </c>
      <c r="R114" s="25"/>
    </row>
    <row r="115" spans="1:19" x14ac:dyDescent="0.35">
      <c r="F115" s="2">
        <v>2</v>
      </c>
      <c r="G115" s="2">
        <v>364</v>
      </c>
      <c r="I115" s="2" t="s">
        <v>330</v>
      </c>
      <c r="J115" t="str">
        <f>VLOOKUP($G115,'Materials by UPN'!$G$3:$R$112,2)</f>
        <v>3" x 5" Small Plastic Bags- Reclosable Zip Bags</v>
      </c>
      <c r="K115" t="str">
        <f>IF(VLOOKUP($G115,'Materials by UPN'!$G$3:$R$112,3)="","",VLOOKUP($G115,'Materials by UPN'!$G$3:$R$112,3))</f>
        <v/>
      </c>
      <c r="L115" t="str">
        <f>IF(VLOOKUP($G115,'Materials by UPN'!$G$3:$R$112,4)="","",VLOOKUP($G115,'Materials by UPN'!$G$3:$R$112,4))</f>
        <v/>
      </c>
      <c r="M115" t="str">
        <f>IF(VLOOKUP($G115,'Materials by UPN'!$G$3:$R$112,5)="","",VLOOKUP($G115,'Materials by UPN'!$G$3:$R$112,5))</f>
        <v/>
      </c>
      <c r="N115" t="str">
        <f>VLOOKUP($G115,'Materials by UPN'!$G$3:$R$112,6)</f>
        <v>Amazon</v>
      </c>
      <c r="O115" t="str">
        <f>IF(VLOOKUP($G115,'Materials by UPN'!$G$3:$R$112,7)="","",VLOOKUP($G115,'Materials by UPN'!$G$3:$R$112,7))</f>
        <v>https://www.amazon.com/gp/product/B07XBF98NV</v>
      </c>
      <c r="P115" s="4">
        <f>VLOOKUP($G115,'Materials by UPN'!$G$3:$R$112,11)</f>
        <v>1.9379999999999998E-2</v>
      </c>
      <c r="Q115" s="4">
        <f t="shared" si="5"/>
        <v>3.8759999999999996E-2</v>
      </c>
      <c r="R115" s="25"/>
    </row>
    <row r="116" spans="1:19" x14ac:dyDescent="0.35">
      <c r="R116" s="25"/>
    </row>
    <row r="117" spans="1:19" s="41" customFormat="1" ht="18.5" x14ac:dyDescent="0.45">
      <c r="A117" s="30" t="s">
        <v>163</v>
      </c>
      <c r="B117" s="30" t="s">
        <v>203</v>
      </c>
      <c r="C117" s="30"/>
      <c r="D117" s="30"/>
      <c r="E117" s="30"/>
      <c r="F117" s="35"/>
      <c r="G117" s="35"/>
      <c r="H117" s="36"/>
      <c r="I117" s="35"/>
      <c r="J117" s="30"/>
      <c r="K117" s="30"/>
      <c r="L117" s="30"/>
      <c r="M117" s="30"/>
      <c r="N117" s="30"/>
      <c r="O117" s="30"/>
      <c r="P117" s="42"/>
      <c r="Q117" s="30"/>
      <c r="R117" s="43">
        <f>SUM(Q117:Q125)</f>
        <v>10.191756245752263</v>
      </c>
      <c r="S117" s="40">
        <f>CEILING(R117,1)</f>
        <v>11</v>
      </c>
    </row>
    <row r="118" spans="1:19" x14ac:dyDescent="0.35">
      <c r="F118" s="2">
        <v>1</v>
      </c>
      <c r="G118" s="2">
        <v>105</v>
      </c>
      <c r="I118" s="2" t="s">
        <v>278</v>
      </c>
      <c r="J118" t="str">
        <f>VLOOKUP($G118,'Materials by UPN'!$G$3:$R$112,2)</f>
        <v>PCB, M993GW RK05 Adapter Board</v>
      </c>
      <c r="K118" t="str">
        <f>IF(VLOOKUP($G118,'Materials by UPN'!$G$3:$R$112,3)="","",VLOOKUP($G118,'Materials by UPN'!$G$3:$R$112,3))</f>
        <v>v2</v>
      </c>
      <c r="L118" t="str">
        <f>IF(VLOOKUP($G118,'Materials by UPN'!$G$3:$R$112,4)="","",VLOOKUP($G118,'Materials by UPN'!$G$3:$R$112,4))</f>
        <v/>
      </c>
      <c r="M118" t="str">
        <f>IF(VLOOKUP($G118,'Materials by UPN'!$G$3:$R$112,5)="","",VLOOKUP($G118,'Materials by UPN'!$G$3:$R$112,5))</f>
        <v/>
      </c>
      <c r="N118" t="str">
        <f>VLOOKUP($G118,'Materials by UPN'!$G$3:$R$112,6)</f>
        <v>JLCPCB</v>
      </c>
      <c r="O118" t="str">
        <f>IF(VLOOKUP($G118,'Materials by UPN'!$G$3:$R$112,7)="","",VLOOKUP($G118,'Materials by UPN'!$G$3:$R$112,7))</f>
        <v>Surface Finish: ENIG</v>
      </c>
      <c r="P118" s="4">
        <f>VLOOKUP($G118,'Materials by UPN'!$G$3:$R$112,11)</f>
        <v>5.6760000000000002</v>
      </c>
      <c r="Q118" s="4">
        <f t="shared" ref="Q118:Q124" si="6">F118*P118</f>
        <v>5.6760000000000002</v>
      </c>
      <c r="R118" s="25"/>
    </row>
    <row r="119" spans="1:19" x14ac:dyDescent="0.35">
      <c r="F119" s="2">
        <v>1</v>
      </c>
      <c r="G119" s="2">
        <v>368</v>
      </c>
      <c r="I119" s="2" t="s">
        <v>303</v>
      </c>
      <c r="J119" t="str">
        <f>VLOOKUP($G119,'Materials by UPN'!$G$3:$R$112,2)</f>
        <v>Ziplock Sandwich Bag</v>
      </c>
      <c r="K119" t="str">
        <f>IF(VLOOKUP($G119,'Materials by UPN'!$G$3:$R$112,3)="","",VLOOKUP($G119,'Materials by UPN'!$G$3:$R$112,3))</f>
        <v/>
      </c>
      <c r="L119" t="str">
        <f>IF(VLOOKUP($G119,'Materials by UPN'!$G$3:$R$112,4)="","",VLOOKUP($G119,'Materials by UPN'!$G$3:$R$112,4))</f>
        <v/>
      </c>
      <c r="M119" t="str">
        <f>IF(VLOOKUP($G119,'Materials by UPN'!$G$3:$R$112,5)="","",VLOOKUP($G119,'Materials by UPN'!$G$3:$R$112,5))</f>
        <v/>
      </c>
      <c r="N119" t="str">
        <f>VLOOKUP($G119,'Materials by UPN'!$G$3:$R$112,6)</f>
        <v>Costco</v>
      </c>
      <c r="O119" t="str">
        <f>IF(VLOOKUP($G119,'Materials by UPN'!$G$3:$R$112,7)="","",VLOOKUP($G119,'Materials by UPN'!$G$3:$R$112,7))</f>
        <v/>
      </c>
      <c r="P119" s="4">
        <f>VLOOKUP($G119,'Materials by UPN'!$G$3:$R$112,11)</f>
        <v>0</v>
      </c>
      <c r="Q119" s="4">
        <f>F119*P119</f>
        <v>0</v>
      </c>
      <c r="R119" s="25"/>
    </row>
    <row r="120" spans="1:19" x14ac:dyDescent="0.35">
      <c r="F120" s="2">
        <v>2</v>
      </c>
      <c r="G120" s="2">
        <v>336</v>
      </c>
      <c r="I120" s="2" t="s">
        <v>274</v>
      </c>
      <c r="J120" t="str">
        <f>VLOOKUP($G120,'Materials by UPN'!$G$3:$R$112,2)</f>
        <v>Header, 40-pin, right-angle, with ejectors</v>
      </c>
      <c r="K120" t="str">
        <f>IF(VLOOKUP($G120,'Materials by UPN'!$G$3:$R$112,3)="","",VLOOKUP($G120,'Materials by UPN'!$G$3:$R$112,3))</f>
        <v/>
      </c>
      <c r="L120" t="str">
        <f>IF(VLOOKUP($G120,'Materials by UPN'!$G$3:$R$112,4)="","",VLOOKUP($G120,'Materials by UPN'!$G$3:$R$112,4))</f>
        <v>Amphenol ICC (FCI)</v>
      </c>
      <c r="M120" t="str">
        <f>IF(VLOOKUP($G120,'Materials by UPN'!$G$3:$R$112,5)="","",VLOOKUP($G120,'Materials by UPN'!$G$3:$R$112,5))</f>
        <v>86130402113345E1LF</v>
      </c>
      <c r="N120" t="str">
        <f>VLOOKUP($G120,'Materials by UPN'!$G$3:$R$112,6)</f>
        <v>Digikey</v>
      </c>
      <c r="O120" t="str">
        <f>IF(VLOOKUP($G120,'Materials by UPN'!$G$3:$R$112,7)="","",VLOOKUP($G120,'Materials by UPN'!$G$3:$R$112,7))</f>
        <v>https://www.digikey.com/en/products/detail/amphenol-cs-fci/86130402113345E1LF/5201672</v>
      </c>
      <c r="P120" s="4">
        <f>VLOOKUP($G120,'Materials by UPN'!$G$3:$R$112,11)</f>
        <v>1.789927135696644</v>
      </c>
      <c r="Q120" s="4">
        <f t="shared" si="6"/>
        <v>3.5798542713932879</v>
      </c>
      <c r="R120" s="25"/>
    </row>
    <row r="121" spans="1:19" x14ac:dyDescent="0.35">
      <c r="F121" s="2">
        <v>1</v>
      </c>
      <c r="G121" s="2">
        <v>205</v>
      </c>
      <c r="I121" s="2" t="s">
        <v>274</v>
      </c>
      <c r="J121" t="str">
        <f>VLOOKUP($G121,'Materials by UPN'!$G$3:$R$112,2)</f>
        <v>M993GW Cable Clamp, 3D printed</v>
      </c>
      <c r="K121" t="str">
        <f>IF(VLOOKUP($G121,'Materials by UPN'!$G$3:$R$112,3)="","",VLOOKUP($G121,'Materials by UPN'!$G$3:$R$112,3))</f>
        <v>v03</v>
      </c>
      <c r="L121" t="str">
        <f>IF(VLOOKUP($G121,'Materials by UPN'!$G$3:$R$112,4)="","",VLOOKUP($G121,'Materials by UPN'!$G$3:$R$112,4))</f>
        <v/>
      </c>
      <c r="M121" t="str">
        <f>IF(VLOOKUP($G121,'Materials by UPN'!$G$3:$R$112,5)="","",VLOOKUP($G121,'Materials by UPN'!$G$3:$R$112,5))</f>
        <v>205 v03</v>
      </c>
      <c r="N121" t="str">
        <f>VLOOKUP($G121,'Materials by UPN'!$G$3:$R$112,6)</f>
        <v>JLCPCB</v>
      </c>
      <c r="O121" t="str">
        <f>IF(VLOOKUP($G121,'Materials by UPN'!$G$3:$R$112,7)="","",VLOOKUP($G121,'Materials by UPN'!$G$3:$R$112,7))</f>
        <v>200 v03, SLA (Resin), LEDO 6060, Natural White</v>
      </c>
      <c r="P121" s="4">
        <f>VLOOKUP($G121,'Materials by UPN'!$G$3:$R$112,11)</f>
        <v>0.61869230769230765</v>
      </c>
      <c r="Q121" s="4">
        <f t="shared" si="6"/>
        <v>0.61869230769230765</v>
      </c>
      <c r="R121" s="25"/>
    </row>
    <row r="122" spans="1:19" x14ac:dyDescent="0.35">
      <c r="F122" s="2">
        <v>2</v>
      </c>
      <c r="G122" s="2">
        <v>334</v>
      </c>
      <c r="I122" s="2" t="s">
        <v>274</v>
      </c>
      <c r="J122" t="str">
        <f>VLOOKUP($G122,'Materials by UPN'!$G$3:$R$112,2)</f>
        <v>M3 x 12mm cap screw, black</v>
      </c>
      <c r="K122" t="str">
        <f>IF(VLOOKUP($G122,'Materials by UPN'!$G$3:$R$112,3)="","",VLOOKUP($G122,'Materials by UPN'!$G$3:$R$112,3))</f>
        <v/>
      </c>
      <c r="L122" t="str">
        <f>IF(VLOOKUP($G122,'Materials by UPN'!$G$3:$R$112,4)="","",VLOOKUP($G122,'Materials by UPN'!$G$3:$R$112,4))</f>
        <v/>
      </c>
      <c r="M122" t="str">
        <f>IF(VLOOKUP($G122,'Materials by UPN'!$G$3:$R$112,5)="","",VLOOKUP($G122,'Materials by UPN'!$G$3:$R$112,5))</f>
        <v/>
      </c>
      <c r="N122" t="str">
        <f>VLOOKUP($G122,'Materials by UPN'!$G$3:$R$112,6)</f>
        <v>Amazon</v>
      </c>
      <c r="O122" t="str">
        <f>IF(VLOOKUP($G122,'Materials by UPN'!$G$3:$R$112,7)="","",VLOOKUP($G122,'Materials by UPN'!$G$3:$R$112,7))</f>
        <v>https://www.amazon.com/gp/product/B07CNFTK99</v>
      </c>
      <c r="P122" s="4">
        <f>VLOOKUP($G122,'Materials by UPN'!$G$3:$R$112,11)</f>
        <v>8.4691500000000003E-2</v>
      </c>
      <c r="Q122" s="4">
        <f t="shared" si="6"/>
        <v>0.16938300000000001</v>
      </c>
      <c r="R122" s="25"/>
    </row>
    <row r="123" spans="1:19" x14ac:dyDescent="0.35">
      <c r="F123" s="2">
        <v>2</v>
      </c>
      <c r="G123" s="2">
        <v>328</v>
      </c>
      <c r="I123" s="2" t="s">
        <v>274</v>
      </c>
      <c r="J123" t="str">
        <f>VLOOKUP($G123,'Materials by UPN'!$G$3:$R$112,2)</f>
        <v>M3 self locking nut</v>
      </c>
      <c r="K123" t="str">
        <f>IF(VLOOKUP($G123,'Materials by UPN'!$G$3:$R$112,3)="","",VLOOKUP($G123,'Materials by UPN'!$G$3:$R$112,3))</f>
        <v/>
      </c>
      <c r="L123" t="str">
        <f>IF(VLOOKUP($G123,'Materials by UPN'!$G$3:$R$112,4)="","",VLOOKUP($G123,'Materials by UPN'!$G$3:$R$112,4))</f>
        <v/>
      </c>
      <c r="M123" t="str">
        <f>IF(VLOOKUP($G123,'Materials by UPN'!$G$3:$R$112,5)="","",VLOOKUP($G123,'Materials by UPN'!$G$3:$R$112,5))</f>
        <v/>
      </c>
      <c r="N123" t="str">
        <f>VLOOKUP($G123,'Materials by UPN'!$G$3:$R$112,6)</f>
        <v>Amazon</v>
      </c>
      <c r="O123" t="str">
        <f>IF(VLOOKUP($G123,'Materials by UPN'!$G$3:$R$112,7)="","",VLOOKUP($G123,'Materials by UPN'!$G$3:$R$112,7))</f>
        <v>https://www.amazon.com/Stainless-Self-Locking-Industrial-Construction-Fasteners/dp/B09SLLQ3KV</v>
      </c>
      <c r="P123" s="4">
        <f>VLOOKUP($G123,'Materials by UPN'!$G$3:$R$112,11)</f>
        <v>5.4533333333333329E-2</v>
      </c>
      <c r="Q123" s="4">
        <f t="shared" si="6"/>
        <v>0.10906666666666666</v>
      </c>
      <c r="R123" s="25"/>
    </row>
    <row r="124" spans="1:19" x14ac:dyDescent="0.35">
      <c r="F124" s="2">
        <v>2</v>
      </c>
      <c r="G124" s="2">
        <v>364</v>
      </c>
      <c r="I124" s="2" t="s">
        <v>312</v>
      </c>
      <c r="J124" t="str">
        <f>VLOOKUP($G124,'Materials by UPN'!$G$3:$R$112,2)</f>
        <v>3" x 5" Small Plastic Bags- Reclosable Zip Bags</v>
      </c>
      <c r="K124" t="str">
        <f>IF(VLOOKUP($G124,'Materials by UPN'!$G$3:$R$112,3)="","",VLOOKUP($G124,'Materials by UPN'!$G$3:$R$112,3))</f>
        <v/>
      </c>
      <c r="L124" t="str">
        <f>IF(VLOOKUP($G124,'Materials by UPN'!$G$3:$R$112,4)="","",VLOOKUP($G124,'Materials by UPN'!$G$3:$R$112,4))</f>
        <v/>
      </c>
      <c r="M124" t="str">
        <f>IF(VLOOKUP($G124,'Materials by UPN'!$G$3:$R$112,5)="","",VLOOKUP($G124,'Materials by UPN'!$G$3:$R$112,5))</f>
        <v/>
      </c>
      <c r="N124" t="str">
        <f>VLOOKUP($G124,'Materials by UPN'!$G$3:$R$112,6)</f>
        <v>Amazon</v>
      </c>
      <c r="O124" t="str">
        <f>IF(VLOOKUP($G124,'Materials by UPN'!$G$3:$R$112,7)="","",VLOOKUP($G124,'Materials by UPN'!$G$3:$R$112,7))</f>
        <v>https://www.amazon.com/gp/product/B07XBF98NV</v>
      </c>
      <c r="P124" s="4">
        <f>VLOOKUP($G124,'Materials by UPN'!$G$3:$R$112,11)</f>
        <v>1.9379999999999998E-2</v>
      </c>
      <c r="Q124" s="4">
        <f t="shared" si="6"/>
        <v>3.8759999999999996E-2</v>
      </c>
      <c r="R124" s="25"/>
    </row>
    <row r="125" spans="1:19" x14ac:dyDescent="0.35">
      <c r="R125" s="25"/>
    </row>
    <row r="126" spans="1:19" s="41" customFormat="1" ht="18.5" x14ac:dyDescent="0.45">
      <c r="A126" s="30" t="s">
        <v>164</v>
      </c>
      <c r="B126" s="30" t="s">
        <v>142</v>
      </c>
      <c r="C126" s="30"/>
      <c r="D126" s="30"/>
      <c r="E126" s="30"/>
      <c r="F126" s="35"/>
      <c r="G126" s="35"/>
      <c r="H126" s="36"/>
      <c r="I126" s="35"/>
      <c r="J126" s="30"/>
      <c r="K126" s="30"/>
      <c r="L126" s="30"/>
      <c r="M126" s="30"/>
      <c r="N126" s="30"/>
      <c r="O126" s="30"/>
      <c r="P126" s="42"/>
      <c r="Q126" s="30"/>
      <c r="R126" s="43">
        <f>SUM(Q126:Q137)</f>
        <v>31.348452491504524</v>
      </c>
      <c r="S126" s="40">
        <f>CEILING(R126,1)</f>
        <v>32</v>
      </c>
    </row>
    <row r="127" spans="1:19" x14ac:dyDescent="0.35">
      <c r="F127" s="2">
        <v>1</v>
      </c>
      <c r="G127" s="2">
        <v>105</v>
      </c>
      <c r="I127" s="2" t="s">
        <v>278</v>
      </c>
      <c r="J127" t="str">
        <f>VLOOKUP($G127,'Materials by UPN'!$G$3:$R$112,2)</f>
        <v>PCB, M993GW RK05 Adapter Board</v>
      </c>
      <c r="K127" t="str">
        <f>IF(VLOOKUP($G127,'Materials by UPN'!$G$3:$R$112,3)="","",VLOOKUP($G127,'Materials by UPN'!$G$3:$R$112,3))</f>
        <v>v2</v>
      </c>
      <c r="L127" t="str">
        <f>IF(VLOOKUP($G127,'Materials by UPN'!$G$3:$R$112,4)="","",VLOOKUP($G127,'Materials by UPN'!$G$3:$R$112,4))</f>
        <v/>
      </c>
      <c r="M127" t="str">
        <f>IF(VLOOKUP($G127,'Materials by UPN'!$G$3:$R$112,5)="","",VLOOKUP($G127,'Materials by UPN'!$G$3:$R$112,5))</f>
        <v/>
      </c>
      <c r="N127" t="str">
        <f>VLOOKUP($G127,'Materials by UPN'!$G$3:$R$112,6)</f>
        <v>JLCPCB</v>
      </c>
      <c r="O127" t="str">
        <f>IF(VLOOKUP($G127,'Materials by UPN'!$G$3:$R$112,7)="","",VLOOKUP($G127,'Materials by UPN'!$G$3:$R$112,7))</f>
        <v>Surface Finish: ENIG</v>
      </c>
      <c r="P127" s="4">
        <f>VLOOKUP($G127,'Materials by UPN'!$G$3:$R$112,11)</f>
        <v>5.6760000000000002</v>
      </c>
      <c r="Q127" s="4">
        <f t="shared" ref="Q127:Q135" si="7">F127*P127</f>
        <v>5.6760000000000002</v>
      </c>
      <c r="R127" s="25"/>
    </row>
    <row r="128" spans="1:19" x14ac:dyDescent="0.35">
      <c r="F128" s="2">
        <v>1</v>
      </c>
      <c r="G128" s="2">
        <v>368</v>
      </c>
      <c r="I128" s="2" t="s">
        <v>303</v>
      </c>
      <c r="J128" t="str">
        <f>VLOOKUP($G128,'Materials by UPN'!$G$3:$R$112,2)</f>
        <v>Ziplock Sandwich Bag</v>
      </c>
      <c r="K128" t="str">
        <f>IF(VLOOKUP($G128,'Materials by UPN'!$G$3:$R$112,3)="","",VLOOKUP($G128,'Materials by UPN'!$G$3:$R$112,3))</f>
        <v/>
      </c>
      <c r="L128" t="str">
        <f>IF(VLOOKUP($G128,'Materials by UPN'!$G$3:$R$112,4)="","",VLOOKUP($G128,'Materials by UPN'!$G$3:$R$112,4))</f>
        <v/>
      </c>
      <c r="M128" t="str">
        <f>IF(VLOOKUP($G128,'Materials by UPN'!$G$3:$R$112,5)="","",VLOOKUP($G128,'Materials by UPN'!$G$3:$R$112,5))</f>
        <v/>
      </c>
      <c r="N128" t="str">
        <f>VLOOKUP($G128,'Materials by UPN'!$G$3:$R$112,6)</f>
        <v>Costco</v>
      </c>
      <c r="O128" t="str">
        <f>IF(VLOOKUP($G128,'Materials by UPN'!$G$3:$R$112,7)="","",VLOOKUP($G128,'Materials by UPN'!$G$3:$R$112,7))</f>
        <v/>
      </c>
      <c r="P128" s="4">
        <f>VLOOKUP($G128,'Materials by UPN'!$G$3:$R$112,11)</f>
        <v>0</v>
      </c>
      <c r="Q128" s="4">
        <f>F128*P128</f>
        <v>0</v>
      </c>
      <c r="R128" s="25"/>
    </row>
    <row r="129" spans="1:19" x14ac:dyDescent="0.35">
      <c r="F129" s="2">
        <v>1</v>
      </c>
      <c r="G129" s="2">
        <v>106</v>
      </c>
      <c r="I129" s="2" t="s">
        <v>304</v>
      </c>
      <c r="J129" t="str">
        <f>VLOOKUP($G129,'Materials by UPN'!$G$3:$R$112,2)</f>
        <v>PCB, RK05 Tester Cable Adapter Board</v>
      </c>
      <c r="K129" t="str">
        <f>IF(VLOOKUP($G129,'Materials by UPN'!$G$3:$R$112,3)="","",VLOOKUP($G129,'Materials by UPN'!$G$3:$R$112,3))</f>
        <v>v1</v>
      </c>
      <c r="L129" t="str">
        <f>IF(VLOOKUP($G129,'Materials by UPN'!$G$3:$R$112,4)="","",VLOOKUP($G129,'Materials by UPN'!$G$3:$R$112,4))</f>
        <v/>
      </c>
      <c r="M129" t="str">
        <f>IF(VLOOKUP($G129,'Materials by UPN'!$G$3:$R$112,5)="","",VLOOKUP($G129,'Materials by UPN'!$G$3:$R$112,5))</f>
        <v/>
      </c>
      <c r="N129" t="str">
        <f>VLOOKUP($G129,'Materials by UPN'!$G$3:$R$112,6)</f>
        <v>JLCPCB</v>
      </c>
      <c r="O129" t="str">
        <f>IF(VLOOKUP($G129,'Materials by UPN'!$G$3:$R$112,7)="","",VLOOKUP($G129,'Materials by UPN'!$G$3:$R$112,7))</f>
        <v>Surface Finish: ENIG</v>
      </c>
      <c r="P129" s="4">
        <f>VLOOKUP($G129,'Materials by UPN'!$G$3:$R$112,11)</f>
        <v>5.6760000000000002</v>
      </c>
      <c r="Q129" s="4">
        <f t="shared" si="7"/>
        <v>5.6760000000000002</v>
      </c>
      <c r="R129" s="25"/>
    </row>
    <row r="130" spans="1:19" x14ac:dyDescent="0.35">
      <c r="F130" s="2">
        <v>1</v>
      </c>
      <c r="G130" s="2">
        <v>368</v>
      </c>
      <c r="I130" s="2" t="s">
        <v>304</v>
      </c>
      <c r="J130" t="str">
        <f>VLOOKUP($G130,'Materials by UPN'!$G$3:$R$112,2)</f>
        <v>Ziplock Sandwich Bag</v>
      </c>
      <c r="K130" t="str">
        <f>IF(VLOOKUP($G130,'Materials by UPN'!$G$3:$R$112,3)="","",VLOOKUP($G130,'Materials by UPN'!$G$3:$R$112,3))</f>
        <v/>
      </c>
      <c r="L130" t="str">
        <f>IF(VLOOKUP($G130,'Materials by UPN'!$G$3:$R$112,4)="","",VLOOKUP($G130,'Materials by UPN'!$G$3:$R$112,4))</f>
        <v/>
      </c>
      <c r="M130" t="str">
        <f>IF(VLOOKUP($G130,'Materials by UPN'!$G$3:$R$112,5)="","",VLOOKUP($G130,'Materials by UPN'!$G$3:$R$112,5))</f>
        <v/>
      </c>
      <c r="N130" t="str">
        <f>VLOOKUP($G130,'Materials by UPN'!$G$3:$R$112,6)</f>
        <v>Costco</v>
      </c>
      <c r="O130" t="str">
        <f>IF(VLOOKUP($G130,'Materials by UPN'!$G$3:$R$112,7)="","",VLOOKUP($G130,'Materials by UPN'!$G$3:$R$112,7))</f>
        <v/>
      </c>
      <c r="P130" s="4">
        <f>VLOOKUP($G130,'Materials by UPN'!$G$3:$R$112,11)</f>
        <v>0</v>
      </c>
      <c r="Q130" s="4">
        <f>F130*P130</f>
        <v>0</v>
      </c>
      <c r="R130" s="25"/>
    </row>
    <row r="131" spans="1:19" x14ac:dyDescent="0.35">
      <c r="F131" s="2">
        <v>4</v>
      </c>
      <c r="G131" s="2">
        <v>336</v>
      </c>
      <c r="I131" s="2" t="s">
        <v>274</v>
      </c>
      <c r="J131" t="str">
        <f>VLOOKUP($G131,'Materials by UPN'!$G$3:$R$112,2)</f>
        <v>Header, 40-pin, right-angle, with ejectors</v>
      </c>
      <c r="K131" t="str">
        <f>IF(VLOOKUP($G131,'Materials by UPN'!$G$3:$R$112,3)="","",VLOOKUP($G131,'Materials by UPN'!$G$3:$R$112,3))</f>
        <v/>
      </c>
      <c r="L131" t="str">
        <f>IF(VLOOKUP($G131,'Materials by UPN'!$G$3:$R$112,4)="","",VLOOKUP($G131,'Materials by UPN'!$G$3:$R$112,4))</f>
        <v>Amphenol ICC (FCI)</v>
      </c>
      <c r="M131" t="str">
        <f>IF(VLOOKUP($G131,'Materials by UPN'!$G$3:$R$112,5)="","",VLOOKUP($G131,'Materials by UPN'!$G$3:$R$112,5))</f>
        <v>86130402113345E1LF</v>
      </c>
      <c r="N131" t="str">
        <f>VLOOKUP($G131,'Materials by UPN'!$G$3:$R$112,6)</f>
        <v>Digikey</v>
      </c>
      <c r="O131" t="str">
        <f>IF(VLOOKUP($G131,'Materials by UPN'!$G$3:$R$112,7)="","",VLOOKUP($G131,'Materials by UPN'!$G$3:$R$112,7))</f>
        <v>https://www.digikey.com/en/products/detail/amphenol-cs-fci/86130402113345E1LF/5201672</v>
      </c>
      <c r="P131" s="4">
        <f>VLOOKUP($G131,'Materials by UPN'!$G$3:$R$112,11)</f>
        <v>1.789927135696644</v>
      </c>
      <c r="Q131" s="4">
        <f t="shared" si="7"/>
        <v>7.1597085427865759</v>
      </c>
      <c r="R131" s="25"/>
    </row>
    <row r="132" spans="1:19" x14ac:dyDescent="0.35">
      <c r="F132" s="2">
        <v>2</v>
      </c>
      <c r="G132" s="2">
        <v>349</v>
      </c>
      <c r="I132" s="2" t="s">
        <v>280</v>
      </c>
      <c r="J132" t="str">
        <f>VLOOKUP($G132,'Materials by UPN'!$G$3:$R$112,2)</f>
        <v>Flat Cable, 40-pin 2x20 IDC, 1m</v>
      </c>
      <c r="K132" t="str">
        <f>IF(VLOOKUP($G132,'Materials by UPN'!$G$3:$R$112,3)="","",VLOOKUP($G132,'Materials by UPN'!$G$3:$R$112,3))</f>
        <v/>
      </c>
      <c r="L132" t="str">
        <f>IF(VLOOKUP($G132,'Materials by UPN'!$G$3:$R$112,4)="","",VLOOKUP($G132,'Materials by UPN'!$G$3:$R$112,4))</f>
        <v/>
      </c>
      <c r="M132" t="str">
        <f>IF(VLOOKUP($G132,'Materials by UPN'!$G$3:$R$112,5)="","",VLOOKUP($G132,'Materials by UPN'!$G$3:$R$112,5))</f>
        <v/>
      </c>
      <c r="N132" t="str">
        <f>VLOOKUP($G132,'Materials by UPN'!$G$3:$R$112,6)</f>
        <v>AliExpress</v>
      </c>
      <c r="O132" t="str">
        <f>IF(VLOOKUP($G132,'Materials by UPN'!$G$3:$R$112,7)="","",VLOOKUP($G132,'Materials by UPN'!$G$3:$R$112,7))</f>
        <v>https://www.aliexpress.us/item/3256803248238815.html</v>
      </c>
      <c r="P132" s="4">
        <f>VLOOKUP($G132,'Materials by UPN'!$G$3:$R$112,11)</f>
        <v>5.5018500000000001</v>
      </c>
      <c r="Q132" s="4">
        <f t="shared" si="7"/>
        <v>11.0037</v>
      </c>
      <c r="R132" s="25"/>
    </row>
    <row r="133" spans="1:19" x14ac:dyDescent="0.35">
      <c r="F133" s="2">
        <v>2</v>
      </c>
      <c r="G133" s="2">
        <v>205</v>
      </c>
      <c r="I133" s="2" t="s">
        <v>274</v>
      </c>
      <c r="J133" t="str">
        <f>VLOOKUP($G133,'Materials by UPN'!$G$3:$R$112,2)</f>
        <v>M993GW Cable Clamp, 3D printed</v>
      </c>
      <c r="K133" t="str">
        <f>IF(VLOOKUP($G133,'Materials by UPN'!$G$3:$R$112,3)="","",VLOOKUP($G133,'Materials by UPN'!$G$3:$R$112,3))</f>
        <v>v03</v>
      </c>
      <c r="L133" t="str">
        <f>IF(VLOOKUP($G133,'Materials by UPN'!$G$3:$R$112,4)="","",VLOOKUP($G133,'Materials by UPN'!$G$3:$R$112,4))</f>
        <v/>
      </c>
      <c r="M133" t="str">
        <f>IF(VLOOKUP($G133,'Materials by UPN'!$G$3:$R$112,5)="","",VLOOKUP($G133,'Materials by UPN'!$G$3:$R$112,5))</f>
        <v>205 v03</v>
      </c>
      <c r="N133" t="str">
        <f>VLOOKUP($G133,'Materials by UPN'!$G$3:$R$112,6)</f>
        <v>JLCPCB</v>
      </c>
      <c r="O133" t="str">
        <f>IF(VLOOKUP($G133,'Materials by UPN'!$G$3:$R$112,7)="","",VLOOKUP($G133,'Materials by UPN'!$G$3:$R$112,7))</f>
        <v>200 v03, SLA (Resin), LEDO 6060, Natural White</v>
      </c>
      <c r="P133" s="4">
        <f>VLOOKUP($G133,'Materials by UPN'!$G$3:$R$112,11)</f>
        <v>0.61869230769230765</v>
      </c>
      <c r="Q133" s="4">
        <f t="shared" si="7"/>
        <v>1.2373846153846153</v>
      </c>
      <c r="R133" s="25"/>
    </row>
    <row r="134" spans="1:19" x14ac:dyDescent="0.35">
      <c r="F134" s="2">
        <v>4</v>
      </c>
      <c r="G134" s="2">
        <v>334</v>
      </c>
      <c r="I134" s="2" t="s">
        <v>274</v>
      </c>
      <c r="J134" t="str">
        <f>VLOOKUP($G134,'Materials by UPN'!$G$3:$R$112,2)</f>
        <v>M3 x 12mm cap screw, black</v>
      </c>
      <c r="K134" t="str">
        <f>IF(VLOOKUP($G134,'Materials by UPN'!$G$3:$R$112,3)="","",VLOOKUP($G134,'Materials by UPN'!$G$3:$R$112,3))</f>
        <v/>
      </c>
      <c r="L134" t="str">
        <f>IF(VLOOKUP($G134,'Materials by UPN'!$G$3:$R$112,4)="","",VLOOKUP($G134,'Materials by UPN'!$G$3:$R$112,4))</f>
        <v/>
      </c>
      <c r="M134" t="str">
        <f>IF(VLOOKUP($G134,'Materials by UPN'!$G$3:$R$112,5)="","",VLOOKUP($G134,'Materials by UPN'!$G$3:$R$112,5))</f>
        <v/>
      </c>
      <c r="N134" t="str">
        <f>VLOOKUP($G134,'Materials by UPN'!$G$3:$R$112,6)</f>
        <v>Amazon</v>
      </c>
      <c r="O134" t="str">
        <f>IF(VLOOKUP($G134,'Materials by UPN'!$G$3:$R$112,7)="","",VLOOKUP($G134,'Materials by UPN'!$G$3:$R$112,7))</f>
        <v>https://www.amazon.com/gp/product/B07CNFTK99</v>
      </c>
      <c r="P134" s="4">
        <f>VLOOKUP($G134,'Materials by UPN'!$G$3:$R$112,11)</f>
        <v>8.4691500000000003E-2</v>
      </c>
      <c r="Q134" s="4">
        <f t="shared" si="7"/>
        <v>0.33876600000000001</v>
      </c>
      <c r="R134" s="25"/>
    </row>
    <row r="135" spans="1:19" x14ac:dyDescent="0.35">
      <c r="F135" s="2">
        <v>4</v>
      </c>
      <c r="G135" s="2">
        <v>328</v>
      </c>
      <c r="I135" s="2" t="s">
        <v>274</v>
      </c>
      <c r="J135" t="str">
        <f>VLOOKUP($G135,'Materials by UPN'!$G$3:$R$112,2)</f>
        <v>M3 self locking nut</v>
      </c>
      <c r="K135" t="str">
        <f>IF(VLOOKUP($G135,'Materials by UPN'!$G$3:$R$112,3)="","",VLOOKUP($G135,'Materials by UPN'!$G$3:$R$112,3))</f>
        <v/>
      </c>
      <c r="L135" t="str">
        <f>IF(VLOOKUP($G135,'Materials by UPN'!$G$3:$R$112,4)="","",VLOOKUP($G135,'Materials by UPN'!$G$3:$R$112,4))</f>
        <v/>
      </c>
      <c r="M135" t="str">
        <f>IF(VLOOKUP($G135,'Materials by UPN'!$G$3:$R$112,5)="","",VLOOKUP($G135,'Materials by UPN'!$G$3:$R$112,5))</f>
        <v/>
      </c>
      <c r="N135" t="str">
        <f>VLOOKUP($G135,'Materials by UPN'!$G$3:$R$112,6)</f>
        <v>Amazon</v>
      </c>
      <c r="O135" t="str">
        <f>IF(VLOOKUP($G135,'Materials by UPN'!$G$3:$R$112,7)="","",VLOOKUP($G135,'Materials by UPN'!$G$3:$R$112,7))</f>
        <v>https://www.amazon.com/Stainless-Self-Locking-Industrial-Construction-Fasteners/dp/B09SLLQ3KV</v>
      </c>
      <c r="P135" s="4">
        <f>VLOOKUP($G135,'Materials by UPN'!$G$3:$R$112,11)</f>
        <v>5.4533333333333329E-2</v>
      </c>
      <c r="Q135" s="4">
        <f t="shared" si="7"/>
        <v>0.21813333333333332</v>
      </c>
      <c r="R135" s="25"/>
    </row>
    <row r="136" spans="1:19" x14ac:dyDescent="0.35">
      <c r="F136" s="2">
        <v>2</v>
      </c>
      <c r="G136" s="2">
        <v>364</v>
      </c>
      <c r="I136" s="2" t="s">
        <v>312</v>
      </c>
      <c r="J136" t="str">
        <f>VLOOKUP($G136,'Materials by UPN'!$G$3:$R$112,2)</f>
        <v>3" x 5" Small Plastic Bags- Reclosable Zip Bags</v>
      </c>
      <c r="K136" t="str">
        <f>IF(VLOOKUP($G136,'Materials by UPN'!$G$3:$R$112,3)="","",VLOOKUP($G136,'Materials by UPN'!$G$3:$R$112,3))</f>
        <v/>
      </c>
      <c r="L136" t="str">
        <f>IF(VLOOKUP($G136,'Materials by UPN'!$G$3:$R$112,4)="","",VLOOKUP($G136,'Materials by UPN'!$G$3:$R$112,4))</f>
        <v/>
      </c>
      <c r="M136" t="str">
        <f>IF(VLOOKUP($G136,'Materials by UPN'!$G$3:$R$112,5)="","",VLOOKUP($G136,'Materials by UPN'!$G$3:$R$112,5))</f>
        <v/>
      </c>
      <c r="N136" t="str">
        <f>VLOOKUP($G136,'Materials by UPN'!$G$3:$R$112,6)</f>
        <v>Amazon</v>
      </c>
      <c r="O136" t="str">
        <f>IF(VLOOKUP($G136,'Materials by UPN'!$G$3:$R$112,7)="","",VLOOKUP($G136,'Materials by UPN'!$G$3:$R$112,7))</f>
        <v>https://www.amazon.com/gp/product/B07XBF98NV</v>
      </c>
      <c r="P136" s="4">
        <f>VLOOKUP($G136,'Materials by UPN'!$G$3:$R$112,11)</f>
        <v>1.9379999999999998E-2</v>
      </c>
      <c r="Q136" s="4">
        <f>F136*P136</f>
        <v>3.8759999999999996E-2</v>
      </c>
      <c r="R136" s="25"/>
    </row>
    <row r="137" spans="1:19" x14ac:dyDescent="0.35">
      <c r="R137" s="25"/>
    </row>
    <row r="138" spans="1:19" s="41" customFormat="1" ht="18.5" x14ac:dyDescent="0.45">
      <c r="A138" s="30" t="s">
        <v>170</v>
      </c>
      <c r="B138" s="30" t="s">
        <v>204</v>
      </c>
      <c r="C138" s="30"/>
      <c r="D138" s="30"/>
      <c r="E138" s="30"/>
      <c r="F138" s="35"/>
      <c r="G138" s="35"/>
      <c r="H138" s="36"/>
      <c r="I138" s="35"/>
      <c r="J138" s="30"/>
      <c r="K138" s="30"/>
      <c r="L138" s="30"/>
      <c r="M138" s="30"/>
      <c r="N138" s="30"/>
      <c r="O138" s="30"/>
      <c r="P138" s="42"/>
      <c r="Q138" s="30"/>
      <c r="R138" s="43">
        <f>SUM(Q138:Q146)</f>
        <v>10.191756245752263</v>
      </c>
      <c r="S138" s="40">
        <f>CEILING(R138,1)</f>
        <v>11</v>
      </c>
    </row>
    <row r="139" spans="1:19" x14ac:dyDescent="0.35">
      <c r="F139" s="2">
        <v>1</v>
      </c>
      <c r="G139" s="2">
        <v>106</v>
      </c>
      <c r="I139" s="2" t="s">
        <v>277</v>
      </c>
      <c r="J139" t="str">
        <f>VLOOKUP($G139,'Materials by UPN'!$G$3:$R$112,2)</f>
        <v>PCB, RK05 Tester Cable Adapter Board</v>
      </c>
      <c r="K139" t="str">
        <f>IF(VLOOKUP($G139,'Materials by UPN'!$G$3:$R$112,3)="","",VLOOKUP($G139,'Materials by UPN'!$G$3:$R$112,3))</f>
        <v>v1</v>
      </c>
      <c r="L139" t="str">
        <f>IF(VLOOKUP($G139,'Materials by UPN'!$G$3:$R$112,4)="","",VLOOKUP($G139,'Materials by UPN'!$G$3:$R$112,4))</f>
        <v/>
      </c>
      <c r="M139" t="str">
        <f>IF(VLOOKUP($G139,'Materials by UPN'!$G$3:$R$112,5)="","",VLOOKUP($G139,'Materials by UPN'!$G$3:$R$112,5))</f>
        <v/>
      </c>
      <c r="N139" t="str">
        <f>VLOOKUP($G139,'Materials by UPN'!$G$3:$R$112,6)</f>
        <v>JLCPCB</v>
      </c>
      <c r="O139" t="str">
        <f>IF(VLOOKUP($G139,'Materials by UPN'!$G$3:$R$112,7)="","",VLOOKUP($G139,'Materials by UPN'!$G$3:$R$112,7))</f>
        <v>Surface Finish: ENIG</v>
      </c>
      <c r="P139" s="4">
        <f>VLOOKUP($G139,'Materials by UPN'!$G$3:$R$112,11)</f>
        <v>5.6760000000000002</v>
      </c>
      <c r="Q139" s="4">
        <f t="shared" ref="Q139:Q145" si="8">F139*P139</f>
        <v>5.6760000000000002</v>
      </c>
      <c r="R139" s="25"/>
    </row>
    <row r="140" spans="1:19" x14ac:dyDescent="0.35">
      <c r="F140" s="2">
        <v>1</v>
      </c>
      <c r="G140" s="2">
        <v>368</v>
      </c>
      <c r="I140" s="2" t="s">
        <v>304</v>
      </c>
      <c r="J140" t="str">
        <f>VLOOKUP($G140,'Materials by UPN'!$G$3:$R$112,2)</f>
        <v>Ziplock Sandwich Bag</v>
      </c>
      <c r="K140" t="str">
        <f>IF(VLOOKUP($G140,'Materials by UPN'!$G$3:$R$112,3)="","",VLOOKUP($G140,'Materials by UPN'!$G$3:$R$112,3))</f>
        <v/>
      </c>
      <c r="L140" t="str">
        <f>IF(VLOOKUP($G140,'Materials by UPN'!$G$3:$R$112,4)="","",VLOOKUP($G140,'Materials by UPN'!$G$3:$R$112,4))</f>
        <v/>
      </c>
      <c r="M140" t="str">
        <f>IF(VLOOKUP($G140,'Materials by UPN'!$G$3:$R$112,5)="","",VLOOKUP($G140,'Materials by UPN'!$G$3:$R$112,5))</f>
        <v/>
      </c>
      <c r="N140" t="str">
        <f>VLOOKUP($G140,'Materials by UPN'!$G$3:$R$112,6)</f>
        <v>Costco</v>
      </c>
      <c r="O140" t="str">
        <f>IF(VLOOKUP($G140,'Materials by UPN'!$G$3:$R$112,7)="","",VLOOKUP($G140,'Materials by UPN'!$G$3:$R$112,7))</f>
        <v/>
      </c>
      <c r="P140" s="4">
        <f>VLOOKUP($G140,'Materials by UPN'!$G$3:$R$112,11)</f>
        <v>0</v>
      </c>
      <c r="Q140" s="4">
        <f>F140*P140</f>
        <v>0</v>
      </c>
      <c r="R140" s="25"/>
    </row>
    <row r="141" spans="1:19" x14ac:dyDescent="0.35">
      <c r="F141" s="2">
        <v>2</v>
      </c>
      <c r="G141" s="2">
        <v>336</v>
      </c>
      <c r="I141" s="2" t="s">
        <v>274</v>
      </c>
      <c r="J141" t="str">
        <f>VLOOKUP($G141,'Materials by UPN'!$G$3:$R$112,2)</f>
        <v>Header, 40-pin, right-angle, with ejectors</v>
      </c>
      <c r="K141" t="str">
        <f>IF(VLOOKUP($G141,'Materials by UPN'!$G$3:$R$112,3)="","",VLOOKUP($G141,'Materials by UPN'!$G$3:$R$112,3))</f>
        <v/>
      </c>
      <c r="L141" t="str">
        <f>IF(VLOOKUP($G141,'Materials by UPN'!$G$3:$R$112,4)="","",VLOOKUP($G141,'Materials by UPN'!$G$3:$R$112,4))</f>
        <v>Amphenol ICC (FCI)</v>
      </c>
      <c r="M141" t="str">
        <f>IF(VLOOKUP($G141,'Materials by UPN'!$G$3:$R$112,5)="","",VLOOKUP($G141,'Materials by UPN'!$G$3:$R$112,5))</f>
        <v>86130402113345E1LF</v>
      </c>
      <c r="N141" t="str">
        <f>VLOOKUP($G141,'Materials by UPN'!$G$3:$R$112,6)</f>
        <v>Digikey</v>
      </c>
      <c r="O141" t="str">
        <f>IF(VLOOKUP($G141,'Materials by UPN'!$G$3:$R$112,7)="","",VLOOKUP($G141,'Materials by UPN'!$G$3:$R$112,7))</f>
        <v>https://www.digikey.com/en/products/detail/amphenol-cs-fci/86130402113345E1LF/5201672</v>
      </c>
      <c r="P141" s="4">
        <f>VLOOKUP($G141,'Materials by UPN'!$G$3:$R$112,11)</f>
        <v>1.789927135696644</v>
      </c>
      <c r="Q141" s="4">
        <f t="shared" si="8"/>
        <v>3.5798542713932879</v>
      </c>
      <c r="R141" s="25"/>
    </row>
    <row r="142" spans="1:19" x14ac:dyDescent="0.35">
      <c r="F142" s="2">
        <v>1</v>
      </c>
      <c r="G142" s="2">
        <v>205</v>
      </c>
      <c r="I142" s="2" t="s">
        <v>274</v>
      </c>
      <c r="J142" t="str">
        <f>VLOOKUP($G142,'Materials by UPN'!$G$3:$R$112,2)</f>
        <v>M993GW Cable Clamp, 3D printed</v>
      </c>
      <c r="K142" t="str">
        <f>IF(VLOOKUP($G142,'Materials by UPN'!$G$3:$R$112,3)="","",VLOOKUP($G142,'Materials by UPN'!$G$3:$R$112,3))</f>
        <v>v03</v>
      </c>
      <c r="L142" t="str">
        <f>IF(VLOOKUP($G142,'Materials by UPN'!$G$3:$R$112,4)="","",VLOOKUP($G142,'Materials by UPN'!$G$3:$R$112,4))</f>
        <v/>
      </c>
      <c r="M142" t="str">
        <f>IF(VLOOKUP($G142,'Materials by UPN'!$G$3:$R$112,5)="","",VLOOKUP($G142,'Materials by UPN'!$G$3:$R$112,5))</f>
        <v>205 v03</v>
      </c>
      <c r="N142" t="str">
        <f>VLOOKUP($G142,'Materials by UPN'!$G$3:$R$112,6)</f>
        <v>JLCPCB</v>
      </c>
      <c r="O142" t="str">
        <f>IF(VLOOKUP($G142,'Materials by UPN'!$G$3:$R$112,7)="","",VLOOKUP($G142,'Materials by UPN'!$G$3:$R$112,7))</f>
        <v>200 v03, SLA (Resin), LEDO 6060, Natural White</v>
      </c>
      <c r="P142" s="4">
        <f>VLOOKUP($G142,'Materials by UPN'!$G$3:$R$112,11)</f>
        <v>0.61869230769230765</v>
      </c>
      <c r="Q142" s="4">
        <f t="shared" si="8"/>
        <v>0.61869230769230765</v>
      </c>
      <c r="R142" s="25"/>
    </row>
    <row r="143" spans="1:19" x14ac:dyDescent="0.35">
      <c r="F143" s="2">
        <v>2</v>
      </c>
      <c r="G143" s="2">
        <v>334</v>
      </c>
      <c r="I143" s="2" t="s">
        <v>274</v>
      </c>
      <c r="J143" t="str">
        <f>VLOOKUP($G143,'Materials by UPN'!$G$3:$R$112,2)</f>
        <v>M3 x 12mm cap screw, black</v>
      </c>
      <c r="K143" t="str">
        <f>IF(VLOOKUP($G143,'Materials by UPN'!$G$3:$R$112,3)="","",VLOOKUP($G143,'Materials by UPN'!$G$3:$R$112,3))</f>
        <v/>
      </c>
      <c r="L143" t="str">
        <f>IF(VLOOKUP($G143,'Materials by UPN'!$G$3:$R$112,4)="","",VLOOKUP($G143,'Materials by UPN'!$G$3:$R$112,4))</f>
        <v/>
      </c>
      <c r="M143" t="str">
        <f>IF(VLOOKUP($G143,'Materials by UPN'!$G$3:$R$112,5)="","",VLOOKUP($G143,'Materials by UPN'!$G$3:$R$112,5))</f>
        <v/>
      </c>
      <c r="N143" t="str">
        <f>VLOOKUP($G143,'Materials by UPN'!$G$3:$R$112,6)</f>
        <v>Amazon</v>
      </c>
      <c r="O143" t="str">
        <f>IF(VLOOKUP($G143,'Materials by UPN'!$G$3:$R$112,7)="","",VLOOKUP($G143,'Materials by UPN'!$G$3:$R$112,7))</f>
        <v>https://www.amazon.com/gp/product/B07CNFTK99</v>
      </c>
      <c r="P143" s="4">
        <f>VLOOKUP($G143,'Materials by UPN'!$G$3:$R$112,11)</f>
        <v>8.4691500000000003E-2</v>
      </c>
      <c r="Q143" s="4">
        <f t="shared" si="8"/>
        <v>0.16938300000000001</v>
      </c>
      <c r="R143" s="25"/>
    </row>
    <row r="144" spans="1:19" x14ac:dyDescent="0.35">
      <c r="F144" s="2">
        <v>2</v>
      </c>
      <c r="G144" s="2">
        <v>328</v>
      </c>
      <c r="I144" s="2" t="s">
        <v>274</v>
      </c>
      <c r="J144" t="str">
        <f>VLOOKUP($G144,'Materials by UPN'!$G$3:$R$112,2)</f>
        <v>M3 self locking nut</v>
      </c>
      <c r="K144" t="str">
        <f>IF(VLOOKUP($G144,'Materials by UPN'!$G$3:$R$112,3)="","",VLOOKUP($G144,'Materials by UPN'!$G$3:$R$112,3))</f>
        <v/>
      </c>
      <c r="L144" t="str">
        <f>IF(VLOOKUP($G144,'Materials by UPN'!$G$3:$R$112,4)="","",VLOOKUP($G144,'Materials by UPN'!$G$3:$R$112,4))</f>
        <v/>
      </c>
      <c r="M144" t="str">
        <f>IF(VLOOKUP($G144,'Materials by UPN'!$G$3:$R$112,5)="","",VLOOKUP($G144,'Materials by UPN'!$G$3:$R$112,5))</f>
        <v/>
      </c>
      <c r="N144" t="str">
        <f>VLOOKUP($G144,'Materials by UPN'!$G$3:$R$112,6)</f>
        <v>Amazon</v>
      </c>
      <c r="O144" t="str">
        <f>IF(VLOOKUP($G144,'Materials by UPN'!$G$3:$R$112,7)="","",VLOOKUP($G144,'Materials by UPN'!$G$3:$R$112,7))</f>
        <v>https://www.amazon.com/Stainless-Self-Locking-Industrial-Construction-Fasteners/dp/B09SLLQ3KV</v>
      </c>
      <c r="P144" s="4">
        <f>VLOOKUP($G144,'Materials by UPN'!$G$3:$R$112,11)</f>
        <v>5.4533333333333329E-2</v>
      </c>
      <c r="Q144" s="4">
        <f t="shared" si="8"/>
        <v>0.10906666666666666</v>
      </c>
      <c r="R144" s="25"/>
    </row>
    <row r="145" spans="1:19" x14ac:dyDescent="0.35">
      <c r="F145" s="2">
        <v>2</v>
      </c>
      <c r="G145" s="2">
        <v>364</v>
      </c>
      <c r="I145" s="2" t="s">
        <v>312</v>
      </c>
      <c r="J145" t="str">
        <f>VLOOKUP($G145,'Materials by UPN'!$G$3:$R$112,2)</f>
        <v>3" x 5" Small Plastic Bags- Reclosable Zip Bags</v>
      </c>
      <c r="K145" t="str">
        <f>IF(VLOOKUP($G145,'Materials by UPN'!$G$3:$R$112,3)="","",VLOOKUP($G145,'Materials by UPN'!$G$3:$R$112,3))</f>
        <v/>
      </c>
      <c r="L145" t="str">
        <f>IF(VLOOKUP($G145,'Materials by UPN'!$G$3:$R$112,4)="","",VLOOKUP($G145,'Materials by UPN'!$G$3:$R$112,4))</f>
        <v/>
      </c>
      <c r="M145" t="str">
        <f>IF(VLOOKUP($G145,'Materials by UPN'!$G$3:$R$112,5)="","",VLOOKUP($G145,'Materials by UPN'!$G$3:$R$112,5))</f>
        <v/>
      </c>
      <c r="N145" t="str">
        <f>VLOOKUP($G145,'Materials by UPN'!$G$3:$R$112,6)</f>
        <v>Amazon</v>
      </c>
      <c r="O145" t="str">
        <f>IF(VLOOKUP($G145,'Materials by UPN'!$G$3:$R$112,7)="","",VLOOKUP($G145,'Materials by UPN'!$G$3:$R$112,7))</f>
        <v>https://www.amazon.com/gp/product/B07XBF98NV</v>
      </c>
      <c r="P145" s="4">
        <f>VLOOKUP($G145,'Materials by UPN'!$G$3:$R$112,11)</f>
        <v>1.9379999999999998E-2</v>
      </c>
      <c r="Q145" s="4">
        <f t="shared" si="8"/>
        <v>3.8759999999999996E-2</v>
      </c>
      <c r="R145" s="25"/>
    </row>
    <row r="146" spans="1:19" x14ac:dyDescent="0.35">
      <c r="R146" s="25"/>
    </row>
    <row r="147" spans="1:19" ht="18.5" x14ac:dyDescent="0.45">
      <c r="A147" s="30" t="s">
        <v>184</v>
      </c>
      <c r="B147" s="30" t="s">
        <v>352</v>
      </c>
      <c r="C147" s="30"/>
      <c r="D147" s="30"/>
      <c r="E147" s="30"/>
      <c r="F147" s="35"/>
      <c r="G147" s="35"/>
      <c r="H147" s="36"/>
      <c r="I147" s="35"/>
      <c r="J147" s="30"/>
      <c r="K147" s="30"/>
      <c r="L147" s="30"/>
      <c r="M147" s="30"/>
      <c r="N147" s="30"/>
      <c r="O147" s="30"/>
      <c r="P147" s="42"/>
      <c r="Q147" s="30"/>
      <c r="R147" s="43">
        <f>SUM(Q147:Q174)</f>
        <v>15.932978179177699</v>
      </c>
      <c r="S147" s="40">
        <f>CEILING(R147,1)</f>
        <v>16</v>
      </c>
    </row>
    <row r="148" spans="1:19" x14ac:dyDescent="0.35">
      <c r="F148" s="2">
        <v>1</v>
      </c>
      <c r="G148" s="2">
        <v>107</v>
      </c>
      <c r="I148" s="2" t="s">
        <v>279</v>
      </c>
      <c r="J148" t="str">
        <f>VLOOKUP($G148,'Materials by UPN'!$G$3:$R$112,2)</f>
        <v>PCB, RK05 Emulator Power Supply</v>
      </c>
      <c r="K148" t="str">
        <f>IF(VLOOKUP($G148,'Materials by UPN'!$G$3:$R$112,3)="","",VLOOKUP($G148,'Materials by UPN'!$G$3:$R$112,3))</f>
        <v>v1</v>
      </c>
      <c r="L148" t="str">
        <f>IF(VLOOKUP($G148,'Materials by UPN'!$G$3:$R$112,4)="","",VLOOKUP($G148,'Materials by UPN'!$G$3:$R$112,4))</f>
        <v/>
      </c>
      <c r="M148" t="str">
        <f>IF(VLOOKUP($G148,'Materials by UPN'!$G$3:$R$112,5)="","",VLOOKUP($G148,'Materials by UPN'!$G$3:$R$112,5))</f>
        <v/>
      </c>
      <c r="N148" t="str">
        <f>VLOOKUP($G148,'Materials by UPN'!$G$3:$R$112,6)</f>
        <v>JLCPCB</v>
      </c>
      <c r="O148" t="str">
        <f>IF(VLOOKUP($G148,'Materials by UPN'!$G$3:$R$112,7)="","",VLOOKUP($G148,'Materials by UPN'!$G$3:$R$112,7))</f>
        <v>PCB Color: Black, Surface Finish: LeadFree HASL, Remove Order Number: Specify a location</v>
      </c>
      <c r="P148" s="4">
        <f>VLOOKUP($G148,'Materials by UPN'!$G$3:$R$112,11)</f>
        <v>1.9700000000000002</v>
      </c>
      <c r="Q148" s="4">
        <f t="shared" ref="Q148:Q154" si="9">F148*P148</f>
        <v>1.9700000000000002</v>
      </c>
      <c r="R148" s="25"/>
    </row>
    <row r="149" spans="1:19" x14ac:dyDescent="0.35">
      <c r="F149" s="2">
        <v>1</v>
      </c>
      <c r="G149" s="2">
        <v>368</v>
      </c>
      <c r="I149" s="2" t="s">
        <v>305</v>
      </c>
      <c r="J149" t="str">
        <f>VLOOKUP($G149,'Materials by UPN'!$G$3:$R$112,2)</f>
        <v>Ziplock Sandwich Bag</v>
      </c>
      <c r="K149" t="str">
        <f>IF(VLOOKUP($G149,'Materials by UPN'!$G$3:$R$112,3)="","",VLOOKUP($G149,'Materials by UPN'!$G$3:$R$112,3))</f>
        <v/>
      </c>
      <c r="L149" t="str">
        <f>IF(VLOOKUP($G149,'Materials by UPN'!$G$3:$R$112,4)="","",VLOOKUP($G149,'Materials by UPN'!$G$3:$R$112,4))</f>
        <v/>
      </c>
      <c r="M149" t="str">
        <f>IF(VLOOKUP($G149,'Materials by UPN'!$G$3:$R$112,5)="","",VLOOKUP($G149,'Materials by UPN'!$G$3:$R$112,5))</f>
        <v/>
      </c>
      <c r="N149" t="str">
        <f>VLOOKUP($G149,'Materials by UPN'!$G$3:$R$112,6)</f>
        <v>Costco</v>
      </c>
      <c r="O149" t="str">
        <f>IF(VLOOKUP($G149,'Materials by UPN'!$G$3:$R$112,7)="","",VLOOKUP($G149,'Materials by UPN'!$G$3:$R$112,7))</f>
        <v/>
      </c>
      <c r="P149" s="4">
        <f>VLOOKUP($G149,'Materials by UPN'!$G$3:$R$112,11)</f>
        <v>0</v>
      </c>
      <c r="Q149" s="4">
        <f t="shared" si="9"/>
        <v>0</v>
      </c>
      <c r="R149" s="25"/>
    </row>
    <row r="150" spans="1:19" x14ac:dyDescent="0.35">
      <c r="F150" s="2">
        <v>1</v>
      </c>
      <c r="G150" s="2">
        <v>363</v>
      </c>
      <c r="I150" s="2" t="s">
        <v>282</v>
      </c>
      <c r="J150" t="str">
        <f>VLOOKUP($G150,'Materials by UPN'!$G$3:$R$112,2)</f>
        <v>USB Type C Charger, 25W, with USB C to USB C 6 foot cable</v>
      </c>
      <c r="K150" t="str">
        <f>IF(VLOOKUP($G150,'Materials by UPN'!$G$3:$R$112,3)="","",VLOOKUP($G150,'Materials by UPN'!$G$3:$R$112,3))</f>
        <v/>
      </c>
      <c r="L150" t="str">
        <f>IF(VLOOKUP($G150,'Materials by UPN'!$G$3:$R$112,4)="","",VLOOKUP($G150,'Materials by UPN'!$G$3:$R$112,4))</f>
        <v/>
      </c>
      <c r="M150" t="str">
        <f>IF(VLOOKUP($G150,'Materials by UPN'!$G$3:$R$112,5)="","",VLOOKUP($G150,'Materials by UPN'!$G$3:$R$112,5))</f>
        <v/>
      </c>
      <c r="N150" t="str">
        <f>VLOOKUP($G150,'Materials by UPN'!$G$3:$R$112,6)</f>
        <v>Amazon</v>
      </c>
      <c r="O150" t="str">
        <f>IF(VLOOKUP($G150,'Materials by UPN'!$G$3:$R$112,7)="","",VLOOKUP($G150,'Materials by UPN'!$G$3:$R$112,7))</f>
        <v>https://www.amazon.com/dp/B097MVXSQ5</v>
      </c>
      <c r="P150" s="4">
        <f>VLOOKUP($G150,'Materials by UPN'!$G$3:$R$112,11)</f>
        <v>5.3767250000000004</v>
      </c>
      <c r="Q150" s="4">
        <f t="shared" si="9"/>
        <v>5.3767250000000004</v>
      </c>
      <c r="R150" s="25"/>
    </row>
    <row r="151" spans="1:19" x14ac:dyDescent="0.35">
      <c r="F151" s="2">
        <v>1</v>
      </c>
      <c r="G151" s="2">
        <v>364</v>
      </c>
      <c r="I151" s="2" t="s">
        <v>335</v>
      </c>
      <c r="J151" t="str">
        <f>VLOOKUP($G151,'Materials by UPN'!$G$3:$R$112,2)</f>
        <v>3" x 5" Small Plastic Bags- Reclosable Zip Bags</v>
      </c>
      <c r="K151" t="str">
        <f>IF(VLOOKUP($G151,'Materials by UPN'!$G$3:$R$112,3)="","",VLOOKUP($G151,'Materials by UPN'!$G$3:$R$112,3))</f>
        <v/>
      </c>
      <c r="L151" t="str">
        <f>IF(VLOOKUP($G151,'Materials by UPN'!$G$3:$R$112,4)="","",VLOOKUP($G151,'Materials by UPN'!$G$3:$R$112,4))</f>
        <v/>
      </c>
      <c r="M151" t="str">
        <f>IF(VLOOKUP($G151,'Materials by UPN'!$G$3:$R$112,5)="","",VLOOKUP($G151,'Materials by UPN'!$G$3:$R$112,5))</f>
        <v/>
      </c>
      <c r="N151" t="str">
        <f>VLOOKUP($G151,'Materials by UPN'!$G$3:$R$112,6)</f>
        <v>Amazon</v>
      </c>
      <c r="O151" t="str">
        <f>IF(VLOOKUP($G151,'Materials by UPN'!$G$3:$R$112,7)="","",VLOOKUP($G151,'Materials by UPN'!$G$3:$R$112,7))</f>
        <v>https://www.amazon.com/gp/product/B07XBF98NV</v>
      </c>
      <c r="P151" s="4">
        <f>VLOOKUP($G151,'Materials by UPN'!$G$3:$R$112,11)</f>
        <v>1.9379999999999998E-2</v>
      </c>
      <c r="Q151" s="4">
        <f t="shared" si="9"/>
        <v>1.9379999999999998E-2</v>
      </c>
      <c r="R151" s="25"/>
    </row>
    <row r="152" spans="1:19" x14ac:dyDescent="0.35">
      <c r="F152" s="2">
        <v>1</v>
      </c>
      <c r="G152" s="2">
        <v>351</v>
      </c>
      <c r="I152" s="2" t="s">
        <v>284</v>
      </c>
      <c r="J152" t="str">
        <f>VLOOKUP($G152,'Materials by UPN'!$G$3:$R$112,2)</f>
        <v>Power Trigger Module, USB Type C, 12V</v>
      </c>
      <c r="K152" t="str">
        <f>IF(VLOOKUP($G152,'Materials by UPN'!$G$3:$R$112,3)="","",VLOOKUP($G152,'Materials by UPN'!$G$3:$R$112,3))</f>
        <v/>
      </c>
      <c r="L152" t="str">
        <f>IF(VLOOKUP($G152,'Materials by UPN'!$G$3:$R$112,4)="","",VLOOKUP($G152,'Materials by UPN'!$G$3:$R$112,4))</f>
        <v/>
      </c>
      <c r="M152" t="str">
        <f>IF(VLOOKUP($G152,'Materials by UPN'!$G$3:$R$112,5)="","",VLOOKUP($G152,'Materials by UPN'!$G$3:$R$112,5))</f>
        <v/>
      </c>
      <c r="N152" t="str">
        <f>VLOOKUP($G152,'Materials by UPN'!$G$3:$R$112,6)</f>
        <v>AliExpress</v>
      </c>
      <c r="O152" t="str">
        <f>IF(VLOOKUP($G152,'Materials by UPN'!$G$3:$R$112,7)="","",VLOOKUP($G152,'Materials by UPN'!$G$3:$R$112,7))</f>
        <v>https://www.aliexpress.us/item/3256802974608811.html</v>
      </c>
      <c r="P152" s="4">
        <f>VLOOKUP($G152,'Materials by UPN'!$G$3:$R$112,11)</f>
        <v>0.83399999999999996</v>
      </c>
      <c r="Q152" s="4">
        <f t="shared" si="9"/>
        <v>0.83399999999999996</v>
      </c>
      <c r="R152" s="25"/>
    </row>
    <row r="153" spans="1:19" x14ac:dyDescent="0.35">
      <c r="F153" s="2">
        <v>1</v>
      </c>
      <c r="G153" s="2">
        <v>367</v>
      </c>
      <c r="I153" s="2" t="s">
        <v>309</v>
      </c>
      <c r="J153" t="str">
        <f>VLOOKUP($G153,'Materials by UPN'!$G$3:$R$112,2)</f>
        <v>Antistatic bag, 6x9 cm</v>
      </c>
      <c r="K153" t="str">
        <f>IF(VLOOKUP($G153,'Materials by UPN'!$G$3:$R$112,3)="","",VLOOKUP($G153,'Materials by UPN'!$G$3:$R$112,3))</f>
        <v/>
      </c>
      <c r="L153" t="str">
        <f>IF(VLOOKUP($G153,'Materials by UPN'!$G$3:$R$112,4)="","",VLOOKUP($G153,'Materials by UPN'!$G$3:$R$112,4))</f>
        <v/>
      </c>
      <c r="M153" t="str">
        <f>IF(VLOOKUP($G153,'Materials by UPN'!$G$3:$R$112,5)="","",VLOOKUP($G153,'Materials by UPN'!$G$3:$R$112,5))</f>
        <v/>
      </c>
      <c r="N153" t="str">
        <f>VLOOKUP($G153,'Materials by UPN'!$G$3:$R$112,6)</f>
        <v>AliExpress</v>
      </c>
      <c r="O153" t="str">
        <f>IF(VLOOKUP($G153,'Materials by UPN'!$G$3:$R$112,7)="","",VLOOKUP($G153,'Materials by UPN'!$G$3:$R$112,7))</f>
        <v xml:space="preserve">https://www.aliexpress.us/item/3256802834769879.html </v>
      </c>
      <c r="P153" s="4">
        <f>VLOOKUP($G153,'Materials by UPN'!$G$3:$R$112,11)</f>
        <v>8.5311499999999998E-2</v>
      </c>
      <c r="Q153" s="4">
        <f t="shared" si="9"/>
        <v>8.5311499999999998E-2</v>
      </c>
      <c r="R153" s="25"/>
    </row>
    <row r="154" spans="1:19" x14ac:dyDescent="0.35">
      <c r="F154" s="2">
        <v>1</v>
      </c>
      <c r="G154" s="2">
        <v>359</v>
      </c>
      <c r="I154" s="2" t="s">
        <v>283</v>
      </c>
      <c r="J154" t="str">
        <f>VLOOKUP($G154,'Materials by UPN'!$G$3:$R$112,2)</f>
        <v>DC-to-DC Converter, 12V input to 5V 10A output</v>
      </c>
      <c r="K154" t="str">
        <f>IF(VLOOKUP($G154,'Materials by UPN'!$G$3:$R$112,3)="","",VLOOKUP($G154,'Materials by UPN'!$G$3:$R$112,3))</f>
        <v/>
      </c>
      <c r="L154" t="str">
        <f>IF(VLOOKUP($G154,'Materials by UPN'!$G$3:$R$112,4)="","",VLOOKUP($G154,'Materials by UPN'!$G$3:$R$112,4))</f>
        <v>TOBSUN</v>
      </c>
      <c r="M154" t="str">
        <f>IF(VLOOKUP($G154,'Materials by UPN'!$G$3:$R$112,5)="","",VLOOKUP($G154,'Materials by UPN'!$G$3:$R$112,5))</f>
        <v>EA50-5V</v>
      </c>
      <c r="N154" t="str">
        <f>VLOOKUP($G154,'Materials by UPN'!$G$3:$R$112,6)</f>
        <v>AliExpress</v>
      </c>
      <c r="O154" t="str">
        <f>IF(VLOOKUP($G154,'Materials by UPN'!$G$3:$R$112,7)="","",VLOOKUP($G154,'Materials by UPN'!$G$3:$R$112,7))</f>
        <v>https://www.aliexpress.us/item/3256804612946913.html</v>
      </c>
      <c r="P154" s="4">
        <f>VLOOKUP($G154,'Materials by UPN'!$G$3:$R$112,11)</f>
        <v>5.0960000000000001</v>
      </c>
      <c r="Q154" s="4">
        <f t="shared" si="9"/>
        <v>5.0960000000000001</v>
      </c>
      <c r="R154" s="25"/>
    </row>
    <row r="155" spans="1:19" x14ac:dyDescent="0.35">
      <c r="F155" s="2">
        <v>1</v>
      </c>
      <c r="G155" s="2">
        <v>371</v>
      </c>
      <c r="I155" s="2" t="s">
        <v>275</v>
      </c>
      <c r="J155" t="str">
        <f>VLOOKUP($G155,'Materials by UPN'!$G$3:$R$112,2)</f>
        <v>Rectifier, 40V 450mV@5A 5A DO-27 Schottky Barrier Diode</v>
      </c>
      <c r="K155" t="str">
        <f>IF(VLOOKUP($G155,'Materials by UPN'!$G$3:$R$112,3)="","",VLOOKUP($G155,'Materials by UPN'!$G$3:$R$112,3))</f>
        <v/>
      </c>
      <c r="L155" t="str">
        <f>IF(VLOOKUP($G155,'Materials by UPN'!$G$3:$R$112,4)="","",VLOOKUP($G155,'Materials by UPN'!$G$3:$R$112,4))</f>
        <v>Comchip</v>
      </c>
      <c r="M155" t="str">
        <f>IF(VLOOKUP($G155,'Materials by UPN'!$G$3:$R$112,5)="","",VLOOKUP($G155,'Materials by UPN'!$G$3:$R$112,5))</f>
        <v>SR540L</v>
      </c>
      <c r="N155" t="str">
        <f>VLOOKUP($G155,'Materials by UPN'!$G$3:$R$112,6)</f>
        <v>AliExpress</v>
      </c>
      <c r="O155" t="str">
        <f>IF(VLOOKUP($G155,'Materials by UPN'!$G$3:$R$112,7)="","",VLOOKUP($G155,'Materials by UPN'!$G$3:$R$112,7))</f>
        <v>https://www.aliexpress.us/item/3256805591615901.html</v>
      </c>
      <c r="P155" s="4">
        <f>VLOOKUP($G155,'Materials by UPN'!$G$3:$R$112,11)</f>
        <v>0.24657875000000001</v>
      </c>
      <c r="Q155" s="4">
        <f>F155*P155</f>
        <v>0.24657875000000001</v>
      </c>
      <c r="R155" s="25"/>
    </row>
    <row r="156" spans="1:19" x14ac:dyDescent="0.35">
      <c r="F156" s="2">
        <v>1</v>
      </c>
      <c r="G156" s="2">
        <v>372</v>
      </c>
      <c r="I156" s="2" t="s">
        <v>275</v>
      </c>
      <c r="J156" t="str">
        <f>VLOOKUP($G156,'Materials by UPN'!$G$3:$R$112,2)</f>
        <v>Resistor, 4.7k, 1/4W 5%</v>
      </c>
      <c r="K156" t="str">
        <f>IF(VLOOKUP($G156,'Materials by UPN'!$G$3:$R$112,3)="","",VLOOKUP($G156,'Materials by UPN'!$G$3:$R$112,3))</f>
        <v/>
      </c>
      <c r="L156" t="str">
        <f>IF(VLOOKUP($G156,'Materials by UPN'!$G$3:$R$112,4)="","",VLOOKUP($G156,'Materials by UPN'!$G$3:$R$112,4))</f>
        <v/>
      </c>
      <c r="M156" t="str">
        <f>IF(VLOOKUP($G156,'Materials by UPN'!$G$3:$R$112,5)="","",VLOOKUP($G156,'Materials by UPN'!$G$3:$R$112,5))</f>
        <v/>
      </c>
      <c r="N156" t="str">
        <f>VLOOKUP($G156,'Materials by UPN'!$G$3:$R$112,6)</f>
        <v>AliExpress</v>
      </c>
      <c r="O156" t="str">
        <f>IF(VLOOKUP($G156,'Materials by UPN'!$G$3:$R$112,7)="","",VLOOKUP($G156,'Materials by UPN'!$G$3:$R$112,7))</f>
        <v>https://www.aliexpress.us/item/3256805483572082.html</v>
      </c>
      <c r="P156" s="4">
        <f>VLOOKUP($G156,'Materials by UPN'!$G$3:$R$112,11)</f>
        <v>3.04595E-2</v>
      </c>
      <c r="Q156" s="4">
        <f>F156*P156</f>
        <v>3.04595E-2</v>
      </c>
      <c r="R156" s="25"/>
    </row>
    <row r="157" spans="1:19" x14ac:dyDescent="0.35">
      <c r="F157" s="2">
        <v>1</v>
      </c>
      <c r="G157" s="2">
        <v>368</v>
      </c>
      <c r="I157" s="2" t="s">
        <v>336</v>
      </c>
      <c r="J157" t="str">
        <f>VLOOKUP($G157,'Materials by UPN'!$G$3:$R$112,2)</f>
        <v>Ziplock Sandwich Bag</v>
      </c>
      <c r="K157" t="str">
        <f>IF(VLOOKUP($G157,'Materials by UPN'!$G$3:$R$112,3)="","",VLOOKUP($G157,'Materials by UPN'!$G$3:$R$112,3))</f>
        <v/>
      </c>
      <c r="L157" t="str">
        <f>IF(VLOOKUP($G157,'Materials by UPN'!$G$3:$R$112,4)="","",VLOOKUP($G157,'Materials by UPN'!$G$3:$R$112,4))</f>
        <v/>
      </c>
      <c r="M157" t="str">
        <f>IF(VLOOKUP($G157,'Materials by UPN'!$G$3:$R$112,5)="","",VLOOKUP($G157,'Materials by UPN'!$G$3:$R$112,5))</f>
        <v/>
      </c>
      <c r="N157" t="str">
        <f>VLOOKUP($G157,'Materials by UPN'!$G$3:$R$112,6)</f>
        <v>Costco</v>
      </c>
      <c r="O157" t="str">
        <f>IF(VLOOKUP($G157,'Materials by UPN'!$G$3:$R$112,7)="","",VLOOKUP($G157,'Materials by UPN'!$G$3:$R$112,7))</f>
        <v/>
      </c>
      <c r="P157" s="4">
        <f>VLOOKUP($G157,'Materials by UPN'!$G$3:$R$112,11)</f>
        <v>0</v>
      </c>
      <c r="Q157" s="4">
        <f t="shared" ref="Q157:Q162" si="10">F157*P157</f>
        <v>0</v>
      </c>
      <c r="R157" s="25"/>
    </row>
    <row r="158" spans="1:19" x14ac:dyDescent="0.35">
      <c r="F158" s="2">
        <v>2</v>
      </c>
      <c r="G158" s="2">
        <v>360</v>
      </c>
      <c r="I158" s="2" t="s">
        <v>275</v>
      </c>
      <c r="J158" t="str">
        <f>VLOOKUP($G158,'Materials by UPN'!$G$3:$R$112,2)</f>
        <v>22AWG 2 Conductor, Low-Voltage Tinned-Copper Wire, 1.5 inch</v>
      </c>
      <c r="K158" t="str">
        <f>IF(VLOOKUP($G158,'Materials by UPN'!$G$3:$R$112,3)="","",VLOOKUP($G158,'Materials by UPN'!$G$3:$R$112,3))</f>
        <v/>
      </c>
      <c r="L158" t="str">
        <f>IF(VLOOKUP($G158,'Materials by UPN'!$G$3:$R$112,4)="","",VLOOKUP($G158,'Materials by UPN'!$G$3:$R$112,4))</f>
        <v/>
      </c>
      <c r="M158" t="str">
        <f>IF(VLOOKUP($G158,'Materials by UPN'!$G$3:$R$112,5)="","",VLOOKUP($G158,'Materials by UPN'!$G$3:$R$112,5))</f>
        <v/>
      </c>
      <c r="N158" t="str">
        <f>VLOOKUP($G158,'Materials by UPN'!$G$3:$R$112,6)</f>
        <v>Amazon</v>
      </c>
      <c r="O158" t="str">
        <f>IF(VLOOKUP($G158,'Materials by UPN'!$G$3:$R$112,7)="","",VLOOKUP($G158,'Materials by UPN'!$G$3:$R$112,7))</f>
        <v>https://www.amazon.com/dp/B07SCJ69H4</v>
      </c>
      <c r="P158" s="4">
        <f>VLOOKUP($G158,'Materials by UPN'!$G$3:$R$112,11)</f>
        <v>3.0559777462121213E-3</v>
      </c>
      <c r="Q158" s="4">
        <f t="shared" si="10"/>
        <v>6.1119554924242425E-3</v>
      </c>
      <c r="R158" s="25"/>
    </row>
    <row r="159" spans="1:19" x14ac:dyDescent="0.35">
      <c r="F159" s="2">
        <v>4</v>
      </c>
      <c r="G159" s="2">
        <v>362</v>
      </c>
      <c r="I159" s="2" t="s">
        <v>275</v>
      </c>
      <c r="J159" t="str">
        <f>VLOOKUP($G159,'Materials by UPN'!$G$3:$R$112,2)</f>
        <v>Spade Lug, Fork, 16-22AWG, SV1.25-4, Red</v>
      </c>
      <c r="K159" t="str">
        <f>IF(VLOOKUP($G159,'Materials by UPN'!$G$3:$R$112,3)="","",VLOOKUP($G159,'Materials by UPN'!$G$3:$R$112,3))</f>
        <v/>
      </c>
      <c r="L159" t="str">
        <f>IF(VLOOKUP($G159,'Materials by UPN'!$G$3:$R$112,4)="","",VLOOKUP($G159,'Materials by UPN'!$G$3:$R$112,4))</f>
        <v/>
      </c>
      <c r="M159" t="str">
        <f>IF(VLOOKUP($G159,'Materials by UPN'!$G$3:$R$112,5)="","",VLOOKUP($G159,'Materials by UPN'!$G$3:$R$112,5))</f>
        <v/>
      </c>
      <c r="N159" t="str">
        <f>VLOOKUP($G159,'Materials by UPN'!$G$3:$R$112,6)</f>
        <v>AliExpress</v>
      </c>
      <c r="O159" t="str">
        <f>IF(VLOOKUP($G159,'Materials by UPN'!$G$3:$R$112,7)="","",VLOOKUP($G159,'Materials by UPN'!$G$3:$R$112,7))</f>
        <v>https://www.aliexpress.us/item/2251832658426440.html</v>
      </c>
      <c r="P159" s="4">
        <f>VLOOKUP($G159,'Materials by UPN'!$G$3:$R$112,11)</f>
        <v>2.3700000000000002E-2</v>
      </c>
      <c r="Q159" s="4">
        <f t="shared" si="10"/>
        <v>9.4800000000000009E-2</v>
      </c>
      <c r="R159" s="25"/>
    </row>
    <row r="160" spans="1:19" x14ac:dyDescent="0.35">
      <c r="F160" s="2">
        <v>3</v>
      </c>
      <c r="G160" s="2">
        <v>340</v>
      </c>
      <c r="H160" s="15" t="s">
        <v>149</v>
      </c>
      <c r="I160" s="2" t="s">
        <v>275</v>
      </c>
      <c r="J160" t="str">
        <f>VLOOKUP($G160,'Materials by UPN'!$G$3:$R$112,2)</f>
        <v>CONN HEADER VERT 3POS, 3.96MM</v>
      </c>
      <c r="K160" t="str">
        <f>IF(VLOOKUP($G160,'Materials by UPN'!$G$3:$R$112,3)="","",VLOOKUP($G160,'Materials by UPN'!$G$3:$R$112,3))</f>
        <v/>
      </c>
      <c r="L160" t="str">
        <f>IF(VLOOKUP($G160,'Materials by UPN'!$G$3:$R$112,4)="","",VLOOKUP($G160,'Materials by UPN'!$G$3:$R$112,4))</f>
        <v>TE Connectivity AMP Connectors</v>
      </c>
      <c r="M160" t="str">
        <f>IF(VLOOKUP($G160,'Materials by UPN'!$G$3:$R$112,5)="","",VLOOKUP($G160,'Materials by UPN'!$G$3:$R$112,5))</f>
        <v>4-1123724-2</v>
      </c>
      <c r="N160" t="str">
        <f>VLOOKUP($G160,'Materials by UPN'!$G$3:$R$112,6)</f>
        <v>Digikey</v>
      </c>
      <c r="O160" t="str">
        <f>IF(VLOOKUP($G160,'Materials by UPN'!$G$3:$R$112,7)="","",VLOOKUP($G160,'Materials by UPN'!$G$3:$R$112,7))</f>
        <v>https://www.digikey.com/en/products/detail/te-connectivity-amp-connectors/4-1123724-2/5439777</v>
      </c>
      <c r="P160" s="4">
        <f>VLOOKUP($G160,'Materials by UPN'!$G$3:$R$112,11)</f>
        <v>0.14770028112741537</v>
      </c>
      <c r="Q160" s="4">
        <f t="shared" si="10"/>
        <v>0.44310084338224609</v>
      </c>
      <c r="R160" s="25"/>
    </row>
    <row r="161" spans="1:19" x14ac:dyDescent="0.35">
      <c r="F161" s="2">
        <v>1</v>
      </c>
      <c r="G161" s="2">
        <v>352</v>
      </c>
      <c r="I161" s="2" t="s">
        <v>275</v>
      </c>
      <c r="J161" t="str">
        <f>VLOOKUP($G161,'Materials by UPN'!$G$3:$R$112,2)</f>
        <v>Single Row 40 Pin 2.54 mm Male Pin Header Connector, cut to 4 pins</v>
      </c>
      <c r="K161" t="str">
        <f>IF(VLOOKUP($G161,'Materials by UPN'!$G$3:$R$112,3)="","",VLOOKUP($G161,'Materials by UPN'!$G$3:$R$112,3))</f>
        <v/>
      </c>
      <c r="L161" t="str">
        <f>IF(VLOOKUP($G161,'Materials by UPN'!$G$3:$R$112,4)="","",VLOOKUP($G161,'Materials by UPN'!$G$3:$R$112,4))</f>
        <v/>
      </c>
      <c r="M161" t="str">
        <f>IF(VLOOKUP($G161,'Materials by UPN'!$G$3:$R$112,5)="","",VLOOKUP($G161,'Materials by UPN'!$G$3:$R$112,5))</f>
        <v/>
      </c>
      <c r="N161" t="str">
        <f>VLOOKUP($G161,'Materials by UPN'!$G$3:$R$112,6)</f>
        <v>Amazon</v>
      </c>
      <c r="O161" t="str">
        <f>IF(VLOOKUP($G161,'Materials by UPN'!$G$3:$R$112,7)="","",VLOOKUP($G161,'Materials by UPN'!$G$3:$R$112,7))</f>
        <v>https://www.amazon.com/gp/product/B06XR8CV8P</v>
      </c>
      <c r="P161" s="4">
        <f>VLOOKUP($G161,'Materials by UPN'!$G$3:$R$112,11)</f>
        <v>2.1520000000000001E-2</v>
      </c>
      <c r="Q161" s="4">
        <f t="shared" si="10"/>
        <v>2.1520000000000001E-2</v>
      </c>
      <c r="R161" s="25"/>
    </row>
    <row r="162" spans="1:19" x14ac:dyDescent="0.35">
      <c r="F162" s="2">
        <v>2</v>
      </c>
      <c r="G162" s="2">
        <v>331</v>
      </c>
      <c r="I162" s="2" t="s">
        <v>275</v>
      </c>
      <c r="J162" t="str">
        <f>VLOOKUP($G162,'Materials by UPN'!$G$3:$R$112,2)</f>
        <v>M3 screw, hex, 8 mm, black</v>
      </c>
      <c r="K162" t="str">
        <f>IF(VLOOKUP($G162,'Materials by UPN'!$G$3:$R$112,3)="","",VLOOKUP($G162,'Materials by UPN'!$G$3:$R$112,3))</f>
        <v/>
      </c>
      <c r="L162" t="str">
        <f>IF(VLOOKUP($G162,'Materials by UPN'!$G$3:$R$112,4)="","",VLOOKUP($G162,'Materials by UPN'!$G$3:$R$112,4))</f>
        <v/>
      </c>
      <c r="M162" t="str">
        <f>IF(VLOOKUP($G162,'Materials by UPN'!$G$3:$R$112,5)="","",VLOOKUP($G162,'Materials by UPN'!$G$3:$R$112,5))</f>
        <v/>
      </c>
      <c r="N162" t="str">
        <f>VLOOKUP($G162,'Materials by UPN'!$G$3:$R$112,6)</f>
        <v>AliExpress</v>
      </c>
      <c r="O162" t="str">
        <f>IF(VLOOKUP($G162,'Materials by UPN'!$G$3:$R$112,7)="","",VLOOKUP($G162,'Materials by UPN'!$G$3:$R$112,7))</f>
        <v>https://www.aliexpress.us/item/3256805242052170.html</v>
      </c>
      <c r="P162" s="4">
        <f>VLOOKUP($G162,'Materials by UPN'!$G$3:$R$112,11)</f>
        <v>3.4749999999999996E-2</v>
      </c>
      <c r="Q162" s="4">
        <f t="shared" si="10"/>
        <v>6.9499999999999992E-2</v>
      </c>
      <c r="R162" s="25"/>
    </row>
    <row r="163" spans="1:19" x14ac:dyDescent="0.35">
      <c r="F163" s="2">
        <v>2</v>
      </c>
      <c r="G163" s="2">
        <v>328</v>
      </c>
      <c r="I163" s="2" t="s">
        <v>275</v>
      </c>
      <c r="J163" t="str">
        <f>VLOOKUP($G163,'Materials by UPN'!$G$3:$R$112,2)</f>
        <v>M3 self locking nut</v>
      </c>
      <c r="K163" t="str">
        <f>IF(VLOOKUP($G163,'Materials by UPN'!$G$3:$R$112,3)="","",VLOOKUP($G163,'Materials by UPN'!$G$3:$R$112,3))</f>
        <v/>
      </c>
      <c r="L163" t="str">
        <f>IF(VLOOKUP($G163,'Materials by UPN'!$G$3:$R$112,4)="","",VLOOKUP($G163,'Materials by UPN'!$G$3:$R$112,4))</f>
        <v/>
      </c>
      <c r="M163" t="str">
        <f>IF(VLOOKUP($G163,'Materials by UPN'!$G$3:$R$112,5)="","",VLOOKUP($G163,'Materials by UPN'!$G$3:$R$112,5))</f>
        <v/>
      </c>
      <c r="N163" t="str">
        <f>VLOOKUP($G163,'Materials by UPN'!$G$3:$R$112,6)</f>
        <v>Amazon</v>
      </c>
      <c r="O163" t="str">
        <f>IF(VLOOKUP($G163,'Materials by UPN'!$G$3:$R$112,7)="","",VLOOKUP($G163,'Materials by UPN'!$G$3:$R$112,7))</f>
        <v>https://www.amazon.com/Stainless-Self-Locking-Industrial-Construction-Fasteners/dp/B09SLLQ3KV</v>
      </c>
      <c r="P163" s="4">
        <f>VLOOKUP($G163,'Materials by UPN'!$G$3:$R$112,11)</f>
        <v>5.4533333333333329E-2</v>
      </c>
      <c r="Q163" s="4">
        <f>F163*P163</f>
        <v>0.10906666666666666</v>
      </c>
      <c r="R163" s="25"/>
    </row>
    <row r="164" spans="1:19" x14ac:dyDescent="0.35">
      <c r="F164" s="2">
        <v>4</v>
      </c>
      <c r="G164" s="2">
        <v>357</v>
      </c>
      <c r="I164" s="2" t="s">
        <v>275</v>
      </c>
      <c r="J164" t="str">
        <f>VLOOKUP($G164,'Materials by UPN'!$G$3:$R$112,2)</f>
        <v>M3 Threaded Spacer, hex, nylon, black, 20mm + 6mm, female-male</v>
      </c>
      <c r="K164" t="str">
        <f>IF(VLOOKUP($G164,'Materials by UPN'!$G$3:$R$112,3)="","",VLOOKUP($G164,'Materials by UPN'!$G$3:$R$112,3))</f>
        <v/>
      </c>
      <c r="L164" t="str">
        <f>IF(VLOOKUP($G164,'Materials by UPN'!$G$3:$R$112,4)="","",VLOOKUP($G164,'Materials by UPN'!$G$3:$R$112,4))</f>
        <v/>
      </c>
      <c r="M164" t="str">
        <f>IF(VLOOKUP($G164,'Materials by UPN'!$G$3:$R$112,5)="","",VLOOKUP($G164,'Materials by UPN'!$G$3:$R$112,5))</f>
        <v/>
      </c>
      <c r="N164" t="str">
        <f>VLOOKUP($G164,'Materials by UPN'!$G$3:$R$112,6)</f>
        <v>Amazon</v>
      </c>
      <c r="O164" t="str">
        <f>IF(VLOOKUP($G164,'Materials by UPN'!$G$3:$R$112,7)="","",VLOOKUP($G164,'Materials by UPN'!$G$3:$R$112,7))</f>
        <v>https://www.aliexpress.us/item/3256804121267045.html</v>
      </c>
      <c r="P164" s="4">
        <f>VLOOKUP($G164,'Materials by UPN'!$G$3:$R$112,11)</f>
        <v>8.2848500000000005E-2</v>
      </c>
      <c r="Q164" s="4">
        <f>F164*P164</f>
        <v>0.33139400000000002</v>
      </c>
      <c r="R164" s="25"/>
    </row>
    <row r="165" spans="1:19" x14ac:dyDescent="0.35">
      <c r="F165" s="2">
        <v>4</v>
      </c>
      <c r="G165" s="2">
        <v>355</v>
      </c>
      <c r="I165" s="2" t="s">
        <v>275</v>
      </c>
      <c r="J165" t="str">
        <f>VLOOKUP($G165,'Materials by UPN'!$G$3:$R$112,2)</f>
        <v>M3 nut</v>
      </c>
      <c r="K165" t="str">
        <f>IF(VLOOKUP($G165,'Materials by UPN'!$G$3:$R$112,3)="","",VLOOKUP($G165,'Materials by UPN'!$G$3:$R$112,3))</f>
        <v/>
      </c>
      <c r="L165" t="str">
        <f>IF(VLOOKUP($G165,'Materials by UPN'!$G$3:$R$112,4)="","",VLOOKUP($G165,'Materials by UPN'!$G$3:$R$112,4))</f>
        <v/>
      </c>
      <c r="M165" t="str">
        <f>IF(VLOOKUP($G165,'Materials by UPN'!$G$3:$R$112,5)="","",VLOOKUP($G165,'Materials by UPN'!$G$3:$R$112,5))</f>
        <v/>
      </c>
      <c r="N165" t="str">
        <f>VLOOKUP($G165,'Materials by UPN'!$G$3:$R$112,6)</f>
        <v>AliExpress</v>
      </c>
      <c r="O165" t="str">
        <f>IF(VLOOKUP($G165,'Materials by UPN'!$G$3:$R$112,7)="","",VLOOKUP($G165,'Materials by UPN'!$G$3:$R$112,7))</f>
        <v>https://www.aliexpress.us/item/2255800416538696.html</v>
      </c>
      <c r="P165" s="4">
        <f>VLOOKUP($G165,'Materials by UPN'!$G$3:$R$112,11)</f>
        <v>2.7069090909090907E-2</v>
      </c>
      <c r="Q165" s="4">
        <f t="shared" ref="Q165:Q167" si="11">F165*P165</f>
        <v>0.10827636363636363</v>
      </c>
      <c r="R165" s="25"/>
    </row>
    <row r="166" spans="1:19" x14ac:dyDescent="0.35">
      <c r="F166" s="2">
        <v>4</v>
      </c>
      <c r="G166" s="2">
        <v>332</v>
      </c>
      <c r="I166" s="2" t="s">
        <v>275</v>
      </c>
      <c r="J166" t="str">
        <f>VLOOKUP($G166,'Materials by UPN'!$G$3:$R$112,2)</f>
        <v>M3 split lockwasher</v>
      </c>
      <c r="K166" t="str">
        <f>IF(VLOOKUP($G166,'Materials by UPN'!$G$3:$R$112,3)="","",VLOOKUP($G166,'Materials by UPN'!$G$3:$R$112,3))</f>
        <v/>
      </c>
      <c r="L166" t="str">
        <f>IF(VLOOKUP($G166,'Materials by UPN'!$G$3:$R$112,4)="","",VLOOKUP($G166,'Materials by UPN'!$G$3:$R$112,4))</f>
        <v/>
      </c>
      <c r="M166" t="str">
        <f>IF(VLOOKUP($G166,'Materials by UPN'!$G$3:$R$112,5)="","",VLOOKUP($G166,'Materials by UPN'!$G$3:$R$112,5))</f>
        <v/>
      </c>
      <c r="N166" t="str">
        <f>VLOOKUP($G166,'Materials by UPN'!$G$3:$R$112,6)</f>
        <v>Amazon</v>
      </c>
      <c r="O166" t="str">
        <f>IF(VLOOKUP($G166,'Materials by UPN'!$G$3:$R$112,7)="","",VLOOKUP($G166,'Materials by UPN'!$G$3:$R$112,7))</f>
        <v>https://www.amazon.com/gp/product/B07Z2FJ2XW</v>
      </c>
      <c r="P166" s="4">
        <f>VLOOKUP($G166,'Materials by UPN'!$G$3:$R$112,11)</f>
        <v>2.1528450000000001E-2</v>
      </c>
      <c r="Q166" s="4">
        <f t="shared" si="11"/>
        <v>8.6113800000000004E-2</v>
      </c>
      <c r="R166" s="25"/>
    </row>
    <row r="167" spans="1:19" x14ac:dyDescent="0.35">
      <c r="F167" s="2">
        <v>1</v>
      </c>
      <c r="G167" s="2">
        <v>364</v>
      </c>
      <c r="I167" s="2" t="s">
        <v>310</v>
      </c>
      <c r="J167" t="str">
        <f>VLOOKUP($G167,'Materials by UPN'!$G$3:$R$112,2)</f>
        <v>3" x 5" Small Plastic Bags- Reclosable Zip Bags</v>
      </c>
      <c r="K167" t="str">
        <f>IF(VLOOKUP($G167,'Materials by UPN'!$G$3:$R$112,3)="","",VLOOKUP($G167,'Materials by UPN'!$G$3:$R$112,3))</f>
        <v/>
      </c>
      <c r="L167" t="str">
        <f>IF(VLOOKUP($G167,'Materials by UPN'!$G$3:$R$112,4)="","",VLOOKUP($G167,'Materials by UPN'!$G$3:$R$112,4))</f>
        <v/>
      </c>
      <c r="M167" t="str">
        <f>IF(VLOOKUP($G167,'Materials by UPN'!$G$3:$R$112,5)="","",VLOOKUP($G167,'Materials by UPN'!$G$3:$R$112,5))</f>
        <v/>
      </c>
      <c r="N167" t="str">
        <f>VLOOKUP($G167,'Materials by UPN'!$G$3:$R$112,6)</f>
        <v>Amazon</v>
      </c>
      <c r="O167" t="str">
        <f>IF(VLOOKUP($G167,'Materials by UPN'!$G$3:$R$112,7)="","",VLOOKUP($G167,'Materials by UPN'!$G$3:$R$112,7))</f>
        <v>https://www.amazon.com/gp/product/B07XBF98NV</v>
      </c>
      <c r="P167" s="4">
        <f>VLOOKUP($G167,'Materials by UPN'!$G$3:$R$112,11)</f>
        <v>1.9379999999999998E-2</v>
      </c>
      <c r="Q167" s="4">
        <f t="shared" si="11"/>
        <v>1.9379999999999998E-2</v>
      </c>
      <c r="R167" s="25"/>
    </row>
    <row r="168" spans="1:19" x14ac:dyDescent="0.35">
      <c r="Q168" s="4"/>
      <c r="R168" s="25"/>
    </row>
    <row r="169" spans="1:19" x14ac:dyDescent="0.35">
      <c r="B169" s="1" t="s">
        <v>202</v>
      </c>
      <c r="Q169" s="4"/>
      <c r="R169" s="25"/>
    </row>
    <row r="170" spans="1:19" x14ac:dyDescent="0.35">
      <c r="F170" s="2">
        <v>8</v>
      </c>
      <c r="G170" s="2">
        <v>358</v>
      </c>
      <c r="I170" s="2" t="s">
        <v>285</v>
      </c>
      <c r="J170" t="str">
        <f>VLOOKUP($G170,'Materials by UPN'!$G$3:$R$112,2)</f>
        <v>Fender Washer, M3x16x1.0 mm</v>
      </c>
      <c r="K170" t="str">
        <f>IF(VLOOKUP($G170,'Materials by UPN'!$G$3:$R$112,3)="","",VLOOKUP($G170,'Materials by UPN'!$G$3:$R$112,3))</f>
        <v/>
      </c>
      <c r="L170" t="str">
        <f>IF(VLOOKUP($G170,'Materials by UPN'!$G$3:$R$112,4)="","",VLOOKUP($G170,'Materials by UPN'!$G$3:$R$112,4))</f>
        <v/>
      </c>
      <c r="M170" t="str">
        <f>IF(VLOOKUP($G170,'Materials by UPN'!$G$3:$R$112,5)="","",VLOOKUP($G170,'Materials by UPN'!$G$3:$R$112,5))</f>
        <v/>
      </c>
      <c r="N170" t="str">
        <f>VLOOKUP($G170,'Materials by UPN'!$G$3:$R$112,6)</f>
        <v>AliExpress</v>
      </c>
      <c r="O170" t="str">
        <f>IF(VLOOKUP($G170,'Materials by UPN'!$G$3:$R$112,7)="","",VLOOKUP($G170,'Materials by UPN'!$G$3:$R$112,7))</f>
        <v>https://www.aliexpress.us/item/3256802393168670.html</v>
      </c>
      <c r="P170" s="4">
        <f>VLOOKUP($G170,'Materials by UPN'!$G$3:$R$112,11)</f>
        <v>6.7625000000000005E-2</v>
      </c>
      <c r="Q170" s="4">
        <f>F170*P170</f>
        <v>0.54100000000000004</v>
      </c>
      <c r="R170" s="25"/>
    </row>
    <row r="171" spans="1:19" x14ac:dyDescent="0.35">
      <c r="F171" s="2">
        <v>4</v>
      </c>
      <c r="G171" s="2">
        <v>334</v>
      </c>
      <c r="I171" s="2" t="s">
        <v>285</v>
      </c>
      <c r="J171" t="str">
        <f>VLOOKUP($G171,'Materials by UPN'!$G$3:$R$112,2)</f>
        <v>M3 x 12mm cap screw, black</v>
      </c>
      <c r="K171" t="str">
        <f>IF(VLOOKUP($G171,'Materials by UPN'!$G$3:$R$112,3)="","",VLOOKUP($G171,'Materials by UPN'!$G$3:$R$112,3))</f>
        <v/>
      </c>
      <c r="L171" t="str">
        <f>IF(VLOOKUP($G171,'Materials by UPN'!$G$3:$R$112,4)="","",VLOOKUP($G171,'Materials by UPN'!$G$3:$R$112,4))</f>
        <v/>
      </c>
      <c r="M171" t="str">
        <f>IF(VLOOKUP($G171,'Materials by UPN'!$G$3:$R$112,5)="","",VLOOKUP($G171,'Materials by UPN'!$G$3:$R$112,5))</f>
        <v/>
      </c>
      <c r="N171" t="str">
        <f>VLOOKUP($G171,'Materials by UPN'!$G$3:$R$112,6)</f>
        <v>Amazon</v>
      </c>
      <c r="O171" t="str">
        <f>IF(VLOOKUP($G171,'Materials by UPN'!$G$3:$R$112,7)="","",VLOOKUP($G171,'Materials by UPN'!$G$3:$R$112,7))</f>
        <v>https://www.amazon.com/gp/product/B07CNFTK99</v>
      </c>
      <c r="P171" s="4">
        <f>VLOOKUP($G171,'Materials by UPN'!$G$3:$R$112,11)</f>
        <v>8.4691500000000003E-2</v>
      </c>
      <c r="Q171" s="4">
        <f>F171*P171</f>
        <v>0.33876600000000001</v>
      </c>
      <c r="R171" s="25"/>
    </row>
    <row r="172" spans="1:19" x14ac:dyDescent="0.35">
      <c r="F172" s="2">
        <v>4</v>
      </c>
      <c r="G172" s="2">
        <v>332</v>
      </c>
      <c r="I172" s="2" t="s">
        <v>285</v>
      </c>
      <c r="J172" t="str">
        <f>VLOOKUP($G172,'Materials by UPN'!$G$3:$R$112,2)</f>
        <v>M3 split lockwasher</v>
      </c>
      <c r="K172" t="str">
        <f>IF(VLOOKUP($G172,'Materials by UPN'!$G$3:$R$112,3)="","",VLOOKUP($G172,'Materials by UPN'!$G$3:$R$112,3))</f>
        <v/>
      </c>
      <c r="L172" t="str">
        <f>IF(VLOOKUP($G172,'Materials by UPN'!$G$3:$R$112,4)="","",VLOOKUP($G172,'Materials by UPN'!$G$3:$R$112,4))</f>
        <v/>
      </c>
      <c r="M172" t="str">
        <f>IF(VLOOKUP($G172,'Materials by UPN'!$G$3:$R$112,5)="","",VLOOKUP($G172,'Materials by UPN'!$G$3:$R$112,5))</f>
        <v/>
      </c>
      <c r="N172" t="str">
        <f>VLOOKUP($G172,'Materials by UPN'!$G$3:$R$112,6)</f>
        <v>Amazon</v>
      </c>
      <c r="O172" t="str">
        <f>IF(VLOOKUP($G172,'Materials by UPN'!$G$3:$R$112,7)="","",VLOOKUP($G172,'Materials by UPN'!$G$3:$R$112,7))</f>
        <v>https://www.amazon.com/gp/product/B07Z2FJ2XW</v>
      </c>
      <c r="P172" s="4">
        <f>VLOOKUP($G172,'Materials by UPN'!$G$3:$R$112,11)</f>
        <v>2.1528450000000001E-2</v>
      </c>
      <c r="Q172" s="4">
        <f>F172*P172</f>
        <v>8.6113800000000004E-2</v>
      </c>
      <c r="R172" s="25"/>
    </row>
    <row r="173" spans="1:19" x14ac:dyDescent="0.35">
      <c r="F173" s="2">
        <v>1</v>
      </c>
      <c r="G173" s="2">
        <v>364</v>
      </c>
      <c r="I173" s="2" t="s">
        <v>308</v>
      </c>
      <c r="J173" t="str">
        <f>VLOOKUP($G173,'Materials by UPN'!$G$3:$R$112,2)</f>
        <v>3" x 5" Small Plastic Bags- Reclosable Zip Bags</v>
      </c>
      <c r="K173" t="str">
        <f>IF(VLOOKUP($G173,'Materials by UPN'!$G$3:$R$112,3)="","",VLOOKUP($G173,'Materials by UPN'!$G$3:$R$112,3))</f>
        <v/>
      </c>
      <c r="L173" t="str">
        <f>IF(VLOOKUP($G173,'Materials by UPN'!$G$3:$R$112,4)="","",VLOOKUP($G173,'Materials by UPN'!$G$3:$R$112,4))</f>
        <v/>
      </c>
      <c r="M173" t="str">
        <f>IF(VLOOKUP($G173,'Materials by UPN'!$G$3:$R$112,5)="","",VLOOKUP($G173,'Materials by UPN'!$G$3:$R$112,5))</f>
        <v/>
      </c>
      <c r="N173" t="str">
        <f>VLOOKUP($G173,'Materials by UPN'!$G$3:$R$112,6)</f>
        <v>Amazon</v>
      </c>
      <c r="O173" t="str">
        <f>IF(VLOOKUP($G173,'Materials by UPN'!$G$3:$R$112,7)="","",VLOOKUP($G173,'Materials by UPN'!$G$3:$R$112,7))</f>
        <v>https://www.amazon.com/gp/product/B07XBF98NV</v>
      </c>
      <c r="P173" s="4">
        <f>VLOOKUP($G173,'Materials by UPN'!$G$3:$R$112,11)</f>
        <v>1.9379999999999998E-2</v>
      </c>
      <c r="Q173" s="4">
        <f>F173*P173</f>
        <v>1.9379999999999998E-2</v>
      </c>
      <c r="R173" s="25"/>
    </row>
    <row r="174" spans="1:19" x14ac:dyDescent="0.35">
      <c r="R174" s="25"/>
    </row>
    <row r="175" spans="1:19" s="41" customFormat="1" ht="18.5" x14ac:dyDescent="0.45">
      <c r="A175" s="30" t="s">
        <v>184</v>
      </c>
      <c r="B175" s="30" t="s">
        <v>353</v>
      </c>
      <c r="C175" s="30"/>
      <c r="D175" s="30"/>
      <c r="E175" s="30"/>
      <c r="F175" s="35"/>
      <c r="G175" s="35"/>
      <c r="H175" s="36"/>
      <c r="I175" s="35"/>
      <c r="J175" s="30"/>
      <c r="K175" s="30"/>
      <c r="L175" s="30"/>
      <c r="M175" s="30"/>
      <c r="N175" s="30"/>
      <c r="O175" s="30"/>
      <c r="P175" s="42"/>
      <c r="Q175" s="30"/>
      <c r="R175" s="43">
        <f>SUM(Q175:Q203)</f>
        <v>16.5489706791777</v>
      </c>
      <c r="S175" s="40">
        <f>CEILING(R175,1)</f>
        <v>17</v>
      </c>
    </row>
    <row r="176" spans="1:19" x14ac:dyDescent="0.35">
      <c r="F176" s="2">
        <v>1</v>
      </c>
      <c r="G176" s="2">
        <v>107</v>
      </c>
      <c r="I176" s="2" t="s">
        <v>279</v>
      </c>
      <c r="J176" t="str">
        <f>VLOOKUP($G176,'Materials by UPN'!$G$3:$R$112,2)</f>
        <v>PCB, RK05 Emulator Power Supply</v>
      </c>
      <c r="K176" t="str">
        <f>IF(VLOOKUP($G176,'Materials by UPN'!$G$3:$R$112,3)="","",VLOOKUP($G176,'Materials by UPN'!$G$3:$R$112,3))</f>
        <v>v1</v>
      </c>
      <c r="L176" t="str">
        <f>IF(VLOOKUP($G176,'Materials by UPN'!$G$3:$R$112,4)="","",VLOOKUP($G176,'Materials by UPN'!$G$3:$R$112,4))</f>
        <v/>
      </c>
      <c r="M176" t="str">
        <f>IF(VLOOKUP($G176,'Materials by UPN'!$G$3:$R$112,5)="","",VLOOKUP($G176,'Materials by UPN'!$G$3:$R$112,5))</f>
        <v/>
      </c>
      <c r="N176" t="str">
        <f>VLOOKUP($G176,'Materials by UPN'!$G$3:$R$112,6)</f>
        <v>JLCPCB</v>
      </c>
      <c r="O176" t="str">
        <f>IF(VLOOKUP($G176,'Materials by UPN'!$G$3:$R$112,7)="","",VLOOKUP($G176,'Materials by UPN'!$G$3:$R$112,7))</f>
        <v>PCB Color: Black, Surface Finish: LeadFree HASL, Remove Order Number: Specify a location</v>
      </c>
      <c r="P176" s="4">
        <f>VLOOKUP($G176,'Materials by UPN'!$G$3:$R$112,11)</f>
        <v>1.9700000000000002</v>
      </c>
      <c r="Q176" s="4">
        <f t="shared" ref="Q176:Q196" si="12">F176*P176</f>
        <v>1.9700000000000002</v>
      </c>
      <c r="R176" s="25"/>
    </row>
    <row r="177" spans="6:18" x14ac:dyDescent="0.35">
      <c r="F177" s="2">
        <v>1</v>
      </c>
      <c r="G177" s="2">
        <v>368</v>
      </c>
      <c r="I177" s="2" t="s">
        <v>305</v>
      </c>
      <c r="J177" t="str">
        <f>VLOOKUP($G177,'Materials by UPN'!$G$3:$R$112,2)</f>
        <v>Ziplock Sandwich Bag</v>
      </c>
      <c r="K177" t="str">
        <f>IF(VLOOKUP($G177,'Materials by UPN'!$G$3:$R$112,3)="","",VLOOKUP($G177,'Materials by UPN'!$G$3:$R$112,3))</f>
        <v/>
      </c>
      <c r="L177" t="str">
        <f>IF(VLOOKUP($G177,'Materials by UPN'!$G$3:$R$112,4)="","",VLOOKUP($G177,'Materials by UPN'!$G$3:$R$112,4))</f>
        <v/>
      </c>
      <c r="M177" t="str">
        <f>IF(VLOOKUP($G177,'Materials by UPN'!$G$3:$R$112,5)="","",VLOOKUP($G177,'Materials by UPN'!$G$3:$R$112,5))</f>
        <v/>
      </c>
      <c r="N177" t="str">
        <f>VLOOKUP($G177,'Materials by UPN'!$G$3:$R$112,6)</f>
        <v>Costco</v>
      </c>
      <c r="O177" t="str">
        <f>IF(VLOOKUP($G177,'Materials by UPN'!$G$3:$R$112,7)="","",VLOOKUP($G177,'Materials by UPN'!$G$3:$R$112,7))</f>
        <v/>
      </c>
      <c r="P177" s="4">
        <f>VLOOKUP($G177,'Materials by UPN'!$G$3:$R$112,11)</f>
        <v>0</v>
      </c>
      <c r="Q177" s="4">
        <f t="shared" si="12"/>
        <v>0</v>
      </c>
      <c r="R177" s="25"/>
    </row>
    <row r="178" spans="6:18" x14ac:dyDescent="0.35">
      <c r="F178" s="2">
        <v>1</v>
      </c>
      <c r="G178" s="2">
        <v>363</v>
      </c>
      <c r="I178" s="2" t="s">
        <v>282</v>
      </c>
      <c r="J178" t="str">
        <f>VLOOKUP($G178,'Materials by UPN'!$G$3:$R$112,2)</f>
        <v>USB Type C Charger, 25W, with USB C to USB C 6 foot cable</v>
      </c>
      <c r="K178" t="str">
        <f>IF(VLOOKUP($G178,'Materials by UPN'!$G$3:$R$112,3)="","",VLOOKUP($G178,'Materials by UPN'!$G$3:$R$112,3))</f>
        <v/>
      </c>
      <c r="L178" t="str">
        <f>IF(VLOOKUP($G178,'Materials by UPN'!$G$3:$R$112,4)="","",VLOOKUP($G178,'Materials by UPN'!$G$3:$R$112,4))</f>
        <v/>
      </c>
      <c r="M178" t="str">
        <f>IF(VLOOKUP($G178,'Materials by UPN'!$G$3:$R$112,5)="","",VLOOKUP($G178,'Materials by UPN'!$G$3:$R$112,5))</f>
        <v/>
      </c>
      <c r="N178" t="str">
        <f>VLOOKUP($G178,'Materials by UPN'!$G$3:$R$112,6)</f>
        <v>Amazon</v>
      </c>
      <c r="O178" t="str">
        <f>IF(VLOOKUP($G178,'Materials by UPN'!$G$3:$R$112,7)="","",VLOOKUP($G178,'Materials by UPN'!$G$3:$R$112,7))</f>
        <v>https://www.amazon.com/dp/B097MVXSQ5</v>
      </c>
      <c r="P178" s="4">
        <f>VLOOKUP($G178,'Materials by UPN'!$G$3:$R$112,11)</f>
        <v>5.3767250000000004</v>
      </c>
      <c r="Q178" s="4">
        <f t="shared" si="12"/>
        <v>5.3767250000000004</v>
      </c>
      <c r="R178" s="25"/>
    </row>
    <row r="179" spans="6:18" x14ac:dyDescent="0.35">
      <c r="F179" s="2">
        <v>1</v>
      </c>
      <c r="G179" s="2">
        <v>364</v>
      </c>
      <c r="I179" s="2" t="s">
        <v>335</v>
      </c>
      <c r="J179" t="str">
        <f>VLOOKUP($G179,'Materials by UPN'!$G$3:$R$112,2)</f>
        <v>3" x 5" Small Plastic Bags- Reclosable Zip Bags</v>
      </c>
      <c r="K179" t="str">
        <f>IF(VLOOKUP($G179,'Materials by UPN'!$G$3:$R$112,3)="","",VLOOKUP($G179,'Materials by UPN'!$G$3:$R$112,3))</f>
        <v/>
      </c>
      <c r="L179" t="str">
        <f>IF(VLOOKUP($G179,'Materials by UPN'!$G$3:$R$112,4)="","",VLOOKUP($G179,'Materials by UPN'!$G$3:$R$112,4))</f>
        <v/>
      </c>
      <c r="M179" t="str">
        <f>IF(VLOOKUP($G179,'Materials by UPN'!$G$3:$R$112,5)="","",VLOOKUP($G179,'Materials by UPN'!$G$3:$R$112,5))</f>
        <v/>
      </c>
      <c r="N179" t="str">
        <f>VLOOKUP($G179,'Materials by UPN'!$G$3:$R$112,6)</f>
        <v>Amazon</v>
      </c>
      <c r="O179" t="str">
        <f>IF(VLOOKUP($G179,'Materials by UPN'!$G$3:$R$112,7)="","",VLOOKUP($G179,'Materials by UPN'!$G$3:$R$112,7))</f>
        <v>https://www.amazon.com/gp/product/B07XBF98NV</v>
      </c>
      <c r="P179" s="4">
        <f>VLOOKUP($G179,'Materials by UPN'!$G$3:$R$112,11)</f>
        <v>1.9379999999999998E-2</v>
      </c>
      <c r="Q179" s="4">
        <f t="shared" si="12"/>
        <v>1.9379999999999998E-2</v>
      </c>
      <c r="R179" s="25"/>
    </row>
    <row r="180" spans="6:18" x14ac:dyDescent="0.35">
      <c r="F180" s="2">
        <v>1</v>
      </c>
      <c r="G180" s="2">
        <v>351</v>
      </c>
      <c r="I180" s="2" t="s">
        <v>284</v>
      </c>
      <c r="J180" t="str">
        <f>VLOOKUP($G180,'Materials by UPN'!$G$3:$R$112,2)</f>
        <v>Power Trigger Module, USB Type C, 12V</v>
      </c>
      <c r="K180" t="str">
        <f>IF(VLOOKUP($G180,'Materials by UPN'!$G$3:$R$112,3)="","",VLOOKUP($G180,'Materials by UPN'!$G$3:$R$112,3))</f>
        <v/>
      </c>
      <c r="L180" t="str">
        <f>IF(VLOOKUP($G180,'Materials by UPN'!$G$3:$R$112,4)="","",VLOOKUP($G180,'Materials by UPN'!$G$3:$R$112,4))</f>
        <v/>
      </c>
      <c r="M180" t="str">
        <f>IF(VLOOKUP($G180,'Materials by UPN'!$G$3:$R$112,5)="","",VLOOKUP($G180,'Materials by UPN'!$G$3:$R$112,5))</f>
        <v/>
      </c>
      <c r="N180" t="str">
        <f>VLOOKUP($G180,'Materials by UPN'!$G$3:$R$112,6)</f>
        <v>AliExpress</v>
      </c>
      <c r="O180" t="str">
        <f>IF(VLOOKUP($G180,'Materials by UPN'!$G$3:$R$112,7)="","",VLOOKUP($G180,'Materials by UPN'!$G$3:$R$112,7))</f>
        <v>https://www.aliexpress.us/item/3256802974608811.html</v>
      </c>
      <c r="P180" s="4">
        <f>VLOOKUP($G180,'Materials by UPN'!$G$3:$R$112,11)</f>
        <v>0.83399999999999996</v>
      </c>
      <c r="Q180" s="4">
        <f t="shared" si="12"/>
        <v>0.83399999999999996</v>
      </c>
      <c r="R180" s="25"/>
    </row>
    <row r="181" spans="6:18" x14ac:dyDescent="0.35">
      <c r="F181" s="2">
        <v>1</v>
      </c>
      <c r="G181" s="2">
        <v>367</v>
      </c>
      <c r="I181" s="2" t="s">
        <v>309</v>
      </c>
      <c r="J181" t="str">
        <f>VLOOKUP($G181,'Materials by UPN'!$G$3:$R$112,2)</f>
        <v>Antistatic bag, 6x9 cm</v>
      </c>
      <c r="K181" t="str">
        <f>IF(VLOOKUP($G181,'Materials by UPN'!$G$3:$R$112,3)="","",VLOOKUP($G181,'Materials by UPN'!$G$3:$R$112,3))</f>
        <v/>
      </c>
      <c r="L181" t="str">
        <f>IF(VLOOKUP($G181,'Materials by UPN'!$G$3:$R$112,4)="","",VLOOKUP($G181,'Materials by UPN'!$G$3:$R$112,4))</f>
        <v/>
      </c>
      <c r="M181" t="str">
        <f>IF(VLOOKUP($G181,'Materials by UPN'!$G$3:$R$112,5)="","",VLOOKUP($G181,'Materials by UPN'!$G$3:$R$112,5))</f>
        <v/>
      </c>
      <c r="N181" t="str">
        <f>VLOOKUP($G181,'Materials by UPN'!$G$3:$R$112,6)</f>
        <v>AliExpress</v>
      </c>
      <c r="O181" t="str">
        <f>IF(VLOOKUP($G181,'Materials by UPN'!$G$3:$R$112,7)="","",VLOOKUP($G181,'Materials by UPN'!$G$3:$R$112,7))</f>
        <v xml:space="preserve">https://www.aliexpress.us/item/3256802834769879.html </v>
      </c>
      <c r="P181" s="4">
        <f>VLOOKUP($G181,'Materials by UPN'!$G$3:$R$112,11)</f>
        <v>8.5311499999999998E-2</v>
      </c>
      <c r="Q181" s="4">
        <f t="shared" si="12"/>
        <v>8.5311499999999998E-2</v>
      </c>
      <c r="R181" s="25"/>
    </row>
    <row r="182" spans="6:18" x14ac:dyDescent="0.35">
      <c r="F182" s="2">
        <v>1</v>
      </c>
      <c r="G182" s="2">
        <v>359</v>
      </c>
      <c r="I182" s="2" t="s">
        <v>283</v>
      </c>
      <c r="J182" t="str">
        <f>VLOOKUP($G182,'Materials by UPN'!$G$3:$R$112,2)</f>
        <v>DC-to-DC Converter, 12V input to 5V 10A output</v>
      </c>
      <c r="K182" t="str">
        <f>IF(VLOOKUP($G182,'Materials by UPN'!$G$3:$R$112,3)="","",VLOOKUP($G182,'Materials by UPN'!$G$3:$R$112,3))</f>
        <v/>
      </c>
      <c r="L182" t="str">
        <f>IF(VLOOKUP($G182,'Materials by UPN'!$G$3:$R$112,4)="","",VLOOKUP($G182,'Materials by UPN'!$G$3:$R$112,4))</f>
        <v>TOBSUN</v>
      </c>
      <c r="M182" t="str">
        <f>IF(VLOOKUP($G182,'Materials by UPN'!$G$3:$R$112,5)="","",VLOOKUP($G182,'Materials by UPN'!$G$3:$R$112,5))</f>
        <v>EA50-5V</v>
      </c>
      <c r="N182" t="str">
        <f>VLOOKUP($G182,'Materials by UPN'!$G$3:$R$112,6)</f>
        <v>AliExpress</v>
      </c>
      <c r="O182" t="str">
        <f>IF(VLOOKUP($G182,'Materials by UPN'!$G$3:$R$112,7)="","",VLOOKUP($G182,'Materials by UPN'!$G$3:$R$112,7))</f>
        <v>https://www.aliexpress.us/item/3256804612946913.html</v>
      </c>
      <c r="P182" s="4">
        <f>VLOOKUP($G182,'Materials by UPN'!$G$3:$R$112,11)</f>
        <v>5.0960000000000001</v>
      </c>
      <c r="Q182" s="4">
        <f t="shared" si="12"/>
        <v>5.0960000000000001</v>
      </c>
      <c r="R182" s="25"/>
    </row>
    <row r="183" spans="6:18" x14ac:dyDescent="0.35">
      <c r="F183" s="2">
        <v>1</v>
      </c>
      <c r="G183" s="2">
        <v>371</v>
      </c>
      <c r="I183" s="2" t="s">
        <v>275</v>
      </c>
      <c r="J183" t="str">
        <f>VLOOKUP($G183,'Materials by UPN'!$G$3:$R$112,2)</f>
        <v>Rectifier, 40V 450mV@5A 5A DO-27 Schottky Barrier Diode</v>
      </c>
      <c r="K183" t="str">
        <f>IF(VLOOKUP($G183,'Materials by UPN'!$G$3:$R$112,3)="","",VLOOKUP($G183,'Materials by UPN'!$G$3:$R$112,3))</f>
        <v/>
      </c>
      <c r="L183" t="str">
        <f>IF(VLOOKUP($G183,'Materials by UPN'!$G$3:$R$112,4)="","",VLOOKUP($G183,'Materials by UPN'!$G$3:$R$112,4))</f>
        <v>Comchip</v>
      </c>
      <c r="M183" t="str">
        <f>IF(VLOOKUP($G183,'Materials by UPN'!$G$3:$R$112,5)="","",VLOOKUP($G183,'Materials by UPN'!$G$3:$R$112,5))</f>
        <v>SR540L</v>
      </c>
      <c r="N183" t="str">
        <f>VLOOKUP($G183,'Materials by UPN'!$G$3:$R$112,6)</f>
        <v>AliExpress</v>
      </c>
      <c r="O183" t="str">
        <f>IF(VLOOKUP($G183,'Materials by UPN'!$G$3:$R$112,7)="","",VLOOKUP($G183,'Materials by UPN'!$G$3:$R$112,7))</f>
        <v>https://www.aliexpress.us/item/3256805591615901.html</v>
      </c>
      <c r="P183" s="4">
        <f>VLOOKUP($G183,'Materials by UPN'!$G$3:$R$112,11)</f>
        <v>0.24657875000000001</v>
      </c>
      <c r="Q183" s="4">
        <f>F183*P183</f>
        <v>0.24657875000000001</v>
      </c>
      <c r="R183" s="25"/>
    </row>
    <row r="184" spans="6:18" x14ac:dyDescent="0.35">
      <c r="F184" s="2">
        <v>1</v>
      </c>
      <c r="G184" s="2">
        <v>372</v>
      </c>
      <c r="I184" s="2" t="s">
        <v>275</v>
      </c>
      <c r="J184" t="str">
        <f>VLOOKUP($G184,'Materials by UPN'!$G$3:$R$112,2)</f>
        <v>Resistor, 4.7k, 1/4W 5%</v>
      </c>
      <c r="K184" t="str">
        <f>IF(VLOOKUP($G184,'Materials by UPN'!$G$3:$R$112,3)="","",VLOOKUP($G184,'Materials by UPN'!$G$3:$R$112,3))</f>
        <v/>
      </c>
      <c r="L184" t="str">
        <f>IF(VLOOKUP($G184,'Materials by UPN'!$G$3:$R$112,4)="","",VLOOKUP($G184,'Materials by UPN'!$G$3:$R$112,4))</f>
        <v/>
      </c>
      <c r="M184" t="str">
        <f>IF(VLOOKUP($G184,'Materials by UPN'!$G$3:$R$112,5)="","",VLOOKUP($G184,'Materials by UPN'!$G$3:$R$112,5))</f>
        <v/>
      </c>
      <c r="N184" t="str">
        <f>VLOOKUP($G184,'Materials by UPN'!$G$3:$R$112,6)</f>
        <v>AliExpress</v>
      </c>
      <c r="O184" t="str">
        <f>IF(VLOOKUP($G184,'Materials by UPN'!$G$3:$R$112,7)="","",VLOOKUP($G184,'Materials by UPN'!$G$3:$R$112,7))</f>
        <v>https://www.aliexpress.us/item/3256805483572082.html</v>
      </c>
      <c r="P184" s="4">
        <f>VLOOKUP($G184,'Materials by UPN'!$G$3:$R$112,11)</f>
        <v>3.04595E-2</v>
      </c>
      <c r="Q184" s="4">
        <f>F184*P184</f>
        <v>3.04595E-2</v>
      </c>
      <c r="R184" s="25"/>
    </row>
    <row r="185" spans="6:18" x14ac:dyDescent="0.35">
      <c r="F185" s="2">
        <v>1</v>
      </c>
      <c r="G185" s="2">
        <v>368</v>
      </c>
      <c r="I185" s="2" t="s">
        <v>336</v>
      </c>
      <c r="J185" t="str">
        <f>VLOOKUP($G185,'Materials by UPN'!$G$3:$R$112,2)</f>
        <v>Ziplock Sandwich Bag</v>
      </c>
      <c r="K185" t="str">
        <f>IF(VLOOKUP($G185,'Materials by UPN'!$G$3:$R$112,3)="","",VLOOKUP($G185,'Materials by UPN'!$G$3:$R$112,3))</f>
        <v/>
      </c>
      <c r="L185" t="str">
        <f>IF(VLOOKUP($G185,'Materials by UPN'!$G$3:$R$112,4)="","",VLOOKUP($G185,'Materials by UPN'!$G$3:$R$112,4))</f>
        <v/>
      </c>
      <c r="M185" t="str">
        <f>IF(VLOOKUP($G185,'Materials by UPN'!$G$3:$R$112,5)="","",VLOOKUP($G185,'Materials by UPN'!$G$3:$R$112,5))</f>
        <v/>
      </c>
      <c r="N185" t="str">
        <f>VLOOKUP($G185,'Materials by UPN'!$G$3:$R$112,6)</f>
        <v>Costco</v>
      </c>
      <c r="O185" t="str">
        <f>IF(VLOOKUP($G185,'Materials by UPN'!$G$3:$R$112,7)="","",VLOOKUP($G185,'Materials by UPN'!$G$3:$R$112,7))</f>
        <v/>
      </c>
      <c r="P185" s="4">
        <f>VLOOKUP($G185,'Materials by UPN'!$G$3:$R$112,11)</f>
        <v>0</v>
      </c>
      <c r="Q185" s="4">
        <f t="shared" si="12"/>
        <v>0</v>
      </c>
      <c r="R185" s="25"/>
    </row>
    <row r="186" spans="6:18" x14ac:dyDescent="0.35">
      <c r="F186" s="2">
        <v>2</v>
      </c>
      <c r="G186" s="2">
        <v>360</v>
      </c>
      <c r="I186" s="2" t="s">
        <v>275</v>
      </c>
      <c r="J186" t="str">
        <f>VLOOKUP($G186,'Materials by UPN'!$G$3:$R$112,2)</f>
        <v>22AWG 2 Conductor, Low-Voltage Tinned-Copper Wire, 1.5 inch</v>
      </c>
      <c r="K186" t="str">
        <f>IF(VLOOKUP($G186,'Materials by UPN'!$G$3:$R$112,3)="","",VLOOKUP($G186,'Materials by UPN'!$G$3:$R$112,3))</f>
        <v/>
      </c>
      <c r="L186" t="str">
        <f>IF(VLOOKUP($G186,'Materials by UPN'!$G$3:$R$112,4)="","",VLOOKUP($G186,'Materials by UPN'!$G$3:$R$112,4))</f>
        <v/>
      </c>
      <c r="M186" t="str">
        <f>IF(VLOOKUP($G186,'Materials by UPN'!$G$3:$R$112,5)="","",VLOOKUP($G186,'Materials by UPN'!$G$3:$R$112,5))</f>
        <v/>
      </c>
      <c r="N186" t="str">
        <f>VLOOKUP($G186,'Materials by UPN'!$G$3:$R$112,6)</f>
        <v>Amazon</v>
      </c>
      <c r="O186" t="str">
        <f>IF(VLOOKUP($G186,'Materials by UPN'!$G$3:$R$112,7)="","",VLOOKUP($G186,'Materials by UPN'!$G$3:$R$112,7))</f>
        <v>https://www.amazon.com/dp/B07SCJ69H4</v>
      </c>
      <c r="P186" s="4">
        <f>VLOOKUP($G186,'Materials by UPN'!$G$3:$R$112,11)</f>
        <v>3.0559777462121213E-3</v>
      </c>
      <c r="Q186" s="4">
        <f t="shared" si="12"/>
        <v>6.1119554924242425E-3</v>
      </c>
      <c r="R186" s="25"/>
    </row>
    <row r="187" spans="6:18" x14ac:dyDescent="0.35">
      <c r="F187" s="2">
        <v>4</v>
      </c>
      <c r="G187" s="2">
        <v>362</v>
      </c>
      <c r="I187" s="2" t="s">
        <v>275</v>
      </c>
      <c r="J187" t="str">
        <f>VLOOKUP($G187,'Materials by UPN'!$G$3:$R$112,2)</f>
        <v>Spade Lug, Fork, 16-22AWG, SV1.25-4, Red</v>
      </c>
      <c r="K187" t="str">
        <f>IF(VLOOKUP($G187,'Materials by UPN'!$G$3:$R$112,3)="","",VLOOKUP($G187,'Materials by UPN'!$G$3:$R$112,3))</f>
        <v/>
      </c>
      <c r="L187" t="str">
        <f>IF(VLOOKUP($G187,'Materials by UPN'!$G$3:$R$112,4)="","",VLOOKUP($G187,'Materials by UPN'!$G$3:$R$112,4))</f>
        <v/>
      </c>
      <c r="M187" t="str">
        <f>IF(VLOOKUP($G187,'Materials by UPN'!$G$3:$R$112,5)="","",VLOOKUP($G187,'Materials by UPN'!$G$3:$R$112,5))</f>
        <v/>
      </c>
      <c r="N187" t="str">
        <f>VLOOKUP($G187,'Materials by UPN'!$G$3:$R$112,6)</f>
        <v>AliExpress</v>
      </c>
      <c r="O187" t="str">
        <f>IF(VLOOKUP($G187,'Materials by UPN'!$G$3:$R$112,7)="","",VLOOKUP($G187,'Materials by UPN'!$G$3:$R$112,7))</f>
        <v>https://www.aliexpress.us/item/2251832658426440.html</v>
      </c>
      <c r="P187" s="4">
        <f>VLOOKUP($G187,'Materials by UPN'!$G$3:$R$112,11)</f>
        <v>2.3700000000000002E-2</v>
      </c>
      <c r="Q187" s="4">
        <f t="shared" si="12"/>
        <v>9.4800000000000009E-2</v>
      </c>
      <c r="R187" s="25"/>
    </row>
    <row r="188" spans="6:18" x14ac:dyDescent="0.35">
      <c r="F188" s="2">
        <v>3</v>
      </c>
      <c r="G188" s="2">
        <v>340</v>
      </c>
      <c r="H188" s="15" t="s">
        <v>149</v>
      </c>
      <c r="I188" s="2" t="s">
        <v>275</v>
      </c>
      <c r="J188" t="str">
        <f>VLOOKUP($G188,'Materials by UPN'!$G$3:$R$112,2)</f>
        <v>CONN HEADER VERT 3POS, 3.96MM</v>
      </c>
      <c r="K188" t="str">
        <f>IF(VLOOKUP($G188,'Materials by UPN'!$G$3:$R$112,3)="","",VLOOKUP($G188,'Materials by UPN'!$G$3:$R$112,3))</f>
        <v/>
      </c>
      <c r="L188" t="str">
        <f>IF(VLOOKUP($G188,'Materials by UPN'!$G$3:$R$112,4)="","",VLOOKUP($G188,'Materials by UPN'!$G$3:$R$112,4))</f>
        <v>TE Connectivity AMP Connectors</v>
      </c>
      <c r="M188" t="str">
        <f>IF(VLOOKUP($G188,'Materials by UPN'!$G$3:$R$112,5)="","",VLOOKUP($G188,'Materials by UPN'!$G$3:$R$112,5))</f>
        <v>4-1123724-2</v>
      </c>
      <c r="N188" t="str">
        <f>VLOOKUP($G188,'Materials by UPN'!$G$3:$R$112,6)</f>
        <v>Digikey</v>
      </c>
      <c r="O188" t="str">
        <f>IF(VLOOKUP($G188,'Materials by UPN'!$G$3:$R$112,7)="","",VLOOKUP($G188,'Materials by UPN'!$G$3:$R$112,7))</f>
        <v>https://www.digikey.com/en/products/detail/te-connectivity-amp-connectors/4-1123724-2/5439777</v>
      </c>
      <c r="P188" s="4">
        <f>VLOOKUP($G188,'Materials by UPN'!$G$3:$R$112,11)</f>
        <v>0.14770028112741537</v>
      </c>
      <c r="Q188" s="4">
        <f t="shared" si="12"/>
        <v>0.44310084338224609</v>
      </c>
      <c r="R188" s="25"/>
    </row>
    <row r="189" spans="6:18" x14ac:dyDescent="0.35">
      <c r="F189" s="2">
        <v>1</v>
      </c>
      <c r="G189" s="2">
        <v>352</v>
      </c>
      <c r="I189" s="2" t="s">
        <v>275</v>
      </c>
      <c r="J189" t="str">
        <f>VLOOKUP($G189,'Materials by UPN'!$G$3:$R$112,2)</f>
        <v>Single Row 40 Pin 2.54 mm Male Pin Header Connector, cut to 4 pins</v>
      </c>
      <c r="K189" t="str">
        <f>IF(VLOOKUP($G189,'Materials by UPN'!$G$3:$R$112,3)="","",VLOOKUP($G189,'Materials by UPN'!$G$3:$R$112,3))</f>
        <v/>
      </c>
      <c r="L189" t="str">
        <f>IF(VLOOKUP($G189,'Materials by UPN'!$G$3:$R$112,4)="","",VLOOKUP($G189,'Materials by UPN'!$G$3:$R$112,4))</f>
        <v/>
      </c>
      <c r="M189" t="str">
        <f>IF(VLOOKUP($G189,'Materials by UPN'!$G$3:$R$112,5)="","",VLOOKUP($G189,'Materials by UPN'!$G$3:$R$112,5))</f>
        <v/>
      </c>
      <c r="N189" t="str">
        <f>VLOOKUP($G189,'Materials by UPN'!$G$3:$R$112,6)</f>
        <v>Amazon</v>
      </c>
      <c r="O189" t="str">
        <f>IF(VLOOKUP($G189,'Materials by UPN'!$G$3:$R$112,7)="","",VLOOKUP($G189,'Materials by UPN'!$G$3:$R$112,7))</f>
        <v>https://www.amazon.com/gp/product/B06XR8CV8P</v>
      </c>
      <c r="P189" s="4">
        <f>VLOOKUP($G189,'Materials by UPN'!$G$3:$R$112,11)</f>
        <v>2.1520000000000001E-2</v>
      </c>
      <c r="Q189" s="4">
        <f t="shared" si="12"/>
        <v>2.1520000000000001E-2</v>
      </c>
      <c r="R189" s="25"/>
    </row>
    <row r="190" spans="6:18" x14ac:dyDescent="0.35">
      <c r="F190" s="2">
        <v>2</v>
      </c>
      <c r="G190" s="2">
        <v>331</v>
      </c>
      <c r="I190" s="2" t="s">
        <v>275</v>
      </c>
      <c r="J190" t="str">
        <f>VLOOKUP($G190,'Materials by UPN'!$G$3:$R$112,2)</f>
        <v>M3 screw, hex, 8 mm, black</v>
      </c>
      <c r="K190" t="str">
        <f>IF(VLOOKUP($G190,'Materials by UPN'!$G$3:$R$112,3)="","",VLOOKUP($G190,'Materials by UPN'!$G$3:$R$112,3))</f>
        <v/>
      </c>
      <c r="L190" t="str">
        <f>IF(VLOOKUP($G190,'Materials by UPN'!$G$3:$R$112,4)="","",VLOOKUP($G190,'Materials by UPN'!$G$3:$R$112,4))</f>
        <v/>
      </c>
      <c r="M190" t="str">
        <f>IF(VLOOKUP($G190,'Materials by UPN'!$G$3:$R$112,5)="","",VLOOKUP($G190,'Materials by UPN'!$G$3:$R$112,5))</f>
        <v/>
      </c>
      <c r="N190" t="str">
        <f>VLOOKUP($G190,'Materials by UPN'!$G$3:$R$112,6)</f>
        <v>AliExpress</v>
      </c>
      <c r="O190" t="str">
        <f>IF(VLOOKUP($G190,'Materials by UPN'!$G$3:$R$112,7)="","",VLOOKUP($G190,'Materials by UPN'!$G$3:$R$112,7))</f>
        <v>https://www.aliexpress.us/item/3256805242052170.html</v>
      </c>
      <c r="P190" s="4">
        <f>VLOOKUP($G190,'Materials by UPN'!$G$3:$R$112,11)</f>
        <v>3.4749999999999996E-2</v>
      </c>
      <c r="Q190" s="4">
        <f t="shared" si="12"/>
        <v>6.9499999999999992E-2</v>
      </c>
      <c r="R190" s="25"/>
    </row>
    <row r="191" spans="6:18" x14ac:dyDescent="0.35">
      <c r="F191" s="2">
        <v>2</v>
      </c>
      <c r="G191" s="2">
        <v>328</v>
      </c>
      <c r="I191" s="2" t="s">
        <v>275</v>
      </c>
      <c r="J191" t="str">
        <f>VLOOKUP($G191,'Materials by UPN'!$G$3:$R$112,2)</f>
        <v>M3 self locking nut</v>
      </c>
      <c r="K191" t="str">
        <f>IF(VLOOKUP($G191,'Materials by UPN'!$G$3:$R$112,3)="","",VLOOKUP($G191,'Materials by UPN'!$G$3:$R$112,3))</f>
        <v/>
      </c>
      <c r="L191" t="str">
        <f>IF(VLOOKUP($G191,'Materials by UPN'!$G$3:$R$112,4)="","",VLOOKUP($G191,'Materials by UPN'!$G$3:$R$112,4))</f>
        <v/>
      </c>
      <c r="M191" t="str">
        <f>IF(VLOOKUP($G191,'Materials by UPN'!$G$3:$R$112,5)="","",VLOOKUP($G191,'Materials by UPN'!$G$3:$R$112,5))</f>
        <v/>
      </c>
      <c r="N191" t="str">
        <f>VLOOKUP($G191,'Materials by UPN'!$G$3:$R$112,6)</f>
        <v>Amazon</v>
      </c>
      <c r="O191" t="str">
        <f>IF(VLOOKUP($G191,'Materials by UPN'!$G$3:$R$112,7)="","",VLOOKUP($G191,'Materials by UPN'!$G$3:$R$112,7))</f>
        <v>https://www.amazon.com/Stainless-Self-Locking-Industrial-Construction-Fasteners/dp/B09SLLQ3KV</v>
      </c>
      <c r="P191" s="4">
        <f>VLOOKUP($G191,'Materials by UPN'!$G$3:$R$112,11)</f>
        <v>5.4533333333333329E-2</v>
      </c>
      <c r="Q191" s="4">
        <f>F191*P191</f>
        <v>0.10906666666666666</v>
      </c>
      <c r="R191" s="25"/>
    </row>
    <row r="192" spans="6:18" x14ac:dyDescent="0.35">
      <c r="F192" s="2">
        <v>4</v>
      </c>
      <c r="G192" s="2">
        <v>357</v>
      </c>
      <c r="I192" s="2" t="s">
        <v>275</v>
      </c>
      <c r="J192" t="str">
        <f>VLOOKUP($G192,'Materials by UPN'!$G$3:$R$112,2)</f>
        <v>M3 Threaded Spacer, hex, nylon, black, 20mm + 6mm, female-male</v>
      </c>
      <c r="K192" t="str">
        <f>IF(VLOOKUP($G192,'Materials by UPN'!$G$3:$R$112,3)="","",VLOOKUP($G192,'Materials by UPN'!$G$3:$R$112,3))</f>
        <v/>
      </c>
      <c r="L192" t="str">
        <f>IF(VLOOKUP($G192,'Materials by UPN'!$G$3:$R$112,4)="","",VLOOKUP($G192,'Materials by UPN'!$G$3:$R$112,4))</f>
        <v/>
      </c>
      <c r="M192" t="str">
        <f>IF(VLOOKUP($G192,'Materials by UPN'!$G$3:$R$112,5)="","",VLOOKUP($G192,'Materials by UPN'!$G$3:$R$112,5))</f>
        <v/>
      </c>
      <c r="N192" t="str">
        <f>VLOOKUP($G192,'Materials by UPN'!$G$3:$R$112,6)</f>
        <v>Amazon</v>
      </c>
      <c r="O192" t="str">
        <f>IF(VLOOKUP($G192,'Materials by UPN'!$G$3:$R$112,7)="","",VLOOKUP($G192,'Materials by UPN'!$G$3:$R$112,7))</f>
        <v>https://www.aliexpress.us/item/3256804121267045.html</v>
      </c>
      <c r="P192" s="4">
        <f>VLOOKUP($G192,'Materials by UPN'!$G$3:$R$112,11)</f>
        <v>8.2848500000000005E-2</v>
      </c>
      <c r="Q192" s="4">
        <f>F192*P192</f>
        <v>0.33139400000000002</v>
      </c>
      <c r="R192" s="25"/>
    </row>
    <row r="193" spans="1:19" x14ac:dyDescent="0.35">
      <c r="F193" s="2">
        <v>4</v>
      </c>
      <c r="G193" s="2">
        <v>355</v>
      </c>
      <c r="I193" s="2" t="s">
        <v>275</v>
      </c>
      <c r="J193" t="str">
        <f>VLOOKUP($G193,'Materials by UPN'!$G$3:$R$112,2)</f>
        <v>M3 nut</v>
      </c>
      <c r="K193" t="str">
        <f>IF(VLOOKUP($G193,'Materials by UPN'!$G$3:$R$112,3)="","",VLOOKUP($G193,'Materials by UPN'!$G$3:$R$112,3))</f>
        <v/>
      </c>
      <c r="L193" t="str">
        <f>IF(VLOOKUP($G193,'Materials by UPN'!$G$3:$R$112,4)="","",VLOOKUP($G193,'Materials by UPN'!$G$3:$R$112,4))</f>
        <v/>
      </c>
      <c r="M193" t="str">
        <f>IF(VLOOKUP($G193,'Materials by UPN'!$G$3:$R$112,5)="","",VLOOKUP($G193,'Materials by UPN'!$G$3:$R$112,5))</f>
        <v/>
      </c>
      <c r="N193" t="str">
        <f>VLOOKUP($G193,'Materials by UPN'!$G$3:$R$112,6)</f>
        <v>AliExpress</v>
      </c>
      <c r="O193" t="str">
        <f>IF(VLOOKUP($G193,'Materials by UPN'!$G$3:$R$112,7)="","",VLOOKUP($G193,'Materials by UPN'!$G$3:$R$112,7))</f>
        <v>https://www.aliexpress.us/item/2255800416538696.html</v>
      </c>
      <c r="P193" s="4">
        <f>VLOOKUP($G193,'Materials by UPN'!$G$3:$R$112,11)</f>
        <v>2.7069090909090907E-2</v>
      </c>
      <c r="Q193" s="4">
        <f t="shared" si="12"/>
        <v>0.10827636363636363</v>
      </c>
      <c r="R193" s="25"/>
    </row>
    <row r="194" spans="1:19" x14ac:dyDescent="0.35">
      <c r="F194" s="2">
        <v>4</v>
      </c>
      <c r="G194" s="2">
        <v>332</v>
      </c>
      <c r="I194" s="2" t="s">
        <v>275</v>
      </c>
      <c r="J194" t="str">
        <f>VLOOKUP($G194,'Materials by UPN'!$G$3:$R$112,2)</f>
        <v>M3 split lockwasher</v>
      </c>
      <c r="K194" t="str">
        <f>IF(VLOOKUP($G194,'Materials by UPN'!$G$3:$R$112,3)="","",VLOOKUP($G194,'Materials by UPN'!$G$3:$R$112,3))</f>
        <v/>
      </c>
      <c r="L194" t="str">
        <f>IF(VLOOKUP($G194,'Materials by UPN'!$G$3:$R$112,4)="","",VLOOKUP($G194,'Materials by UPN'!$G$3:$R$112,4))</f>
        <v/>
      </c>
      <c r="M194" t="str">
        <f>IF(VLOOKUP($G194,'Materials by UPN'!$G$3:$R$112,5)="","",VLOOKUP($G194,'Materials by UPN'!$G$3:$R$112,5))</f>
        <v/>
      </c>
      <c r="N194" t="str">
        <f>VLOOKUP($G194,'Materials by UPN'!$G$3:$R$112,6)</f>
        <v>Amazon</v>
      </c>
      <c r="O194" t="str">
        <f>IF(VLOOKUP($G194,'Materials by UPN'!$G$3:$R$112,7)="","",VLOOKUP($G194,'Materials by UPN'!$G$3:$R$112,7))</f>
        <v>https://www.amazon.com/gp/product/B07Z2FJ2XW</v>
      </c>
      <c r="P194" s="4">
        <f>VLOOKUP($G194,'Materials by UPN'!$G$3:$R$112,11)</f>
        <v>2.1528450000000001E-2</v>
      </c>
      <c r="Q194" s="4">
        <f t="shared" si="12"/>
        <v>8.6113800000000004E-2</v>
      </c>
      <c r="R194" s="25"/>
    </row>
    <row r="195" spans="1:19" x14ac:dyDescent="0.35">
      <c r="F195" s="2">
        <v>1</v>
      </c>
      <c r="G195" s="2">
        <v>366</v>
      </c>
      <c r="I195" s="2" t="s">
        <v>275</v>
      </c>
      <c r="J195" t="str">
        <f>VLOOKUP($G195,'Materials by UPN'!$G$3:$R$112,2)</f>
        <v>Toggle Switch, SPDT, 6A 125V</v>
      </c>
      <c r="K195" t="str">
        <f>IF(VLOOKUP($G195,'Materials by UPN'!$G$3:$R$112,3)="","",VLOOKUP($G195,'Materials by UPN'!$G$3:$R$112,3))</f>
        <v/>
      </c>
      <c r="L195" t="str">
        <f>IF(VLOOKUP($G195,'Materials by UPN'!$G$3:$R$112,4)="","",VLOOKUP($G195,'Materials by UPN'!$G$3:$R$112,4))</f>
        <v/>
      </c>
      <c r="M195" t="str">
        <f>IF(VLOOKUP($G195,'Materials by UPN'!$G$3:$R$112,5)="","",VLOOKUP($G195,'Materials by UPN'!$G$3:$R$112,5))</f>
        <v/>
      </c>
      <c r="N195" t="str">
        <f>VLOOKUP($G195,'Materials by UPN'!$G$3:$R$112,6)</f>
        <v>AliExpress</v>
      </c>
      <c r="O195" t="str">
        <f>IF(VLOOKUP($G195,'Materials by UPN'!$G$3:$R$112,7)="","",VLOOKUP($G195,'Materials by UPN'!$G$3:$R$112,7))</f>
        <v>https://www.aliexpress.us/item/3256804434717398.html</v>
      </c>
      <c r="P195" s="4">
        <f>VLOOKUP($G195,'Materials by UPN'!$G$3:$R$112,11)</f>
        <v>0.61599250000000005</v>
      </c>
      <c r="Q195" s="4">
        <f t="shared" si="12"/>
        <v>0.61599250000000005</v>
      </c>
      <c r="R195" s="25"/>
    </row>
    <row r="196" spans="1:19" x14ac:dyDescent="0.35">
      <c r="F196" s="2">
        <v>1</v>
      </c>
      <c r="G196" s="2">
        <v>364</v>
      </c>
      <c r="I196" s="2" t="s">
        <v>310</v>
      </c>
      <c r="J196" t="str">
        <f>VLOOKUP($G196,'Materials by UPN'!$G$3:$R$112,2)</f>
        <v>3" x 5" Small Plastic Bags- Reclosable Zip Bags</v>
      </c>
      <c r="K196" t="str">
        <f>IF(VLOOKUP($G196,'Materials by UPN'!$G$3:$R$112,3)="","",VLOOKUP($G196,'Materials by UPN'!$G$3:$R$112,3))</f>
        <v/>
      </c>
      <c r="L196" t="str">
        <f>IF(VLOOKUP($G196,'Materials by UPN'!$G$3:$R$112,4)="","",VLOOKUP($G196,'Materials by UPN'!$G$3:$R$112,4))</f>
        <v/>
      </c>
      <c r="M196" t="str">
        <f>IF(VLOOKUP($G196,'Materials by UPN'!$G$3:$R$112,5)="","",VLOOKUP($G196,'Materials by UPN'!$G$3:$R$112,5))</f>
        <v/>
      </c>
      <c r="N196" t="str">
        <f>VLOOKUP($G196,'Materials by UPN'!$G$3:$R$112,6)</f>
        <v>Amazon</v>
      </c>
      <c r="O196" t="str">
        <f>IF(VLOOKUP($G196,'Materials by UPN'!$G$3:$R$112,7)="","",VLOOKUP($G196,'Materials by UPN'!$G$3:$R$112,7))</f>
        <v>https://www.amazon.com/gp/product/B07XBF98NV</v>
      </c>
      <c r="P196" s="4">
        <f>VLOOKUP($G196,'Materials by UPN'!$G$3:$R$112,11)</f>
        <v>1.9379999999999998E-2</v>
      </c>
      <c r="Q196" s="4">
        <f t="shared" si="12"/>
        <v>1.9379999999999998E-2</v>
      </c>
      <c r="R196" s="25"/>
    </row>
    <row r="197" spans="1:19" x14ac:dyDescent="0.35">
      <c r="Q197" s="4"/>
      <c r="R197" s="25"/>
    </row>
    <row r="198" spans="1:19" x14ac:dyDescent="0.35">
      <c r="B198" s="1" t="s">
        <v>202</v>
      </c>
      <c r="Q198" s="4"/>
      <c r="R198" s="25"/>
    </row>
    <row r="199" spans="1:19" x14ac:dyDescent="0.35">
      <c r="F199" s="2">
        <v>8</v>
      </c>
      <c r="G199" s="2">
        <v>358</v>
      </c>
      <c r="I199" s="2" t="s">
        <v>285</v>
      </c>
      <c r="J199" t="str">
        <f>VLOOKUP($G199,'Materials by UPN'!$G$3:$R$112,2)</f>
        <v>Fender Washer, M3x16x1.0 mm</v>
      </c>
      <c r="K199" t="str">
        <f>IF(VLOOKUP($G199,'Materials by UPN'!$G$3:$R$112,3)="","",VLOOKUP($G199,'Materials by UPN'!$G$3:$R$112,3))</f>
        <v/>
      </c>
      <c r="L199" t="str">
        <f>IF(VLOOKUP($G199,'Materials by UPN'!$G$3:$R$112,4)="","",VLOOKUP($G199,'Materials by UPN'!$G$3:$R$112,4))</f>
        <v/>
      </c>
      <c r="M199" t="str">
        <f>IF(VLOOKUP($G199,'Materials by UPN'!$G$3:$R$112,5)="","",VLOOKUP($G199,'Materials by UPN'!$G$3:$R$112,5))</f>
        <v/>
      </c>
      <c r="N199" t="str">
        <f>VLOOKUP($G199,'Materials by UPN'!$G$3:$R$112,6)</f>
        <v>AliExpress</v>
      </c>
      <c r="O199" t="str">
        <f>IF(VLOOKUP($G199,'Materials by UPN'!$G$3:$R$112,7)="","",VLOOKUP($G199,'Materials by UPN'!$G$3:$R$112,7))</f>
        <v>https://www.aliexpress.us/item/3256802393168670.html</v>
      </c>
      <c r="P199" s="4">
        <f>VLOOKUP($G199,'Materials by UPN'!$G$3:$R$112,11)</f>
        <v>6.7625000000000005E-2</v>
      </c>
      <c r="Q199" s="4">
        <f>F199*P199</f>
        <v>0.54100000000000004</v>
      </c>
      <c r="R199" s="25"/>
    </row>
    <row r="200" spans="1:19" x14ac:dyDescent="0.35">
      <c r="F200" s="2">
        <v>4</v>
      </c>
      <c r="G200" s="2">
        <v>334</v>
      </c>
      <c r="I200" s="2" t="s">
        <v>285</v>
      </c>
      <c r="J200" t="str">
        <f>VLOOKUP($G200,'Materials by UPN'!$G$3:$R$112,2)</f>
        <v>M3 x 12mm cap screw, black</v>
      </c>
      <c r="K200" t="str">
        <f>IF(VLOOKUP($G200,'Materials by UPN'!$G$3:$R$112,3)="","",VLOOKUP($G200,'Materials by UPN'!$G$3:$R$112,3))</f>
        <v/>
      </c>
      <c r="L200" t="str">
        <f>IF(VLOOKUP($G200,'Materials by UPN'!$G$3:$R$112,4)="","",VLOOKUP($G200,'Materials by UPN'!$G$3:$R$112,4))</f>
        <v/>
      </c>
      <c r="M200" t="str">
        <f>IF(VLOOKUP($G200,'Materials by UPN'!$G$3:$R$112,5)="","",VLOOKUP($G200,'Materials by UPN'!$G$3:$R$112,5))</f>
        <v/>
      </c>
      <c r="N200" t="str">
        <f>VLOOKUP($G200,'Materials by UPN'!$G$3:$R$112,6)</f>
        <v>Amazon</v>
      </c>
      <c r="O200" t="str">
        <f>IF(VLOOKUP($G200,'Materials by UPN'!$G$3:$R$112,7)="","",VLOOKUP($G200,'Materials by UPN'!$G$3:$R$112,7))</f>
        <v>https://www.amazon.com/gp/product/B07CNFTK99</v>
      </c>
      <c r="P200" s="4">
        <f>VLOOKUP($G200,'Materials by UPN'!$G$3:$R$112,11)</f>
        <v>8.4691500000000003E-2</v>
      </c>
      <c r="Q200" s="4">
        <f>F200*P200</f>
        <v>0.33876600000000001</v>
      </c>
      <c r="R200" s="25"/>
    </row>
    <row r="201" spans="1:19" x14ac:dyDescent="0.35">
      <c r="F201" s="2">
        <v>4</v>
      </c>
      <c r="G201" s="2">
        <v>332</v>
      </c>
      <c r="I201" s="2" t="s">
        <v>285</v>
      </c>
      <c r="J201" t="str">
        <f>VLOOKUP($G201,'Materials by UPN'!$G$3:$R$112,2)</f>
        <v>M3 split lockwasher</v>
      </c>
      <c r="K201" t="str">
        <f>IF(VLOOKUP($G201,'Materials by UPN'!$G$3:$R$112,3)="","",VLOOKUP($G201,'Materials by UPN'!$G$3:$R$112,3))</f>
        <v/>
      </c>
      <c r="L201" t="str">
        <f>IF(VLOOKUP($G201,'Materials by UPN'!$G$3:$R$112,4)="","",VLOOKUP($G201,'Materials by UPN'!$G$3:$R$112,4))</f>
        <v/>
      </c>
      <c r="M201" t="str">
        <f>IF(VLOOKUP($G201,'Materials by UPN'!$G$3:$R$112,5)="","",VLOOKUP($G201,'Materials by UPN'!$G$3:$R$112,5))</f>
        <v/>
      </c>
      <c r="N201" t="str">
        <f>VLOOKUP($G201,'Materials by UPN'!$G$3:$R$112,6)</f>
        <v>Amazon</v>
      </c>
      <c r="O201" t="str">
        <f>IF(VLOOKUP($G201,'Materials by UPN'!$G$3:$R$112,7)="","",VLOOKUP($G201,'Materials by UPN'!$G$3:$R$112,7))</f>
        <v>https://www.amazon.com/gp/product/B07Z2FJ2XW</v>
      </c>
      <c r="P201" s="4">
        <f>VLOOKUP($G201,'Materials by UPN'!$G$3:$R$112,11)</f>
        <v>2.1528450000000001E-2</v>
      </c>
      <c r="Q201" s="4">
        <f>F201*P201</f>
        <v>8.6113800000000004E-2</v>
      </c>
      <c r="R201" s="25"/>
    </row>
    <row r="202" spans="1:19" x14ac:dyDescent="0.35">
      <c r="F202" s="2">
        <v>1</v>
      </c>
      <c r="G202" s="2">
        <v>364</v>
      </c>
      <c r="I202" s="2" t="s">
        <v>308</v>
      </c>
      <c r="J202" t="str">
        <f>VLOOKUP($G202,'Materials by UPN'!$G$3:$R$112,2)</f>
        <v>3" x 5" Small Plastic Bags- Reclosable Zip Bags</v>
      </c>
      <c r="K202" t="str">
        <f>IF(VLOOKUP($G202,'Materials by UPN'!$G$3:$R$112,3)="","",VLOOKUP($G202,'Materials by UPN'!$G$3:$R$112,3))</f>
        <v/>
      </c>
      <c r="L202" t="str">
        <f>IF(VLOOKUP($G202,'Materials by UPN'!$G$3:$R$112,4)="","",VLOOKUP($G202,'Materials by UPN'!$G$3:$R$112,4))</f>
        <v/>
      </c>
      <c r="M202" t="str">
        <f>IF(VLOOKUP($G202,'Materials by UPN'!$G$3:$R$112,5)="","",VLOOKUP($G202,'Materials by UPN'!$G$3:$R$112,5))</f>
        <v/>
      </c>
      <c r="N202" t="str">
        <f>VLOOKUP($G202,'Materials by UPN'!$G$3:$R$112,6)</f>
        <v>Amazon</v>
      </c>
      <c r="O202" t="str">
        <f>IF(VLOOKUP($G202,'Materials by UPN'!$G$3:$R$112,7)="","",VLOOKUP($G202,'Materials by UPN'!$G$3:$R$112,7))</f>
        <v>https://www.amazon.com/gp/product/B07XBF98NV</v>
      </c>
      <c r="P202" s="4">
        <f>VLOOKUP($G202,'Materials by UPN'!$G$3:$R$112,11)</f>
        <v>1.9379999999999998E-2</v>
      </c>
      <c r="Q202" s="4">
        <f>F202*P202</f>
        <v>1.9379999999999998E-2</v>
      </c>
      <c r="R202" s="25"/>
    </row>
    <row r="203" spans="1:19" x14ac:dyDescent="0.35">
      <c r="Q203" s="4"/>
      <c r="R203" s="25"/>
    </row>
    <row r="204" spans="1:19" ht="18.5" x14ac:dyDescent="0.45">
      <c r="A204" s="30" t="s">
        <v>200</v>
      </c>
      <c r="B204" s="30" t="s">
        <v>354</v>
      </c>
      <c r="C204" s="30"/>
      <c r="D204" s="30"/>
      <c r="E204" s="30"/>
      <c r="F204" s="35"/>
      <c r="G204" s="35"/>
      <c r="H204" s="36"/>
      <c r="I204" s="35"/>
      <c r="J204" s="30"/>
      <c r="K204" s="30"/>
      <c r="L204" s="30"/>
      <c r="M204" s="30"/>
      <c r="N204" s="30"/>
      <c r="O204" s="30"/>
      <c r="P204" s="42"/>
      <c r="Q204" s="30"/>
      <c r="R204" s="43">
        <f>SUM(Q204:Q212)</f>
        <v>2.9582650070186101</v>
      </c>
      <c r="S204" s="40">
        <f>CEILING(R204,1)</f>
        <v>3</v>
      </c>
    </row>
    <row r="205" spans="1:19" x14ac:dyDescent="0.35">
      <c r="F205" s="2">
        <v>1</v>
      </c>
      <c r="G205" s="2">
        <v>107</v>
      </c>
      <c r="I205" s="2" t="s">
        <v>279</v>
      </c>
      <c r="J205" t="str">
        <f>VLOOKUP($G205,'Materials by UPN'!$G$3:$R$112,2)</f>
        <v>PCB, RK05 Emulator Power Supply</v>
      </c>
      <c r="K205" t="str">
        <f>IF(VLOOKUP($G205,'Materials by UPN'!$G$3:$R$112,3)="","",VLOOKUP($G205,'Materials by UPN'!$G$3:$R$112,3))</f>
        <v>v1</v>
      </c>
      <c r="L205" t="str">
        <f>IF(VLOOKUP($G205,'Materials by UPN'!$G$3:$R$112,4)="","",VLOOKUP($G205,'Materials by UPN'!$G$3:$R$112,4))</f>
        <v/>
      </c>
      <c r="M205" t="str">
        <f>IF(VLOOKUP($G205,'Materials by UPN'!$G$3:$R$112,5)="","",VLOOKUP($G205,'Materials by UPN'!$G$3:$R$112,5))</f>
        <v/>
      </c>
      <c r="N205" t="str">
        <f>VLOOKUP($G205,'Materials by UPN'!$G$3:$R$112,6)</f>
        <v>JLCPCB</v>
      </c>
      <c r="O205" t="str">
        <f>IF(VLOOKUP($G205,'Materials by UPN'!$G$3:$R$112,7)="","",VLOOKUP($G205,'Materials by UPN'!$G$3:$R$112,7))</f>
        <v>PCB Color: Black, Surface Finish: LeadFree HASL, Remove Order Number: Specify a location</v>
      </c>
      <c r="P205" s="4">
        <f>VLOOKUP($G205,'Materials by UPN'!$G$3:$R$112,11)</f>
        <v>1.9700000000000002</v>
      </c>
      <c r="Q205" s="4">
        <f t="shared" ref="Q205:Q207" si="13">F205*P205</f>
        <v>1.9700000000000002</v>
      </c>
      <c r="R205" s="25"/>
    </row>
    <row r="206" spans="1:19" x14ac:dyDescent="0.35">
      <c r="F206" s="2">
        <v>1</v>
      </c>
      <c r="G206" s="2">
        <v>368</v>
      </c>
      <c r="I206" s="2" t="s">
        <v>305</v>
      </c>
      <c r="J206" t="str">
        <f>VLOOKUP($G206,'Materials by UPN'!$G$3:$R$112,2)</f>
        <v>Ziplock Sandwich Bag</v>
      </c>
      <c r="K206" t="str">
        <f>IF(VLOOKUP($G206,'Materials by UPN'!$G$3:$R$112,3)="","",VLOOKUP($G206,'Materials by UPN'!$G$3:$R$112,3))</f>
        <v/>
      </c>
      <c r="L206" t="str">
        <f>IF(VLOOKUP($G206,'Materials by UPN'!$G$3:$R$112,4)="","",VLOOKUP($G206,'Materials by UPN'!$G$3:$R$112,4))</f>
        <v/>
      </c>
      <c r="M206" t="str">
        <f>IF(VLOOKUP($G206,'Materials by UPN'!$G$3:$R$112,5)="","",VLOOKUP($G206,'Materials by UPN'!$G$3:$R$112,5))</f>
        <v/>
      </c>
      <c r="N206" t="str">
        <f>VLOOKUP($G206,'Materials by UPN'!$G$3:$R$112,6)</f>
        <v>Costco</v>
      </c>
      <c r="O206" t="str">
        <f>IF(VLOOKUP($G206,'Materials by UPN'!$G$3:$R$112,7)="","",VLOOKUP($G206,'Materials by UPN'!$G$3:$R$112,7))</f>
        <v/>
      </c>
      <c r="P206" s="4">
        <f>VLOOKUP($G206,'Materials by UPN'!$G$3:$R$112,11)</f>
        <v>0</v>
      </c>
      <c r="Q206" s="4">
        <f t="shared" si="13"/>
        <v>0</v>
      </c>
      <c r="R206" s="25"/>
    </row>
    <row r="207" spans="1:19" x14ac:dyDescent="0.35">
      <c r="F207" s="2">
        <v>3</v>
      </c>
      <c r="G207" s="2">
        <v>340</v>
      </c>
      <c r="H207" s="15" t="s">
        <v>149</v>
      </c>
      <c r="I207" s="2" t="s">
        <v>276</v>
      </c>
      <c r="J207" t="str">
        <f>VLOOKUP($G207,'Materials by UPN'!$G$3:$R$112,2)</f>
        <v>CONN HEADER VERT 3POS, 3.96MM</v>
      </c>
      <c r="K207" t="str">
        <f>IF(VLOOKUP($G207,'Materials by UPN'!$G$3:$R$112,3)="","",VLOOKUP($G207,'Materials by UPN'!$G$3:$R$112,3))</f>
        <v/>
      </c>
      <c r="L207" t="str">
        <f>IF(VLOOKUP($G207,'Materials by UPN'!$G$3:$R$112,4)="","",VLOOKUP($G207,'Materials by UPN'!$G$3:$R$112,4))</f>
        <v>TE Connectivity AMP Connectors</v>
      </c>
      <c r="M207" t="str">
        <f>IF(VLOOKUP($G207,'Materials by UPN'!$G$3:$R$112,5)="","",VLOOKUP($G207,'Materials by UPN'!$G$3:$R$112,5))</f>
        <v>4-1123724-2</v>
      </c>
      <c r="N207" t="str">
        <f>VLOOKUP($G207,'Materials by UPN'!$G$3:$R$112,6)</f>
        <v>Digikey</v>
      </c>
      <c r="O207" t="str">
        <f>IF(VLOOKUP($G207,'Materials by UPN'!$G$3:$R$112,7)="","",VLOOKUP($G207,'Materials by UPN'!$G$3:$R$112,7))</f>
        <v>https://www.digikey.com/en/products/detail/te-connectivity-amp-connectors/4-1123724-2/5439777</v>
      </c>
      <c r="P207" s="4">
        <f>VLOOKUP($G207,'Materials by UPN'!$G$3:$R$112,11)</f>
        <v>0.14770028112741537</v>
      </c>
      <c r="Q207" s="4">
        <f t="shared" si="13"/>
        <v>0.44310084338224609</v>
      </c>
      <c r="R207" s="25"/>
    </row>
    <row r="208" spans="1:19" x14ac:dyDescent="0.35">
      <c r="F208" s="2">
        <v>4</v>
      </c>
      <c r="G208" s="2">
        <v>357</v>
      </c>
      <c r="I208" s="2" t="s">
        <v>276</v>
      </c>
      <c r="J208" t="str">
        <f>VLOOKUP($G208,'Materials by UPN'!$G$3:$R$112,2)</f>
        <v>M3 Threaded Spacer, hex, nylon, black, 20mm + 6mm, female-male</v>
      </c>
      <c r="K208" t="str">
        <f>IF(VLOOKUP($G208,'Materials by UPN'!$G$3:$R$112,3)="","",VLOOKUP($G208,'Materials by UPN'!$G$3:$R$112,3))</f>
        <v/>
      </c>
      <c r="L208" t="str">
        <f>IF(VLOOKUP($G208,'Materials by UPN'!$G$3:$R$112,4)="","",VLOOKUP($G208,'Materials by UPN'!$G$3:$R$112,4))</f>
        <v/>
      </c>
      <c r="M208" t="str">
        <f>IF(VLOOKUP($G208,'Materials by UPN'!$G$3:$R$112,5)="","",VLOOKUP($G208,'Materials by UPN'!$G$3:$R$112,5))</f>
        <v/>
      </c>
      <c r="N208" t="str">
        <f>VLOOKUP($G208,'Materials by UPN'!$G$3:$R$112,6)</f>
        <v>Amazon</v>
      </c>
      <c r="O208" t="str">
        <f>IF(VLOOKUP($G208,'Materials by UPN'!$G$3:$R$112,7)="","",VLOOKUP($G208,'Materials by UPN'!$G$3:$R$112,7))</f>
        <v>https://www.aliexpress.us/item/3256804121267045.html</v>
      </c>
      <c r="P208" s="4">
        <f>VLOOKUP($G208,'Materials by UPN'!$G$3:$R$112,11)</f>
        <v>8.2848500000000005E-2</v>
      </c>
      <c r="Q208" s="4">
        <f t="shared" ref="Q208:Q209" si="14">F208*P208</f>
        <v>0.33139400000000002</v>
      </c>
      <c r="R208" s="25"/>
    </row>
    <row r="209" spans="1:19" x14ac:dyDescent="0.35">
      <c r="F209" s="2">
        <v>4</v>
      </c>
      <c r="G209" s="2">
        <v>355</v>
      </c>
      <c r="I209" s="2" t="s">
        <v>276</v>
      </c>
      <c r="J209" t="str">
        <f>VLOOKUP($G209,'Materials by UPN'!$G$3:$R$112,2)</f>
        <v>M3 nut</v>
      </c>
      <c r="K209" t="str">
        <f>IF(VLOOKUP($G209,'Materials by UPN'!$G$3:$R$112,3)="","",VLOOKUP($G209,'Materials by UPN'!$G$3:$R$112,3))</f>
        <v/>
      </c>
      <c r="L209" t="str">
        <f>IF(VLOOKUP($G209,'Materials by UPN'!$G$3:$R$112,4)="","",VLOOKUP($G209,'Materials by UPN'!$G$3:$R$112,4))</f>
        <v/>
      </c>
      <c r="M209" t="str">
        <f>IF(VLOOKUP($G209,'Materials by UPN'!$G$3:$R$112,5)="","",VLOOKUP($G209,'Materials by UPN'!$G$3:$R$112,5))</f>
        <v/>
      </c>
      <c r="N209" t="str">
        <f>VLOOKUP($G209,'Materials by UPN'!$G$3:$R$112,6)</f>
        <v>AliExpress</v>
      </c>
      <c r="O209" t="str">
        <f>IF(VLOOKUP($G209,'Materials by UPN'!$G$3:$R$112,7)="","",VLOOKUP($G209,'Materials by UPN'!$G$3:$R$112,7))</f>
        <v>https://www.aliexpress.us/item/2255800416538696.html</v>
      </c>
      <c r="P209" s="4">
        <f>VLOOKUP($G209,'Materials by UPN'!$G$3:$R$112,11)</f>
        <v>2.7069090909090907E-2</v>
      </c>
      <c r="Q209" s="4">
        <f t="shared" si="14"/>
        <v>0.10827636363636363</v>
      </c>
      <c r="R209" s="25"/>
    </row>
    <row r="210" spans="1:19" x14ac:dyDescent="0.35">
      <c r="F210" s="2">
        <v>4</v>
      </c>
      <c r="G210" s="2">
        <v>332</v>
      </c>
      <c r="I210" s="2" t="s">
        <v>276</v>
      </c>
      <c r="J210" t="str">
        <f>VLOOKUP($G210,'Materials by UPN'!$G$3:$R$112,2)</f>
        <v>M3 split lockwasher</v>
      </c>
      <c r="K210" t="str">
        <f>IF(VLOOKUP($G210,'Materials by UPN'!$G$3:$R$112,3)="","",VLOOKUP($G210,'Materials by UPN'!$G$3:$R$112,3))</f>
        <v/>
      </c>
      <c r="L210" t="str">
        <f>IF(VLOOKUP($G210,'Materials by UPN'!$G$3:$R$112,4)="","",VLOOKUP($G210,'Materials by UPN'!$G$3:$R$112,4))</f>
        <v/>
      </c>
      <c r="M210" t="str">
        <f>IF(VLOOKUP($G210,'Materials by UPN'!$G$3:$R$112,5)="","",VLOOKUP($G210,'Materials by UPN'!$G$3:$R$112,5))</f>
        <v/>
      </c>
      <c r="N210" t="str">
        <f>VLOOKUP($G210,'Materials by UPN'!$G$3:$R$112,6)</f>
        <v>Amazon</v>
      </c>
      <c r="O210" t="str">
        <f>IF(VLOOKUP($G210,'Materials by UPN'!$G$3:$R$112,7)="","",VLOOKUP($G210,'Materials by UPN'!$G$3:$R$112,7))</f>
        <v>https://www.amazon.com/gp/product/B07Z2FJ2XW</v>
      </c>
      <c r="P210" s="4">
        <f>VLOOKUP($G210,'Materials by UPN'!$G$3:$R$112,11)</f>
        <v>2.1528450000000001E-2</v>
      </c>
      <c r="Q210" s="4">
        <f>F210*P210</f>
        <v>8.6113800000000004E-2</v>
      </c>
      <c r="R210" s="25"/>
    </row>
    <row r="211" spans="1:19" x14ac:dyDescent="0.35">
      <c r="F211" s="2">
        <v>1</v>
      </c>
      <c r="G211" s="2">
        <v>364</v>
      </c>
      <c r="I211" s="2" t="s">
        <v>307</v>
      </c>
      <c r="J211" t="str">
        <f>VLOOKUP($G211,'Materials by UPN'!$G$3:$R$112,2)</f>
        <v>3" x 5" Small Plastic Bags- Reclosable Zip Bags</v>
      </c>
      <c r="K211" t="str">
        <f>IF(VLOOKUP($G211,'Materials by UPN'!$G$3:$R$112,3)="","",VLOOKUP($G211,'Materials by UPN'!$G$3:$R$112,3))</f>
        <v/>
      </c>
      <c r="L211" t="str">
        <f>IF(VLOOKUP($G211,'Materials by UPN'!$G$3:$R$112,4)="","",VLOOKUP($G211,'Materials by UPN'!$G$3:$R$112,4))</f>
        <v/>
      </c>
      <c r="M211" t="str">
        <f>IF(VLOOKUP($G211,'Materials by UPN'!$G$3:$R$112,5)="","",VLOOKUP($G211,'Materials by UPN'!$G$3:$R$112,5))</f>
        <v/>
      </c>
      <c r="N211" t="str">
        <f>VLOOKUP($G211,'Materials by UPN'!$G$3:$R$112,6)</f>
        <v>Amazon</v>
      </c>
      <c r="O211" t="str">
        <f>IF(VLOOKUP($G211,'Materials by UPN'!$G$3:$R$112,7)="","",VLOOKUP($G211,'Materials by UPN'!$G$3:$R$112,7))</f>
        <v>https://www.amazon.com/gp/product/B07XBF98NV</v>
      </c>
      <c r="P211" s="4">
        <f>VLOOKUP($G211,'Materials by UPN'!$G$3:$R$112,11)</f>
        <v>1.9379999999999998E-2</v>
      </c>
      <c r="Q211" s="4">
        <f t="shared" ref="Q211" si="15">F211*P211</f>
        <v>1.9379999999999998E-2</v>
      </c>
      <c r="R211" s="25"/>
    </row>
    <row r="212" spans="1:19" x14ac:dyDescent="0.35">
      <c r="Q212" s="4"/>
      <c r="R212" s="25"/>
    </row>
    <row r="213" spans="1:19" s="41" customFormat="1" ht="18.5" x14ac:dyDescent="0.45">
      <c r="A213" s="30" t="s">
        <v>200</v>
      </c>
      <c r="B213" s="30" t="s">
        <v>355</v>
      </c>
      <c r="C213" s="30"/>
      <c r="D213" s="30"/>
      <c r="E213" s="30"/>
      <c r="F213" s="35"/>
      <c r="G213" s="35"/>
      <c r="H213" s="36"/>
      <c r="I213" s="35"/>
      <c r="J213" s="30"/>
      <c r="K213" s="30"/>
      <c r="L213" s="30"/>
      <c r="M213" s="30"/>
      <c r="N213" s="30"/>
      <c r="O213" s="30"/>
      <c r="P213" s="42"/>
      <c r="Q213" s="30"/>
      <c r="R213" s="43">
        <f>SUM(Q213:Q228)</f>
        <v>4.6900770903519433</v>
      </c>
      <c r="S213" s="40">
        <f>CEILING(R213,1)</f>
        <v>5</v>
      </c>
    </row>
    <row r="214" spans="1:19" x14ac:dyDescent="0.35">
      <c r="F214" s="2">
        <v>1</v>
      </c>
      <c r="G214" s="2">
        <v>107</v>
      </c>
      <c r="I214" s="2" t="s">
        <v>279</v>
      </c>
      <c r="J214" t="str">
        <f>VLOOKUP($G214,'Materials by UPN'!$G$3:$R$112,2)</f>
        <v>PCB, RK05 Emulator Power Supply</v>
      </c>
      <c r="K214" t="str">
        <f>IF(VLOOKUP($G214,'Materials by UPN'!$G$3:$R$112,3)="","",VLOOKUP($G214,'Materials by UPN'!$G$3:$R$112,3))</f>
        <v>v1</v>
      </c>
      <c r="L214" t="str">
        <f>IF(VLOOKUP($G214,'Materials by UPN'!$G$3:$R$112,4)="","",VLOOKUP($G214,'Materials by UPN'!$G$3:$R$112,4))</f>
        <v/>
      </c>
      <c r="M214" t="str">
        <f>IF(VLOOKUP($G214,'Materials by UPN'!$G$3:$R$112,5)="","",VLOOKUP($G214,'Materials by UPN'!$G$3:$R$112,5))</f>
        <v/>
      </c>
      <c r="N214" t="str">
        <f>VLOOKUP($G214,'Materials by UPN'!$G$3:$R$112,6)</f>
        <v>JLCPCB</v>
      </c>
      <c r="O214" t="str">
        <f>IF(VLOOKUP($G214,'Materials by UPN'!$G$3:$R$112,7)="","",VLOOKUP($G214,'Materials by UPN'!$G$3:$R$112,7))</f>
        <v>PCB Color: Black, Surface Finish: LeadFree HASL, Remove Order Number: Specify a location</v>
      </c>
      <c r="P214" s="4">
        <f>VLOOKUP($G214,'Materials by UPN'!$G$3:$R$112,11)</f>
        <v>1.9700000000000002</v>
      </c>
      <c r="Q214" s="4">
        <f t="shared" ref="Q214:Q225" si="16">F214*P214</f>
        <v>1.9700000000000002</v>
      </c>
      <c r="R214" s="25"/>
    </row>
    <row r="215" spans="1:19" x14ac:dyDescent="0.35">
      <c r="F215" s="2">
        <v>1</v>
      </c>
      <c r="G215" s="2">
        <v>368</v>
      </c>
      <c r="I215" s="2" t="s">
        <v>305</v>
      </c>
      <c r="J215" t="str">
        <f>VLOOKUP($G215,'Materials by UPN'!$G$3:$R$112,2)</f>
        <v>Ziplock Sandwich Bag</v>
      </c>
      <c r="K215" t="str">
        <f>IF(VLOOKUP($G215,'Materials by UPN'!$G$3:$R$112,3)="","",VLOOKUP($G215,'Materials by UPN'!$G$3:$R$112,3))</f>
        <v/>
      </c>
      <c r="L215" t="str">
        <f>IF(VLOOKUP($G215,'Materials by UPN'!$G$3:$R$112,4)="","",VLOOKUP($G215,'Materials by UPN'!$G$3:$R$112,4))</f>
        <v/>
      </c>
      <c r="M215" t="str">
        <f>IF(VLOOKUP($G215,'Materials by UPN'!$G$3:$R$112,5)="","",VLOOKUP($G215,'Materials by UPN'!$G$3:$R$112,5))</f>
        <v/>
      </c>
      <c r="N215" t="str">
        <f>VLOOKUP($G215,'Materials by UPN'!$G$3:$R$112,6)</f>
        <v>Costco</v>
      </c>
      <c r="O215" t="str">
        <f>IF(VLOOKUP($G215,'Materials by UPN'!$G$3:$R$112,7)="","",VLOOKUP($G215,'Materials by UPN'!$G$3:$R$112,7))</f>
        <v/>
      </c>
      <c r="P215" s="4">
        <f>VLOOKUP($G215,'Materials by UPN'!$G$3:$R$112,11)</f>
        <v>0</v>
      </c>
      <c r="Q215" s="4">
        <f t="shared" si="16"/>
        <v>0</v>
      </c>
      <c r="R215" s="25"/>
    </row>
    <row r="216" spans="1:19" x14ac:dyDescent="0.35">
      <c r="F216" s="2">
        <v>3</v>
      </c>
      <c r="G216" s="2">
        <v>340</v>
      </c>
      <c r="H216" s="15" t="s">
        <v>149</v>
      </c>
      <c r="I216" s="2" t="s">
        <v>276</v>
      </c>
      <c r="J216" t="str">
        <f>VLOOKUP($G216,'Materials by UPN'!$G$3:$R$112,2)</f>
        <v>CONN HEADER VERT 3POS, 3.96MM</v>
      </c>
      <c r="K216" t="str">
        <f>IF(VLOOKUP($G216,'Materials by UPN'!$G$3:$R$112,3)="","",VLOOKUP($G216,'Materials by UPN'!$G$3:$R$112,3))</f>
        <v/>
      </c>
      <c r="L216" t="str">
        <f>IF(VLOOKUP($G216,'Materials by UPN'!$G$3:$R$112,4)="","",VLOOKUP($G216,'Materials by UPN'!$G$3:$R$112,4))</f>
        <v>TE Connectivity AMP Connectors</v>
      </c>
      <c r="M216" t="str">
        <f>IF(VLOOKUP($G216,'Materials by UPN'!$G$3:$R$112,5)="","",VLOOKUP($G216,'Materials by UPN'!$G$3:$R$112,5))</f>
        <v>4-1123724-2</v>
      </c>
      <c r="N216" t="str">
        <f>VLOOKUP($G216,'Materials by UPN'!$G$3:$R$112,6)</f>
        <v>Digikey</v>
      </c>
      <c r="O216" t="str">
        <f>IF(VLOOKUP($G216,'Materials by UPN'!$G$3:$R$112,7)="","",VLOOKUP($G216,'Materials by UPN'!$G$3:$R$112,7))</f>
        <v>https://www.digikey.com/en/products/detail/te-connectivity-amp-connectors/4-1123724-2/5439777</v>
      </c>
      <c r="P216" s="4">
        <f>VLOOKUP($G216,'Materials by UPN'!$G$3:$R$112,11)</f>
        <v>0.14770028112741537</v>
      </c>
      <c r="Q216" s="4">
        <f t="shared" si="16"/>
        <v>0.44310084338224609</v>
      </c>
      <c r="R216" s="25"/>
    </row>
    <row r="217" spans="1:19" x14ac:dyDescent="0.35">
      <c r="F217" s="2">
        <v>1</v>
      </c>
      <c r="G217" s="2">
        <v>371</v>
      </c>
      <c r="I217" s="2" t="s">
        <v>276</v>
      </c>
      <c r="J217" t="str">
        <f>VLOOKUP($G217,'Materials by UPN'!$G$3:$R$112,2)</f>
        <v>Rectifier, 40V 450mV@5A 5A DO-27 Schottky Barrier Diode</v>
      </c>
      <c r="K217" t="str">
        <f>IF(VLOOKUP($G217,'Materials by UPN'!$G$3:$R$112,3)="","",VLOOKUP($G217,'Materials by UPN'!$G$3:$R$112,3))</f>
        <v/>
      </c>
      <c r="L217" t="str">
        <f>IF(VLOOKUP($G217,'Materials by UPN'!$G$3:$R$112,4)="","",VLOOKUP($G217,'Materials by UPN'!$G$3:$R$112,4))</f>
        <v>Comchip</v>
      </c>
      <c r="M217" t="str">
        <f>IF(VLOOKUP($G217,'Materials by UPN'!$G$3:$R$112,5)="","",VLOOKUP($G217,'Materials by UPN'!$G$3:$R$112,5))</f>
        <v>SR540L</v>
      </c>
      <c r="N217" t="str">
        <f>VLOOKUP($G217,'Materials by UPN'!$G$3:$R$112,6)</f>
        <v>AliExpress</v>
      </c>
      <c r="O217" t="str">
        <f>IF(VLOOKUP($G217,'Materials by UPN'!$G$3:$R$112,7)="","",VLOOKUP($G217,'Materials by UPN'!$G$3:$R$112,7))</f>
        <v>https://www.aliexpress.us/item/3256805591615901.html</v>
      </c>
      <c r="P217" s="4">
        <f>VLOOKUP($G217,'Materials by UPN'!$G$3:$R$112,11)</f>
        <v>0.24657875000000001</v>
      </c>
      <c r="Q217" s="4">
        <f>F217*P217</f>
        <v>0.24657875000000001</v>
      </c>
      <c r="R217" s="25"/>
    </row>
    <row r="218" spans="1:19" x14ac:dyDescent="0.35">
      <c r="F218" s="2">
        <v>1</v>
      </c>
      <c r="G218" s="2">
        <v>373</v>
      </c>
      <c r="I218" s="2" t="s">
        <v>276</v>
      </c>
      <c r="J218" t="str">
        <f>VLOOKUP($G218,'Materials by UPN'!$G$3:$R$112,2)</f>
        <v>Mini Digital Voltmeter</v>
      </c>
      <c r="K218" t="str">
        <f>IF(VLOOKUP($G218,'Materials by UPN'!$G$3:$R$112,3)="","",VLOOKUP($G218,'Materials by UPN'!$G$3:$R$112,3))</f>
        <v/>
      </c>
      <c r="L218" t="str">
        <f>IF(VLOOKUP($G218,'Materials by UPN'!$G$3:$R$112,4)="","",VLOOKUP($G218,'Materials by UPN'!$G$3:$R$112,4))</f>
        <v/>
      </c>
      <c r="M218" t="str">
        <f>IF(VLOOKUP($G218,'Materials by UPN'!$G$3:$R$112,5)="","",VLOOKUP($G218,'Materials by UPN'!$G$3:$R$112,5))</f>
        <v/>
      </c>
      <c r="N218" t="str">
        <f>VLOOKUP($G218,'Materials by UPN'!$G$3:$R$112,6)</f>
        <v>AliExpress</v>
      </c>
      <c r="O218" t="str">
        <f>IF(VLOOKUP($G218,'Materials by UPN'!$G$3:$R$112,7)="","",VLOOKUP($G218,'Materials by UPN'!$G$3:$R$112,7))</f>
        <v>https://www.aliexpress.us/item/3256805856942849.html</v>
      </c>
      <c r="P218" s="4">
        <f>VLOOKUP($G218,'Materials by UPN'!$G$3:$R$112,11)</f>
        <v>1.0445</v>
      </c>
      <c r="Q218" s="4">
        <f>F218*P218</f>
        <v>1.0445</v>
      </c>
      <c r="R218" s="25"/>
    </row>
    <row r="219" spans="1:19" x14ac:dyDescent="0.35">
      <c r="F219" s="2">
        <v>2</v>
      </c>
      <c r="G219" s="2">
        <v>324</v>
      </c>
      <c r="I219" s="2" t="s">
        <v>276</v>
      </c>
      <c r="J219" t="str">
        <f>VLOOKUP($G219,'Materials by UPN'!$G$3:$R$112,2)</f>
        <v>M2 Threaded Spacer, hex, nylon, black, 10mm, female-female</v>
      </c>
      <c r="K219" t="str">
        <f>IF(VLOOKUP($G219,'Materials by UPN'!$G$3:$R$112,3)="","",VLOOKUP($G219,'Materials by UPN'!$G$3:$R$112,3))</f>
        <v/>
      </c>
      <c r="L219" t="str">
        <f>IF(VLOOKUP($G219,'Materials by UPN'!$G$3:$R$112,4)="","",VLOOKUP($G219,'Materials by UPN'!$G$3:$R$112,4))</f>
        <v/>
      </c>
      <c r="M219" t="str">
        <f>IF(VLOOKUP($G219,'Materials by UPN'!$G$3:$R$112,5)="","",VLOOKUP($G219,'Materials by UPN'!$G$3:$R$112,5))</f>
        <v/>
      </c>
      <c r="N219" t="str">
        <f>VLOOKUP($G219,'Materials by UPN'!$G$3:$R$112,6)</f>
        <v>AliExpress</v>
      </c>
      <c r="O219" t="str">
        <f>IF(VLOOKUP($G219,'Materials by UPN'!$G$3:$R$112,7)="","",VLOOKUP($G219,'Materials by UPN'!$G$3:$R$112,7))</f>
        <v>https://www.aliexpress.us/item/3256805464087324.html</v>
      </c>
      <c r="P219" s="4">
        <f>VLOOKUP($G219,'Materials by UPN'!$G$3:$R$112,11)</f>
        <v>4.4600000000000001E-2</v>
      </c>
      <c r="Q219" s="4">
        <f>F219*P219</f>
        <v>8.9200000000000002E-2</v>
      </c>
      <c r="R219" s="25"/>
    </row>
    <row r="220" spans="1:19" x14ac:dyDescent="0.35">
      <c r="F220" s="2">
        <v>2</v>
      </c>
      <c r="G220" s="2">
        <v>315</v>
      </c>
      <c r="I220" s="2" t="s">
        <v>276</v>
      </c>
      <c r="J220" t="str">
        <f>VLOOKUP($G220,'Materials by UPN'!$G$3:$R$112,2)</f>
        <v>M2 x 8mm screw, steel</v>
      </c>
      <c r="K220" t="str">
        <f>IF(VLOOKUP($G220,'Materials by UPN'!$G$3:$R$112,3)="","",VLOOKUP($G220,'Materials by UPN'!$G$3:$R$112,3))</f>
        <v/>
      </c>
      <c r="L220" t="str">
        <f>IF(VLOOKUP($G220,'Materials by UPN'!$G$3:$R$112,4)="","",VLOOKUP($G220,'Materials by UPN'!$G$3:$R$112,4))</f>
        <v/>
      </c>
      <c r="M220" t="str">
        <f>IF(VLOOKUP($G220,'Materials by UPN'!$G$3:$R$112,5)="","",VLOOKUP($G220,'Materials by UPN'!$G$3:$R$112,5))</f>
        <v/>
      </c>
      <c r="N220" t="str">
        <f>VLOOKUP($G220,'Materials by UPN'!$G$3:$R$112,6)</f>
        <v>Amazon</v>
      </c>
      <c r="O220" t="str">
        <f>IF(VLOOKUP($G220,'Materials by UPN'!$G$3:$R$112,7)="","",VLOOKUP($G220,'Materials by UPN'!$G$3:$R$112,7))</f>
        <v>https://www.amazon.com/gp/product/B01M5DVI7A</v>
      </c>
      <c r="P220" s="4">
        <f>VLOOKUP($G220,'Materials by UPN'!$G$3:$R$112,11)</f>
        <v>8.9666666666666658E-2</v>
      </c>
      <c r="Q220" s="4">
        <f>F220*P220</f>
        <v>0.17933333333333332</v>
      </c>
      <c r="R220" s="25"/>
    </row>
    <row r="221" spans="1:19" x14ac:dyDescent="0.35">
      <c r="F221" s="2">
        <v>2</v>
      </c>
      <c r="G221" s="2">
        <v>321</v>
      </c>
      <c r="I221" s="2" t="s">
        <v>276</v>
      </c>
      <c r="J221" t="str">
        <f>VLOOKUP($G221,'Materials by UPN'!$G$3:$R$112,2)</f>
        <v>M2 Phillips Round Pan Head Machine Screws (M2 x 4mm), Stainless Steel</v>
      </c>
      <c r="K221" t="str">
        <f>IF(VLOOKUP($G221,'Materials by UPN'!$G$3:$R$112,3)="","",VLOOKUP($G221,'Materials by UPN'!$G$3:$R$112,3))</f>
        <v/>
      </c>
      <c r="L221" t="str">
        <f>IF(VLOOKUP($G221,'Materials by UPN'!$G$3:$R$112,4)="","",VLOOKUP($G221,'Materials by UPN'!$G$3:$R$112,4))</f>
        <v/>
      </c>
      <c r="M221" t="str">
        <f>IF(VLOOKUP($G221,'Materials by UPN'!$G$3:$R$112,5)="","",VLOOKUP($G221,'Materials by UPN'!$G$3:$R$112,5))</f>
        <v/>
      </c>
      <c r="N221" t="str">
        <f>VLOOKUP($G221,'Materials by UPN'!$G$3:$R$112,6)</f>
        <v>Amazon</v>
      </c>
      <c r="O221" t="str">
        <f>IF(VLOOKUP($G221,'Materials by UPN'!$G$3:$R$112,7)="","",VLOOKUP($G221,'Materials by UPN'!$G$3:$R$112,7))</f>
        <v>https://www.amazon.com/gp/product/B07HFYZ9YM</v>
      </c>
      <c r="P221" s="4">
        <f>VLOOKUP($G221,'Materials by UPN'!$G$3:$R$112,11)</f>
        <v>8.6099999999999996E-2</v>
      </c>
      <c r="Q221" s="4">
        <f>F221*P221</f>
        <v>0.17219999999999999</v>
      </c>
      <c r="R221" s="25"/>
    </row>
    <row r="222" spans="1:19" x14ac:dyDescent="0.35">
      <c r="F222" s="2">
        <v>4</v>
      </c>
      <c r="G222" s="2">
        <v>357</v>
      </c>
      <c r="I222" s="2" t="s">
        <v>276</v>
      </c>
      <c r="J222" t="str">
        <f>VLOOKUP($G222,'Materials by UPN'!$G$3:$R$112,2)</f>
        <v>M3 Threaded Spacer, hex, nylon, black, 20mm + 6mm, female-male</v>
      </c>
      <c r="K222" t="str">
        <f>IF(VLOOKUP($G222,'Materials by UPN'!$G$3:$R$112,3)="","",VLOOKUP($G222,'Materials by UPN'!$G$3:$R$112,3))</f>
        <v/>
      </c>
      <c r="L222" t="str">
        <f>IF(VLOOKUP($G222,'Materials by UPN'!$G$3:$R$112,4)="","",VLOOKUP($G222,'Materials by UPN'!$G$3:$R$112,4))</f>
        <v/>
      </c>
      <c r="M222" t="str">
        <f>IF(VLOOKUP($G222,'Materials by UPN'!$G$3:$R$112,5)="","",VLOOKUP($G222,'Materials by UPN'!$G$3:$R$112,5))</f>
        <v/>
      </c>
      <c r="N222" t="str">
        <f>VLOOKUP($G222,'Materials by UPN'!$G$3:$R$112,6)</f>
        <v>Amazon</v>
      </c>
      <c r="O222" t="str">
        <f>IF(VLOOKUP($G222,'Materials by UPN'!$G$3:$R$112,7)="","",VLOOKUP($G222,'Materials by UPN'!$G$3:$R$112,7))</f>
        <v>https://www.aliexpress.us/item/3256804121267045.html</v>
      </c>
      <c r="P222" s="4">
        <f>VLOOKUP($G222,'Materials by UPN'!$G$3:$R$112,11)</f>
        <v>8.2848500000000005E-2</v>
      </c>
      <c r="Q222" s="4">
        <f t="shared" si="16"/>
        <v>0.33139400000000002</v>
      </c>
      <c r="R222" s="25"/>
    </row>
    <row r="223" spans="1:19" x14ac:dyDescent="0.35">
      <c r="F223" s="2">
        <v>4</v>
      </c>
      <c r="G223" s="2">
        <v>355</v>
      </c>
      <c r="I223" s="2" t="s">
        <v>276</v>
      </c>
      <c r="J223" t="str">
        <f>VLOOKUP($G223,'Materials by UPN'!$G$3:$R$112,2)</f>
        <v>M3 nut</v>
      </c>
      <c r="K223" t="str">
        <f>IF(VLOOKUP($G223,'Materials by UPN'!$G$3:$R$112,3)="","",VLOOKUP($G223,'Materials by UPN'!$G$3:$R$112,3))</f>
        <v/>
      </c>
      <c r="L223" t="str">
        <f>IF(VLOOKUP($G223,'Materials by UPN'!$G$3:$R$112,4)="","",VLOOKUP($G223,'Materials by UPN'!$G$3:$R$112,4))</f>
        <v/>
      </c>
      <c r="M223" t="str">
        <f>IF(VLOOKUP($G223,'Materials by UPN'!$G$3:$R$112,5)="","",VLOOKUP($G223,'Materials by UPN'!$G$3:$R$112,5))</f>
        <v/>
      </c>
      <c r="N223" t="str">
        <f>VLOOKUP($G223,'Materials by UPN'!$G$3:$R$112,6)</f>
        <v>AliExpress</v>
      </c>
      <c r="O223" t="str">
        <f>IF(VLOOKUP($G223,'Materials by UPN'!$G$3:$R$112,7)="","",VLOOKUP($G223,'Materials by UPN'!$G$3:$R$112,7))</f>
        <v>https://www.aliexpress.us/item/2255800416538696.html</v>
      </c>
      <c r="P223" s="4">
        <f>VLOOKUP($G223,'Materials by UPN'!$G$3:$R$112,11)</f>
        <v>2.7069090909090907E-2</v>
      </c>
      <c r="Q223" s="4">
        <f t="shared" si="16"/>
        <v>0.10827636363636363</v>
      </c>
      <c r="R223" s="25"/>
    </row>
    <row r="224" spans="1:19" x14ac:dyDescent="0.35">
      <c r="F224" s="2">
        <v>4</v>
      </c>
      <c r="G224" s="2">
        <v>332</v>
      </c>
      <c r="I224" s="2" t="s">
        <v>276</v>
      </c>
      <c r="J224" t="str">
        <f>VLOOKUP($G224,'Materials by UPN'!$G$3:$R$112,2)</f>
        <v>M3 split lockwasher</v>
      </c>
      <c r="K224" t="str">
        <f>IF(VLOOKUP($G224,'Materials by UPN'!$G$3:$R$112,3)="","",VLOOKUP($G224,'Materials by UPN'!$G$3:$R$112,3))</f>
        <v/>
      </c>
      <c r="L224" t="str">
        <f>IF(VLOOKUP($G224,'Materials by UPN'!$G$3:$R$112,4)="","",VLOOKUP($G224,'Materials by UPN'!$G$3:$R$112,4))</f>
        <v/>
      </c>
      <c r="M224" t="str">
        <f>IF(VLOOKUP($G224,'Materials by UPN'!$G$3:$R$112,5)="","",VLOOKUP($G224,'Materials by UPN'!$G$3:$R$112,5))</f>
        <v/>
      </c>
      <c r="N224" t="str">
        <f>VLOOKUP($G224,'Materials by UPN'!$G$3:$R$112,6)</f>
        <v>Amazon</v>
      </c>
      <c r="O224" t="str">
        <f>IF(VLOOKUP($G224,'Materials by UPN'!$G$3:$R$112,7)="","",VLOOKUP($G224,'Materials by UPN'!$G$3:$R$112,7))</f>
        <v>https://www.amazon.com/gp/product/B07Z2FJ2XW</v>
      </c>
      <c r="P224" s="4">
        <f>VLOOKUP($G224,'Materials by UPN'!$G$3:$R$112,11)</f>
        <v>2.1528450000000001E-2</v>
      </c>
      <c r="Q224" s="4">
        <f>F224*P224</f>
        <v>8.6113800000000004E-2</v>
      </c>
      <c r="R224" s="25"/>
    </row>
    <row r="225" spans="1:19" x14ac:dyDescent="0.35">
      <c r="F225" s="2">
        <v>1</v>
      </c>
      <c r="G225" s="2">
        <v>364</v>
      </c>
      <c r="I225" s="2" t="s">
        <v>307</v>
      </c>
      <c r="J225" t="str">
        <f>VLOOKUP($G225,'Materials by UPN'!$G$3:$R$112,2)</f>
        <v>3" x 5" Small Plastic Bags- Reclosable Zip Bags</v>
      </c>
      <c r="K225" t="str">
        <f>IF(VLOOKUP($G225,'Materials by UPN'!$G$3:$R$112,3)="","",VLOOKUP($G225,'Materials by UPN'!$G$3:$R$112,3))</f>
        <v/>
      </c>
      <c r="L225" t="str">
        <f>IF(VLOOKUP($G225,'Materials by UPN'!$G$3:$R$112,4)="","",VLOOKUP($G225,'Materials by UPN'!$G$3:$R$112,4))</f>
        <v/>
      </c>
      <c r="M225" t="str">
        <f>IF(VLOOKUP($G225,'Materials by UPN'!$G$3:$R$112,5)="","",VLOOKUP($G225,'Materials by UPN'!$G$3:$R$112,5))</f>
        <v/>
      </c>
      <c r="N225" t="str">
        <f>VLOOKUP($G225,'Materials by UPN'!$G$3:$R$112,6)</f>
        <v>Amazon</v>
      </c>
      <c r="O225" t="str">
        <f>IF(VLOOKUP($G225,'Materials by UPN'!$G$3:$R$112,7)="","",VLOOKUP($G225,'Materials by UPN'!$G$3:$R$112,7))</f>
        <v>https://www.amazon.com/gp/product/B07XBF98NV</v>
      </c>
      <c r="P225" s="4">
        <f>VLOOKUP($G225,'Materials by UPN'!$G$3:$R$112,11)</f>
        <v>1.9379999999999998E-2</v>
      </c>
      <c r="Q225" s="4">
        <f t="shared" si="16"/>
        <v>1.9379999999999998E-2</v>
      </c>
      <c r="R225" s="25"/>
    </row>
    <row r="226" spans="1:19" x14ac:dyDescent="0.35">
      <c r="Q226" s="4"/>
      <c r="R226" s="25"/>
    </row>
    <row r="227" spans="1:19" x14ac:dyDescent="0.35">
      <c r="Q227" s="4"/>
      <c r="R227" s="25"/>
    </row>
    <row r="228" spans="1:19" x14ac:dyDescent="0.35">
      <c r="R228" s="25"/>
    </row>
    <row r="229" spans="1:19" s="41" customFormat="1" ht="18.5" x14ac:dyDescent="0.45">
      <c r="A229" s="30" t="s">
        <v>201</v>
      </c>
      <c r="B229" s="30" t="s">
        <v>245</v>
      </c>
      <c r="C229" s="30"/>
      <c r="D229" s="30"/>
      <c r="E229" s="30"/>
      <c r="F229" s="35"/>
      <c r="G229" s="35"/>
      <c r="H229" s="36"/>
      <c r="I229" s="35"/>
      <c r="J229" s="30"/>
      <c r="K229" s="30"/>
      <c r="L229" s="30"/>
      <c r="M229" s="30"/>
      <c r="N229" s="30"/>
      <c r="O229" s="30"/>
      <c r="P229" s="42"/>
      <c r="Q229" s="30"/>
      <c r="R229" s="43">
        <f>SUM(Q229:Q231)</f>
        <v>28.55</v>
      </c>
      <c r="S229" s="40">
        <f>CEILING(R229,1)</f>
        <v>29</v>
      </c>
    </row>
    <row r="230" spans="1:19" x14ac:dyDescent="0.35">
      <c r="F230" s="2">
        <v>1</v>
      </c>
      <c r="G230" s="2">
        <v>356</v>
      </c>
      <c r="J230" t="str">
        <f>VLOOKUP($G230,'Materials by UPN'!$G$3:$R$112,2)</f>
        <v>Rack Mount Tray, 19-Inch 1U Server, Vented Shelves</v>
      </c>
      <c r="K230" t="str">
        <f>IF(VLOOKUP($G230,'Materials by UPN'!$G$3:$R$112,3)="","",VLOOKUP($G230,'Materials by UPN'!$G$3:$R$112,3))</f>
        <v/>
      </c>
      <c r="L230" t="str">
        <f>IF(VLOOKUP($G230,'Materials by UPN'!$G$3:$R$112,4)="","",VLOOKUP($G230,'Materials by UPN'!$G$3:$R$112,4))</f>
        <v/>
      </c>
      <c r="M230" t="str">
        <f>IF(VLOOKUP($G230,'Materials by UPN'!$G$3:$R$112,5)="","",VLOOKUP($G230,'Materials by UPN'!$G$3:$R$112,5))</f>
        <v/>
      </c>
      <c r="N230" t="str">
        <f>VLOOKUP($G230,'Materials by UPN'!$G$3:$R$112,6)</f>
        <v>Amazon</v>
      </c>
      <c r="O230" t="str">
        <f>IF(VLOOKUP($G230,'Materials by UPN'!$G$3:$R$112,7)="","",VLOOKUP($G230,'Materials by UPN'!$G$3:$R$112,7))</f>
        <v>https://www.amazon.com/gp/product/B01HTG4WHY</v>
      </c>
      <c r="P230" s="4">
        <f>VLOOKUP($G230,'Materials by UPN'!$G$3:$R$112,11)</f>
        <v>28.55</v>
      </c>
      <c r="Q230" s="4">
        <f>F230*P230</f>
        <v>28.55</v>
      </c>
      <c r="R230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0399-B6A2-4C9B-97F1-9FAF9B5EB3FB}">
  <sheetPr>
    <pageSetUpPr fitToPage="1"/>
  </sheetPr>
  <dimension ref="A1:Q83"/>
  <sheetViews>
    <sheetView topLeftCell="A18" zoomScaleNormal="100" workbookViewId="0">
      <pane ySplit="580" activePane="bottomLeft"/>
      <selection activeCell="R1" sqref="R1:S1048576"/>
      <selection pane="bottomLeft" activeCell="A3" sqref="A3"/>
    </sheetView>
  </sheetViews>
  <sheetFormatPr defaultRowHeight="14.5" x14ac:dyDescent="0.35"/>
  <cols>
    <col min="1" max="4" width="4.54296875" style="1" customWidth="1"/>
    <col min="5" max="5" width="2.54296875" style="1" customWidth="1"/>
    <col min="6" max="6" width="5.54296875" style="2" customWidth="1"/>
    <col min="7" max="7" width="4.54296875" style="2" customWidth="1"/>
    <col min="8" max="8" width="13.54296875" style="15" customWidth="1"/>
    <col min="9" max="9" width="5.54296875" style="2" customWidth="1"/>
    <col min="10" max="10" width="61.54296875" bestFit="1" customWidth="1"/>
    <col min="11" max="11" width="4.54296875" customWidth="1"/>
    <col min="12" max="12" width="19.1796875" customWidth="1"/>
    <col min="13" max="13" width="25.54296875" customWidth="1"/>
    <col min="14" max="14" width="15.54296875" customWidth="1"/>
    <col min="15" max="15" width="49.453125" bestFit="1" customWidth="1"/>
    <col min="16" max="16" width="9.54296875" style="4" customWidth="1"/>
    <col min="17" max="17" width="9.54296875" customWidth="1"/>
  </cols>
  <sheetData>
    <row r="1" spans="1:17" ht="23.5" x14ac:dyDescent="0.55000000000000004">
      <c r="A1" s="29" t="s">
        <v>175</v>
      </c>
      <c r="B1" s="17"/>
      <c r="C1" s="17"/>
      <c r="D1" s="17"/>
      <c r="E1" s="17"/>
      <c r="F1" s="18"/>
      <c r="G1" s="18"/>
      <c r="Q1" s="13"/>
    </row>
    <row r="2" spans="1:17" s="34" customFormat="1" ht="18.5" x14ac:dyDescent="0.45">
      <c r="A2" s="30" t="s">
        <v>165</v>
      </c>
      <c r="B2" s="30" t="s">
        <v>166</v>
      </c>
      <c r="C2" s="30"/>
      <c r="D2" s="30"/>
      <c r="E2" s="30"/>
      <c r="F2" s="31"/>
      <c r="G2" s="31"/>
      <c r="H2" s="32"/>
      <c r="I2" s="31"/>
      <c r="J2" s="33"/>
      <c r="K2" s="33"/>
      <c r="L2" s="33"/>
      <c r="M2" s="33"/>
      <c r="N2" s="33"/>
      <c r="O2" s="33"/>
      <c r="P2" s="23"/>
      <c r="Q2" s="22"/>
    </row>
    <row r="3" spans="1:17" x14ac:dyDescent="0.35">
      <c r="Q3" s="13"/>
    </row>
    <row r="4" spans="1:17" s="1" customFormat="1" x14ac:dyDescent="0.35">
      <c r="F4" s="3" t="s">
        <v>0</v>
      </c>
      <c r="G4" s="3" t="s">
        <v>144</v>
      </c>
      <c r="H4" s="16"/>
      <c r="I4" s="3" t="s">
        <v>211</v>
      </c>
      <c r="J4" s="1" t="s">
        <v>1</v>
      </c>
      <c r="K4" s="1" t="s">
        <v>12</v>
      </c>
      <c r="L4" s="1" t="s">
        <v>7</v>
      </c>
      <c r="M4" s="1" t="s">
        <v>3</v>
      </c>
      <c r="N4" s="1" t="s">
        <v>2</v>
      </c>
      <c r="O4" s="1" t="s">
        <v>29</v>
      </c>
      <c r="P4" s="9" t="s">
        <v>4</v>
      </c>
      <c r="Q4" s="3" t="s">
        <v>5</v>
      </c>
    </row>
    <row r="5" spans="1:17" x14ac:dyDescent="0.35">
      <c r="B5" s="45" t="s">
        <v>212</v>
      </c>
      <c r="C5" s="46"/>
      <c r="D5" s="46" t="s">
        <v>230</v>
      </c>
      <c r="E5" s="46"/>
      <c r="F5" s="47"/>
      <c r="G5" s="47">
        <v>0</v>
      </c>
      <c r="H5" s="48"/>
      <c r="I5" s="49" t="s">
        <v>212</v>
      </c>
      <c r="J5" s="46" t="s">
        <v>235</v>
      </c>
      <c r="K5" s="50"/>
      <c r="L5" s="50"/>
      <c r="M5" s="50"/>
      <c r="N5" s="50"/>
      <c r="O5" s="50"/>
      <c r="P5" s="51"/>
      <c r="Q5" s="50"/>
    </row>
    <row r="6" spans="1:17" x14ac:dyDescent="0.35">
      <c r="B6" s="52"/>
      <c r="C6" s="52"/>
      <c r="D6" s="52"/>
      <c r="E6" s="52"/>
      <c r="F6" s="53">
        <v>1</v>
      </c>
      <c r="G6" s="53">
        <v>303</v>
      </c>
      <c r="H6" s="54"/>
      <c r="I6" s="53" t="s">
        <v>212</v>
      </c>
      <c r="J6" s="55" t="str">
        <f>VLOOKUP($G6,'Materials by UPN'!$G$3:$R$112,2)</f>
        <v>Rocker switch, on-mom</v>
      </c>
      <c r="K6" s="55" t="str">
        <f>IF(VLOOKUP($G6,'Materials by UPN'!$G$3:$R$112,3)="","",VLOOKUP($G6,'Materials by UPN'!$G$3:$R$112,3))</f>
        <v/>
      </c>
      <c r="L6" s="55" t="str">
        <f>IF(VLOOKUP($G6,'Materials by UPN'!$G$3:$R$112,4)="","",VLOOKUP($G6,'Materials by UPN'!$G$3:$R$112,4))</f>
        <v/>
      </c>
      <c r="M6" s="55" t="str">
        <f>IF(VLOOKUP($G6,'Materials by UPN'!$G$3:$R$112,5)="","",VLOOKUP($G6,'Materials by UPN'!$G$3:$R$112,5))</f>
        <v>R4EBLKBLKEF0</v>
      </c>
      <c r="N6" s="55" t="str">
        <f>VLOOKUP($G6,'Materials by UPN'!$G$3:$R$112,6)</f>
        <v>Digikey</v>
      </c>
      <c r="O6" s="55" t="str">
        <f>IF(VLOOKUP($G6,'Materials by UPN'!$G$3:$R$112,7)="","",VLOOKUP($G6,'Materials by UPN'!$G$3:$R$112,7))</f>
        <v>https://www.digikey.com/en/products/detail/e-switch/R4EBLKBLKEF0/1805289</v>
      </c>
      <c r="P6" s="56">
        <f>VLOOKUP($G6,'Materials by UPN'!$G$3:$R$112,11)</f>
        <v>2.0649999999999999</v>
      </c>
      <c r="Q6" s="56">
        <f>F6*P6</f>
        <v>2.0649999999999999</v>
      </c>
    </row>
    <row r="7" spans="1:17" x14ac:dyDescent="0.35">
      <c r="B7" s="52"/>
      <c r="C7" s="52"/>
      <c r="D7" s="52"/>
      <c r="E7" s="52"/>
      <c r="F7" s="53">
        <v>1</v>
      </c>
      <c r="G7" s="53">
        <v>304</v>
      </c>
      <c r="H7" s="54"/>
      <c r="I7" s="53" t="s">
        <v>212</v>
      </c>
      <c r="J7" s="55" t="str">
        <f>VLOOKUP($G7,'Materials by UPN'!$G$3:$R$112,2)</f>
        <v>Rocker switch, on-off</v>
      </c>
      <c r="K7" s="55" t="str">
        <f>IF(VLOOKUP($G7,'Materials by UPN'!$G$3:$R$112,3)="","",VLOOKUP($G7,'Materials by UPN'!$G$3:$R$112,3))</f>
        <v/>
      </c>
      <c r="L7" s="55" t="str">
        <f>IF(VLOOKUP($G7,'Materials by UPN'!$G$3:$R$112,4)="","",VLOOKUP($G7,'Materials by UPN'!$G$3:$R$112,4))</f>
        <v/>
      </c>
      <c r="M7" s="55" t="str">
        <f>IF(VLOOKUP($G7,'Materials by UPN'!$G$3:$R$112,5)="","",VLOOKUP($G7,'Materials by UPN'!$G$3:$R$112,5))</f>
        <v>R4ABLKBLKEF0</v>
      </c>
      <c r="N7" s="55" t="str">
        <f>VLOOKUP($G7,'Materials by UPN'!$G$3:$R$112,6)</f>
        <v>Digikey</v>
      </c>
      <c r="O7" s="55" t="str">
        <f>IF(VLOOKUP($G7,'Materials by UPN'!$G$3:$R$112,7)="","",VLOOKUP($G7,'Materials by UPN'!$G$3:$R$112,7))</f>
        <v>https://www.digikey.com/en/products/detail/e-switch/R4ABLKBLKEF0/1805255</v>
      </c>
      <c r="P7" s="56">
        <f>VLOOKUP($G7,'Materials by UPN'!$G$3:$R$112,11)</f>
        <v>1.3560000000000001</v>
      </c>
      <c r="Q7" s="56">
        <f>F7*P7</f>
        <v>1.3560000000000001</v>
      </c>
    </row>
    <row r="8" spans="1:17" x14ac:dyDescent="0.35">
      <c r="B8" s="52"/>
      <c r="C8" s="52"/>
      <c r="D8" s="52"/>
      <c r="E8" s="52"/>
      <c r="F8" s="53">
        <v>1</v>
      </c>
      <c r="G8" s="53">
        <v>200</v>
      </c>
      <c r="H8" s="54"/>
      <c r="I8" s="53" t="s">
        <v>212</v>
      </c>
      <c r="J8" s="55" t="str">
        <f>VLOOKUP($G8,'Materials by UPN'!$G$3:$R$112,2)</f>
        <v>RK05 Lamp Lens, 3D printed</v>
      </c>
      <c r="K8" s="55" t="str">
        <f>IF(VLOOKUP($G8,'Materials by UPN'!$G$3:$R$112,3)="","",VLOOKUP($G8,'Materials by UPN'!$G$3:$R$112,3))</f>
        <v>v03</v>
      </c>
      <c r="L8" s="55" t="str">
        <f>IF(VLOOKUP($G8,'Materials by UPN'!$G$3:$R$112,4)="","",VLOOKUP($G8,'Materials by UPN'!$G$3:$R$112,4))</f>
        <v/>
      </c>
      <c r="M8" s="55" t="str">
        <f>IF(VLOOKUP($G8,'Materials by UPN'!$G$3:$R$112,5)="","",VLOOKUP($G8,'Materials by UPN'!$G$3:$R$112,5))</f>
        <v>200 v03</v>
      </c>
      <c r="N8" s="55" t="str">
        <f>VLOOKUP($G8,'Materials by UPN'!$G$3:$R$112,6)</f>
        <v>JLCPCB</v>
      </c>
      <c r="O8" s="55" t="str">
        <f>IF(VLOOKUP($G8,'Materials by UPN'!$G$3:$R$112,7)="","",VLOOKUP($G8,'Materials by UPN'!$G$3:$R$112,7))</f>
        <v>200 v03, SLA (Resin), LEDO 6060, Natural White</v>
      </c>
      <c r="P8" s="56">
        <f>VLOOKUP($G8,'Materials by UPN'!$G$3:$R$112,11)</f>
        <v>1.6966666666666665</v>
      </c>
      <c r="Q8" s="56">
        <f>F8*P8</f>
        <v>1.6966666666666665</v>
      </c>
    </row>
    <row r="9" spans="1:17" x14ac:dyDescent="0.35">
      <c r="B9" s="52"/>
      <c r="C9" s="52"/>
      <c r="D9" s="52"/>
      <c r="E9" s="52"/>
      <c r="F9" s="53">
        <v>1</v>
      </c>
      <c r="G9" s="53">
        <v>207</v>
      </c>
      <c r="H9" s="54"/>
      <c r="I9" s="53" t="s">
        <v>212</v>
      </c>
      <c r="J9" s="55" t="str">
        <f>VLOOKUP($G9,'Materials by UPN'!$G$3:$R$112,2)</f>
        <v>Light Shield, 3D printed</v>
      </c>
      <c r="K9" s="55" t="s">
        <v>19</v>
      </c>
      <c r="L9" s="55" t="str">
        <f>IF(VLOOKUP($G9,'Materials by UPN'!$G$3:$R$112,4)="","",VLOOKUP($G9,'Materials by UPN'!$G$3:$R$112,4))</f>
        <v/>
      </c>
      <c r="M9" s="55" t="str">
        <f>IF(VLOOKUP($G9,'Materials by UPN'!$G$3:$R$112,5)="","",VLOOKUP($G9,'Materials by UPN'!$G$3:$R$112,5))</f>
        <v>207 v03</v>
      </c>
      <c r="N9" s="55" t="str">
        <f>VLOOKUP($G9,'Materials by UPN'!$G$3:$R$112,6)</f>
        <v>JLCPCB</v>
      </c>
      <c r="O9" s="55" t="str">
        <f>IF(VLOOKUP($G9,'Materials by UPN'!$G$3:$R$112,7)="","",VLOOKUP($G9,'Materials by UPN'!$G$3:$R$112,7))</f>
        <v>207 v03, SLA (Resin), LEDO 6060, Natural White + blk paint</v>
      </c>
      <c r="P9" s="56">
        <f>VLOOKUP($G9,'Materials by UPN'!$G$3:$R$112,11)</f>
        <v>0.42499999999999999</v>
      </c>
      <c r="Q9" s="56">
        <f>F9*P9</f>
        <v>0.42499999999999999</v>
      </c>
    </row>
    <row r="10" spans="1:17" x14ac:dyDescent="0.35">
      <c r="B10" s="52"/>
      <c r="C10" s="52"/>
      <c r="D10" s="52"/>
      <c r="E10" s="52"/>
      <c r="F10" s="53">
        <v>1</v>
      </c>
      <c r="G10" s="2">
        <v>364</v>
      </c>
      <c r="I10" s="2" t="s">
        <v>291</v>
      </c>
      <c r="J10" t="str">
        <f>VLOOKUP($G10,'Materials by UPN'!$G$3:$R$112,2)</f>
        <v>3" x 5" Small Plastic Bags- Reclosable Zip Bags</v>
      </c>
      <c r="K10" t="str">
        <f>IF(VLOOKUP($G10,'Materials by UPN'!$G$3:$R$112,3)="","",VLOOKUP($G10,'Materials by UPN'!$G$3:$R$112,3))</f>
        <v/>
      </c>
      <c r="L10" t="str">
        <f>IF(VLOOKUP($G10,'Materials by UPN'!$G$3:$R$112,4)="","",VLOOKUP($G10,'Materials by UPN'!$G$3:$R$112,4))</f>
        <v/>
      </c>
      <c r="M10" t="str">
        <f>IF(VLOOKUP($G10,'Materials by UPN'!$G$3:$R$112,5)="","",VLOOKUP($G10,'Materials by UPN'!$G$3:$R$112,5))</f>
        <v/>
      </c>
      <c r="N10" t="str">
        <f>VLOOKUP($G10,'Materials by UPN'!$G$3:$R$112,6)</f>
        <v>Amazon</v>
      </c>
      <c r="O10" t="str">
        <f>IF(VLOOKUP($G10,'Materials by UPN'!$G$3:$R$112,7)="","",VLOOKUP($G10,'Materials by UPN'!$G$3:$R$112,7))</f>
        <v>https://www.amazon.com/gp/product/B07XBF98NV</v>
      </c>
      <c r="P10" s="4">
        <f>VLOOKUP($G10,'Materials by UPN'!$G$3:$R$112,11)</f>
        <v>1.9379999999999998E-2</v>
      </c>
      <c r="Q10" s="4">
        <f>F10*P10</f>
        <v>1.9379999999999998E-2</v>
      </c>
    </row>
    <row r="11" spans="1:17" x14ac:dyDescent="0.35">
      <c r="B11" s="45" t="s">
        <v>213</v>
      </c>
      <c r="C11" s="46"/>
      <c r="D11" s="46"/>
      <c r="E11" s="46"/>
      <c r="F11" s="47"/>
      <c r="G11" s="47">
        <v>0</v>
      </c>
      <c r="H11" s="48"/>
      <c r="I11" s="49" t="s">
        <v>213</v>
      </c>
      <c r="J11" s="46" t="s">
        <v>232</v>
      </c>
      <c r="K11" s="50"/>
      <c r="L11" s="50"/>
      <c r="M11" s="50"/>
      <c r="N11" s="50"/>
      <c r="O11" s="50"/>
      <c r="P11" s="51"/>
      <c r="Q11" s="50"/>
    </row>
    <row r="12" spans="1:17" x14ac:dyDescent="0.35">
      <c r="B12" s="52"/>
      <c r="C12" s="52"/>
      <c r="D12" s="52"/>
      <c r="E12" s="52"/>
      <c r="F12" s="53">
        <v>1</v>
      </c>
      <c r="G12" s="53">
        <v>201</v>
      </c>
      <c r="H12" s="54"/>
      <c r="I12" s="53" t="s">
        <v>213</v>
      </c>
      <c r="J12" s="55" t="str">
        <f>VLOOKUP($G12,'Materials by UPN'!$G$3:$R$112,2)</f>
        <v>RK05em Bezel, 3D printed</v>
      </c>
      <c r="K12" s="55" t="str">
        <f>IF(VLOOKUP($G12,'Materials by UPN'!$G$3:$R$112,3)="","",VLOOKUP($G12,'Materials by UPN'!$G$3:$R$112,3))</f>
        <v>v05</v>
      </c>
      <c r="L12" s="55" t="str">
        <f>IF(VLOOKUP($G12,'Materials by UPN'!$G$3:$R$112,4)="","",VLOOKUP($G12,'Materials by UPN'!$G$3:$R$112,4))</f>
        <v/>
      </c>
      <c r="M12" s="55" t="str">
        <f>IF(VLOOKUP($G12,'Materials by UPN'!$G$3:$R$112,5)="","",VLOOKUP($G12,'Materials by UPN'!$G$3:$R$112,5))</f>
        <v>201 v05</v>
      </c>
      <c r="N12" s="55" t="str">
        <f>VLOOKUP($G12,'Materials by UPN'!$G$3:$R$112,6)</f>
        <v>JLCPCB</v>
      </c>
      <c r="O12" s="55" t="str">
        <f>IF(VLOOKUP($G12,'Materials by UPN'!$G$3:$R$112,7)="","",VLOOKUP($G12,'Materials by UPN'!$G$3:$R$112,7))</f>
        <v>201 v05, FDM (Plastic), PLA, White</v>
      </c>
      <c r="P12" s="56">
        <f>VLOOKUP($G12,'Materials by UPN'!$G$3:$R$112,11)</f>
        <v>4.992</v>
      </c>
      <c r="Q12" s="56">
        <f>F12*P12</f>
        <v>4.992</v>
      </c>
    </row>
    <row r="13" spans="1:17" x14ac:dyDescent="0.35">
      <c r="B13" s="52"/>
      <c r="C13" s="52"/>
      <c r="D13" s="52"/>
      <c r="E13" s="52"/>
      <c r="F13" s="53">
        <v>6</v>
      </c>
      <c r="G13" s="53">
        <v>300</v>
      </c>
      <c r="H13" s="54"/>
      <c r="I13" s="53" t="s">
        <v>213</v>
      </c>
      <c r="J13" s="55" t="str">
        <f>VLOOKUP($G13,'Materials by UPN'!$G$3:$R$112,2)</f>
        <v>Threaded Insert, M3 x L=6 x OD=4.5</v>
      </c>
      <c r="K13" s="55" t="str">
        <f>IF(VLOOKUP($G13,'Materials by UPN'!$G$3:$R$112,3)="","",VLOOKUP($G13,'Materials by UPN'!$G$3:$R$112,3))</f>
        <v/>
      </c>
      <c r="L13" s="55" t="str">
        <f>IF(VLOOKUP($G13,'Materials by UPN'!$G$3:$R$112,4)="","",VLOOKUP($G13,'Materials by UPN'!$G$3:$R$112,4))</f>
        <v/>
      </c>
      <c r="M13" s="55" t="str">
        <f>IF(VLOOKUP($G13,'Materials by UPN'!$G$3:$R$112,5)="","",VLOOKUP($G13,'Materials by UPN'!$G$3:$R$112,5))</f>
        <v/>
      </c>
      <c r="N13" s="55" t="str">
        <f>VLOOKUP($G13,'Materials by UPN'!$G$3:$R$112,6)</f>
        <v>AliExpress</v>
      </c>
      <c r="O13" s="55" t="str">
        <f>IF(VLOOKUP($G13,'Materials by UPN'!$G$3:$R$112,7)="","",VLOOKUP($G13,'Materials by UPN'!$G$3:$R$112,7))</f>
        <v>https://www.aliexpress.us/item/3256805885174058.html</v>
      </c>
      <c r="P13" s="56">
        <f>VLOOKUP($G13,'Materials by UPN'!$G$3:$R$112,11)</f>
        <v>3.7000000000000005E-2</v>
      </c>
      <c r="Q13" s="56">
        <f>F13*P13</f>
        <v>0.22200000000000003</v>
      </c>
    </row>
    <row r="14" spans="1:17" x14ac:dyDescent="0.35">
      <c r="B14" s="52"/>
      <c r="C14" s="52"/>
      <c r="D14" s="52"/>
      <c r="E14" s="52"/>
      <c r="F14" s="2">
        <v>1</v>
      </c>
      <c r="G14" s="53">
        <v>368</v>
      </c>
      <c r="H14" s="54"/>
      <c r="I14" s="53" t="s">
        <v>213</v>
      </c>
      <c r="J14" s="55" t="str">
        <f>VLOOKUP($G14,'Materials by UPN'!$G$3:$R$112,2)</f>
        <v>Ziplock Sandwich Bag</v>
      </c>
      <c r="K14" s="55" t="str">
        <f>IF(VLOOKUP($G14,'Materials by UPN'!$G$3:$R$112,3)="","",VLOOKUP($G14,'Materials by UPN'!$G$3:$R$112,3))</f>
        <v/>
      </c>
      <c r="L14" s="55" t="str">
        <f>IF(VLOOKUP($G14,'Materials by UPN'!$G$3:$R$112,4)="","",VLOOKUP($G14,'Materials by UPN'!$G$3:$R$112,4))</f>
        <v/>
      </c>
      <c r="M14" s="55" t="str">
        <f>IF(VLOOKUP($G14,'Materials by UPN'!$G$3:$R$112,5)="","",VLOOKUP($G14,'Materials by UPN'!$G$3:$R$112,5))</f>
        <v/>
      </c>
      <c r="N14" s="55" t="str">
        <f>VLOOKUP($G14,'Materials by UPN'!$G$3:$R$112,6)</f>
        <v>Costco</v>
      </c>
      <c r="O14" s="55" t="str">
        <f>IF(VLOOKUP($G14,'Materials by UPN'!$G$3:$R$112,7)="","",VLOOKUP($G14,'Materials by UPN'!$G$3:$R$112,7))</f>
        <v/>
      </c>
      <c r="P14" s="56">
        <f>VLOOKUP($G14,'Materials by UPN'!$G$3:$R$112,11)</f>
        <v>0</v>
      </c>
      <c r="Q14" s="56">
        <f>F14*P14</f>
        <v>0</v>
      </c>
    </row>
    <row r="15" spans="1:17" x14ac:dyDescent="0.35">
      <c r="B15" s="45" t="s">
        <v>215</v>
      </c>
      <c r="C15" s="46"/>
      <c r="D15" s="46" t="s">
        <v>321</v>
      </c>
      <c r="E15" s="46"/>
      <c r="F15" s="47"/>
      <c r="G15" s="47">
        <v>0</v>
      </c>
      <c r="H15" s="48"/>
      <c r="I15" s="49" t="s">
        <v>215</v>
      </c>
      <c r="J15" s="46" t="s">
        <v>233</v>
      </c>
      <c r="K15" s="50"/>
      <c r="L15" s="50"/>
      <c r="M15" s="50"/>
      <c r="N15" s="50"/>
      <c r="O15" s="50"/>
      <c r="P15" s="51"/>
      <c r="Q15" s="50"/>
    </row>
    <row r="16" spans="1:17" x14ac:dyDescent="0.35">
      <c r="B16" s="52"/>
      <c r="C16" s="52"/>
      <c r="D16" s="52"/>
      <c r="E16" s="52"/>
      <c r="F16" s="53">
        <v>1</v>
      </c>
      <c r="G16" s="53">
        <v>103</v>
      </c>
      <c r="H16" s="54"/>
      <c r="I16" s="53" t="s">
        <v>215</v>
      </c>
      <c r="J16" s="55" t="str">
        <f>VLOOKUP($G16,'Materials by UPN'!$G$3:$R$112,2)</f>
        <v>RK05 Emulator Dress Panel</v>
      </c>
      <c r="K16" s="55" t="str">
        <f>IF(VLOOKUP($G16,'Materials by UPN'!$G$3:$R$112,3)="","",VLOOKUP($G16,'Materials by UPN'!$G$3:$R$112,3))</f>
        <v>v00</v>
      </c>
      <c r="L16" s="55" t="str">
        <f>IF(VLOOKUP($G16,'Materials by UPN'!$G$3:$R$112,4)="","",VLOOKUP($G16,'Materials by UPN'!$G$3:$R$112,4))</f>
        <v/>
      </c>
      <c r="M16" s="55" t="str">
        <f>IF(VLOOKUP($G16,'Materials by UPN'!$G$3:$R$112,5)="","",VLOOKUP($G16,'Materials by UPN'!$G$3:$R$112,5))</f>
        <v/>
      </c>
      <c r="N16" s="55" t="str">
        <f>VLOOKUP($G16,'Materials by UPN'!$G$3:$R$112,6)</f>
        <v>JLCPCB</v>
      </c>
      <c r="O16" s="55" t="str">
        <f>IF(VLOOKUP($G16,'Materials by UPN'!$G$3:$R$112,7)="","",VLOOKUP($G16,'Materials by UPN'!$G$3:$R$112,7))</f>
        <v>Surface Finish: LeadFree HASL</v>
      </c>
      <c r="P16" s="56">
        <f>VLOOKUP($G16,'Materials by UPN'!$G$3:$R$112,11)</f>
        <v>3.133</v>
      </c>
      <c r="Q16" s="56">
        <f>F16*P16</f>
        <v>3.133</v>
      </c>
    </row>
    <row r="17" spans="2:17" x14ac:dyDescent="0.35">
      <c r="B17" s="45" t="s">
        <v>214</v>
      </c>
      <c r="C17" s="46"/>
      <c r="D17" s="46" t="s">
        <v>230</v>
      </c>
      <c r="E17" s="46"/>
      <c r="F17" s="47"/>
      <c r="G17" s="47">
        <v>0</v>
      </c>
      <c r="H17" s="48"/>
      <c r="I17" s="49" t="s">
        <v>214</v>
      </c>
      <c r="J17" s="46" t="s">
        <v>234</v>
      </c>
      <c r="K17" s="50"/>
      <c r="L17" s="50"/>
      <c r="M17" s="50"/>
      <c r="N17" s="50"/>
      <c r="O17" s="50"/>
      <c r="P17" s="51"/>
      <c r="Q17" s="50"/>
    </row>
    <row r="18" spans="2:17" x14ac:dyDescent="0.35">
      <c r="B18" s="52"/>
      <c r="C18" s="52"/>
      <c r="D18" s="52"/>
      <c r="E18" s="52"/>
      <c r="F18" s="53">
        <v>0</v>
      </c>
      <c r="G18" s="53">
        <v>301</v>
      </c>
      <c r="H18" s="54"/>
      <c r="I18" s="53" t="s">
        <v>214</v>
      </c>
      <c r="J18" s="55" t="str">
        <f>VLOOKUP($G18,'Materials by UPN'!$G$3:$R$112,2)</f>
        <v>M3 Threaded Spacer, hex, nylon, black, 25mm + 6mm, female-male</v>
      </c>
      <c r="K18" s="55" t="str">
        <f>IF(VLOOKUP($G18,'Materials by UPN'!$G$3:$R$112,3)="","",VLOOKUP($G18,'Materials by UPN'!$G$3:$R$112,3))</f>
        <v/>
      </c>
      <c r="L18" s="55" t="str">
        <f>IF(VLOOKUP($G18,'Materials by UPN'!$G$3:$R$112,4)="","",VLOOKUP($G18,'Materials by UPN'!$G$3:$R$112,4))</f>
        <v/>
      </c>
      <c r="M18" s="55" t="str">
        <f>IF(VLOOKUP($G18,'Materials by UPN'!$G$3:$R$112,5)="","",VLOOKUP($G18,'Materials by UPN'!$G$3:$R$112,5))</f>
        <v/>
      </c>
      <c r="N18" s="55" t="str">
        <f>VLOOKUP($G18,'Materials by UPN'!$G$3:$R$112,6)</f>
        <v>AliExpress</v>
      </c>
      <c r="O18" s="55" t="str">
        <f>IF(VLOOKUP($G18,'Materials by UPN'!$G$3:$R$112,7)="","",VLOOKUP($G18,'Materials by UPN'!$G$3:$R$112,7))</f>
        <v>https://www.aliexpress.us/item/3256804121267045.html</v>
      </c>
      <c r="P18" s="56">
        <f>VLOOKUP($G18,'Materials by UPN'!$G$3:$R$112,11)</f>
        <v>8.14E-2</v>
      </c>
      <c r="Q18" s="56">
        <f>F18*P18</f>
        <v>0</v>
      </c>
    </row>
    <row r="19" spans="2:17" x14ac:dyDescent="0.35">
      <c r="B19" s="52"/>
      <c r="C19" s="52"/>
      <c r="D19" s="52"/>
      <c r="E19" s="52"/>
      <c r="F19" s="53">
        <v>4</v>
      </c>
      <c r="G19" s="53">
        <v>369</v>
      </c>
      <c r="H19" s="54"/>
      <c r="I19" s="53" t="s">
        <v>214</v>
      </c>
      <c r="J19" s="55" t="str">
        <f>VLOOKUP($G19,'Materials by UPN'!$G$3:$R$112,2)</f>
        <v>M3 Threaded Spacer, hex, nylon, black, 30mm + 6mm, female-male</v>
      </c>
      <c r="K19" s="55" t="str">
        <f>IF(VLOOKUP($G19,'Materials by UPN'!$G$3:$R$112,3)="","",VLOOKUP($G19,'Materials by UPN'!$G$3:$R$112,3))</f>
        <v/>
      </c>
      <c r="L19" s="55" t="str">
        <f>IF(VLOOKUP($G19,'Materials by UPN'!$G$3:$R$112,4)="","",VLOOKUP($G19,'Materials by UPN'!$G$3:$R$112,4))</f>
        <v/>
      </c>
      <c r="M19" s="55" t="str">
        <f>IF(VLOOKUP($G19,'Materials by UPN'!$G$3:$R$112,5)="","",VLOOKUP($G19,'Materials by UPN'!$G$3:$R$112,5))</f>
        <v/>
      </c>
      <c r="N19" s="55" t="str">
        <f>VLOOKUP($G19,'Materials by UPN'!$G$3:$R$112,6)</f>
        <v>AliExpress</v>
      </c>
      <c r="O19" s="55" t="str">
        <f>IF(VLOOKUP($G19,'Materials by UPN'!$G$3:$R$112,7)="","",VLOOKUP($G19,'Materials by UPN'!$G$3:$R$112,7))</f>
        <v>https://www.aliexpress.us/item/3256804121267045.html</v>
      </c>
      <c r="P19" s="56">
        <f>VLOOKUP($G19,'Materials by UPN'!$G$3:$R$112,11)</f>
        <v>9.9226500000000009E-2</v>
      </c>
      <c r="Q19" s="56">
        <f>F19*P19</f>
        <v>0.39690600000000004</v>
      </c>
    </row>
    <row r="20" spans="2:17" x14ac:dyDescent="0.35">
      <c r="B20" s="52"/>
      <c r="C20" s="52"/>
      <c r="D20" s="52"/>
      <c r="E20" s="52"/>
      <c r="F20" s="53">
        <v>4</v>
      </c>
      <c r="G20" s="53">
        <v>331</v>
      </c>
      <c r="H20" s="54"/>
      <c r="I20" s="53" t="s">
        <v>214</v>
      </c>
      <c r="J20" s="55" t="str">
        <f>VLOOKUP($G20,'Materials by UPN'!$G$3:$R$112,2)</f>
        <v>M3 screw, hex, 8 mm, black</v>
      </c>
      <c r="K20" s="55" t="str">
        <f>IF(VLOOKUP($G20,'Materials by UPN'!$G$3:$R$112,3)="","",VLOOKUP($G20,'Materials by UPN'!$G$3:$R$112,3))</f>
        <v/>
      </c>
      <c r="L20" s="55" t="str">
        <f>IF(VLOOKUP($G20,'Materials by UPN'!$G$3:$R$112,4)="","",VLOOKUP($G20,'Materials by UPN'!$G$3:$R$112,4))</f>
        <v/>
      </c>
      <c r="M20" s="55" t="str">
        <f>IF(VLOOKUP($G20,'Materials by UPN'!$G$3:$R$112,5)="","",VLOOKUP($G20,'Materials by UPN'!$G$3:$R$112,5))</f>
        <v/>
      </c>
      <c r="N20" s="55" t="str">
        <f>VLOOKUP($G20,'Materials by UPN'!$G$3:$R$112,6)</f>
        <v>AliExpress</v>
      </c>
      <c r="O20" s="55" t="str">
        <f>IF(VLOOKUP($G20,'Materials by UPN'!$G$3:$R$112,7)="","",VLOOKUP($G20,'Materials by UPN'!$G$3:$R$112,7))</f>
        <v>https://www.aliexpress.us/item/3256805242052170.html</v>
      </c>
      <c r="P20" s="56">
        <f>VLOOKUP($G20,'Materials by UPN'!$G$3:$R$112,11)</f>
        <v>3.4749999999999996E-2</v>
      </c>
      <c r="Q20" s="56">
        <f>F20*P20</f>
        <v>0.13899999999999998</v>
      </c>
    </row>
    <row r="21" spans="2:17" x14ac:dyDescent="0.35">
      <c r="B21" s="52"/>
      <c r="C21" s="52"/>
      <c r="D21" s="52"/>
      <c r="E21" s="52"/>
      <c r="F21" s="53">
        <v>4</v>
      </c>
      <c r="G21" s="53">
        <v>332</v>
      </c>
      <c r="H21" s="54"/>
      <c r="I21" s="53" t="s">
        <v>214</v>
      </c>
      <c r="J21" s="55" t="str">
        <f>VLOOKUP($G21,'Materials by UPN'!$G$3:$R$112,2)</f>
        <v>M3 split lockwasher</v>
      </c>
      <c r="K21" s="55" t="str">
        <f>IF(VLOOKUP($G21,'Materials by UPN'!$G$3:$R$112,3)="","",VLOOKUP($G21,'Materials by UPN'!$G$3:$R$112,3))</f>
        <v/>
      </c>
      <c r="L21" s="55" t="str">
        <f>IF(VLOOKUP($G21,'Materials by UPN'!$G$3:$R$112,4)="","",VLOOKUP($G21,'Materials by UPN'!$G$3:$R$112,4))</f>
        <v/>
      </c>
      <c r="M21" s="55" t="str">
        <f>IF(VLOOKUP($G21,'Materials by UPN'!$G$3:$R$112,5)="","",VLOOKUP($G21,'Materials by UPN'!$G$3:$R$112,5))</f>
        <v/>
      </c>
      <c r="N21" s="55" t="str">
        <f>VLOOKUP($G21,'Materials by UPN'!$G$3:$R$112,6)</f>
        <v>Amazon</v>
      </c>
      <c r="O21" s="55" t="str">
        <f>IF(VLOOKUP($G21,'Materials by UPN'!$G$3:$R$112,7)="","",VLOOKUP($G21,'Materials by UPN'!$G$3:$R$112,7))</f>
        <v>https://www.amazon.com/gp/product/B07Z2FJ2XW</v>
      </c>
      <c r="P21" s="56">
        <f>VLOOKUP($G21,'Materials by UPN'!$G$3:$R$112,11)</f>
        <v>2.1528450000000001E-2</v>
      </c>
      <c r="Q21" s="56">
        <f>F21*P21</f>
        <v>8.6113800000000004E-2</v>
      </c>
    </row>
    <row r="22" spans="2:17" x14ac:dyDescent="0.35">
      <c r="B22" s="52"/>
      <c r="C22" s="52"/>
      <c r="D22" s="52"/>
      <c r="E22" s="52"/>
      <c r="F22" s="53">
        <v>1</v>
      </c>
      <c r="G22" s="2">
        <v>364</v>
      </c>
      <c r="I22" s="2" t="s">
        <v>292</v>
      </c>
      <c r="J22" t="str">
        <f>VLOOKUP($G22,'Materials by UPN'!$G$3:$R$112,2)</f>
        <v>3" x 5" Small Plastic Bags- Reclosable Zip Bags</v>
      </c>
      <c r="K22" t="str">
        <f>IF(VLOOKUP($G22,'Materials by UPN'!$G$3:$R$112,3)="","",VLOOKUP($G22,'Materials by UPN'!$G$3:$R$112,3))</f>
        <v/>
      </c>
      <c r="L22" t="str">
        <f>IF(VLOOKUP($G22,'Materials by UPN'!$G$3:$R$112,4)="","",VLOOKUP($G22,'Materials by UPN'!$G$3:$R$112,4))</f>
        <v/>
      </c>
      <c r="M22" t="str">
        <f>IF(VLOOKUP($G22,'Materials by UPN'!$G$3:$R$112,5)="","",VLOOKUP($G22,'Materials by UPN'!$G$3:$R$112,5))</f>
        <v/>
      </c>
      <c r="N22" t="str">
        <f>VLOOKUP($G22,'Materials by UPN'!$G$3:$R$112,6)</f>
        <v>Amazon</v>
      </c>
      <c r="O22" t="str">
        <f>IF(VLOOKUP($G22,'Materials by UPN'!$G$3:$R$112,7)="","",VLOOKUP($G22,'Materials by UPN'!$G$3:$R$112,7))</f>
        <v>https://www.amazon.com/gp/product/B07XBF98NV</v>
      </c>
      <c r="P22" s="4">
        <f>VLOOKUP($G22,'Materials by UPN'!$G$3:$R$112,11)</f>
        <v>1.9379999999999998E-2</v>
      </c>
      <c r="Q22" s="4">
        <f>F22*P22</f>
        <v>1.9379999999999998E-2</v>
      </c>
    </row>
    <row r="23" spans="2:17" x14ac:dyDescent="0.35">
      <c r="B23" s="45" t="s">
        <v>217</v>
      </c>
      <c r="C23" s="46"/>
      <c r="D23" s="46" t="s">
        <v>230</v>
      </c>
      <c r="E23" s="46"/>
      <c r="F23" s="47"/>
      <c r="G23" s="47">
        <v>0</v>
      </c>
      <c r="H23" s="48"/>
      <c r="I23" s="49" t="s">
        <v>217</v>
      </c>
      <c r="J23" s="46" t="s">
        <v>236</v>
      </c>
      <c r="K23" s="50"/>
      <c r="L23" s="50"/>
      <c r="M23" s="50"/>
      <c r="N23" s="50"/>
      <c r="O23" s="50"/>
      <c r="P23" s="51"/>
      <c r="Q23" s="50"/>
    </row>
    <row r="24" spans="2:17" x14ac:dyDescent="0.35">
      <c r="B24" s="52"/>
      <c r="C24" s="52"/>
      <c r="D24" s="52"/>
      <c r="E24" s="52"/>
      <c r="F24" s="53">
        <v>1</v>
      </c>
      <c r="G24" s="53">
        <v>202</v>
      </c>
      <c r="H24" s="54"/>
      <c r="I24" s="53" t="s">
        <v>217</v>
      </c>
      <c r="J24" s="55" t="str">
        <f>VLOOKUP($G24,'Materials by UPN'!$G$3:$R$112,2)</f>
        <v>RK05em connector filler/shim, 3D printed</v>
      </c>
      <c r="K24" s="55" t="str">
        <f>IF(VLOOKUP($G24,'Materials by UPN'!$G$3:$R$112,3)="","",VLOOKUP($G24,'Materials by UPN'!$G$3:$R$112,3))</f>
        <v>v05</v>
      </c>
      <c r="L24" s="55" t="str">
        <f>IF(VLOOKUP($G24,'Materials by UPN'!$G$3:$R$112,4)="","",VLOOKUP($G24,'Materials by UPN'!$G$3:$R$112,4))</f>
        <v/>
      </c>
      <c r="M24" s="55" t="str">
        <f>IF(VLOOKUP($G24,'Materials by UPN'!$G$3:$R$112,5)="","",VLOOKUP($G24,'Materials by UPN'!$G$3:$R$112,5))</f>
        <v>202 v05</v>
      </c>
      <c r="N24" s="55" t="str">
        <f>VLOOKUP($G24,'Materials by UPN'!$G$3:$R$112,6)</f>
        <v>JLCPCB</v>
      </c>
      <c r="O24" s="55" t="str">
        <f>IF(VLOOKUP($G24,'Materials by UPN'!$G$3:$R$112,7)="","",VLOOKUP($G24,'Materials by UPN'!$G$3:$R$112,7))</f>
        <v>200 v03, SLA (Resin), LEDO 6060, Natural White</v>
      </c>
      <c r="P24" s="56">
        <f>VLOOKUP($G24,'Materials by UPN'!$G$3:$R$112,11)</f>
        <v>1.0696666666666668</v>
      </c>
      <c r="Q24" s="56">
        <f t="shared" ref="Q24:Q33" si="0">F24*P24</f>
        <v>1.0696666666666668</v>
      </c>
    </row>
    <row r="25" spans="2:17" x14ac:dyDescent="0.35">
      <c r="B25" s="52"/>
      <c r="C25" s="52"/>
      <c r="D25" s="52"/>
      <c r="E25" s="52"/>
      <c r="F25" s="53">
        <v>1</v>
      </c>
      <c r="G25" s="53">
        <v>310</v>
      </c>
      <c r="H25" s="54"/>
      <c r="I25" s="53" t="s">
        <v>217</v>
      </c>
      <c r="J25" s="55" t="str">
        <f>VLOOKUP($G25,'Materials by UPN'!$G$3:$R$112,2)</f>
        <v>Single Row 40 Pin 2.54 mm Male Pin Header Connector, cut to 3 pins</v>
      </c>
      <c r="K25" s="55" t="str">
        <f>IF(VLOOKUP($G25,'Materials by UPN'!$G$3:$R$112,3)="","",VLOOKUP($G25,'Materials by UPN'!$G$3:$R$112,3))</f>
        <v/>
      </c>
      <c r="L25" s="55" t="str">
        <f>IF(VLOOKUP($G25,'Materials by UPN'!$G$3:$R$112,4)="","",VLOOKUP($G25,'Materials by UPN'!$G$3:$R$112,4))</f>
        <v/>
      </c>
      <c r="M25" s="55" t="str">
        <f>IF(VLOOKUP($G25,'Materials by UPN'!$G$3:$R$112,5)="","",VLOOKUP($G25,'Materials by UPN'!$G$3:$R$112,5))</f>
        <v/>
      </c>
      <c r="N25" s="55" t="str">
        <f>VLOOKUP($G25,'Materials by UPN'!$G$3:$R$112,6)</f>
        <v>Amazon</v>
      </c>
      <c r="O25" s="55" t="str">
        <f>IF(VLOOKUP($G25,'Materials by UPN'!$G$3:$R$112,7)="","",VLOOKUP($G25,'Materials by UPN'!$G$3:$R$112,7))</f>
        <v>https://www.amazon.com/gp/product/B06XR8CV8P</v>
      </c>
      <c r="P25" s="56">
        <f>VLOOKUP($G25,'Materials by UPN'!$G$3:$R$112,11)</f>
        <v>1.6156156156156155E-2</v>
      </c>
      <c r="Q25" s="56">
        <f t="shared" si="0"/>
        <v>1.6156156156156155E-2</v>
      </c>
    </row>
    <row r="26" spans="2:17" x14ac:dyDescent="0.35">
      <c r="B26" s="52"/>
      <c r="C26" s="52"/>
      <c r="D26" s="52"/>
      <c r="E26" s="52"/>
      <c r="F26" s="53">
        <v>2</v>
      </c>
      <c r="G26" s="53">
        <v>312</v>
      </c>
      <c r="H26" s="54"/>
      <c r="I26" s="53" t="s">
        <v>217</v>
      </c>
      <c r="J26" s="55" t="str">
        <f>VLOOKUP($G26,'Materials by UPN'!$G$3:$R$112,2)</f>
        <v>connector, 3-pin, 3.96 EP PLUG HSG 3P(BLACK)</v>
      </c>
      <c r="K26" s="55" t="str">
        <f>IF(VLOOKUP($G26,'Materials by UPN'!$G$3:$R$112,3)="","",VLOOKUP($G26,'Materials by UPN'!$G$3:$R$112,3))</f>
        <v/>
      </c>
      <c r="L26" s="55" t="str">
        <f>IF(VLOOKUP($G26,'Materials by UPN'!$G$3:$R$112,4)="","",VLOOKUP($G26,'Materials by UPN'!$G$3:$R$112,4))</f>
        <v>TE Connectivity AMP Connectors</v>
      </c>
      <c r="M26" s="55" t="str">
        <f>IF(VLOOKUP($G26,'Materials by UPN'!$G$3:$R$112,5)="","",VLOOKUP($G26,'Materials by UPN'!$G$3:$R$112,5))</f>
        <v>5-1123722-3</v>
      </c>
      <c r="N26" s="55" t="str">
        <f>VLOOKUP($G26,'Materials by UPN'!$G$3:$R$112,6)</f>
        <v>Digikey</v>
      </c>
      <c r="O26" s="55" t="str">
        <f>IF(VLOOKUP($G26,'Materials by UPN'!$G$3:$R$112,7)="","",VLOOKUP($G26,'Materials by UPN'!$G$3:$R$112,7))</f>
        <v>https://www.digikey.com/en/products/detail/te-connectivity-amp-connectors/5-1123722-3/10467997</v>
      </c>
      <c r="P26" s="56">
        <f>VLOOKUP($G26,'Materials by UPN'!$G$3:$R$112,11)</f>
        <v>9.9301318950070216E-2</v>
      </c>
      <c r="Q26" s="56">
        <f t="shared" si="0"/>
        <v>0.19860263790014043</v>
      </c>
    </row>
    <row r="27" spans="2:17" x14ac:dyDescent="0.35">
      <c r="B27" s="52"/>
      <c r="C27" s="52"/>
      <c r="D27" s="52"/>
      <c r="E27" s="52"/>
      <c r="F27" s="53">
        <v>4</v>
      </c>
      <c r="G27" s="53">
        <v>339</v>
      </c>
      <c r="H27" s="54"/>
      <c r="I27" s="53" t="s">
        <v>217</v>
      </c>
      <c r="J27" s="55" t="str">
        <f>VLOOKUP($G27,'Materials by UPN'!$G$3:$R$112,2)</f>
        <v>CONN SOCKET Pin, 18-22AWG, crimp tin</v>
      </c>
      <c r="K27" s="55" t="str">
        <f>IF(VLOOKUP($G27,'Materials by UPN'!$G$3:$R$112,3)="","",VLOOKUP($G27,'Materials by UPN'!$G$3:$R$112,3))</f>
        <v/>
      </c>
      <c r="L27" s="55" t="str">
        <f>IF(VLOOKUP($G27,'Materials by UPN'!$G$3:$R$112,4)="","",VLOOKUP($G27,'Materials by UPN'!$G$3:$R$112,4))</f>
        <v>TE Connectivity AMP Connectors</v>
      </c>
      <c r="M27" s="55" t="str">
        <f>IF(VLOOKUP($G27,'Materials by UPN'!$G$3:$R$112,5)="","",VLOOKUP($G27,'Materials by UPN'!$G$3:$R$112,5))</f>
        <v>1123721-2</v>
      </c>
      <c r="N27" s="55" t="str">
        <f>VLOOKUP($G27,'Materials by UPN'!$G$3:$R$112,6)</f>
        <v>Digikey</v>
      </c>
      <c r="O27" s="55" t="str">
        <f>IF(VLOOKUP($G27,'Materials by UPN'!$G$3:$R$112,7)="","",VLOOKUP($G27,'Materials by UPN'!$G$3:$R$112,7))</f>
        <v>https://www.digikey.com/en/products/detail/te-connectivity-amp-connectors/1123721-2/686921</v>
      </c>
      <c r="P27" s="56">
        <f>VLOOKUP($G27,'Materials by UPN'!$G$3:$R$112,11)</f>
        <v>0.17641108789317883</v>
      </c>
      <c r="Q27" s="56">
        <f t="shared" si="0"/>
        <v>0.70564435157271532</v>
      </c>
    </row>
    <row r="28" spans="2:17" x14ac:dyDescent="0.35">
      <c r="B28" s="52"/>
      <c r="C28" s="52"/>
      <c r="D28" s="52"/>
      <c r="E28" s="52"/>
      <c r="F28" s="53">
        <v>1</v>
      </c>
      <c r="G28" s="53">
        <v>340</v>
      </c>
      <c r="H28" s="54" t="s">
        <v>125</v>
      </c>
      <c r="I28" s="53" t="s">
        <v>217</v>
      </c>
      <c r="J28" s="55" t="str">
        <f>VLOOKUP($G28,'Materials by UPN'!$G$3:$R$112,2)</f>
        <v>CONN HEADER VERT 3POS, 3.96MM</v>
      </c>
      <c r="K28" s="55" t="str">
        <f>IF(VLOOKUP($G28,'Materials by UPN'!$G$3:$R$112,3)="","",VLOOKUP($G28,'Materials by UPN'!$G$3:$R$112,3))</f>
        <v/>
      </c>
      <c r="L28" s="55" t="str">
        <f>IF(VLOOKUP($G28,'Materials by UPN'!$G$3:$R$112,4)="","",VLOOKUP($G28,'Materials by UPN'!$G$3:$R$112,4))</f>
        <v>TE Connectivity AMP Connectors</v>
      </c>
      <c r="M28" s="55" t="str">
        <f>IF(VLOOKUP($G28,'Materials by UPN'!$G$3:$R$112,5)="","",VLOOKUP($G28,'Materials by UPN'!$G$3:$R$112,5))</f>
        <v>4-1123724-2</v>
      </c>
      <c r="N28" s="55" t="str">
        <f>VLOOKUP($G28,'Materials by UPN'!$G$3:$R$112,6)</f>
        <v>Digikey</v>
      </c>
      <c r="O28" s="55" t="str">
        <f>IF(VLOOKUP($G28,'Materials by UPN'!$G$3:$R$112,7)="","",VLOOKUP($G28,'Materials by UPN'!$G$3:$R$112,7))</f>
        <v>https://www.digikey.com/en/products/detail/te-connectivity-amp-connectors/4-1123724-2/5439777</v>
      </c>
      <c r="P28" s="56">
        <f>VLOOKUP($G28,'Materials by UPN'!$G$3:$R$112,11)</f>
        <v>0.14770028112741537</v>
      </c>
      <c r="Q28" s="56">
        <f t="shared" si="0"/>
        <v>0.14770028112741537</v>
      </c>
    </row>
    <row r="29" spans="2:17" x14ac:dyDescent="0.35">
      <c r="B29" s="52"/>
      <c r="C29" s="52"/>
      <c r="D29" s="52"/>
      <c r="E29" s="52"/>
      <c r="F29" s="53">
        <v>1</v>
      </c>
      <c r="G29" s="53">
        <v>341</v>
      </c>
      <c r="H29" s="54" t="s">
        <v>121</v>
      </c>
      <c r="I29" s="53" t="s">
        <v>217</v>
      </c>
      <c r="J29" s="55" t="str">
        <f>VLOOKUP($G29,'Materials by UPN'!$G$3:$R$112,2)</f>
        <v>CONN HEADER VERT 2x4 Pos, 2.54mm</v>
      </c>
      <c r="K29" s="55" t="str">
        <f>IF(VLOOKUP($G29,'Materials by UPN'!$G$3:$R$112,3)="","",VLOOKUP($G29,'Materials by UPN'!$G$3:$R$112,3))</f>
        <v/>
      </c>
      <c r="L29" s="55" t="str">
        <f>IF(VLOOKUP($G29,'Materials by UPN'!$G$3:$R$112,4)="","",VLOOKUP($G29,'Materials by UPN'!$G$3:$R$112,4))</f>
        <v/>
      </c>
      <c r="M29" s="55" t="str">
        <f>IF(VLOOKUP($G29,'Materials by UPN'!$G$3:$R$112,5)="","",VLOOKUP($G29,'Materials by UPN'!$G$3:$R$112,5))</f>
        <v/>
      </c>
      <c r="N29" s="55" t="str">
        <f>VLOOKUP($G29,'Materials by UPN'!$G$3:$R$112,6)</f>
        <v>AliExpress</v>
      </c>
      <c r="O29" s="55" t="str">
        <f>IF(VLOOKUP($G29,'Materials by UPN'!$G$3:$R$112,7)="","",VLOOKUP($G29,'Materials by UPN'!$G$3:$R$112,7))</f>
        <v>https://www.aliexpress.us/item/3256805773340189.html</v>
      </c>
      <c r="P29" s="56">
        <f>VLOOKUP($G29,'Materials by UPN'!$G$3:$R$112,11)</f>
        <v>6.7799999999999999E-2</v>
      </c>
      <c r="Q29" s="56">
        <f t="shared" si="0"/>
        <v>6.7799999999999999E-2</v>
      </c>
    </row>
    <row r="30" spans="2:17" x14ac:dyDescent="0.35">
      <c r="B30" s="52"/>
      <c r="C30" s="52"/>
      <c r="D30" s="52"/>
      <c r="E30" s="52"/>
      <c r="F30" s="53">
        <v>1</v>
      </c>
      <c r="G30" s="53">
        <v>342</v>
      </c>
      <c r="H30" s="54" t="s">
        <v>122</v>
      </c>
      <c r="I30" s="53" t="s">
        <v>217</v>
      </c>
      <c r="J30" s="55" t="str">
        <f>VLOOKUP($G30,'Materials by UPN'!$G$3:$R$112,2)</f>
        <v>CONN HEADER VERT 2x8 Pos, 2.54mm</v>
      </c>
      <c r="K30" s="55" t="str">
        <f>IF(VLOOKUP($G30,'Materials by UPN'!$G$3:$R$112,3)="","",VLOOKUP($G30,'Materials by UPN'!$G$3:$R$112,3))</f>
        <v/>
      </c>
      <c r="L30" s="55" t="str">
        <f>IF(VLOOKUP($G30,'Materials by UPN'!$G$3:$R$112,4)="","",VLOOKUP($G30,'Materials by UPN'!$G$3:$R$112,4))</f>
        <v/>
      </c>
      <c r="M30" s="55" t="str">
        <f>IF(VLOOKUP($G30,'Materials by UPN'!$G$3:$R$112,5)="","",VLOOKUP($G30,'Materials by UPN'!$G$3:$R$112,5))</f>
        <v/>
      </c>
      <c r="N30" s="55" t="str">
        <f>VLOOKUP($G30,'Materials by UPN'!$G$3:$R$112,6)</f>
        <v>AliExpress</v>
      </c>
      <c r="O30" s="55" t="str">
        <f>IF(VLOOKUP($G30,'Materials by UPN'!$G$3:$R$112,7)="","",VLOOKUP($G30,'Materials by UPN'!$G$3:$R$112,7))</f>
        <v>https://www.aliexpress.us/item/3256805773340189.html</v>
      </c>
      <c r="P30" s="56">
        <f>VLOOKUP($G30,'Materials by UPN'!$G$3:$R$112,11)</f>
        <v>0.12908449999999999</v>
      </c>
      <c r="Q30" s="56">
        <f t="shared" si="0"/>
        <v>0.12908449999999999</v>
      </c>
    </row>
    <row r="31" spans="2:17" x14ac:dyDescent="0.35">
      <c r="B31" s="52"/>
      <c r="C31" s="52"/>
      <c r="D31" s="52"/>
      <c r="E31" s="52"/>
      <c r="F31" s="53">
        <v>2</v>
      </c>
      <c r="G31" s="53">
        <v>344</v>
      </c>
      <c r="H31" s="54" t="s">
        <v>123</v>
      </c>
      <c r="I31" s="53" t="s">
        <v>217</v>
      </c>
      <c r="J31" s="55" t="str">
        <f>VLOOKUP($G31,'Materials by UPN'!$G$3:$R$112,2)</f>
        <v>Connector, 20-pin single row, socket strip, 2.54mm</v>
      </c>
      <c r="K31" s="55" t="str">
        <f>IF(VLOOKUP($G31,'Materials by UPN'!$G$3:$R$112,3)="","",VLOOKUP($G31,'Materials by UPN'!$G$3:$R$112,3))</f>
        <v/>
      </c>
      <c r="L31" s="55" t="str">
        <f>IF(VLOOKUP($G31,'Materials by UPN'!$G$3:$R$112,4)="","",VLOOKUP($G31,'Materials by UPN'!$G$3:$R$112,4))</f>
        <v/>
      </c>
      <c r="M31" s="55" t="str">
        <f>IF(VLOOKUP($G31,'Materials by UPN'!$G$3:$R$112,5)="","",VLOOKUP($G31,'Materials by UPN'!$G$3:$R$112,5))</f>
        <v/>
      </c>
      <c r="N31" s="55" t="str">
        <f>VLOOKUP($G31,'Materials by UPN'!$G$3:$R$112,6)</f>
        <v>AliExpress</v>
      </c>
      <c r="O31" s="55" t="str">
        <f>IF(VLOOKUP($G31,'Materials by UPN'!$G$3:$R$112,7)="","",VLOOKUP($G31,'Materials by UPN'!$G$3:$R$112,7))</f>
        <v>https://www.aliexpress.us/item/3256803424019097.html</v>
      </c>
      <c r="P31" s="56">
        <f>VLOOKUP($G31,'Materials by UPN'!$G$3:$R$112,11)</f>
        <v>0.51200000000000001</v>
      </c>
      <c r="Q31" s="56">
        <f t="shared" si="0"/>
        <v>1.024</v>
      </c>
    </row>
    <row r="32" spans="2:17" x14ac:dyDescent="0.35">
      <c r="B32" s="52"/>
      <c r="C32" s="52"/>
      <c r="D32" s="52"/>
      <c r="E32" s="52"/>
      <c r="F32" s="53">
        <v>1</v>
      </c>
      <c r="G32" s="53">
        <v>345</v>
      </c>
      <c r="H32" s="54" t="s">
        <v>120</v>
      </c>
      <c r="I32" s="53" t="s">
        <v>217</v>
      </c>
      <c r="J32" s="55" t="str">
        <f>VLOOKUP($G32,'Materials by UPN'!$G$3:$R$112,2)</f>
        <v>CONN HEADER VERT 2x5 Pos, 2.54mm</v>
      </c>
      <c r="K32" s="55" t="str">
        <f>IF(VLOOKUP($G32,'Materials by UPN'!$G$3:$R$112,3)="","",VLOOKUP($G32,'Materials by UPN'!$G$3:$R$112,3))</f>
        <v/>
      </c>
      <c r="L32" s="55" t="str">
        <f>IF(VLOOKUP($G32,'Materials by UPN'!$G$3:$R$112,4)="","",VLOOKUP($G32,'Materials by UPN'!$G$3:$R$112,4))</f>
        <v/>
      </c>
      <c r="M32" s="55" t="str">
        <f>IF(VLOOKUP($G32,'Materials by UPN'!$G$3:$R$112,5)="","",VLOOKUP($G32,'Materials by UPN'!$G$3:$R$112,5))</f>
        <v/>
      </c>
      <c r="N32" s="55" t="str">
        <f>VLOOKUP($G32,'Materials by UPN'!$G$3:$R$112,6)</f>
        <v>AliExpress</v>
      </c>
      <c r="O32" s="55" t="str">
        <f>IF(VLOOKUP($G32,'Materials by UPN'!$G$3:$R$112,7)="","",VLOOKUP($G32,'Materials by UPN'!$G$3:$R$112,7))</f>
        <v>https://www.aliexpress.us/item/3256805773340189.html</v>
      </c>
      <c r="P32" s="56">
        <f>VLOOKUP($G32,'Materials by UPN'!$G$3:$R$112,11)</f>
        <v>8.0677812500000001E-2</v>
      </c>
      <c r="Q32" s="56">
        <f t="shared" si="0"/>
        <v>8.0677812500000001E-2</v>
      </c>
    </row>
    <row r="33" spans="2:17" x14ac:dyDescent="0.35">
      <c r="B33" s="52"/>
      <c r="C33" s="52"/>
      <c r="D33" s="52"/>
      <c r="E33" s="52"/>
      <c r="F33" s="53">
        <v>1</v>
      </c>
      <c r="G33" s="53">
        <v>346</v>
      </c>
      <c r="H33" s="54"/>
      <c r="I33" s="53" t="s">
        <v>217</v>
      </c>
      <c r="J33" s="55" t="str">
        <f>VLOOKUP($G33,'Materials by UPN'!$G$3:$R$112,2)</f>
        <v>22AWG 2 Conductor, Low-Voltage Tinned-Copper Wire, 12-inch (30.5 cm)</v>
      </c>
      <c r="K33" s="55" t="str">
        <f>IF(VLOOKUP($G33,'Materials by UPN'!$G$3:$R$112,3)="","",VLOOKUP($G33,'Materials by UPN'!$G$3:$R$112,3))</f>
        <v/>
      </c>
      <c r="L33" s="55" t="str">
        <f>IF(VLOOKUP($G33,'Materials by UPN'!$G$3:$R$112,4)="","",VLOOKUP($G33,'Materials by UPN'!$G$3:$R$112,4))</f>
        <v/>
      </c>
      <c r="M33" s="55" t="str">
        <f>IF(VLOOKUP($G33,'Materials by UPN'!$G$3:$R$112,5)="","",VLOOKUP($G33,'Materials by UPN'!$G$3:$R$112,5))</f>
        <v/>
      </c>
      <c r="N33" s="55" t="str">
        <f>VLOOKUP($G33,'Materials by UPN'!$G$3:$R$112,6)</f>
        <v>Amazon</v>
      </c>
      <c r="O33" s="55" t="str">
        <f>IF(VLOOKUP($G33,'Materials by UPN'!$G$3:$R$112,7)="","",VLOOKUP($G33,'Materials by UPN'!$G$3:$R$112,7))</f>
        <v>https://www.amazon.com/dp/B07SCJ69H4</v>
      </c>
      <c r="P33" s="56">
        <f>VLOOKUP($G33,'Materials by UPN'!$G$3:$R$112,11)</f>
        <v>0.19558257575757576</v>
      </c>
      <c r="Q33" s="56">
        <f t="shared" si="0"/>
        <v>0.19558257575757576</v>
      </c>
    </row>
    <row r="34" spans="2:17" x14ac:dyDescent="0.35">
      <c r="B34" s="52"/>
      <c r="C34" s="52"/>
      <c r="D34" s="52"/>
      <c r="E34" s="52"/>
      <c r="F34" s="53">
        <v>1</v>
      </c>
      <c r="G34" s="2">
        <v>364</v>
      </c>
      <c r="I34" s="2" t="s">
        <v>293</v>
      </c>
      <c r="J34" t="str">
        <f>VLOOKUP($G34,'Materials by UPN'!$G$3:$R$112,2)</f>
        <v>3" x 5" Small Plastic Bags- Reclosable Zip Bags</v>
      </c>
      <c r="K34" t="str">
        <f>IF(VLOOKUP($G34,'Materials by UPN'!$G$3:$R$112,3)="","",VLOOKUP($G34,'Materials by UPN'!$G$3:$R$112,3))</f>
        <v/>
      </c>
      <c r="L34" t="str">
        <f>IF(VLOOKUP($G34,'Materials by UPN'!$G$3:$R$112,4)="","",VLOOKUP($G34,'Materials by UPN'!$G$3:$R$112,4))</f>
        <v/>
      </c>
      <c r="M34" t="str">
        <f>IF(VLOOKUP($G34,'Materials by UPN'!$G$3:$R$112,5)="","",VLOOKUP($G34,'Materials by UPN'!$G$3:$R$112,5))</f>
        <v/>
      </c>
      <c r="N34" t="str">
        <f>VLOOKUP($G34,'Materials by UPN'!$G$3:$R$112,6)</f>
        <v>Amazon</v>
      </c>
      <c r="O34" t="str">
        <f>IF(VLOOKUP($G34,'Materials by UPN'!$G$3:$R$112,7)="","",VLOOKUP($G34,'Materials by UPN'!$G$3:$R$112,7))</f>
        <v>https://www.amazon.com/gp/product/B07XBF98NV</v>
      </c>
      <c r="P34" s="4">
        <f>VLOOKUP($G34,'Materials by UPN'!$G$3:$R$112,11)</f>
        <v>1.9379999999999998E-2</v>
      </c>
      <c r="Q34" s="4">
        <f>F34*P34</f>
        <v>1.9379999999999998E-2</v>
      </c>
    </row>
    <row r="35" spans="2:17" x14ac:dyDescent="0.35">
      <c r="B35" s="45" t="s">
        <v>218</v>
      </c>
      <c r="C35" s="46"/>
      <c r="D35" s="46" t="s">
        <v>230</v>
      </c>
      <c r="E35" s="46"/>
      <c r="F35" s="47"/>
      <c r="G35" s="47">
        <v>0</v>
      </c>
      <c r="H35" s="48"/>
      <c r="I35" s="49" t="s">
        <v>218</v>
      </c>
      <c r="J35" s="46" t="s">
        <v>244</v>
      </c>
      <c r="K35" s="50"/>
      <c r="L35" s="50"/>
      <c r="M35" s="50"/>
      <c r="N35" s="50"/>
      <c r="O35" s="50"/>
      <c r="P35" s="51"/>
      <c r="Q35" s="50"/>
    </row>
    <row r="36" spans="2:17" x14ac:dyDescent="0.35">
      <c r="B36" s="52"/>
      <c r="C36" s="52"/>
      <c r="D36" s="52"/>
      <c r="E36" s="52"/>
      <c r="F36" s="53">
        <v>2</v>
      </c>
      <c r="G36" s="53">
        <v>315</v>
      </c>
      <c r="H36" s="54"/>
      <c r="I36" s="53" t="s">
        <v>218</v>
      </c>
      <c r="J36" s="55" t="str">
        <f>VLOOKUP($G36,'Materials by UPN'!$G$3:$R$112,2)</f>
        <v>M2 x 8mm screw, steel</v>
      </c>
      <c r="K36" s="55" t="str">
        <f>IF(VLOOKUP($G36,'Materials by UPN'!$G$3:$R$112,3)="","",VLOOKUP($G36,'Materials by UPN'!$G$3:$R$112,3))</f>
        <v/>
      </c>
      <c r="L36" s="55" t="str">
        <f>IF(VLOOKUP($G36,'Materials by UPN'!$G$3:$R$112,4)="","",VLOOKUP($G36,'Materials by UPN'!$G$3:$R$112,4))</f>
        <v/>
      </c>
      <c r="M36" s="55" t="str">
        <f>IF(VLOOKUP($G36,'Materials by UPN'!$G$3:$R$112,5)="","",VLOOKUP($G36,'Materials by UPN'!$G$3:$R$112,5))</f>
        <v/>
      </c>
      <c r="N36" s="55" t="str">
        <f>VLOOKUP($G36,'Materials by UPN'!$G$3:$R$112,6)</f>
        <v>Amazon</v>
      </c>
      <c r="O36" s="55" t="str">
        <f>IF(VLOOKUP($G36,'Materials by UPN'!$G$3:$R$112,7)="","",VLOOKUP($G36,'Materials by UPN'!$G$3:$R$112,7))</f>
        <v>https://www.amazon.com/gp/product/B01M5DVI7A</v>
      </c>
      <c r="P36" s="56">
        <f>VLOOKUP($G36,'Materials by UPN'!$G$3:$R$112,11)</f>
        <v>8.9666666666666658E-2</v>
      </c>
      <c r="Q36" s="56">
        <f t="shared" ref="Q36:Q45" si="1">F36*P36</f>
        <v>0.17933333333333332</v>
      </c>
    </row>
    <row r="37" spans="2:17" x14ac:dyDescent="0.35">
      <c r="B37" s="52"/>
      <c r="C37" s="52"/>
      <c r="D37" s="52"/>
      <c r="E37" s="52"/>
      <c r="F37" s="53">
        <v>0</v>
      </c>
      <c r="G37" s="53">
        <v>321</v>
      </c>
      <c r="H37" s="54"/>
      <c r="I37" s="53" t="s">
        <v>218</v>
      </c>
      <c r="J37" s="55" t="str">
        <f>VLOOKUP($G37,'Materials by UPN'!$G$3:$R$112,2)</f>
        <v>M2 Phillips Round Pan Head Machine Screws (M2 x 4mm), Stainless Steel</v>
      </c>
      <c r="K37" s="55" t="str">
        <f>IF(VLOOKUP($G37,'Materials by UPN'!$G$3:$R$112,3)="","",VLOOKUP($G37,'Materials by UPN'!$G$3:$R$112,3))</f>
        <v/>
      </c>
      <c r="L37" s="55" t="str">
        <f>IF(VLOOKUP($G37,'Materials by UPN'!$G$3:$R$112,4)="","",VLOOKUP($G37,'Materials by UPN'!$G$3:$R$112,4))</f>
        <v/>
      </c>
      <c r="M37" s="55" t="str">
        <f>IF(VLOOKUP($G37,'Materials by UPN'!$G$3:$R$112,5)="","",VLOOKUP($G37,'Materials by UPN'!$G$3:$R$112,5))</f>
        <v/>
      </c>
      <c r="N37" s="55" t="str">
        <f>VLOOKUP($G37,'Materials by UPN'!$G$3:$R$112,6)</f>
        <v>Amazon</v>
      </c>
      <c r="O37" s="55" t="str">
        <f>IF(VLOOKUP($G37,'Materials by UPN'!$G$3:$R$112,7)="","",VLOOKUP($G37,'Materials by UPN'!$G$3:$R$112,7))</f>
        <v>https://www.amazon.com/gp/product/B07HFYZ9YM</v>
      </c>
      <c r="P37" s="56">
        <f>VLOOKUP($G37,'Materials by UPN'!$G$3:$R$112,11)</f>
        <v>8.6099999999999996E-2</v>
      </c>
      <c r="Q37" s="56">
        <f t="shared" si="1"/>
        <v>0</v>
      </c>
    </row>
    <row r="38" spans="2:17" x14ac:dyDescent="0.35">
      <c r="B38" s="52"/>
      <c r="C38" s="52"/>
      <c r="D38" s="52"/>
      <c r="E38" s="52"/>
      <c r="F38" s="53">
        <v>2</v>
      </c>
      <c r="G38" s="53">
        <v>322</v>
      </c>
      <c r="H38" s="54"/>
      <c r="I38" s="53" t="s">
        <v>218</v>
      </c>
      <c r="J38" s="55" t="str">
        <f>VLOOKUP($G38,'Materials by UPN'!$G$3:$R$112,2)</f>
        <v>M2 split lockwasher</v>
      </c>
      <c r="K38" s="55" t="str">
        <f>IF(VLOOKUP($G38,'Materials by UPN'!$G$3:$R$112,3)="","",VLOOKUP($G38,'Materials by UPN'!$G$3:$R$112,3))</f>
        <v/>
      </c>
      <c r="L38" s="55" t="str">
        <f>IF(VLOOKUP($G38,'Materials by UPN'!$G$3:$R$112,4)="","",VLOOKUP($G38,'Materials by UPN'!$G$3:$R$112,4))</f>
        <v/>
      </c>
      <c r="M38" s="55" t="str">
        <f>IF(VLOOKUP($G38,'Materials by UPN'!$G$3:$R$112,5)="","",VLOOKUP($G38,'Materials by UPN'!$G$3:$R$112,5))</f>
        <v/>
      </c>
      <c r="N38" s="55" t="str">
        <f>VLOOKUP($G38,'Materials by UPN'!$G$3:$R$112,6)</f>
        <v>Amazon</v>
      </c>
      <c r="O38" s="55" t="str">
        <f>IF(VLOOKUP($G38,'Materials by UPN'!$G$3:$R$112,7)="","",VLOOKUP($G38,'Materials by UPN'!$G$3:$R$112,7))</f>
        <v>https://www.amazon.com/gp/product/B09LLZHY87</v>
      </c>
      <c r="P38" s="56">
        <f>VLOOKUP($G38,'Materials by UPN'!$G$3:$R$112,11)</f>
        <v>2.2620000000000001E-2</v>
      </c>
      <c r="Q38" s="56">
        <f t="shared" si="1"/>
        <v>4.5240000000000002E-2</v>
      </c>
    </row>
    <row r="39" spans="2:17" x14ac:dyDescent="0.35">
      <c r="B39" s="52"/>
      <c r="C39" s="52"/>
      <c r="D39" s="52"/>
      <c r="E39" s="52"/>
      <c r="F39" s="53">
        <v>2</v>
      </c>
      <c r="G39" s="53">
        <v>324</v>
      </c>
      <c r="H39" s="54"/>
      <c r="I39" s="53" t="s">
        <v>218</v>
      </c>
      <c r="J39" s="55" t="str">
        <f>VLOOKUP($G39,'Materials by UPN'!$G$3:$R$112,2)</f>
        <v>M2 Threaded Spacer, hex, nylon, black, 10mm, female-female</v>
      </c>
      <c r="K39" s="55" t="str">
        <f>IF(VLOOKUP($G39,'Materials by UPN'!$G$3:$R$112,3)="","",VLOOKUP($G39,'Materials by UPN'!$G$3:$R$112,3))</f>
        <v/>
      </c>
      <c r="L39" s="55" t="str">
        <f>IF(VLOOKUP($G39,'Materials by UPN'!$G$3:$R$112,4)="","",VLOOKUP($G39,'Materials by UPN'!$G$3:$R$112,4))</f>
        <v/>
      </c>
      <c r="M39" s="55" t="str">
        <f>IF(VLOOKUP($G39,'Materials by UPN'!$G$3:$R$112,5)="","",VLOOKUP($G39,'Materials by UPN'!$G$3:$R$112,5))</f>
        <v/>
      </c>
      <c r="N39" s="55" t="str">
        <f>VLOOKUP($G39,'Materials by UPN'!$G$3:$R$112,6)</f>
        <v>AliExpress</v>
      </c>
      <c r="O39" s="55" t="str">
        <f>IF(VLOOKUP($G39,'Materials by UPN'!$G$3:$R$112,7)="","",VLOOKUP($G39,'Materials by UPN'!$G$3:$R$112,7))</f>
        <v>https://www.aliexpress.us/item/3256805464087324.html</v>
      </c>
      <c r="P39" s="56">
        <f>VLOOKUP($G39,'Materials by UPN'!$G$3:$R$112,11)</f>
        <v>4.4600000000000001E-2</v>
      </c>
      <c r="Q39" s="56">
        <f t="shared" si="1"/>
        <v>8.9200000000000002E-2</v>
      </c>
    </row>
    <row r="40" spans="2:17" x14ac:dyDescent="0.35">
      <c r="B40" s="52"/>
      <c r="C40" s="52"/>
      <c r="D40" s="52"/>
      <c r="E40" s="52"/>
      <c r="F40" s="53">
        <v>2</v>
      </c>
      <c r="G40" s="53">
        <v>325</v>
      </c>
      <c r="H40" s="54"/>
      <c r="I40" s="53" t="s">
        <v>218</v>
      </c>
      <c r="J40" s="55" t="str">
        <f>VLOOKUP($G40,'Materials by UPN'!$G$3:$R$112,2)</f>
        <v>M2 nylon flat washer</v>
      </c>
      <c r="K40" s="55" t="str">
        <f>IF(VLOOKUP($G40,'Materials by UPN'!$G$3:$R$112,3)="","",VLOOKUP($G40,'Materials by UPN'!$G$3:$R$112,3))</f>
        <v/>
      </c>
      <c r="L40" s="55" t="str">
        <f>IF(VLOOKUP($G40,'Materials by UPN'!$G$3:$R$112,4)="","",VLOOKUP($G40,'Materials by UPN'!$G$3:$R$112,4))</f>
        <v/>
      </c>
      <c r="M40" s="55" t="str">
        <f>IF(VLOOKUP($G40,'Materials by UPN'!$G$3:$R$112,5)="","",VLOOKUP($G40,'Materials by UPN'!$G$3:$R$112,5))</f>
        <v/>
      </c>
      <c r="N40" s="55" t="str">
        <f>VLOOKUP($G40,'Materials by UPN'!$G$3:$R$112,6)</f>
        <v>Amazon</v>
      </c>
      <c r="O40" s="55" t="str">
        <f>IF(VLOOKUP($G40,'Materials by UPN'!$G$3:$R$112,7)="","",VLOOKUP($G40,'Materials by UPN'!$G$3:$R$112,7))</f>
        <v>https://www.amazon.com/uxcell-Insulating-Washers-Gaskets-Spacers/dp/B01N6B5KJN</v>
      </c>
      <c r="P40" s="56">
        <f>VLOOKUP($G40,'Materials by UPN'!$G$3:$R$112,11)</f>
        <v>3.7650000000000003E-2</v>
      </c>
      <c r="Q40" s="56">
        <f t="shared" si="1"/>
        <v>7.5300000000000006E-2</v>
      </c>
    </row>
    <row r="41" spans="2:17" x14ac:dyDescent="0.35">
      <c r="B41" s="52"/>
      <c r="C41" s="52"/>
      <c r="D41" s="52"/>
      <c r="E41" s="52"/>
      <c r="F41" s="53">
        <v>8</v>
      </c>
      <c r="G41" s="53">
        <v>326</v>
      </c>
      <c r="H41" s="54"/>
      <c r="I41" s="53" t="s">
        <v>218</v>
      </c>
      <c r="J41" s="55" t="str">
        <f>VLOOKUP($G41,'Materials by UPN'!$G$3:$R$112,2)</f>
        <v>M3 Threaded Spacer,  hex, nylon, black, 12mm, female-female</v>
      </c>
      <c r="K41" s="55" t="str">
        <f>IF(VLOOKUP($G41,'Materials by UPN'!$G$3:$R$112,3)="","",VLOOKUP($G41,'Materials by UPN'!$G$3:$R$112,3))</f>
        <v/>
      </c>
      <c r="L41" s="55" t="str">
        <f>IF(VLOOKUP($G41,'Materials by UPN'!$G$3:$R$112,4)="","",VLOOKUP($G41,'Materials by UPN'!$G$3:$R$112,4))</f>
        <v/>
      </c>
      <c r="M41" s="55" t="str">
        <f>IF(VLOOKUP($G41,'Materials by UPN'!$G$3:$R$112,5)="","",VLOOKUP($G41,'Materials by UPN'!$G$3:$R$112,5))</f>
        <v/>
      </c>
      <c r="N41" s="55" t="str">
        <f>VLOOKUP($G41,'Materials by UPN'!$G$3:$R$112,6)</f>
        <v>Amazon</v>
      </c>
      <c r="O41" s="55" t="str">
        <f>IF(VLOOKUP($G41,'Materials by UPN'!$G$3:$R$112,7)="","",VLOOKUP($G41,'Materials by UPN'!$G$3:$R$112,7))</f>
        <v>https://www.amazon.com/gp/product/B072LGMRVD</v>
      </c>
      <c r="P41" s="56">
        <f>VLOOKUP($G41,'Materials by UPN'!$G$3:$R$112,11)</f>
        <v>6.7500000000000004E-2</v>
      </c>
      <c r="Q41" s="56">
        <f t="shared" si="1"/>
        <v>0.54</v>
      </c>
    </row>
    <row r="42" spans="2:17" x14ac:dyDescent="0.35">
      <c r="B42" s="52"/>
      <c r="C42" s="52"/>
      <c r="D42" s="52"/>
      <c r="E42" s="52"/>
      <c r="F42" s="53">
        <v>8</v>
      </c>
      <c r="G42" s="53">
        <v>327</v>
      </c>
      <c r="H42" s="54"/>
      <c r="I42" s="53" t="s">
        <v>218</v>
      </c>
      <c r="J42" s="55" t="str">
        <f>VLOOKUP($G42,'Materials by UPN'!$G$3:$R$112,2)</f>
        <v>M3 screw, hex, 6 mm, black</v>
      </c>
      <c r="K42" s="55" t="str">
        <f>IF(VLOOKUP($G42,'Materials by UPN'!$G$3:$R$112,3)="","",VLOOKUP($G42,'Materials by UPN'!$G$3:$R$112,3))</f>
        <v/>
      </c>
      <c r="L42" s="55" t="str">
        <f>IF(VLOOKUP($G42,'Materials by UPN'!$G$3:$R$112,4)="","",VLOOKUP($G42,'Materials by UPN'!$G$3:$R$112,4))</f>
        <v/>
      </c>
      <c r="M42" s="55" t="str">
        <f>IF(VLOOKUP($G42,'Materials by UPN'!$G$3:$R$112,5)="","",VLOOKUP($G42,'Materials by UPN'!$G$3:$R$112,5))</f>
        <v/>
      </c>
      <c r="N42" s="55" t="str">
        <f>VLOOKUP($G42,'Materials by UPN'!$G$3:$R$112,6)</f>
        <v>AliExpress</v>
      </c>
      <c r="O42" s="55" t="str">
        <f>IF(VLOOKUP($G42,'Materials by UPN'!$G$3:$R$112,7)="","",VLOOKUP($G42,'Materials by UPN'!$G$3:$R$112,7))</f>
        <v>https://www.aliexpress.us/item/3256805242052170.html</v>
      </c>
      <c r="P42" s="56">
        <f>VLOOKUP($G42,'Materials by UPN'!$G$3:$R$112,11)</f>
        <v>2.9749999999999999E-2</v>
      </c>
      <c r="Q42" s="56">
        <f t="shared" si="1"/>
        <v>0.23799999999999999</v>
      </c>
    </row>
    <row r="43" spans="2:17" x14ac:dyDescent="0.35">
      <c r="B43" s="52"/>
      <c r="C43" s="52"/>
      <c r="D43" s="52"/>
      <c r="E43" s="52"/>
      <c r="F43" s="53">
        <v>2</v>
      </c>
      <c r="G43" s="53">
        <v>328</v>
      </c>
      <c r="H43" s="54"/>
      <c r="I43" s="53" t="s">
        <v>218</v>
      </c>
      <c r="J43" s="55" t="str">
        <f>VLOOKUP($G43,'Materials by UPN'!$G$3:$R$112,2)</f>
        <v>M3 self locking nut</v>
      </c>
      <c r="K43" s="55" t="str">
        <f>IF(VLOOKUP($G43,'Materials by UPN'!$G$3:$R$112,3)="","",VLOOKUP($G43,'Materials by UPN'!$G$3:$R$112,3))</f>
        <v/>
      </c>
      <c r="L43" s="55" t="str">
        <f>IF(VLOOKUP($G43,'Materials by UPN'!$G$3:$R$112,4)="","",VLOOKUP($G43,'Materials by UPN'!$G$3:$R$112,4))</f>
        <v/>
      </c>
      <c r="M43" s="55" t="str">
        <f>IF(VLOOKUP($G43,'Materials by UPN'!$G$3:$R$112,5)="","",VLOOKUP($G43,'Materials by UPN'!$G$3:$R$112,5))</f>
        <v/>
      </c>
      <c r="N43" s="55" t="str">
        <f>VLOOKUP($G43,'Materials by UPN'!$G$3:$R$112,6)</f>
        <v>Amazon</v>
      </c>
      <c r="O43" s="55" t="str">
        <f>IF(VLOOKUP($G43,'Materials by UPN'!$G$3:$R$112,7)="","",VLOOKUP($G43,'Materials by UPN'!$G$3:$R$112,7))</f>
        <v>https://www.amazon.com/Stainless-Self-Locking-Industrial-Construction-Fasteners/dp/B09SLLQ3KV</v>
      </c>
      <c r="P43" s="56">
        <f>VLOOKUP($G43,'Materials by UPN'!$G$3:$R$112,11)</f>
        <v>5.4533333333333329E-2</v>
      </c>
      <c r="Q43" s="56">
        <f t="shared" si="1"/>
        <v>0.10906666666666666</v>
      </c>
    </row>
    <row r="44" spans="2:17" x14ac:dyDescent="0.35">
      <c r="B44" s="52"/>
      <c r="C44" s="52"/>
      <c r="D44" s="52"/>
      <c r="E44" s="52"/>
      <c r="F44" s="53">
        <v>12</v>
      </c>
      <c r="G44" s="53">
        <v>329</v>
      </c>
      <c r="H44" s="54"/>
      <c r="I44" s="53" t="s">
        <v>218</v>
      </c>
      <c r="J44" s="55" t="str">
        <f>VLOOKUP($G44,'Materials by UPN'!$G$3:$R$112,2)</f>
        <v>Self-Adhesive Clear Rubber Feet, 6mm dia x 2mm thick</v>
      </c>
      <c r="K44" s="55" t="str">
        <f>IF(VLOOKUP($G44,'Materials by UPN'!$G$3:$R$112,3)="","",VLOOKUP($G44,'Materials by UPN'!$G$3:$R$112,3))</f>
        <v/>
      </c>
      <c r="L44" s="55" t="str">
        <f>IF(VLOOKUP($G44,'Materials by UPN'!$G$3:$R$112,4)="","",VLOOKUP($G44,'Materials by UPN'!$G$3:$R$112,4))</f>
        <v/>
      </c>
      <c r="M44" s="55" t="str">
        <f>IF(VLOOKUP($G44,'Materials by UPN'!$G$3:$R$112,5)="","",VLOOKUP($G44,'Materials by UPN'!$G$3:$R$112,5))</f>
        <v/>
      </c>
      <c r="N44" s="55" t="str">
        <f>VLOOKUP($G44,'Materials by UPN'!$G$3:$R$112,6)</f>
        <v>Amazon</v>
      </c>
      <c r="O44" s="55" t="str">
        <f>IF(VLOOKUP($G44,'Materials by UPN'!$G$3:$R$112,7)="","",VLOOKUP($G44,'Materials by UPN'!$G$3:$R$112,7))</f>
        <v>https://www.amazon.com/gp/product/B073ST7Q27</v>
      </c>
      <c r="P44" s="56">
        <f>VLOOKUP($G44,'Materials by UPN'!$G$3:$R$112,11)</f>
        <v>1.4225000000000002E-2</v>
      </c>
      <c r="Q44" s="56">
        <f t="shared" si="1"/>
        <v>0.17070000000000002</v>
      </c>
    </row>
    <row r="45" spans="2:17" x14ac:dyDescent="0.35">
      <c r="B45" s="52"/>
      <c r="C45" s="52"/>
      <c r="D45" s="52"/>
      <c r="E45" s="52"/>
      <c r="F45" s="53">
        <v>2</v>
      </c>
      <c r="G45" s="53">
        <v>331</v>
      </c>
      <c r="H45" s="54"/>
      <c r="I45" s="53" t="s">
        <v>218</v>
      </c>
      <c r="J45" s="55" t="str">
        <f>VLOOKUP($G45,'Materials by UPN'!$G$3:$R$112,2)</f>
        <v>M3 screw, hex, 8 mm, black</v>
      </c>
      <c r="K45" s="55" t="str">
        <f>IF(VLOOKUP($G45,'Materials by UPN'!$G$3:$R$112,3)="","",VLOOKUP($G45,'Materials by UPN'!$G$3:$R$112,3))</f>
        <v/>
      </c>
      <c r="L45" s="55" t="str">
        <f>IF(VLOOKUP($G45,'Materials by UPN'!$G$3:$R$112,4)="","",VLOOKUP($G45,'Materials by UPN'!$G$3:$R$112,4))</f>
        <v/>
      </c>
      <c r="M45" s="55" t="str">
        <f>IF(VLOOKUP($G45,'Materials by UPN'!$G$3:$R$112,5)="","",VLOOKUP($G45,'Materials by UPN'!$G$3:$R$112,5))</f>
        <v/>
      </c>
      <c r="N45" s="55" t="str">
        <f>VLOOKUP($G45,'Materials by UPN'!$G$3:$R$112,6)</f>
        <v>AliExpress</v>
      </c>
      <c r="O45" s="55" t="str">
        <f>IF(VLOOKUP($G45,'Materials by UPN'!$G$3:$R$112,7)="","",VLOOKUP($G45,'Materials by UPN'!$G$3:$R$112,7))</f>
        <v>https://www.aliexpress.us/item/3256805242052170.html</v>
      </c>
      <c r="P45" s="56">
        <f>VLOOKUP($G45,'Materials by UPN'!$G$3:$R$112,11)</f>
        <v>3.4749999999999996E-2</v>
      </c>
      <c r="Q45" s="56">
        <f t="shared" si="1"/>
        <v>6.9499999999999992E-2</v>
      </c>
    </row>
    <row r="46" spans="2:17" x14ac:dyDescent="0.35">
      <c r="B46" s="52"/>
      <c r="C46" s="52"/>
      <c r="D46" s="52"/>
      <c r="E46" s="52"/>
      <c r="F46" s="53">
        <v>1</v>
      </c>
      <c r="G46" s="2">
        <v>364</v>
      </c>
      <c r="I46" s="2" t="s">
        <v>294</v>
      </c>
      <c r="J46" t="str">
        <f>VLOOKUP($G46,'Materials by UPN'!$G$3:$R$112,2)</f>
        <v>3" x 5" Small Plastic Bags- Reclosable Zip Bags</v>
      </c>
      <c r="K46" t="str">
        <f>IF(VLOOKUP($G46,'Materials by UPN'!$G$3:$R$112,3)="","",VLOOKUP($G46,'Materials by UPN'!$G$3:$R$112,3))</f>
        <v/>
      </c>
      <c r="L46" t="str">
        <f>IF(VLOOKUP($G46,'Materials by UPN'!$G$3:$R$112,4)="","",VLOOKUP($G46,'Materials by UPN'!$G$3:$R$112,4))</f>
        <v/>
      </c>
      <c r="M46" t="str">
        <f>IF(VLOOKUP($G46,'Materials by UPN'!$G$3:$R$112,5)="","",VLOOKUP($G46,'Materials by UPN'!$G$3:$R$112,5))</f>
        <v/>
      </c>
      <c r="N46" t="str">
        <f>VLOOKUP($G46,'Materials by UPN'!$G$3:$R$112,6)</f>
        <v>Amazon</v>
      </c>
      <c r="O46" t="str">
        <f>IF(VLOOKUP($G46,'Materials by UPN'!$G$3:$R$112,7)="","",VLOOKUP($G46,'Materials by UPN'!$G$3:$R$112,7))</f>
        <v>https://www.amazon.com/gp/product/B07XBF98NV</v>
      </c>
      <c r="P46" s="4">
        <f>VLOOKUP($G46,'Materials by UPN'!$G$3:$R$112,11)</f>
        <v>1.9379999999999998E-2</v>
      </c>
      <c r="Q46" s="4">
        <f>F46*P46</f>
        <v>1.9379999999999998E-2</v>
      </c>
    </row>
    <row r="47" spans="2:17" x14ac:dyDescent="0.35">
      <c r="B47" s="45" t="s">
        <v>219</v>
      </c>
      <c r="C47" s="46"/>
      <c r="D47" s="46" t="s">
        <v>255</v>
      </c>
      <c r="E47" s="46"/>
      <c r="F47" s="47"/>
      <c r="G47" s="47">
        <v>0</v>
      </c>
      <c r="H47" s="48" t="s">
        <v>289</v>
      </c>
      <c r="I47" s="49" t="s">
        <v>219</v>
      </c>
      <c r="J47" s="46" t="s">
        <v>231</v>
      </c>
      <c r="K47" s="50"/>
      <c r="L47" s="50"/>
      <c r="M47" s="50"/>
      <c r="N47" s="50"/>
      <c r="O47" s="50"/>
      <c r="P47" s="51"/>
      <c r="Q47" s="50"/>
    </row>
    <row r="48" spans="2:17" x14ac:dyDescent="0.35">
      <c r="B48" s="52"/>
      <c r="C48" s="52"/>
      <c r="D48" s="52"/>
      <c r="E48" s="52"/>
      <c r="F48" s="53">
        <v>1</v>
      </c>
      <c r="G48" s="53">
        <v>100</v>
      </c>
      <c r="H48" s="54"/>
      <c r="I48" s="53" t="s">
        <v>219</v>
      </c>
      <c r="J48" s="55" t="str">
        <f>VLOOKUP($G48,'Materials by UPN'!$G$3:$R$112,2)</f>
        <v>Emulator Main Board assembled</v>
      </c>
      <c r="K48" s="55" t="str">
        <f>IF(VLOOKUP($G48,'Materials by UPN'!$G$3:$R$112,3)="","",VLOOKUP($G48,'Materials by UPN'!$G$3:$R$112,3))</f>
        <v>v1</v>
      </c>
      <c r="L48" s="55" t="str">
        <f>IF(VLOOKUP($G48,'Materials by UPN'!$G$3:$R$112,4)="","",VLOOKUP($G48,'Materials by UPN'!$G$3:$R$112,4))</f>
        <v/>
      </c>
      <c r="M48" s="55" t="str">
        <f>IF(VLOOKUP($G48,'Materials by UPN'!$G$3:$R$112,5)="","",VLOOKUP($G48,'Materials by UPN'!$G$3:$R$112,5))</f>
        <v/>
      </c>
      <c r="N48" s="55" t="str">
        <f>VLOOKUP($G48,'Materials by UPN'!$G$3:$R$112,6)</f>
        <v>JLCPCB</v>
      </c>
      <c r="O48" s="55" t="str">
        <f>IF(VLOOKUP($G48,'Materials by UPN'!$G$3:$R$112,7)="","",VLOOKUP($G48,'Materials by UPN'!$G$3:$R$112,7))</f>
        <v>Surface Finish: LeadFree HASL</v>
      </c>
      <c r="P48" s="56">
        <f>VLOOKUP($G48,'Materials by UPN'!$G$3:$R$112,11)</f>
        <v>33.939095000000002</v>
      </c>
      <c r="Q48" s="56">
        <f>F48*P48</f>
        <v>33.939095000000002</v>
      </c>
    </row>
    <row r="49" spans="2:17" x14ac:dyDescent="0.35">
      <c r="B49" s="52"/>
      <c r="C49" s="52"/>
      <c r="D49" s="52"/>
      <c r="E49" s="52"/>
      <c r="F49" s="53">
        <v>1</v>
      </c>
      <c r="G49" s="53">
        <v>338</v>
      </c>
      <c r="H49" s="54"/>
      <c r="I49" s="53" t="s">
        <v>228</v>
      </c>
      <c r="J49" s="55" t="str">
        <f>VLOOKUP($G49,'Materials by UPN'!$G$3:$R$112,2)</f>
        <v>Antistatic bag, 15x20 cm</v>
      </c>
      <c r="K49" s="55" t="str">
        <f>IF(VLOOKUP($G49,'Materials by UPN'!$G$3:$R$112,3)="","",VLOOKUP($G49,'Materials by UPN'!$G$3:$R$112,3))</f>
        <v/>
      </c>
      <c r="L49" s="55" t="str">
        <f>IF(VLOOKUP($G49,'Materials by UPN'!$G$3:$R$112,4)="","",VLOOKUP($G49,'Materials by UPN'!$G$3:$R$112,4))</f>
        <v/>
      </c>
      <c r="M49" s="55" t="str">
        <f>IF(VLOOKUP($G49,'Materials by UPN'!$G$3:$R$112,5)="","",VLOOKUP($G49,'Materials by UPN'!$G$3:$R$112,5))</f>
        <v/>
      </c>
      <c r="N49" s="55" t="str">
        <f>VLOOKUP($G49,'Materials by UPN'!$G$3:$R$112,6)</f>
        <v>Amazon</v>
      </c>
      <c r="O49" s="55" t="str">
        <f>IF(VLOOKUP($G49,'Materials by UPN'!$G$3:$R$112,7)="","",VLOOKUP($G49,'Materials by UPN'!$G$3:$R$112,7))</f>
        <v>https://www.amazon.com/dp/B07TXD47PZ</v>
      </c>
      <c r="P49" s="56">
        <f>VLOOKUP($G49,'Materials by UPN'!$G$3:$R$112,11)</f>
        <v>0.16580000000000003</v>
      </c>
      <c r="Q49" s="56">
        <f>F49*P49</f>
        <v>0.16580000000000003</v>
      </c>
    </row>
    <row r="50" spans="2:17" x14ac:dyDescent="0.35">
      <c r="B50" s="45" t="s">
        <v>220</v>
      </c>
      <c r="C50" s="46"/>
      <c r="D50" s="46" t="s">
        <v>230</v>
      </c>
      <c r="E50" s="46"/>
      <c r="F50" s="47"/>
      <c r="G50" s="47">
        <v>0</v>
      </c>
      <c r="H50" s="48"/>
      <c r="I50" s="49" t="s">
        <v>220</v>
      </c>
      <c r="J50" s="46" t="s">
        <v>240</v>
      </c>
      <c r="K50" s="50"/>
      <c r="L50" s="50"/>
      <c r="M50" s="50"/>
      <c r="N50" s="50"/>
      <c r="O50" s="50"/>
      <c r="P50" s="51"/>
      <c r="Q50" s="50"/>
    </row>
    <row r="51" spans="2:17" x14ac:dyDescent="0.35">
      <c r="B51" s="52"/>
      <c r="C51" s="52"/>
      <c r="D51" s="52"/>
      <c r="E51" s="52"/>
      <c r="F51" s="53">
        <v>1</v>
      </c>
      <c r="G51" s="53">
        <v>317</v>
      </c>
      <c r="H51" s="54"/>
      <c r="I51" s="53" t="s">
        <v>220</v>
      </c>
      <c r="J51" s="55" t="str">
        <f>VLOOKUP($G51,'Materials by UPN'!$G$3:$R$112,2)</f>
        <v>dipswitch, right angle, 4-switch piano type</v>
      </c>
      <c r="K51" s="55" t="str">
        <f>IF(VLOOKUP($G51,'Materials by UPN'!$G$3:$R$112,3)="","",VLOOKUP($G51,'Materials by UPN'!$G$3:$R$112,3))</f>
        <v/>
      </c>
      <c r="L51" s="55" t="str">
        <f>IF(VLOOKUP($G51,'Materials by UPN'!$G$3:$R$112,4)="","",VLOOKUP($G51,'Materials by UPN'!$G$3:$R$112,4))</f>
        <v>ALINSIN STORE</v>
      </c>
      <c r="M51" s="55" t="str">
        <f>IF(VLOOKUP($G51,'Materials by UPN'!$G$3:$R$112,5)="","",VLOOKUP($G51,'Materials by UPN'!$G$3:$R$112,5))</f>
        <v/>
      </c>
      <c r="N51" s="55" t="str">
        <f>VLOOKUP($G51,'Materials by UPN'!$G$3:$R$112,6)</f>
        <v>AliExpress</v>
      </c>
      <c r="O51" s="55" t="str">
        <f>IF(VLOOKUP($G51,'Materials by UPN'!$G$3:$R$112,7)="","",VLOOKUP($G51,'Materials by UPN'!$G$3:$R$112,7))</f>
        <v>https://www.aliexpress.us/item/3256803055482916.html</v>
      </c>
      <c r="P51" s="56">
        <f>VLOOKUP($G51,'Materials by UPN'!$G$3:$R$112,11)</f>
        <v>0.43500000000000005</v>
      </c>
      <c r="Q51" s="56">
        <f t="shared" ref="Q51:Q56" si="2">F51*P51</f>
        <v>0.43500000000000005</v>
      </c>
    </row>
    <row r="52" spans="2:17" x14ac:dyDescent="0.35">
      <c r="B52" s="52"/>
      <c r="C52" s="52"/>
      <c r="D52" s="52"/>
      <c r="E52" s="52"/>
      <c r="F52" s="53">
        <v>2</v>
      </c>
      <c r="G52" s="53">
        <v>318</v>
      </c>
      <c r="H52" s="54"/>
      <c r="I52" s="53" t="s">
        <v>220</v>
      </c>
      <c r="J52" s="55" t="str">
        <f>VLOOKUP($G52,'Materials by UPN'!$G$3:$R$112,2)</f>
        <v>22AWG 2 Conductor, Low-Voltage Tinned-Copper Wire, 3.5 inch</v>
      </c>
      <c r="K52" s="55" t="str">
        <f>IF(VLOOKUP($G52,'Materials by UPN'!$G$3:$R$112,3)="","",VLOOKUP($G52,'Materials by UPN'!$G$3:$R$112,3))</f>
        <v/>
      </c>
      <c r="L52" s="55" t="str">
        <f>IF(VLOOKUP($G52,'Materials by UPN'!$G$3:$R$112,4)="","",VLOOKUP($G52,'Materials by UPN'!$G$3:$R$112,4))</f>
        <v/>
      </c>
      <c r="M52" s="55" t="str">
        <f>IF(VLOOKUP($G52,'Materials by UPN'!$G$3:$R$112,5)="","",VLOOKUP($G52,'Materials by UPN'!$G$3:$R$112,5))</f>
        <v/>
      </c>
      <c r="N52" s="55" t="str">
        <f>VLOOKUP($G52,'Materials by UPN'!$G$3:$R$112,6)</f>
        <v>Amazon</v>
      </c>
      <c r="O52" s="55" t="str">
        <f>IF(VLOOKUP($G52,'Materials by UPN'!$G$3:$R$112,7)="","",VLOOKUP($G52,'Materials by UPN'!$G$3:$R$112,7))</f>
        <v>https://www.amazon.com/dp/B07SCJ69H4</v>
      </c>
      <c r="P52" s="56">
        <f>VLOOKUP($G52,'Materials by UPN'!$G$3:$R$112,11)</f>
        <v>5.7117035398230091E-2</v>
      </c>
      <c r="Q52" s="56">
        <f t="shared" si="2"/>
        <v>0.11423407079646018</v>
      </c>
    </row>
    <row r="53" spans="2:17" x14ac:dyDescent="0.35">
      <c r="B53" s="52"/>
      <c r="C53" s="52"/>
      <c r="D53" s="52"/>
      <c r="E53" s="52"/>
      <c r="F53" s="53">
        <v>4</v>
      </c>
      <c r="G53" s="53">
        <v>319</v>
      </c>
      <c r="H53" s="54"/>
      <c r="I53" s="53" t="s">
        <v>220</v>
      </c>
      <c r="J53" s="55" t="str">
        <f>VLOOKUP($G53,'Materials by UPN'!$G$3:$R$112,2)</f>
        <v>Nylon Flag Spade Quick Disconnect, 22-18 AWG</v>
      </c>
      <c r="K53" s="55" t="str">
        <f>IF(VLOOKUP($G53,'Materials by UPN'!$G$3:$R$112,3)="","",VLOOKUP($G53,'Materials by UPN'!$G$3:$R$112,3))</f>
        <v/>
      </c>
      <c r="L53" s="55" t="str">
        <f>IF(VLOOKUP($G53,'Materials by UPN'!$G$3:$R$112,4)="","",VLOOKUP($G53,'Materials by UPN'!$G$3:$R$112,4))</f>
        <v/>
      </c>
      <c r="M53" s="55" t="str">
        <f>IF(VLOOKUP($G53,'Materials by UPN'!$G$3:$R$112,5)="","",VLOOKUP($G53,'Materials by UPN'!$G$3:$R$112,5))</f>
        <v/>
      </c>
      <c r="N53" s="55" t="str">
        <f>VLOOKUP($G53,'Materials by UPN'!$G$3:$R$112,6)</f>
        <v>Amazon</v>
      </c>
      <c r="O53" s="55" t="str">
        <f>IF(VLOOKUP($G53,'Materials by UPN'!$G$3:$R$112,7)="","",VLOOKUP($G53,'Materials by UPN'!$G$3:$R$112,7))</f>
        <v>https://www.amazon.com/dp/B0C625XHQM</v>
      </c>
      <c r="P53" s="56">
        <f>VLOOKUP($G53,'Materials by UPN'!$G$3:$R$112,11)</f>
        <v>8.6092250000000009E-2</v>
      </c>
      <c r="Q53" s="56">
        <f t="shared" si="2"/>
        <v>0.34436900000000004</v>
      </c>
    </row>
    <row r="54" spans="2:17" x14ac:dyDescent="0.35">
      <c r="B54" s="52"/>
      <c r="C54" s="52"/>
      <c r="D54" s="52"/>
      <c r="E54" s="52"/>
      <c r="F54" s="53">
        <v>1</v>
      </c>
      <c r="G54" s="53">
        <v>342</v>
      </c>
      <c r="H54" s="54"/>
      <c r="I54" s="53" t="s">
        <v>220</v>
      </c>
      <c r="J54" s="55" t="str">
        <f>VLOOKUP($G54,'Materials by UPN'!$G$3:$R$112,2)</f>
        <v>CONN HEADER VERT 2x8 Pos, 2.54mm</v>
      </c>
      <c r="K54" s="55" t="str">
        <f>IF(VLOOKUP($G54,'Materials by UPN'!$G$3:$R$112,3)="","",VLOOKUP($G54,'Materials by UPN'!$G$3:$R$112,3))</f>
        <v/>
      </c>
      <c r="L54" s="55" t="str">
        <f>IF(VLOOKUP($G54,'Materials by UPN'!$G$3:$R$112,4)="","",VLOOKUP($G54,'Materials by UPN'!$G$3:$R$112,4))</f>
        <v/>
      </c>
      <c r="M54" s="55" t="str">
        <f>IF(VLOOKUP($G54,'Materials by UPN'!$G$3:$R$112,5)="","",VLOOKUP($G54,'Materials by UPN'!$G$3:$R$112,5))</f>
        <v/>
      </c>
      <c r="N54" s="55" t="str">
        <f>VLOOKUP($G54,'Materials by UPN'!$G$3:$R$112,6)</f>
        <v>AliExpress</v>
      </c>
      <c r="O54" s="55" t="str">
        <f>IF(VLOOKUP($G54,'Materials by UPN'!$G$3:$R$112,7)="","",VLOOKUP($G54,'Materials by UPN'!$G$3:$R$112,7))</f>
        <v>https://www.aliexpress.us/item/3256805773340189.html</v>
      </c>
      <c r="P54" s="56">
        <f>VLOOKUP($G54,'Materials by UPN'!$G$3:$R$112,11)</f>
        <v>0.12908449999999999</v>
      </c>
      <c r="Q54" s="56">
        <f t="shared" si="2"/>
        <v>0.12908449999999999</v>
      </c>
    </row>
    <row r="55" spans="2:17" x14ac:dyDescent="0.35">
      <c r="B55" s="52"/>
      <c r="C55" s="52"/>
      <c r="D55" s="52"/>
      <c r="E55" s="52"/>
      <c r="F55" s="53">
        <v>1</v>
      </c>
      <c r="G55" s="53">
        <v>343</v>
      </c>
      <c r="H55" s="54"/>
      <c r="I55" s="53" t="s">
        <v>220</v>
      </c>
      <c r="J55" s="55" t="str">
        <f>VLOOKUP($G55,'Materials by UPN'!$G$3:$R$112,2)</f>
        <v>Connector, 4-pin single Row, socket strip, 2.54mm</v>
      </c>
      <c r="K55" s="55" t="str">
        <f>IF(VLOOKUP($G55,'Materials by UPN'!$G$3:$R$112,3)="","",VLOOKUP($G55,'Materials by UPN'!$G$3:$R$112,3))</f>
        <v/>
      </c>
      <c r="L55" s="55" t="str">
        <f>IF(VLOOKUP($G55,'Materials by UPN'!$G$3:$R$112,4)="","",VLOOKUP($G55,'Materials by UPN'!$G$3:$R$112,4))</f>
        <v/>
      </c>
      <c r="M55" s="55" t="str">
        <f>IF(VLOOKUP($G55,'Materials by UPN'!$G$3:$R$112,5)="","",VLOOKUP($G55,'Materials by UPN'!$G$3:$R$112,5))</f>
        <v/>
      </c>
      <c r="N55" s="55" t="str">
        <f>VLOOKUP($G55,'Materials by UPN'!$G$3:$R$112,6)</f>
        <v>AliExpress</v>
      </c>
      <c r="O55" s="55" t="str">
        <f>IF(VLOOKUP($G55,'Materials by UPN'!$G$3:$R$112,7)="","",VLOOKUP($G55,'Materials by UPN'!$G$3:$R$112,7))</f>
        <v>https://www.aliexpress.us/item/3256803424019097.html</v>
      </c>
      <c r="P55" s="56">
        <f>VLOOKUP($G55,'Materials by UPN'!$G$3:$R$112,11)</f>
        <v>9.9000000000000005E-2</v>
      </c>
      <c r="Q55" s="56">
        <f t="shared" si="2"/>
        <v>9.9000000000000005E-2</v>
      </c>
    </row>
    <row r="56" spans="2:17" x14ac:dyDescent="0.35">
      <c r="B56" s="52"/>
      <c r="C56" s="52"/>
      <c r="D56" s="52"/>
      <c r="E56" s="52"/>
      <c r="F56" s="53">
        <v>1</v>
      </c>
      <c r="G56" s="53">
        <v>323</v>
      </c>
      <c r="H56" s="54"/>
      <c r="I56" s="53" t="s">
        <v>220</v>
      </c>
      <c r="J56" s="55" t="str">
        <f>VLOOKUP($G56,'Materials by UPN'!$G$3:$R$112,2)</f>
        <v>OLED display module, 128x64, 0.96 inch</v>
      </c>
      <c r="K56" s="55" t="str">
        <f>IF(VLOOKUP($G56,'Materials by UPN'!$G$3:$R$112,3)="","",VLOOKUP($G56,'Materials by UPN'!$G$3:$R$112,3))</f>
        <v/>
      </c>
      <c r="L56" s="55" t="str">
        <f>IF(VLOOKUP($G56,'Materials by UPN'!$G$3:$R$112,4)="","",VLOOKUP($G56,'Materials by UPN'!$G$3:$R$112,4))</f>
        <v/>
      </c>
      <c r="M56" s="55" t="str">
        <f>IF(VLOOKUP($G56,'Materials by UPN'!$G$3:$R$112,5)="","",VLOOKUP($G56,'Materials by UPN'!$G$3:$R$112,5))</f>
        <v/>
      </c>
      <c r="N56" s="55" t="str">
        <f>VLOOKUP($G56,'Materials by UPN'!$G$3:$R$112,6)</f>
        <v>AliExpress</v>
      </c>
      <c r="O56" s="55" t="str">
        <f>IF(VLOOKUP($G56,'Materials by UPN'!$G$3:$R$112,7)="","",VLOOKUP($G56,'Materials by UPN'!$G$3:$R$112,7))</f>
        <v>https://www.aliexpress.us/item/3256805094941943.html</v>
      </c>
      <c r="P56" s="56">
        <f>VLOOKUP($G56,'Materials by UPN'!$G$3:$R$112,11)</f>
        <v>1.6054545454545455</v>
      </c>
      <c r="Q56" s="56">
        <f t="shared" si="2"/>
        <v>1.6054545454545455</v>
      </c>
    </row>
    <row r="57" spans="2:17" x14ac:dyDescent="0.35">
      <c r="B57" s="52"/>
      <c r="C57" s="52"/>
      <c r="D57" s="52"/>
      <c r="E57" s="52"/>
      <c r="F57" s="53">
        <v>1</v>
      </c>
      <c r="G57" s="2">
        <v>364</v>
      </c>
      <c r="I57" s="2" t="s">
        <v>295</v>
      </c>
      <c r="J57" t="str">
        <f>VLOOKUP($G57,'Materials by UPN'!$G$3:$R$112,2)</f>
        <v>3" x 5" Small Plastic Bags- Reclosable Zip Bags</v>
      </c>
      <c r="K57" t="str">
        <f>IF(VLOOKUP($G57,'Materials by UPN'!$G$3:$R$112,3)="","",VLOOKUP($G57,'Materials by UPN'!$G$3:$R$112,3))</f>
        <v/>
      </c>
      <c r="L57" t="str">
        <f>IF(VLOOKUP($G57,'Materials by UPN'!$G$3:$R$112,4)="","",VLOOKUP($G57,'Materials by UPN'!$G$3:$R$112,4))</f>
        <v/>
      </c>
      <c r="M57" t="str">
        <f>IF(VLOOKUP($G57,'Materials by UPN'!$G$3:$R$112,5)="","",VLOOKUP($G57,'Materials by UPN'!$G$3:$R$112,5))</f>
        <v/>
      </c>
      <c r="N57" t="str">
        <f>VLOOKUP($G57,'Materials by UPN'!$G$3:$R$112,6)</f>
        <v>Amazon</v>
      </c>
      <c r="O57" t="str">
        <f>IF(VLOOKUP($G57,'Materials by UPN'!$G$3:$R$112,7)="","",VLOOKUP($G57,'Materials by UPN'!$G$3:$R$112,7))</f>
        <v>https://www.amazon.com/gp/product/B07XBF98NV</v>
      </c>
      <c r="P57" s="4">
        <f>VLOOKUP($G57,'Materials by UPN'!$G$3:$R$112,11)</f>
        <v>1.9379999999999998E-2</v>
      </c>
      <c r="Q57" s="4">
        <f>F57*P57</f>
        <v>1.9379999999999998E-2</v>
      </c>
    </row>
    <row r="58" spans="2:17" x14ac:dyDescent="0.35">
      <c r="B58" s="45" t="s">
        <v>222</v>
      </c>
      <c r="C58" s="46"/>
      <c r="D58" s="46" t="s">
        <v>255</v>
      </c>
      <c r="E58" s="46"/>
      <c r="F58" s="47"/>
      <c r="G58" s="47">
        <v>0</v>
      </c>
      <c r="H58" s="48" t="s">
        <v>289</v>
      </c>
      <c r="I58" s="49" t="s">
        <v>222</v>
      </c>
      <c r="J58" s="46" t="s">
        <v>237</v>
      </c>
      <c r="K58" s="50"/>
      <c r="L58" s="50"/>
      <c r="M58" s="50"/>
      <c r="N58" s="50"/>
      <c r="O58" s="50"/>
      <c r="P58" s="51"/>
      <c r="Q58" s="50"/>
    </row>
    <row r="59" spans="2:17" x14ac:dyDescent="0.35">
      <c r="B59" s="52"/>
      <c r="C59" s="52"/>
      <c r="D59" s="52"/>
      <c r="E59" s="52"/>
      <c r="F59" s="53">
        <v>1</v>
      </c>
      <c r="G59" s="53">
        <v>101</v>
      </c>
      <c r="H59" s="54"/>
      <c r="I59" s="53" t="s">
        <v>222</v>
      </c>
      <c r="J59" s="55" t="str">
        <f>VLOOKUP($G59,'Materials by UPN'!$G$3:$R$112,2)</f>
        <v>Front Panel board assembled</v>
      </c>
      <c r="K59" s="55" t="str">
        <f>IF(VLOOKUP($G59,'Materials by UPN'!$G$3:$R$112,3)="","",VLOOKUP($G59,'Materials by UPN'!$G$3:$R$112,3))</f>
        <v>v3</v>
      </c>
      <c r="L59" s="55" t="str">
        <f>IF(VLOOKUP($G59,'Materials by UPN'!$G$3:$R$112,4)="","",VLOOKUP($G59,'Materials by UPN'!$G$3:$R$112,4))</f>
        <v/>
      </c>
      <c r="M59" s="55" t="str">
        <f>IF(VLOOKUP($G59,'Materials by UPN'!$G$3:$R$112,5)="","",VLOOKUP($G59,'Materials by UPN'!$G$3:$R$112,5))</f>
        <v/>
      </c>
      <c r="N59" s="55" t="str">
        <f>VLOOKUP($G59,'Materials by UPN'!$G$3:$R$112,6)</f>
        <v>JLCPCB</v>
      </c>
      <c r="O59" s="55" t="str">
        <f>IF(VLOOKUP($G59,'Materials by UPN'!$G$3:$R$112,7)="","",VLOOKUP($G59,'Materials by UPN'!$G$3:$R$112,7))</f>
        <v>Surface Finish: LeadFree HASL</v>
      </c>
      <c r="P59" s="56">
        <f>VLOOKUP($G59,'Materials by UPN'!$G$3:$R$112,11)</f>
        <v>7.4703074999999997</v>
      </c>
      <c r="Q59" s="56">
        <f>F59*P59</f>
        <v>7.4703074999999997</v>
      </c>
    </row>
    <row r="60" spans="2:17" x14ac:dyDescent="0.35">
      <c r="B60" s="52"/>
      <c r="C60" s="52"/>
      <c r="D60" s="52"/>
      <c r="E60" s="52"/>
      <c r="F60" s="53">
        <v>1</v>
      </c>
      <c r="G60" s="53">
        <v>338</v>
      </c>
      <c r="H60" s="54"/>
      <c r="I60" s="53" t="s">
        <v>221</v>
      </c>
      <c r="J60" s="55" t="str">
        <f>VLOOKUP($G60,'Materials by UPN'!$G$3:$R$112,2)</f>
        <v>Antistatic bag, 15x20 cm</v>
      </c>
      <c r="K60" s="55" t="str">
        <f>IF(VLOOKUP($G60,'Materials by UPN'!$G$3:$R$112,3)="","",VLOOKUP($G60,'Materials by UPN'!$G$3:$R$112,3))</f>
        <v/>
      </c>
      <c r="L60" s="55" t="str">
        <f>IF(VLOOKUP($G60,'Materials by UPN'!$G$3:$R$112,4)="","",VLOOKUP($G60,'Materials by UPN'!$G$3:$R$112,4))</f>
        <v/>
      </c>
      <c r="M60" s="55" t="str">
        <f>IF(VLOOKUP($G60,'Materials by UPN'!$G$3:$R$112,5)="","",VLOOKUP($G60,'Materials by UPN'!$G$3:$R$112,5))</f>
        <v/>
      </c>
      <c r="N60" s="55" t="str">
        <f>VLOOKUP($G60,'Materials by UPN'!$G$3:$R$112,6)</f>
        <v>Amazon</v>
      </c>
      <c r="O60" s="55" t="str">
        <f>IF(VLOOKUP($G60,'Materials by UPN'!$G$3:$R$112,7)="","",VLOOKUP($G60,'Materials by UPN'!$G$3:$R$112,7))</f>
        <v>https://www.amazon.com/dp/B07TXD47PZ</v>
      </c>
      <c r="P60" s="56">
        <f>VLOOKUP($G60,'Materials by UPN'!$G$3:$R$112,11)</f>
        <v>0.16580000000000003</v>
      </c>
      <c r="Q60" s="56">
        <f>F60*P60</f>
        <v>0.16580000000000003</v>
      </c>
    </row>
    <row r="61" spans="2:17" x14ac:dyDescent="0.35">
      <c r="B61" s="45" t="s">
        <v>227</v>
      </c>
      <c r="C61" s="46"/>
      <c r="D61" s="46" t="s">
        <v>230</v>
      </c>
      <c r="E61" s="46"/>
      <c r="F61" s="47"/>
      <c r="G61" s="47">
        <v>0</v>
      </c>
      <c r="H61" s="48"/>
      <c r="I61" s="49" t="s">
        <v>227</v>
      </c>
      <c r="J61" s="46" t="s">
        <v>238</v>
      </c>
      <c r="K61" s="50"/>
      <c r="L61" s="50"/>
      <c r="M61" s="50"/>
      <c r="N61" s="50"/>
      <c r="O61" s="50"/>
      <c r="P61" s="51"/>
      <c r="Q61" s="50"/>
    </row>
    <row r="62" spans="2:17" x14ac:dyDescent="0.35">
      <c r="B62" s="52"/>
      <c r="C62" s="52"/>
      <c r="D62" s="52"/>
      <c r="E62" s="52"/>
      <c r="F62" s="53">
        <v>1</v>
      </c>
      <c r="G62" s="53">
        <v>102</v>
      </c>
      <c r="H62" s="54"/>
      <c r="I62" s="53" t="s">
        <v>227</v>
      </c>
      <c r="J62" s="55" t="str">
        <f>VLOOKUP($G62,'Materials by UPN'!$G$3:$R$112,2)</f>
        <v>microSD card adapter board, assembled</v>
      </c>
      <c r="K62" s="55" t="str">
        <f>IF(VLOOKUP($G62,'Materials by UPN'!$G$3:$R$112,3)="","",VLOOKUP($G62,'Materials by UPN'!$G$3:$R$112,3))</f>
        <v>v1</v>
      </c>
      <c r="L62" s="55" t="str">
        <f>IF(VLOOKUP($G62,'Materials by UPN'!$G$3:$R$112,4)="","",VLOOKUP($G62,'Materials by UPN'!$G$3:$R$112,4))</f>
        <v/>
      </c>
      <c r="M62" s="55" t="str">
        <f>IF(VLOOKUP($G62,'Materials by UPN'!$G$3:$R$112,5)="","",VLOOKUP($G62,'Materials by UPN'!$G$3:$R$112,5))</f>
        <v/>
      </c>
      <c r="N62" s="55" t="str">
        <f>VLOOKUP($G62,'Materials by UPN'!$G$3:$R$112,6)</f>
        <v>JLCPCB</v>
      </c>
      <c r="O62" s="55" t="str">
        <f>IF(VLOOKUP($G62,'Materials by UPN'!$G$3:$R$112,7)="","",VLOOKUP($G62,'Materials by UPN'!$G$3:$R$112,7))</f>
        <v>Surface Finish: LeadFree HASL</v>
      </c>
      <c r="P62" s="56">
        <f>VLOOKUP($G62,'Materials by UPN'!$G$3:$R$112,11)</f>
        <v>1.3796666666666666</v>
      </c>
      <c r="Q62" s="56">
        <f t="shared" ref="Q62:Q67" si="3">F62*P62</f>
        <v>1.3796666666666666</v>
      </c>
    </row>
    <row r="63" spans="2:17" x14ac:dyDescent="0.35">
      <c r="B63" s="52"/>
      <c r="C63" s="52"/>
      <c r="D63" s="52"/>
      <c r="E63" s="52"/>
      <c r="F63" s="53">
        <v>1</v>
      </c>
      <c r="G63" s="53">
        <v>204</v>
      </c>
      <c r="H63" s="54"/>
      <c r="I63" s="53" t="s">
        <v>227</v>
      </c>
      <c r="J63" s="55" t="str">
        <f>VLOOKUP($G63,'Materials by UPN'!$G$3:$R$112,2)</f>
        <v>microSD card carrier bracket, 3D printed</v>
      </c>
      <c r="K63" s="55" t="str">
        <f>IF(VLOOKUP($G63,'Materials by UPN'!$G$3:$R$112,3)="","",VLOOKUP($G63,'Materials by UPN'!$G$3:$R$112,3))</f>
        <v>v20</v>
      </c>
      <c r="L63" s="55" t="str">
        <f>IF(VLOOKUP($G63,'Materials by UPN'!$G$3:$R$112,4)="","",VLOOKUP($G63,'Materials by UPN'!$G$3:$R$112,4))</f>
        <v/>
      </c>
      <c r="M63" s="55" t="str">
        <f>IF(VLOOKUP($G63,'Materials by UPN'!$G$3:$R$112,5)="","",VLOOKUP($G63,'Materials by UPN'!$G$3:$R$112,5))</f>
        <v>204 v20</v>
      </c>
      <c r="N63" s="55" t="str">
        <f>VLOOKUP($G63,'Materials by UPN'!$G$3:$R$112,6)</f>
        <v>JLCPCB</v>
      </c>
      <c r="O63" s="55" t="str">
        <f>IF(VLOOKUP($G63,'Materials by UPN'!$G$3:$R$112,7)="","",VLOOKUP($G63,'Materials by UPN'!$G$3:$R$112,7))</f>
        <v>204 v20, FDM (Plastic), PLA, Black</v>
      </c>
      <c r="P63" s="56">
        <f>VLOOKUP($G63,'Materials by UPN'!$G$3:$R$112,11)</f>
        <v>2.0623076923076922</v>
      </c>
      <c r="Q63" s="56">
        <f t="shared" si="3"/>
        <v>2.0623076923076922</v>
      </c>
    </row>
    <row r="64" spans="2:17" x14ac:dyDescent="0.35">
      <c r="B64" s="52"/>
      <c r="C64" s="52"/>
      <c r="D64" s="52"/>
      <c r="E64" s="52"/>
      <c r="F64" s="53">
        <v>1</v>
      </c>
      <c r="G64" s="53">
        <v>341</v>
      </c>
      <c r="H64" s="54" t="s">
        <v>121</v>
      </c>
      <c r="I64" s="53" t="s">
        <v>227</v>
      </c>
      <c r="J64" s="55" t="str">
        <f>VLOOKUP($G64,'Materials by UPN'!$G$3:$R$112,2)</f>
        <v>CONN HEADER VERT 2x4 Pos, 2.54mm</v>
      </c>
      <c r="K64" s="55" t="str">
        <f>IF(VLOOKUP($G64,'Materials by UPN'!$G$3:$R$112,3)="","",VLOOKUP($G64,'Materials by UPN'!$G$3:$R$112,3))</f>
        <v/>
      </c>
      <c r="L64" s="55" t="str">
        <f>IF(VLOOKUP($G64,'Materials by UPN'!$G$3:$R$112,4)="","",VLOOKUP($G64,'Materials by UPN'!$G$3:$R$112,4))</f>
        <v/>
      </c>
      <c r="M64" s="55" t="str">
        <f>IF(VLOOKUP($G64,'Materials by UPN'!$G$3:$R$112,5)="","",VLOOKUP($G64,'Materials by UPN'!$G$3:$R$112,5))</f>
        <v/>
      </c>
      <c r="N64" s="55" t="str">
        <f>VLOOKUP($G64,'Materials by UPN'!$G$3:$R$112,6)</f>
        <v>AliExpress</v>
      </c>
      <c r="O64" s="55" t="str">
        <f>IF(VLOOKUP($G64,'Materials by UPN'!$G$3:$R$112,7)="","",VLOOKUP($G64,'Materials by UPN'!$G$3:$R$112,7))</f>
        <v>https://www.aliexpress.us/item/3256805773340189.html</v>
      </c>
      <c r="P64" s="56">
        <f>VLOOKUP($G64,'Materials by UPN'!$G$3:$R$112,11)</f>
        <v>6.7799999999999999E-2</v>
      </c>
      <c r="Q64" s="56">
        <f t="shared" si="3"/>
        <v>6.7799999999999999E-2</v>
      </c>
    </row>
    <row r="65" spans="2:17" x14ac:dyDescent="0.35">
      <c r="B65" s="52"/>
      <c r="C65" s="52"/>
      <c r="D65" s="52"/>
      <c r="E65" s="52"/>
      <c r="F65" s="2">
        <v>2</v>
      </c>
      <c r="G65" s="2">
        <v>311</v>
      </c>
      <c r="I65" s="2" t="s">
        <v>227</v>
      </c>
      <c r="J65" t="str">
        <f>VLOOKUP($G65,'Materials by UPN'!$G$3:$R$112,2)</f>
        <v>Threaded Insert, M2</v>
      </c>
      <c r="K65" t="str">
        <f>IF(VLOOKUP($G65,'Materials by UPN'!$G$3:$R$112,3)="","",VLOOKUP($G65,'Materials by UPN'!$G$3:$R$112,3))</f>
        <v/>
      </c>
      <c r="L65" t="str">
        <f>IF(VLOOKUP($G65,'Materials by UPN'!$G$3:$R$112,4)="","",VLOOKUP($G65,'Materials by UPN'!$G$3:$R$112,4))</f>
        <v/>
      </c>
      <c r="M65" t="str">
        <f>IF(VLOOKUP($G65,'Materials by UPN'!$G$3:$R$112,5)="","",VLOOKUP($G65,'Materials by UPN'!$G$3:$R$112,5))</f>
        <v/>
      </c>
      <c r="N65" t="str">
        <f>VLOOKUP($G65,'Materials by UPN'!$G$3:$R$112,6)</f>
        <v>Amazon</v>
      </c>
      <c r="O65" t="str">
        <f>IF(VLOOKUP($G65,'Materials by UPN'!$G$3:$R$112,7)="","",VLOOKUP($G65,'Materials by UPN'!$G$3:$R$112,7))</f>
        <v>https://www.amazon.com/gp/product/B0B8GN63S2</v>
      </c>
      <c r="P65" s="4">
        <f>VLOOKUP($G65,'Materials by UPN'!$G$3:$R$112,11)</f>
        <v>9.2557249999999994E-2</v>
      </c>
      <c r="Q65" s="4">
        <f t="shared" si="3"/>
        <v>0.18511449999999999</v>
      </c>
    </row>
    <row r="66" spans="2:17" x14ac:dyDescent="0.35">
      <c r="B66" s="52"/>
      <c r="C66" s="52"/>
      <c r="D66" s="52"/>
      <c r="E66" s="52"/>
      <c r="F66" s="53">
        <v>2</v>
      </c>
      <c r="G66" s="53">
        <v>321</v>
      </c>
      <c r="H66" s="54"/>
      <c r="I66" s="53" t="s">
        <v>243</v>
      </c>
      <c r="J66" s="55" t="str">
        <f>VLOOKUP($G66,'Materials by UPN'!$G$3:$R$112,2)</f>
        <v>M2 Phillips Round Pan Head Machine Screws (M2 x 4mm), Stainless Steel</v>
      </c>
      <c r="K66" s="55" t="str">
        <f>IF(VLOOKUP($G66,'Materials by UPN'!$G$3:$R$112,3)="","",VLOOKUP($G66,'Materials by UPN'!$G$3:$R$112,3))</f>
        <v/>
      </c>
      <c r="L66" s="55" t="str">
        <f>IF(VLOOKUP($G66,'Materials by UPN'!$G$3:$R$112,4)="","",VLOOKUP($G66,'Materials by UPN'!$G$3:$R$112,4))</f>
        <v/>
      </c>
      <c r="M66" s="55" t="str">
        <f>IF(VLOOKUP($G66,'Materials by UPN'!$G$3:$R$112,5)="","",VLOOKUP($G66,'Materials by UPN'!$G$3:$R$112,5))</f>
        <v/>
      </c>
      <c r="N66" s="55" t="str">
        <f>VLOOKUP($G66,'Materials by UPN'!$G$3:$R$112,6)</f>
        <v>Amazon</v>
      </c>
      <c r="O66" s="55" t="str">
        <f>IF(VLOOKUP($G66,'Materials by UPN'!$G$3:$R$112,7)="","",VLOOKUP($G66,'Materials by UPN'!$G$3:$R$112,7))</f>
        <v>https://www.amazon.com/gp/product/B07HFYZ9YM</v>
      </c>
      <c r="P66" s="56">
        <f>VLOOKUP($G66,'Materials by UPN'!$G$3:$R$112,11)</f>
        <v>8.6099999999999996E-2</v>
      </c>
      <c r="Q66" s="56">
        <f t="shared" si="3"/>
        <v>0.17219999999999999</v>
      </c>
    </row>
    <row r="67" spans="2:17" x14ac:dyDescent="0.35">
      <c r="B67" s="52"/>
      <c r="C67" s="52"/>
      <c r="D67" s="52"/>
      <c r="E67" s="52"/>
      <c r="F67" s="53">
        <v>2</v>
      </c>
      <c r="G67" s="53">
        <v>322</v>
      </c>
      <c r="H67" s="54"/>
      <c r="I67" s="53" t="s">
        <v>243</v>
      </c>
      <c r="J67" s="55" t="str">
        <f>VLOOKUP($G67,'Materials by UPN'!$G$3:$R$112,2)</f>
        <v>M2 split lockwasher</v>
      </c>
      <c r="K67" s="55" t="str">
        <f>IF(VLOOKUP($G67,'Materials by UPN'!$G$3:$R$112,3)="","",VLOOKUP($G67,'Materials by UPN'!$G$3:$R$112,3))</f>
        <v/>
      </c>
      <c r="L67" s="55" t="str">
        <f>IF(VLOOKUP($G67,'Materials by UPN'!$G$3:$R$112,4)="","",VLOOKUP($G67,'Materials by UPN'!$G$3:$R$112,4))</f>
        <v/>
      </c>
      <c r="M67" s="55" t="str">
        <f>IF(VLOOKUP($G67,'Materials by UPN'!$G$3:$R$112,5)="","",VLOOKUP($G67,'Materials by UPN'!$G$3:$R$112,5))</f>
        <v/>
      </c>
      <c r="N67" s="55" t="str">
        <f>VLOOKUP($G67,'Materials by UPN'!$G$3:$R$112,6)</f>
        <v>Amazon</v>
      </c>
      <c r="O67" s="55" t="str">
        <f>IF(VLOOKUP($G67,'Materials by UPN'!$G$3:$R$112,7)="","",VLOOKUP($G67,'Materials by UPN'!$G$3:$R$112,7))</f>
        <v>https://www.amazon.com/gp/product/B09LLZHY87</v>
      </c>
      <c r="P67" s="56">
        <f>VLOOKUP($G67,'Materials by UPN'!$G$3:$R$112,11)</f>
        <v>2.2620000000000001E-2</v>
      </c>
      <c r="Q67" s="56">
        <f t="shared" si="3"/>
        <v>4.5240000000000002E-2</v>
      </c>
    </row>
    <row r="68" spans="2:17" x14ac:dyDescent="0.35">
      <c r="B68" s="52"/>
      <c r="C68" s="52"/>
      <c r="D68" s="52"/>
      <c r="E68" s="52"/>
      <c r="F68" s="53">
        <v>2</v>
      </c>
      <c r="G68" s="2">
        <v>364</v>
      </c>
      <c r="I68" s="2" t="s">
        <v>297</v>
      </c>
      <c r="J68" t="str">
        <f>VLOOKUP($G68,'Materials by UPN'!$G$3:$R$112,2)</f>
        <v>3" x 5" Small Plastic Bags- Reclosable Zip Bags</v>
      </c>
      <c r="K68" t="str">
        <f>IF(VLOOKUP($G68,'Materials by UPN'!$G$3:$R$112,3)="","",VLOOKUP($G68,'Materials by UPN'!$G$3:$R$112,3))</f>
        <v/>
      </c>
      <c r="L68" t="str">
        <f>IF(VLOOKUP($G68,'Materials by UPN'!$G$3:$R$112,4)="","",VLOOKUP($G68,'Materials by UPN'!$G$3:$R$112,4))</f>
        <v/>
      </c>
      <c r="M68" t="str">
        <f>IF(VLOOKUP($G68,'Materials by UPN'!$G$3:$R$112,5)="","",VLOOKUP($G68,'Materials by UPN'!$G$3:$R$112,5))</f>
        <v/>
      </c>
      <c r="N68" t="str">
        <f>VLOOKUP($G68,'Materials by UPN'!$G$3:$R$112,6)</f>
        <v>Amazon</v>
      </c>
      <c r="O68" t="str">
        <f>IF(VLOOKUP($G68,'Materials by UPN'!$G$3:$R$112,7)="","",VLOOKUP($G68,'Materials by UPN'!$G$3:$R$112,7))</f>
        <v>https://www.amazon.com/gp/product/B07XBF98NV</v>
      </c>
      <c r="P68" s="4">
        <f>VLOOKUP($G68,'Materials by UPN'!$G$3:$R$112,11)</f>
        <v>1.9379999999999998E-2</v>
      </c>
      <c r="Q68" s="4">
        <f>F68*P68</f>
        <v>3.8759999999999996E-2</v>
      </c>
    </row>
    <row r="69" spans="2:17" x14ac:dyDescent="0.35">
      <c r="B69" s="45" t="s">
        <v>229</v>
      </c>
      <c r="C69" s="46"/>
      <c r="D69" s="46" t="s">
        <v>230</v>
      </c>
      <c r="E69" s="46"/>
      <c r="F69" s="47"/>
      <c r="G69" s="47">
        <v>0</v>
      </c>
      <c r="H69" s="48"/>
      <c r="I69" s="49" t="s">
        <v>229</v>
      </c>
      <c r="J69" s="46" t="s">
        <v>239</v>
      </c>
      <c r="K69" s="50"/>
      <c r="L69" s="50"/>
      <c r="M69" s="50"/>
      <c r="N69" s="50"/>
      <c r="O69" s="50"/>
      <c r="P69" s="51"/>
      <c r="Q69" s="50"/>
    </row>
    <row r="70" spans="2:17" x14ac:dyDescent="0.35">
      <c r="B70" s="52"/>
      <c r="C70" s="52"/>
      <c r="D70" s="52"/>
      <c r="E70" s="52"/>
      <c r="F70" s="53">
        <v>2</v>
      </c>
      <c r="G70" s="53">
        <v>331</v>
      </c>
      <c r="H70" s="54"/>
      <c r="I70" s="53" t="s">
        <v>229</v>
      </c>
      <c r="J70" s="55" t="str">
        <f>VLOOKUP($G70,'Materials by UPN'!$G$3:$R$112,2)</f>
        <v>M3 screw, hex, 8 mm, black</v>
      </c>
      <c r="K70" s="55" t="str">
        <f>IF(VLOOKUP($G70,'Materials by UPN'!$G$3:$R$112,3)="","",VLOOKUP($G70,'Materials by UPN'!$G$3:$R$112,3))</f>
        <v/>
      </c>
      <c r="L70" s="55" t="str">
        <f>IF(VLOOKUP($G70,'Materials by UPN'!$G$3:$R$112,4)="","",VLOOKUP($G70,'Materials by UPN'!$G$3:$R$112,4))</f>
        <v/>
      </c>
      <c r="M70" s="55" t="str">
        <f>IF(VLOOKUP($G70,'Materials by UPN'!$G$3:$R$112,5)="","",VLOOKUP($G70,'Materials by UPN'!$G$3:$R$112,5))</f>
        <v/>
      </c>
      <c r="N70" s="55" t="str">
        <f>VLOOKUP($G70,'Materials by UPN'!$G$3:$R$112,6)</f>
        <v>AliExpress</v>
      </c>
      <c r="O70" s="55" t="str">
        <f>IF(VLOOKUP($G70,'Materials by UPN'!$G$3:$R$112,7)="","",VLOOKUP($G70,'Materials by UPN'!$G$3:$R$112,7))</f>
        <v>https://www.aliexpress.us/item/3256805242052170.html</v>
      </c>
      <c r="P70" s="56">
        <f>VLOOKUP($G70,'Materials by UPN'!$G$3:$R$112,11)</f>
        <v>3.4749999999999996E-2</v>
      </c>
      <c r="Q70" s="56">
        <f>F70*P70</f>
        <v>6.9499999999999992E-2</v>
      </c>
    </row>
    <row r="71" spans="2:17" x14ac:dyDescent="0.35">
      <c r="B71" s="52"/>
      <c r="C71" s="52"/>
      <c r="D71" s="52"/>
      <c r="E71" s="52"/>
      <c r="F71" s="53">
        <v>2</v>
      </c>
      <c r="G71" s="53">
        <v>332</v>
      </c>
      <c r="H71" s="54"/>
      <c r="I71" s="53" t="s">
        <v>229</v>
      </c>
      <c r="J71" s="55" t="str">
        <f>VLOOKUP($G71,'Materials by UPN'!$G$3:$R$112,2)</f>
        <v>M3 split lockwasher</v>
      </c>
      <c r="K71" s="55" t="str">
        <f>IF(VLOOKUP($G71,'Materials by UPN'!$G$3:$R$112,3)="","",VLOOKUP($G71,'Materials by UPN'!$G$3:$R$112,3))</f>
        <v/>
      </c>
      <c r="L71" s="55" t="str">
        <f>IF(VLOOKUP($G71,'Materials by UPN'!$G$3:$R$112,4)="","",VLOOKUP($G71,'Materials by UPN'!$G$3:$R$112,4))</f>
        <v/>
      </c>
      <c r="M71" s="55" t="str">
        <f>IF(VLOOKUP($G71,'Materials by UPN'!$G$3:$R$112,5)="","",VLOOKUP($G71,'Materials by UPN'!$G$3:$R$112,5))</f>
        <v/>
      </c>
      <c r="N71" s="55" t="str">
        <f>VLOOKUP($G71,'Materials by UPN'!$G$3:$R$112,6)</f>
        <v>Amazon</v>
      </c>
      <c r="O71" s="55" t="str">
        <f>IF(VLOOKUP($G71,'Materials by UPN'!$G$3:$R$112,7)="","",VLOOKUP($G71,'Materials by UPN'!$G$3:$R$112,7))</f>
        <v>https://www.amazon.com/gp/product/B07Z2FJ2XW</v>
      </c>
      <c r="P71" s="56">
        <f>VLOOKUP($G71,'Materials by UPN'!$G$3:$R$112,11)</f>
        <v>2.1528450000000001E-2</v>
      </c>
      <c r="Q71" s="56">
        <f>F71*P71</f>
        <v>4.3056900000000002E-2</v>
      </c>
    </row>
    <row r="72" spans="2:17" x14ac:dyDescent="0.35">
      <c r="B72" s="52"/>
      <c r="C72" s="52"/>
      <c r="D72" s="52"/>
      <c r="E72" s="52"/>
      <c r="F72" s="53">
        <v>2</v>
      </c>
      <c r="G72" s="53">
        <v>358</v>
      </c>
      <c r="H72" s="54"/>
      <c r="I72" s="53" t="s">
        <v>229</v>
      </c>
      <c r="J72" s="55" t="str">
        <f>VLOOKUP($G72,'Materials by UPN'!$G$3:$R$112,2)</f>
        <v>Fender Washer, M3x16x1.0 mm</v>
      </c>
      <c r="K72" s="55" t="str">
        <f>IF(VLOOKUP($G72,'Materials by UPN'!$G$3:$R$112,3)="","",VLOOKUP($G72,'Materials by UPN'!$G$3:$R$112,3))</f>
        <v/>
      </c>
      <c r="L72" s="55" t="str">
        <f>IF(VLOOKUP($G72,'Materials by UPN'!$G$3:$R$112,4)="","",VLOOKUP($G72,'Materials by UPN'!$G$3:$R$112,4))</f>
        <v/>
      </c>
      <c r="M72" s="55" t="str">
        <f>IF(VLOOKUP($G72,'Materials by UPN'!$G$3:$R$112,5)="","",VLOOKUP($G72,'Materials by UPN'!$G$3:$R$112,5))</f>
        <v/>
      </c>
      <c r="N72" s="55" t="str">
        <f>VLOOKUP($G72,'Materials by UPN'!$G$3:$R$112,6)</f>
        <v>AliExpress</v>
      </c>
      <c r="O72" s="55" t="str">
        <f>IF(VLOOKUP($G72,'Materials by UPN'!$G$3:$R$112,7)="","",VLOOKUP($G72,'Materials by UPN'!$G$3:$R$112,7))</f>
        <v>https://www.aliexpress.us/item/3256802393168670.html</v>
      </c>
      <c r="P72" s="56">
        <f>VLOOKUP($G72,'Materials by UPN'!$G$3:$R$112,11)</f>
        <v>6.7625000000000005E-2</v>
      </c>
      <c r="Q72" s="56">
        <f>F72*P72</f>
        <v>0.13525000000000001</v>
      </c>
    </row>
    <row r="73" spans="2:17" x14ac:dyDescent="0.35">
      <c r="B73" s="52"/>
      <c r="C73" s="52"/>
      <c r="D73" s="52"/>
      <c r="E73" s="52"/>
      <c r="F73" s="53">
        <v>1</v>
      </c>
      <c r="G73" s="2">
        <v>364</v>
      </c>
      <c r="I73" s="2" t="s">
        <v>296</v>
      </c>
      <c r="J73" t="str">
        <f>VLOOKUP($G73,'Materials by UPN'!$G$3:$R$112,2)</f>
        <v>3" x 5" Small Plastic Bags- Reclosable Zip Bags</v>
      </c>
      <c r="K73" t="str">
        <f>IF(VLOOKUP($G73,'Materials by UPN'!$G$3:$R$112,3)="","",VLOOKUP($G73,'Materials by UPN'!$G$3:$R$112,3))</f>
        <v/>
      </c>
      <c r="L73" t="str">
        <f>IF(VLOOKUP($G73,'Materials by UPN'!$G$3:$R$112,4)="","",VLOOKUP($G73,'Materials by UPN'!$G$3:$R$112,4))</f>
        <v/>
      </c>
      <c r="M73" t="str">
        <f>IF(VLOOKUP($G73,'Materials by UPN'!$G$3:$R$112,5)="","",VLOOKUP($G73,'Materials by UPN'!$G$3:$R$112,5))</f>
        <v/>
      </c>
      <c r="N73" t="str">
        <f>VLOOKUP($G73,'Materials by UPN'!$G$3:$R$112,6)</f>
        <v>Amazon</v>
      </c>
      <c r="O73" t="str">
        <f>IF(VLOOKUP($G73,'Materials by UPN'!$G$3:$R$112,7)="","",VLOOKUP($G73,'Materials by UPN'!$G$3:$R$112,7))</f>
        <v>https://www.amazon.com/gp/product/B07XBF98NV</v>
      </c>
      <c r="P73" s="4">
        <f>VLOOKUP($G73,'Materials by UPN'!$G$3:$R$112,11)</f>
        <v>1.9379999999999998E-2</v>
      </c>
      <c r="Q73" s="4">
        <f>F73*P73</f>
        <v>1.9379999999999998E-2</v>
      </c>
    </row>
    <row r="74" spans="2:17" x14ac:dyDescent="0.35">
      <c r="B74" s="45" t="s">
        <v>252</v>
      </c>
      <c r="C74" s="46"/>
      <c r="D74" s="46" t="s">
        <v>230</v>
      </c>
      <c r="E74" s="46"/>
      <c r="F74" s="47"/>
      <c r="G74" s="47">
        <v>0</v>
      </c>
      <c r="H74" s="48"/>
      <c r="I74" s="49" t="s">
        <v>252</v>
      </c>
      <c r="J74" s="46" t="s">
        <v>248</v>
      </c>
      <c r="K74" s="50"/>
      <c r="L74" s="50"/>
      <c r="M74" s="50"/>
      <c r="N74" s="50"/>
      <c r="O74" s="50"/>
      <c r="P74" s="51"/>
      <c r="Q74" s="50"/>
    </row>
    <row r="75" spans="2:17" x14ac:dyDescent="0.35">
      <c r="B75" s="52"/>
      <c r="C75" s="52"/>
      <c r="D75" s="52"/>
      <c r="E75" s="52"/>
      <c r="F75" s="53">
        <v>2</v>
      </c>
      <c r="G75" s="53">
        <v>313</v>
      </c>
      <c r="H75" s="54" t="s">
        <v>116</v>
      </c>
      <c r="I75" s="53" t="s">
        <v>252</v>
      </c>
      <c r="J75" s="55" t="str">
        <f>VLOOKUP($G75,'Materials by UPN'!$G$3:$R$112,2)</f>
        <v>edge connector, 1PCS, 3.175mm, 2x43 86 pin</v>
      </c>
      <c r="K75" s="55" t="str">
        <f>IF(VLOOKUP($G75,'Materials by UPN'!$G$3:$R$112,3)="","",VLOOKUP($G75,'Materials by UPN'!$G$3:$R$112,3))</f>
        <v/>
      </c>
      <c r="L75" s="55" t="str">
        <f>IF(VLOOKUP($G75,'Materials by UPN'!$G$3:$R$112,4)="","",VLOOKUP($G75,'Materials by UPN'!$G$3:$R$112,4))</f>
        <v/>
      </c>
      <c r="M75" s="55" t="str">
        <f>IF(VLOOKUP($G75,'Materials by UPN'!$G$3:$R$112,5)="","",VLOOKUP($G75,'Materials by UPN'!$G$3:$R$112,5))</f>
        <v/>
      </c>
      <c r="N75" s="55" t="str">
        <f>VLOOKUP($G75,'Materials by UPN'!$G$3:$R$112,6)</f>
        <v>AliExpress</v>
      </c>
      <c r="O75" s="55" t="str">
        <f>IF(VLOOKUP($G75,'Materials by UPN'!$G$3:$R$112,7)="","",VLOOKUP($G75,'Materials by UPN'!$G$3:$R$112,7))</f>
        <v>https://www.aliexpress.us/item/2255801094078491.html</v>
      </c>
      <c r="P75" s="56">
        <f>VLOOKUP($G75,'Materials by UPN'!$G$3:$R$112,11)</f>
        <v>3.371</v>
      </c>
      <c r="Q75" s="56">
        <f>F75*P75</f>
        <v>6.742</v>
      </c>
    </row>
    <row r="76" spans="2:17" x14ac:dyDescent="0.35">
      <c r="B76" s="52"/>
      <c r="C76" s="52"/>
      <c r="D76" s="52"/>
      <c r="E76" s="52"/>
      <c r="F76" s="53">
        <v>1</v>
      </c>
      <c r="G76" s="2">
        <v>364</v>
      </c>
      <c r="I76" s="2" t="s">
        <v>298</v>
      </c>
      <c r="J76" t="str">
        <f>VLOOKUP($G76,'Materials by UPN'!$G$3:$R$112,2)</f>
        <v>3" x 5" Small Plastic Bags- Reclosable Zip Bags</v>
      </c>
      <c r="K76" t="str">
        <f>IF(VLOOKUP($G76,'Materials by UPN'!$G$3:$R$112,3)="","",VLOOKUP($G76,'Materials by UPN'!$G$3:$R$112,3))</f>
        <v/>
      </c>
      <c r="L76" t="str">
        <f>IF(VLOOKUP($G76,'Materials by UPN'!$G$3:$R$112,4)="","",VLOOKUP($G76,'Materials by UPN'!$G$3:$R$112,4))</f>
        <v/>
      </c>
      <c r="M76" t="str">
        <f>IF(VLOOKUP($G76,'Materials by UPN'!$G$3:$R$112,5)="","",VLOOKUP($G76,'Materials by UPN'!$G$3:$R$112,5))</f>
        <v/>
      </c>
      <c r="N76" t="str">
        <f>VLOOKUP($G76,'Materials by UPN'!$G$3:$R$112,6)</f>
        <v>Amazon</v>
      </c>
      <c r="O76" t="str">
        <f>IF(VLOOKUP($G76,'Materials by UPN'!$G$3:$R$112,7)="","",VLOOKUP($G76,'Materials by UPN'!$G$3:$R$112,7))</f>
        <v>https://www.amazon.com/gp/product/B07XBF98NV</v>
      </c>
      <c r="P76" s="4">
        <f>VLOOKUP($G76,'Materials by UPN'!$G$3:$R$112,11)</f>
        <v>1.9379999999999998E-2</v>
      </c>
      <c r="Q76" s="4">
        <f>F76*P76</f>
        <v>1.9379999999999998E-2</v>
      </c>
    </row>
    <row r="77" spans="2:17" x14ac:dyDescent="0.35">
      <c r="B77" s="45" t="s">
        <v>253</v>
      </c>
      <c r="C77" s="46"/>
      <c r="D77" s="46" t="s">
        <v>230</v>
      </c>
      <c r="E77" s="46"/>
      <c r="F77" s="47"/>
      <c r="G77" s="47">
        <v>0</v>
      </c>
      <c r="H77" s="48"/>
      <c r="I77" s="49" t="s">
        <v>253</v>
      </c>
      <c r="J77" s="46" t="s">
        <v>254</v>
      </c>
      <c r="K77" s="50"/>
      <c r="L77" s="50"/>
      <c r="M77" s="50"/>
      <c r="N77" s="50"/>
      <c r="O77" s="50"/>
      <c r="P77" s="51"/>
      <c r="Q77" s="50"/>
    </row>
    <row r="78" spans="2:17" x14ac:dyDescent="0.35">
      <c r="B78" s="52"/>
      <c r="C78" s="52"/>
      <c r="D78" s="52"/>
      <c r="E78" s="52"/>
      <c r="F78" s="53">
        <v>1</v>
      </c>
      <c r="G78" s="53">
        <v>347</v>
      </c>
      <c r="H78" s="54"/>
      <c r="I78" s="53" t="s">
        <v>253</v>
      </c>
      <c r="J78" s="55" t="str">
        <f>VLOOKUP($G78,'Materials by UPN'!$G$3:$R$112,2)</f>
        <v>Flat Cable, 8-pin 2x4 IDC, 10cm</v>
      </c>
      <c r="K78" s="55" t="str">
        <f>IF(VLOOKUP($G78,'Materials by UPN'!$G$3:$R$112,3)="","",VLOOKUP($G78,'Materials by UPN'!$G$3:$R$112,3))</f>
        <v/>
      </c>
      <c r="L78" s="55" t="str">
        <f>IF(VLOOKUP($G78,'Materials by UPN'!$G$3:$R$112,4)="","",VLOOKUP($G78,'Materials by UPN'!$G$3:$R$112,4))</f>
        <v/>
      </c>
      <c r="M78" s="55" t="str">
        <f>IF(VLOOKUP($G78,'Materials by UPN'!$G$3:$R$112,5)="","",VLOOKUP($G78,'Materials by UPN'!$G$3:$R$112,5))</f>
        <v/>
      </c>
      <c r="N78" s="55" t="str">
        <f>VLOOKUP($G78,'Materials by UPN'!$G$3:$R$112,6)</f>
        <v>AliExpress</v>
      </c>
      <c r="O78" s="55" t="str">
        <f>IF(VLOOKUP($G78,'Materials by UPN'!$G$3:$R$112,7)="","",VLOOKUP($G78,'Materials by UPN'!$G$3:$R$112,7))</f>
        <v>https://www.aliexpress.us/item/3256803248238815.html</v>
      </c>
      <c r="P78" s="56">
        <f>VLOOKUP($G78,'Materials by UPN'!$G$3:$R$112,11)</f>
        <v>1.1704045454545453</v>
      </c>
      <c r="Q78" s="56">
        <f>F78*P78</f>
        <v>1.1704045454545453</v>
      </c>
    </row>
    <row r="79" spans="2:17" x14ac:dyDescent="0.35">
      <c r="B79" s="52"/>
      <c r="C79" s="52"/>
      <c r="D79" s="52"/>
      <c r="E79" s="52"/>
      <c r="F79" s="53">
        <v>1</v>
      </c>
      <c r="G79" s="53">
        <v>348</v>
      </c>
      <c r="H79" s="54"/>
      <c r="I79" s="53" t="s">
        <v>253</v>
      </c>
      <c r="J79" s="55" t="str">
        <f>VLOOKUP($G79,'Materials by UPN'!$G$3:$R$112,2)</f>
        <v>Flat Cable, 16-pin 2x8 IDC, 10cm</v>
      </c>
      <c r="K79" s="55" t="str">
        <f>IF(VLOOKUP($G79,'Materials by UPN'!$G$3:$R$112,3)="","",VLOOKUP($G79,'Materials by UPN'!$G$3:$R$112,3))</f>
        <v/>
      </c>
      <c r="L79" s="55" t="str">
        <f>IF(VLOOKUP($G79,'Materials by UPN'!$G$3:$R$112,4)="","",VLOOKUP($G79,'Materials by UPN'!$G$3:$R$112,4))</f>
        <v/>
      </c>
      <c r="M79" s="55" t="str">
        <f>IF(VLOOKUP($G79,'Materials by UPN'!$G$3:$R$112,5)="","",VLOOKUP($G79,'Materials by UPN'!$G$3:$R$112,5))</f>
        <v/>
      </c>
      <c r="N79" s="55" t="str">
        <f>VLOOKUP($G79,'Materials by UPN'!$G$3:$R$112,6)</f>
        <v>AliExpress</v>
      </c>
      <c r="O79" s="55" t="str">
        <f>IF(VLOOKUP($G79,'Materials by UPN'!$G$3:$R$112,7)="","",VLOOKUP($G79,'Materials by UPN'!$G$3:$R$112,7))</f>
        <v>https://www.aliexpress.us/item/3256803248238815.html</v>
      </c>
      <c r="P79" s="56">
        <f>VLOOKUP($G79,'Materials by UPN'!$G$3:$R$112,11)</f>
        <v>1.3298745454545453</v>
      </c>
      <c r="Q79" s="56">
        <f>F79*P79</f>
        <v>1.3298745454545453</v>
      </c>
    </row>
    <row r="80" spans="2:17" x14ac:dyDescent="0.35">
      <c r="B80" s="52"/>
      <c r="C80" s="52"/>
      <c r="D80" s="52"/>
      <c r="E80" s="52"/>
      <c r="F80" s="53">
        <v>1</v>
      </c>
      <c r="G80" s="2">
        <v>364</v>
      </c>
      <c r="I80" s="2" t="s">
        <v>299</v>
      </c>
      <c r="J80" t="str">
        <f>VLOOKUP($G80,'Materials by UPN'!$G$3:$R$112,2)</f>
        <v>3" x 5" Small Plastic Bags- Reclosable Zip Bags</v>
      </c>
      <c r="K80" t="str">
        <f>IF(VLOOKUP($G80,'Materials by UPN'!$G$3:$R$112,3)="","",VLOOKUP($G80,'Materials by UPN'!$G$3:$R$112,3))</f>
        <v/>
      </c>
      <c r="L80" t="str">
        <f>IF(VLOOKUP($G80,'Materials by UPN'!$G$3:$R$112,4)="","",VLOOKUP($G80,'Materials by UPN'!$G$3:$R$112,4))</f>
        <v/>
      </c>
      <c r="M80" t="str">
        <f>IF(VLOOKUP($G80,'Materials by UPN'!$G$3:$R$112,5)="","",VLOOKUP($G80,'Materials by UPN'!$G$3:$R$112,5))</f>
        <v/>
      </c>
      <c r="N80" t="str">
        <f>VLOOKUP($G80,'Materials by UPN'!$G$3:$R$112,6)</f>
        <v>Amazon</v>
      </c>
      <c r="O80" t="str">
        <f>IF(VLOOKUP($G80,'Materials by UPN'!$G$3:$R$112,7)="","",VLOOKUP($G80,'Materials by UPN'!$G$3:$R$112,7))</f>
        <v>https://www.amazon.com/gp/product/B07XBF98NV</v>
      </c>
      <c r="P80" s="4">
        <f>VLOOKUP($G80,'Materials by UPN'!$G$3:$R$112,11)</f>
        <v>1.9379999999999998E-2</v>
      </c>
      <c r="Q80" s="4">
        <f>F80*P80</f>
        <v>1.9379999999999998E-2</v>
      </c>
    </row>
    <row r="81" spans="2:17" x14ac:dyDescent="0.35">
      <c r="B81" s="45" t="s">
        <v>249</v>
      </c>
      <c r="C81" s="46"/>
      <c r="D81" s="46" t="s">
        <v>255</v>
      </c>
      <c r="E81" s="46"/>
      <c r="F81" s="47"/>
      <c r="G81" s="47">
        <v>0</v>
      </c>
      <c r="H81" s="48" t="s">
        <v>290</v>
      </c>
      <c r="I81" s="49" t="s">
        <v>249</v>
      </c>
      <c r="J81" s="46" t="s">
        <v>251</v>
      </c>
      <c r="K81" s="50"/>
      <c r="L81" s="50"/>
      <c r="M81" s="50"/>
      <c r="N81" s="50"/>
      <c r="O81" s="50"/>
      <c r="P81" s="51"/>
      <c r="Q81" s="50"/>
    </row>
    <row r="82" spans="2:17" x14ac:dyDescent="0.35">
      <c r="B82" s="52"/>
      <c r="C82" s="52"/>
      <c r="D82" s="52"/>
      <c r="E82" s="52"/>
      <c r="F82" s="53">
        <v>1</v>
      </c>
      <c r="G82" s="53">
        <v>309</v>
      </c>
      <c r="H82" s="54" t="s">
        <v>124</v>
      </c>
      <c r="I82" s="53" t="s">
        <v>249</v>
      </c>
      <c r="J82" s="55" t="str">
        <f>VLOOKUP($G82,'Materials by UPN'!$G$3:$R$112,2)</f>
        <v>Raspberry Pi Pico H (SC0917), with pre-soldered headers</v>
      </c>
      <c r="K82" s="55" t="str">
        <f>IF(VLOOKUP($G82,'Materials by UPN'!$G$3:$R$112,3)="","",VLOOKUP($G82,'Materials by UPN'!$G$3:$R$112,3))</f>
        <v/>
      </c>
      <c r="L82" s="55" t="str">
        <f>IF(VLOOKUP($G82,'Materials by UPN'!$G$3:$R$112,4)="","",VLOOKUP($G82,'Materials by UPN'!$G$3:$R$112,4))</f>
        <v/>
      </c>
      <c r="M82" s="55" t="str">
        <f>IF(VLOOKUP($G82,'Materials by UPN'!$G$3:$R$112,5)="","",VLOOKUP($G82,'Materials by UPN'!$G$3:$R$112,5))</f>
        <v/>
      </c>
      <c r="N82" s="55" t="str">
        <f>VLOOKUP($G82,'Materials by UPN'!$G$3:$R$112,6)</f>
        <v>Digikey</v>
      </c>
      <c r="O82" s="55" t="str">
        <f>IF(VLOOKUP($G82,'Materials by UPN'!$G$3:$R$112,7)="","",VLOOKUP($G82,'Materials by UPN'!$G$3:$R$112,7))</f>
        <v>https://www.digikey.com/en/products/detail/raspberry-pi/SC0917/16608257</v>
      </c>
      <c r="P82" s="56">
        <f>VLOOKUP($G82,'Materials by UPN'!$G$3:$R$112,11)</f>
        <v>6.0870000000000006</v>
      </c>
      <c r="Q82" s="56">
        <f>F82*P82</f>
        <v>6.0870000000000006</v>
      </c>
    </row>
    <row r="83" spans="2:17" x14ac:dyDescent="0.35">
      <c r="B83" s="52"/>
      <c r="C83" s="52"/>
      <c r="D83" s="52"/>
      <c r="E83" s="52"/>
      <c r="F83" s="53">
        <v>1</v>
      </c>
      <c r="G83" s="53">
        <v>367</v>
      </c>
      <c r="H83" s="54"/>
      <c r="I83" s="53" t="s">
        <v>250</v>
      </c>
      <c r="J83" s="55" t="str">
        <f>VLOOKUP($G83,'Materials by UPN'!$G$3:$R$112,2)</f>
        <v>Antistatic bag, 6x9 cm</v>
      </c>
      <c r="K83" s="55" t="str">
        <f>IF(VLOOKUP($G83,'Materials by UPN'!$G$3:$R$112,3)="","",VLOOKUP($G83,'Materials by UPN'!$G$3:$R$112,3))</f>
        <v/>
      </c>
      <c r="L83" s="55" t="str">
        <f>IF(VLOOKUP($G83,'Materials by UPN'!$G$3:$R$112,4)="","",VLOOKUP($G83,'Materials by UPN'!$G$3:$R$112,4))</f>
        <v/>
      </c>
      <c r="M83" s="55" t="str">
        <f>IF(VLOOKUP($G83,'Materials by UPN'!$G$3:$R$112,5)="","",VLOOKUP($G83,'Materials by UPN'!$G$3:$R$112,5))</f>
        <v/>
      </c>
      <c r="N83" s="55" t="str">
        <f>VLOOKUP($G83,'Materials by UPN'!$G$3:$R$112,6)</f>
        <v>AliExpress</v>
      </c>
      <c r="O83" s="55" t="str">
        <f>IF(VLOOKUP($G83,'Materials by UPN'!$G$3:$R$112,7)="","",VLOOKUP($G83,'Materials by UPN'!$G$3:$R$112,7))</f>
        <v xml:space="preserve">https://www.aliexpress.us/item/3256802834769879.html </v>
      </c>
      <c r="P83" s="56">
        <f>VLOOKUP($G83,'Materials by UPN'!$G$3:$R$112,11)</f>
        <v>8.5311499999999998E-2</v>
      </c>
      <c r="Q83" s="56">
        <f>F83*P83</f>
        <v>8.5311499999999998E-2</v>
      </c>
    </row>
  </sheetData>
  <sortState xmlns:xlrd2="http://schemas.microsoft.com/office/spreadsheetml/2017/richdata2" ref="B5:Q63">
    <sortCondition ref="I5:I63"/>
    <sortCondition ref="G5:G63"/>
  </sortState>
  <printOptions gridLines="1"/>
  <pageMargins left="0.25" right="0.25" top="0.25" bottom="0.25" header="0.3" footer="0.3"/>
  <pageSetup scale="71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9F22-4E85-4DA0-9CB5-DD1B6D08934D}">
  <sheetPr>
    <pageSetUpPr fitToPage="1"/>
  </sheetPr>
  <dimension ref="A1:V133"/>
  <sheetViews>
    <sheetView workbookViewId="0">
      <pane ySplit="580" activePane="bottomLeft"/>
      <selection activeCell="B1" sqref="B1:B1048576"/>
      <selection pane="bottomLeft"/>
    </sheetView>
  </sheetViews>
  <sheetFormatPr defaultRowHeight="14.5" x14ac:dyDescent="0.35"/>
  <cols>
    <col min="1" max="1" width="4.54296875" style="1" customWidth="1"/>
    <col min="2" max="2" width="7.6328125" style="1" customWidth="1"/>
    <col min="3" max="4" width="4.54296875" style="1" customWidth="1"/>
    <col min="5" max="5" width="4.6328125" style="1" customWidth="1"/>
    <col min="6" max="6" width="5.54296875" style="2" customWidth="1"/>
    <col min="7" max="7" width="4.54296875" style="2" customWidth="1"/>
    <col min="8" max="8" width="13.54296875" style="15" customWidth="1"/>
    <col min="9" max="9" width="5.54296875" style="2" customWidth="1"/>
    <col min="10" max="10" width="61.54296875" bestFit="1" customWidth="1"/>
    <col min="11" max="11" width="4.54296875" customWidth="1"/>
    <col min="12" max="12" width="19.1796875" customWidth="1"/>
    <col min="13" max="13" width="25.54296875" customWidth="1"/>
    <col min="14" max="14" width="15.54296875" customWidth="1"/>
    <col min="15" max="15" width="49.453125" bestFit="1" customWidth="1"/>
    <col min="16" max="16" width="9.54296875" style="4" customWidth="1"/>
    <col min="17" max="18" width="9.54296875" customWidth="1"/>
  </cols>
  <sheetData>
    <row r="1" spans="1:20" x14ac:dyDescent="0.35">
      <c r="F1" s="3" t="s">
        <v>0</v>
      </c>
      <c r="G1" s="3" t="s">
        <v>144</v>
      </c>
      <c r="H1" s="16"/>
      <c r="I1" s="3"/>
      <c r="J1" s="1" t="s">
        <v>1</v>
      </c>
      <c r="K1" s="1" t="s">
        <v>12</v>
      </c>
      <c r="L1" s="1" t="s">
        <v>7</v>
      </c>
      <c r="M1" s="1" t="s">
        <v>3</v>
      </c>
      <c r="N1" s="1" t="s">
        <v>2</v>
      </c>
      <c r="O1" s="1" t="s">
        <v>29</v>
      </c>
      <c r="P1" s="9" t="s">
        <v>4</v>
      </c>
      <c r="Q1" s="3" t="s">
        <v>5</v>
      </c>
    </row>
    <row r="2" spans="1:20" x14ac:dyDescent="0.35">
      <c r="R2" s="11"/>
    </row>
    <row r="3" spans="1:20" ht="23.5" x14ac:dyDescent="0.55000000000000004">
      <c r="A3" s="29" t="s">
        <v>88</v>
      </c>
      <c r="B3" s="17"/>
      <c r="C3" s="17"/>
      <c r="D3" s="17"/>
      <c r="E3" s="17"/>
      <c r="F3" s="18"/>
      <c r="G3" s="18"/>
      <c r="H3" s="28"/>
      <c r="I3" s="18"/>
      <c r="R3" s="11"/>
    </row>
    <row r="4" spans="1:20" s="41" customFormat="1" ht="18.5" x14ac:dyDescent="0.45">
      <c r="A4" s="30" t="s">
        <v>159</v>
      </c>
      <c r="B4" s="30" t="s">
        <v>20</v>
      </c>
      <c r="C4" s="30"/>
      <c r="D4" s="30"/>
      <c r="E4" s="30"/>
      <c r="F4" s="35"/>
      <c r="G4" s="35"/>
      <c r="H4" s="36"/>
      <c r="I4" s="35"/>
      <c r="J4" s="30"/>
      <c r="K4" s="30"/>
      <c r="L4" s="30"/>
      <c r="M4" s="30"/>
      <c r="N4" s="30"/>
      <c r="O4" s="30"/>
      <c r="P4" s="42"/>
      <c r="Q4" s="30"/>
      <c r="R4" s="43">
        <f>SUM(Q4:Q7)</f>
        <v>8.5548000000000002</v>
      </c>
      <c r="S4" s="40">
        <f>CEILING(R4,1)</f>
        <v>9</v>
      </c>
    </row>
    <row r="5" spans="1:20" x14ac:dyDescent="0.35">
      <c r="F5" s="2">
        <v>1</v>
      </c>
      <c r="G5" s="2">
        <v>104</v>
      </c>
      <c r="I5" s="2" t="s">
        <v>159</v>
      </c>
      <c r="J5" t="str">
        <f>VLOOKUP($G5,'Materials by UPN'!$G$3:$R$112,2)</f>
        <v>M930GW Terminator Board, assembled</v>
      </c>
      <c r="K5" t="str">
        <f>IF(VLOOKUP($G5,'Materials by UPN'!$G$3:$R$112,3)="","",VLOOKUP($G5,'Materials by UPN'!$G$3:$R$112,3))</f>
        <v>v0</v>
      </c>
      <c r="L5" t="str">
        <f>IF(VLOOKUP($G5,'Materials by UPN'!$G$3:$R$112,4)="","",VLOOKUP($G5,'Materials by UPN'!$G$3:$R$112,4))</f>
        <v/>
      </c>
      <c r="M5" t="str">
        <f>IF(VLOOKUP($G5,'Materials by UPN'!$G$3:$R$112,5)="","",VLOOKUP($G5,'Materials by UPN'!$G$3:$R$112,5))</f>
        <v/>
      </c>
      <c r="N5" t="str">
        <f>VLOOKUP($G5,'Materials by UPN'!$G$3:$R$112,6)</f>
        <v>JLCPCB</v>
      </c>
      <c r="O5" t="str">
        <f>IF(VLOOKUP($G5,'Materials by UPN'!$G$3:$R$112,7)="","",VLOOKUP($G5,'Materials by UPN'!$G$3:$R$112,7))</f>
        <v>M930GW_Terminator_Board_ordering_instructions.pdf</v>
      </c>
      <c r="P5" s="4">
        <f>VLOOKUP($G5,'Materials by UPN'!$G$3:$R$112,11)</f>
        <v>8.3889999999999993</v>
      </c>
      <c r="Q5" s="4">
        <f>F5*P5</f>
        <v>8.3889999999999993</v>
      </c>
      <c r="R5" s="25"/>
    </row>
    <row r="6" spans="1:20" x14ac:dyDescent="0.35">
      <c r="F6" s="2">
        <v>1</v>
      </c>
      <c r="G6" s="2">
        <v>338</v>
      </c>
      <c r="I6" s="2" t="s">
        <v>300</v>
      </c>
      <c r="J6" t="str">
        <f>VLOOKUP($G6,'Materials by UPN'!$G$3:$R$112,2)</f>
        <v>Antistatic bag, 15x20 cm</v>
      </c>
      <c r="K6" t="str">
        <f>IF(VLOOKUP($G6,'Materials by UPN'!$G$3:$R$112,3)="","",VLOOKUP($G6,'Materials by UPN'!$G$3:$R$112,3))</f>
        <v/>
      </c>
      <c r="L6" t="str">
        <f>IF(VLOOKUP($G6,'Materials by UPN'!$G$3:$R$112,4)="","",VLOOKUP($G6,'Materials by UPN'!$G$3:$R$112,4))</f>
        <v/>
      </c>
      <c r="M6" t="str">
        <f>IF(VLOOKUP($G6,'Materials by UPN'!$G$3:$R$112,5)="","",VLOOKUP($G6,'Materials by UPN'!$G$3:$R$112,5))</f>
        <v/>
      </c>
      <c r="N6" t="str">
        <f>VLOOKUP($G6,'Materials by UPN'!$G$3:$R$112,6)</f>
        <v>Amazon</v>
      </c>
      <c r="O6" t="str">
        <f>IF(VLOOKUP($G6,'Materials by UPN'!$G$3:$R$112,7)="","",VLOOKUP($G6,'Materials by UPN'!$G$3:$R$112,7))</f>
        <v>https://www.amazon.com/dp/B07TXD47PZ</v>
      </c>
      <c r="P6" s="4">
        <f>VLOOKUP($G6,'Materials by UPN'!$G$3:$R$112,11)</f>
        <v>0.16580000000000003</v>
      </c>
      <c r="Q6" s="4">
        <f>F6*P6</f>
        <v>0.16580000000000003</v>
      </c>
      <c r="R6" s="25"/>
    </row>
    <row r="7" spans="1:20" x14ac:dyDescent="0.35">
      <c r="R7" s="25"/>
    </row>
    <row r="8" spans="1:20" s="41" customFormat="1" ht="18.5" x14ac:dyDescent="0.45">
      <c r="A8" s="30" t="s">
        <v>160</v>
      </c>
      <c r="B8" s="30" t="s">
        <v>141</v>
      </c>
      <c r="C8" s="30"/>
      <c r="D8" s="30"/>
      <c r="E8" s="30"/>
      <c r="F8" s="35"/>
      <c r="G8" s="35"/>
      <c r="H8" s="36"/>
      <c r="I8" s="35"/>
      <c r="J8" s="30"/>
      <c r="K8" s="30"/>
      <c r="L8" s="30"/>
      <c r="M8" s="30"/>
      <c r="N8" s="30"/>
      <c r="O8" s="30"/>
      <c r="P8" s="42"/>
      <c r="Q8" s="30"/>
      <c r="R8" s="43">
        <f>SUM(Q8:Q20)</f>
        <v>21.195456245752261</v>
      </c>
      <c r="S8" s="40">
        <f>CEILING(R8,1)</f>
        <v>22</v>
      </c>
    </row>
    <row r="9" spans="1:20" s="41" customFormat="1" ht="14.5" customHeight="1" x14ac:dyDescent="0.45">
      <c r="A9" s="1"/>
      <c r="B9" s="45" t="s">
        <v>278</v>
      </c>
      <c r="C9" s="46"/>
      <c r="D9" s="46" t="s">
        <v>317</v>
      </c>
      <c r="E9" s="46"/>
      <c r="F9" s="47"/>
      <c r="G9" s="47">
        <v>0</v>
      </c>
      <c r="H9" s="48"/>
      <c r="I9" s="49" t="s">
        <v>278</v>
      </c>
      <c r="J9" s="46" t="s">
        <v>269</v>
      </c>
      <c r="K9" s="50"/>
      <c r="L9" s="50"/>
      <c r="M9" s="50"/>
      <c r="N9" s="50"/>
      <c r="O9" s="50"/>
      <c r="P9" s="51"/>
      <c r="Q9" s="50"/>
      <c r="R9" s="25"/>
      <c r="S9"/>
      <c r="T9"/>
    </row>
    <row r="10" spans="1:20" x14ac:dyDescent="0.35">
      <c r="F10" s="2">
        <v>1</v>
      </c>
      <c r="G10" s="2">
        <v>105</v>
      </c>
      <c r="I10" s="2" t="s">
        <v>278</v>
      </c>
      <c r="J10" t="str">
        <f>VLOOKUP($G10,'Materials by UPN'!$G$3:$R$112,2)</f>
        <v>PCB, M993GW RK05 Adapter Board</v>
      </c>
      <c r="K10" t="str">
        <f>IF(VLOOKUP($G10,'Materials by UPN'!$G$3:$R$112,3)="","",VLOOKUP($G10,'Materials by UPN'!$G$3:$R$112,3))</f>
        <v>v2</v>
      </c>
      <c r="L10" t="str">
        <f>IF(VLOOKUP($G10,'Materials by UPN'!$G$3:$R$112,4)="","",VLOOKUP($G10,'Materials by UPN'!$G$3:$R$112,4))</f>
        <v/>
      </c>
      <c r="M10" t="str">
        <f>IF(VLOOKUP($G10,'Materials by UPN'!$G$3:$R$112,5)="","",VLOOKUP($G10,'Materials by UPN'!$G$3:$R$112,5))</f>
        <v/>
      </c>
      <c r="N10" t="str">
        <f>VLOOKUP($G10,'Materials by UPN'!$G$3:$R$112,6)</f>
        <v>JLCPCB</v>
      </c>
      <c r="O10" t="str">
        <f>IF(VLOOKUP($G10,'Materials by UPN'!$G$3:$R$112,7)="","",VLOOKUP($G10,'Materials by UPN'!$G$3:$R$112,7))</f>
        <v>Surface Finish: ENIG</v>
      </c>
      <c r="P10" s="4">
        <f>VLOOKUP($G10,'Materials by UPN'!$G$3:$R$112,11)</f>
        <v>5.6760000000000002</v>
      </c>
      <c r="Q10" s="4">
        <f t="shared" ref="Q10:Q18" si="0">F10*P10</f>
        <v>5.6760000000000002</v>
      </c>
      <c r="R10" s="25"/>
    </row>
    <row r="11" spans="1:20" x14ac:dyDescent="0.35">
      <c r="F11" s="2">
        <v>1</v>
      </c>
      <c r="G11" s="2">
        <v>368</v>
      </c>
      <c r="I11" s="2" t="s">
        <v>303</v>
      </c>
      <c r="J11" t="str">
        <f>VLOOKUP($G11,'Materials by UPN'!$G$3:$R$112,2)</f>
        <v>Ziplock Sandwich Bag</v>
      </c>
      <c r="K11" t="str">
        <f>IF(VLOOKUP($G11,'Materials by UPN'!$G$3:$R$112,3)="","",VLOOKUP($G11,'Materials by UPN'!$G$3:$R$112,3))</f>
        <v/>
      </c>
      <c r="L11" t="str">
        <f>IF(VLOOKUP($G11,'Materials by UPN'!$G$3:$R$112,4)="","",VLOOKUP($G11,'Materials by UPN'!$G$3:$R$112,4))</f>
        <v/>
      </c>
      <c r="M11" t="str">
        <f>IF(VLOOKUP($G11,'Materials by UPN'!$G$3:$R$112,5)="","",VLOOKUP($G11,'Materials by UPN'!$G$3:$R$112,5))</f>
        <v/>
      </c>
      <c r="N11" t="str">
        <f>VLOOKUP($G11,'Materials by UPN'!$G$3:$R$112,6)</f>
        <v>Costco</v>
      </c>
      <c r="O11" t="str">
        <f>IF(VLOOKUP($G11,'Materials by UPN'!$G$3:$R$112,7)="","",VLOOKUP($G11,'Materials by UPN'!$G$3:$R$112,7))</f>
        <v/>
      </c>
      <c r="P11" s="4">
        <f>VLOOKUP($G11,'Materials by UPN'!$G$3:$R$112,11)</f>
        <v>0</v>
      </c>
      <c r="Q11" s="4">
        <f>F11*P11</f>
        <v>0</v>
      </c>
      <c r="R11" s="25"/>
    </row>
    <row r="12" spans="1:20" x14ac:dyDescent="0.35">
      <c r="B12" s="45" t="s">
        <v>280</v>
      </c>
      <c r="C12" s="46"/>
      <c r="D12" s="46"/>
      <c r="E12" s="46"/>
      <c r="F12" s="47"/>
      <c r="G12" s="47">
        <v>0</v>
      </c>
      <c r="H12" s="48"/>
      <c r="I12" s="49" t="s">
        <v>280</v>
      </c>
      <c r="J12" s="46" t="s">
        <v>315</v>
      </c>
      <c r="K12" s="50"/>
      <c r="L12" s="50"/>
      <c r="M12" s="50"/>
      <c r="N12" s="50"/>
      <c r="O12" s="50"/>
      <c r="P12" s="51"/>
      <c r="Q12" s="50"/>
      <c r="R12" s="25"/>
    </row>
    <row r="13" spans="1:20" x14ac:dyDescent="0.35">
      <c r="F13" s="2">
        <v>2</v>
      </c>
      <c r="G13" s="2">
        <v>349</v>
      </c>
      <c r="I13" s="2" t="s">
        <v>280</v>
      </c>
      <c r="J13" t="str">
        <f>VLOOKUP($G13,'Materials by UPN'!$G$3:$R$112,2)</f>
        <v>Flat Cable, 40-pin 2x20 IDC, 1m</v>
      </c>
      <c r="K13" t="str">
        <f>IF(VLOOKUP($G13,'Materials by UPN'!$G$3:$R$112,3)="","",VLOOKUP($G13,'Materials by UPN'!$G$3:$R$112,3))</f>
        <v/>
      </c>
      <c r="L13" t="str">
        <f>IF(VLOOKUP($G13,'Materials by UPN'!$G$3:$R$112,4)="","",VLOOKUP($G13,'Materials by UPN'!$G$3:$R$112,4))</f>
        <v/>
      </c>
      <c r="M13" t="str">
        <f>IF(VLOOKUP($G13,'Materials by UPN'!$G$3:$R$112,5)="","",VLOOKUP($G13,'Materials by UPN'!$G$3:$R$112,5))</f>
        <v/>
      </c>
      <c r="N13" t="str">
        <f>VLOOKUP($G13,'Materials by UPN'!$G$3:$R$112,6)</f>
        <v>AliExpress</v>
      </c>
      <c r="O13" t="str">
        <f>IF(VLOOKUP($G13,'Materials by UPN'!$G$3:$R$112,7)="","",VLOOKUP($G13,'Materials by UPN'!$G$3:$R$112,7))</f>
        <v>https://www.aliexpress.us/item/3256803248238815.html</v>
      </c>
      <c r="P13" s="4">
        <f>VLOOKUP($G13,'Materials by UPN'!$G$3:$R$112,11)</f>
        <v>5.5018500000000001</v>
      </c>
      <c r="Q13" s="4">
        <f t="shared" si="0"/>
        <v>11.0037</v>
      </c>
      <c r="R13" s="25"/>
    </row>
    <row r="14" spans="1:20" x14ac:dyDescent="0.35">
      <c r="B14" s="45" t="s">
        <v>331</v>
      </c>
      <c r="C14" s="46"/>
      <c r="D14" s="46" t="s">
        <v>230</v>
      </c>
      <c r="E14" s="46"/>
      <c r="F14" s="47"/>
      <c r="G14" s="47">
        <v>0</v>
      </c>
      <c r="H14" s="48"/>
      <c r="I14" s="49" t="s">
        <v>331</v>
      </c>
      <c r="J14" s="46" t="s">
        <v>314</v>
      </c>
      <c r="K14" s="50"/>
      <c r="L14" s="50"/>
      <c r="M14" s="50"/>
      <c r="N14" s="50"/>
      <c r="O14" s="50"/>
      <c r="P14" s="51"/>
      <c r="Q14" s="50"/>
      <c r="R14" s="25"/>
    </row>
    <row r="15" spans="1:20" x14ac:dyDescent="0.35">
      <c r="F15" s="2">
        <v>2</v>
      </c>
      <c r="G15" s="2">
        <v>336</v>
      </c>
      <c r="I15" s="2" t="s">
        <v>331</v>
      </c>
      <c r="J15" t="str">
        <f>VLOOKUP($G15,'Materials by UPN'!$G$3:$R$112,2)</f>
        <v>Header, 40-pin, right-angle, with ejectors</v>
      </c>
      <c r="K15" t="str">
        <f>IF(VLOOKUP($G15,'Materials by UPN'!$G$3:$R$112,3)="","",VLOOKUP($G15,'Materials by UPN'!$G$3:$R$112,3))</f>
        <v/>
      </c>
      <c r="L15" t="str">
        <f>IF(VLOOKUP($G15,'Materials by UPN'!$G$3:$R$112,4)="","",VLOOKUP($G15,'Materials by UPN'!$G$3:$R$112,4))</f>
        <v>Amphenol ICC (FCI)</v>
      </c>
      <c r="M15" t="str">
        <f>IF(VLOOKUP($G15,'Materials by UPN'!$G$3:$R$112,5)="","",VLOOKUP($G15,'Materials by UPN'!$G$3:$R$112,5))</f>
        <v>86130402113345E1LF</v>
      </c>
      <c r="N15" t="str">
        <f>VLOOKUP($G15,'Materials by UPN'!$G$3:$R$112,6)</f>
        <v>Digikey</v>
      </c>
      <c r="O15" t="str">
        <f>IF(VLOOKUP($G15,'Materials by UPN'!$G$3:$R$112,7)="","",VLOOKUP($G15,'Materials by UPN'!$G$3:$R$112,7))</f>
        <v>https://www.digikey.com/en/products/detail/amphenol-cs-fci/86130402113345E1LF/5201672</v>
      </c>
      <c r="P15" s="4">
        <f>VLOOKUP($G15,'Materials by UPN'!$G$3:$R$112,11)</f>
        <v>1.789927135696644</v>
      </c>
      <c r="Q15" s="4">
        <f>F15*P15</f>
        <v>3.5798542713932879</v>
      </c>
      <c r="R15" s="25"/>
    </row>
    <row r="16" spans="1:20" x14ac:dyDescent="0.35">
      <c r="F16" s="2">
        <v>1</v>
      </c>
      <c r="G16" s="2">
        <v>205</v>
      </c>
      <c r="I16" s="2" t="s">
        <v>331</v>
      </c>
      <c r="J16" t="str">
        <f>VLOOKUP($G16,'Materials by UPN'!$G$3:$R$112,2)</f>
        <v>M993GW Cable Clamp, 3D printed</v>
      </c>
      <c r="K16" t="str">
        <f>IF(VLOOKUP($G16,'Materials by UPN'!$G$3:$R$112,3)="","",VLOOKUP($G16,'Materials by UPN'!$G$3:$R$112,3))</f>
        <v>v03</v>
      </c>
      <c r="L16" t="str">
        <f>IF(VLOOKUP($G16,'Materials by UPN'!$G$3:$R$112,4)="","",VLOOKUP($G16,'Materials by UPN'!$G$3:$R$112,4))</f>
        <v/>
      </c>
      <c r="M16" t="str">
        <f>IF(VLOOKUP($G16,'Materials by UPN'!$G$3:$R$112,5)="","",VLOOKUP($G16,'Materials by UPN'!$G$3:$R$112,5))</f>
        <v>205 v03</v>
      </c>
      <c r="N16" t="str">
        <f>VLOOKUP($G16,'Materials by UPN'!$G$3:$R$112,6)</f>
        <v>JLCPCB</v>
      </c>
      <c r="O16" t="str">
        <f>IF(VLOOKUP($G16,'Materials by UPN'!$G$3:$R$112,7)="","",VLOOKUP($G16,'Materials by UPN'!$G$3:$R$112,7))</f>
        <v>200 v03, SLA (Resin), LEDO 6060, Natural White</v>
      </c>
      <c r="P16" s="4">
        <f>VLOOKUP($G16,'Materials by UPN'!$G$3:$R$112,11)</f>
        <v>0.61869230769230765</v>
      </c>
      <c r="Q16" s="4">
        <f t="shared" si="0"/>
        <v>0.61869230769230765</v>
      </c>
      <c r="R16" s="25"/>
    </row>
    <row r="17" spans="1:22" x14ac:dyDescent="0.35">
      <c r="F17" s="2">
        <v>2</v>
      </c>
      <c r="G17" s="2">
        <v>334</v>
      </c>
      <c r="I17" s="2" t="s">
        <v>331</v>
      </c>
      <c r="J17" t="str">
        <f>VLOOKUP($G17,'Materials by UPN'!$G$3:$R$112,2)</f>
        <v>M3 x 12mm cap screw, black</v>
      </c>
      <c r="K17" t="str">
        <f>IF(VLOOKUP($G17,'Materials by UPN'!$G$3:$R$112,3)="","",VLOOKUP($G17,'Materials by UPN'!$G$3:$R$112,3))</f>
        <v/>
      </c>
      <c r="L17" t="str">
        <f>IF(VLOOKUP($G17,'Materials by UPN'!$G$3:$R$112,4)="","",VLOOKUP($G17,'Materials by UPN'!$G$3:$R$112,4))</f>
        <v/>
      </c>
      <c r="M17" t="str">
        <f>IF(VLOOKUP($G17,'Materials by UPN'!$G$3:$R$112,5)="","",VLOOKUP($G17,'Materials by UPN'!$G$3:$R$112,5))</f>
        <v/>
      </c>
      <c r="N17" t="str">
        <f>VLOOKUP($G17,'Materials by UPN'!$G$3:$R$112,6)</f>
        <v>Amazon</v>
      </c>
      <c r="O17" t="str">
        <f>IF(VLOOKUP($G17,'Materials by UPN'!$G$3:$R$112,7)="","",VLOOKUP($G17,'Materials by UPN'!$G$3:$R$112,7))</f>
        <v>https://www.amazon.com/gp/product/B07CNFTK99</v>
      </c>
      <c r="P17" s="4">
        <f>VLOOKUP($G17,'Materials by UPN'!$G$3:$R$112,11)</f>
        <v>8.4691500000000003E-2</v>
      </c>
      <c r="Q17" s="4">
        <f t="shared" si="0"/>
        <v>0.16938300000000001</v>
      </c>
      <c r="R17" s="25"/>
    </row>
    <row r="18" spans="1:22" x14ac:dyDescent="0.35">
      <c r="F18" s="2">
        <v>2</v>
      </c>
      <c r="G18" s="2">
        <v>328</v>
      </c>
      <c r="I18" s="2" t="s">
        <v>331</v>
      </c>
      <c r="J18" t="str">
        <f>VLOOKUP($G18,'Materials by UPN'!$G$3:$R$112,2)</f>
        <v>M3 self locking nut</v>
      </c>
      <c r="K18" t="str">
        <f>IF(VLOOKUP($G18,'Materials by UPN'!$G$3:$R$112,3)="","",VLOOKUP($G18,'Materials by UPN'!$G$3:$R$112,3))</f>
        <v/>
      </c>
      <c r="L18" t="str">
        <f>IF(VLOOKUP($G18,'Materials by UPN'!$G$3:$R$112,4)="","",VLOOKUP($G18,'Materials by UPN'!$G$3:$R$112,4))</f>
        <v/>
      </c>
      <c r="M18" t="str">
        <f>IF(VLOOKUP($G18,'Materials by UPN'!$G$3:$R$112,5)="","",VLOOKUP($G18,'Materials by UPN'!$G$3:$R$112,5))</f>
        <v/>
      </c>
      <c r="N18" t="str">
        <f>VLOOKUP($G18,'Materials by UPN'!$G$3:$R$112,6)</f>
        <v>Amazon</v>
      </c>
      <c r="O18" t="str">
        <f>IF(VLOOKUP($G18,'Materials by UPN'!$G$3:$R$112,7)="","",VLOOKUP($G18,'Materials by UPN'!$G$3:$R$112,7))</f>
        <v>https://www.amazon.com/Stainless-Self-Locking-Industrial-Construction-Fasteners/dp/B09SLLQ3KV</v>
      </c>
      <c r="P18" s="4">
        <f>VLOOKUP($G18,'Materials by UPN'!$G$3:$R$112,11)</f>
        <v>5.4533333333333329E-2</v>
      </c>
      <c r="Q18" s="4">
        <f t="shared" si="0"/>
        <v>0.10906666666666666</v>
      </c>
      <c r="R18" s="25"/>
    </row>
    <row r="19" spans="1:22" x14ac:dyDescent="0.35">
      <c r="F19" s="2">
        <v>2</v>
      </c>
      <c r="G19" s="2">
        <v>364</v>
      </c>
      <c r="I19" s="2" t="s">
        <v>332</v>
      </c>
      <c r="J19" t="str">
        <f>VLOOKUP($G19,'Materials by UPN'!$G$3:$R$112,2)</f>
        <v>3" x 5" Small Plastic Bags- Reclosable Zip Bags</v>
      </c>
      <c r="K19" t="str">
        <f>IF(VLOOKUP($G19,'Materials by UPN'!$G$3:$R$112,3)="","",VLOOKUP($G19,'Materials by UPN'!$G$3:$R$112,3))</f>
        <v/>
      </c>
      <c r="L19" t="str">
        <f>IF(VLOOKUP($G19,'Materials by UPN'!$G$3:$R$112,4)="","",VLOOKUP($G19,'Materials by UPN'!$G$3:$R$112,4))</f>
        <v/>
      </c>
      <c r="M19" t="str">
        <f>IF(VLOOKUP($G19,'Materials by UPN'!$G$3:$R$112,5)="","",VLOOKUP($G19,'Materials by UPN'!$G$3:$R$112,5))</f>
        <v/>
      </c>
      <c r="N19" t="str">
        <f>VLOOKUP($G19,'Materials by UPN'!$G$3:$R$112,6)</f>
        <v>Amazon</v>
      </c>
      <c r="O19" t="str">
        <f>IF(VLOOKUP($G19,'Materials by UPN'!$G$3:$R$112,7)="","",VLOOKUP($G19,'Materials by UPN'!$G$3:$R$112,7))</f>
        <v>https://www.amazon.com/gp/product/B07XBF98NV</v>
      </c>
      <c r="P19" s="4">
        <f>VLOOKUP($G19,'Materials by UPN'!$G$3:$R$112,11)</f>
        <v>1.9379999999999998E-2</v>
      </c>
      <c r="Q19" s="4">
        <f>F19*P19</f>
        <v>3.8759999999999996E-2</v>
      </c>
      <c r="R19" s="25"/>
    </row>
    <row r="20" spans="1:22" x14ac:dyDescent="0.35">
      <c r="R20" s="25"/>
    </row>
    <row r="21" spans="1:22" s="41" customFormat="1" ht="18.5" x14ac:dyDescent="0.45">
      <c r="A21" s="30" t="s">
        <v>161</v>
      </c>
      <c r="B21" s="30" t="s">
        <v>140</v>
      </c>
      <c r="C21" s="30"/>
      <c r="D21" s="30"/>
      <c r="E21" s="30"/>
      <c r="F21" s="35"/>
      <c r="G21" s="35"/>
      <c r="H21" s="36"/>
      <c r="I21" s="35"/>
      <c r="J21" s="30"/>
      <c r="K21" s="30"/>
      <c r="L21" s="30"/>
      <c r="M21" s="30"/>
      <c r="N21" s="30"/>
      <c r="O21" s="30"/>
      <c r="P21" s="42"/>
      <c r="Q21" s="30"/>
      <c r="R21" s="43">
        <f>SUM(Q21:Q33)</f>
        <v>31.348452491504524</v>
      </c>
      <c r="S21" s="40">
        <f>CEILING(R21,1)</f>
        <v>32</v>
      </c>
      <c r="V21" s="44"/>
    </row>
    <row r="22" spans="1:22" s="41" customFormat="1" ht="14.5" customHeight="1" x14ac:dyDescent="0.45">
      <c r="A22" s="1"/>
      <c r="B22" s="45" t="s">
        <v>325</v>
      </c>
      <c r="C22" s="46"/>
      <c r="D22" s="46" t="s">
        <v>317</v>
      </c>
      <c r="E22" s="46"/>
      <c r="F22" s="47"/>
      <c r="G22" s="47">
        <v>0</v>
      </c>
      <c r="H22" s="48"/>
      <c r="I22" s="49" t="s">
        <v>325</v>
      </c>
      <c r="J22" s="46" t="s">
        <v>269</v>
      </c>
      <c r="K22" s="50"/>
      <c r="L22" s="50"/>
      <c r="M22" s="50"/>
      <c r="N22" s="50"/>
      <c r="O22" s="50"/>
      <c r="P22" s="51"/>
      <c r="Q22" s="50"/>
      <c r="R22" s="25"/>
      <c r="S22"/>
      <c r="T22"/>
      <c r="V22" s="44"/>
    </row>
    <row r="23" spans="1:22" x14ac:dyDescent="0.35">
      <c r="F23" s="2">
        <v>2</v>
      </c>
      <c r="G23" s="2">
        <v>105</v>
      </c>
      <c r="I23" s="2" t="s">
        <v>325</v>
      </c>
      <c r="J23" t="str">
        <f>VLOOKUP($G23,'Materials by UPN'!$G$3:$R$112,2)</f>
        <v>PCB, M993GW RK05 Adapter Board</v>
      </c>
      <c r="K23" t="str">
        <f>IF(VLOOKUP($G23,'Materials by UPN'!$G$3:$R$112,3)="","",VLOOKUP($G23,'Materials by UPN'!$G$3:$R$112,3))</f>
        <v>v2</v>
      </c>
      <c r="L23" t="str">
        <f>IF(VLOOKUP($G23,'Materials by UPN'!$G$3:$R$112,4)="","",VLOOKUP($G23,'Materials by UPN'!$G$3:$R$112,4))</f>
        <v/>
      </c>
      <c r="M23" t="str">
        <f>IF(VLOOKUP($G23,'Materials by UPN'!$G$3:$R$112,5)="","",VLOOKUP($G23,'Materials by UPN'!$G$3:$R$112,5))</f>
        <v/>
      </c>
      <c r="N23" t="str">
        <f>VLOOKUP($G23,'Materials by UPN'!$G$3:$R$112,6)</f>
        <v>JLCPCB</v>
      </c>
      <c r="O23" t="str">
        <f>IF(VLOOKUP($G23,'Materials by UPN'!$G$3:$R$112,7)="","",VLOOKUP($G23,'Materials by UPN'!$G$3:$R$112,7))</f>
        <v>Surface Finish: ENIG</v>
      </c>
      <c r="P23" s="4">
        <f>VLOOKUP($G23,'Materials by UPN'!$G$3:$R$112,11)</f>
        <v>5.6760000000000002</v>
      </c>
      <c r="Q23" s="4">
        <f t="shared" ref="Q23:Q31" si="1">F23*P23</f>
        <v>11.352</v>
      </c>
      <c r="R23" s="25"/>
    </row>
    <row r="24" spans="1:22" x14ac:dyDescent="0.35">
      <c r="F24" s="2">
        <v>1</v>
      </c>
      <c r="G24" s="2">
        <v>368</v>
      </c>
      <c r="I24" s="2" t="s">
        <v>328</v>
      </c>
      <c r="J24" t="str">
        <f>VLOOKUP($G24,'Materials by UPN'!$G$3:$R$112,2)</f>
        <v>Ziplock Sandwich Bag</v>
      </c>
      <c r="K24" t="str">
        <f>IF(VLOOKUP($G24,'Materials by UPN'!$G$3:$R$112,3)="","",VLOOKUP($G24,'Materials by UPN'!$G$3:$R$112,3))</f>
        <v/>
      </c>
      <c r="L24" t="str">
        <f>IF(VLOOKUP($G24,'Materials by UPN'!$G$3:$R$112,4)="","",VLOOKUP($G24,'Materials by UPN'!$G$3:$R$112,4))</f>
        <v/>
      </c>
      <c r="M24" t="str">
        <f>IF(VLOOKUP($G24,'Materials by UPN'!$G$3:$R$112,5)="","",VLOOKUP($G24,'Materials by UPN'!$G$3:$R$112,5))</f>
        <v/>
      </c>
      <c r="N24" t="str">
        <f>VLOOKUP($G24,'Materials by UPN'!$G$3:$R$112,6)</f>
        <v>Costco</v>
      </c>
      <c r="O24" t="str">
        <f>IF(VLOOKUP($G24,'Materials by UPN'!$G$3:$R$112,7)="","",VLOOKUP($G24,'Materials by UPN'!$G$3:$R$112,7))</f>
        <v/>
      </c>
      <c r="P24" s="4">
        <f>VLOOKUP($G24,'Materials by UPN'!$G$3:$R$112,11)</f>
        <v>0</v>
      </c>
      <c r="Q24" s="4">
        <f>F24*P24</f>
        <v>0</v>
      </c>
      <c r="R24" s="25"/>
    </row>
    <row r="25" spans="1:22" x14ac:dyDescent="0.35">
      <c r="B25" s="45" t="s">
        <v>280</v>
      </c>
      <c r="C25" s="46"/>
      <c r="D25" s="46"/>
      <c r="E25" s="46"/>
      <c r="F25" s="47"/>
      <c r="G25" s="47">
        <v>0</v>
      </c>
      <c r="H25" s="48"/>
      <c r="I25" s="49" t="s">
        <v>280</v>
      </c>
      <c r="J25" s="46" t="s">
        <v>315</v>
      </c>
      <c r="K25" s="50"/>
      <c r="L25" s="50"/>
      <c r="M25" s="50"/>
      <c r="N25" s="50"/>
      <c r="O25" s="50"/>
      <c r="P25" s="51"/>
      <c r="Q25" s="50"/>
      <c r="R25" s="25"/>
    </row>
    <row r="26" spans="1:22" x14ac:dyDescent="0.35">
      <c r="F26" s="2">
        <v>2</v>
      </c>
      <c r="G26" s="2">
        <v>349</v>
      </c>
      <c r="I26" s="2" t="s">
        <v>280</v>
      </c>
      <c r="J26" t="str">
        <f>VLOOKUP($G26,'Materials by UPN'!$G$3:$R$112,2)</f>
        <v>Flat Cable, 40-pin 2x20 IDC, 1m</v>
      </c>
      <c r="K26" t="str">
        <f>IF(VLOOKUP($G26,'Materials by UPN'!$G$3:$R$112,3)="","",VLOOKUP($G26,'Materials by UPN'!$G$3:$R$112,3))</f>
        <v/>
      </c>
      <c r="L26" t="str">
        <f>IF(VLOOKUP($G26,'Materials by UPN'!$G$3:$R$112,4)="","",VLOOKUP($G26,'Materials by UPN'!$G$3:$R$112,4))</f>
        <v/>
      </c>
      <c r="M26" t="str">
        <f>IF(VLOOKUP($G26,'Materials by UPN'!$G$3:$R$112,5)="","",VLOOKUP($G26,'Materials by UPN'!$G$3:$R$112,5))</f>
        <v/>
      </c>
      <c r="N26" t="str">
        <f>VLOOKUP($G26,'Materials by UPN'!$G$3:$R$112,6)</f>
        <v>AliExpress</v>
      </c>
      <c r="O26" t="str">
        <f>IF(VLOOKUP($G26,'Materials by UPN'!$G$3:$R$112,7)="","",VLOOKUP($G26,'Materials by UPN'!$G$3:$R$112,7))</f>
        <v>https://www.aliexpress.us/item/3256803248238815.html</v>
      </c>
      <c r="P26" s="4">
        <f>VLOOKUP($G26,'Materials by UPN'!$G$3:$R$112,11)</f>
        <v>5.5018500000000001</v>
      </c>
      <c r="Q26" s="4">
        <f t="shared" si="1"/>
        <v>11.0037</v>
      </c>
      <c r="R26" s="25"/>
    </row>
    <row r="27" spans="1:22" x14ac:dyDescent="0.35">
      <c r="B27" s="45" t="s">
        <v>333</v>
      </c>
      <c r="C27" s="46"/>
      <c r="D27" s="46" t="s">
        <v>230</v>
      </c>
      <c r="E27" s="46"/>
      <c r="F27" s="47"/>
      <c r="G27" s="47">
        <v>0</v>
      </c>
      <c r="H27" s="48"/>
      <c r="I27" s="49" t="s">
        <v>333</v>
      </c>
      <c r="J27" s="46" t="s">
        <v>314</v>
      </c>
      <c r="K27" s="50"/>
      <c r="L27" s="50"/>
      <c r="M27" s="50"/>
      <c r="N27" s="50"/>
      <c r="O27" s="50"/>
      <c r="P27" s="51"/>
      <c r="Q27" s="50"/>
      <c r="R27" s="25"/>
    </row>
    <row r="28" spans="1:22" x14ac:dyDescent="0.35">
      <c r="F28" s="2">
        <v>4</v>
      </c>
      <c r="G28" s="2">
        <v>336</v>
      </c>
      <c r="I28" s="2" t="s">
        <v>333</v>
      </c>
      <c r="J28" t="str">
        <f>VLOOKUP($G28,'Materials by UPN'!$G$3:$R$112,2)</f>
        <v>Header, 40-pin, right-angle, with ejectors</v>
      </c>
      <c r="K28" t="str">
        <f>IF(VLOOKUP($G28,'Materials by UPN'!$G$3:$R$112,3)="","",VLOOKUP($G28,'Materials by UPN'!$G$3:$R$112,3))</f>
        <v/>
      </c>
      <c r="L28" t="str">
        <f>IF(VLOOKUP($G28,'Materials by UPN'!$G$3:$R$112,4)="","",VLOOKUP($G28,'Materials by UPN'!$G$3:$R$112,4))</f>
        <v>Amphenol ICC (FCI)</v>
      </c>
      <c r="M28" t="str">
        <f>IF(VLOOKUP($G28,'Materials by UPN'!$G$3:$R$112,5)="","",VLOOKUP($G28,'Materials by UPN'!$G$3:$R$112,5))</f>
        <v>86130402113345E1LF</v>
      </c>
      <c r="N28" t="str">
        <f>VLOOKUP($G28,'Materials by UPN'!$G$3:$R$112,6)</f>
        <v>Digikey</v>
      </c>
      <c r="O28" t="str">
        <f>IF(VLOOKUP($G28,'Materials by UPN'!$G$3:$R$112,7)="","",VLOOKUP($G28,'Materials by UPN'!$G$3:$R$112,7))</f>
        <v>https://www.digikey.com/en/products/detail/amphenol-cs-fci/86130402113345E1LF/5201672</v>
      </c>
      <c r="P28" s="4">
        <f>VLOOKUP($G28,'Materials by UPN'!$G$3:$R$112,11)</f>
        <v>1.789927135696644</v>
      </c>
      <c r="Q28" s="4">
        <f>F28*P28</f>
        <v>7.1597085427865759</v>
      </c>
      <c r="R28" s="25"/>
    </row>
    <row r="29" spans="1:22" x14ac:dyDescent="0.35">
      <c r="F29" s="2">
        <v>2</v>
      </c>
      <c r="G29" s="2">
        <v>205</v>
      </c>
      <c r="I29" s="2" t="s">
        <v>333</v>
      </c>
      <c r="J29" t="str">
        <f>VLOOKUP($G29,'Materials by UPN'!$G$3:$R$112,2)</f>
        <v>M993GW Cable Clamp, 3D printed</v>
      </c>
      <c r="K29" t="str">
        <f>IF(VLOOKUP($G29,'Materials by UPN'!$G$3:$R$112,3)="","",VLOOKUP($G29,'Materials by UPN'!$G$3:$R$112,3))</f>
        <v>v03</v>
      </c>
      <c r="L29" t="str">
        <f>IF(VLOOKUP($G29,'Materials by UPN'!$G$3:$R$112,4)="","",VLOOKUP($G29,'Materials by UPN'!$G$3:$R$112,4))</f>
        <v/>
      </c>
      <c r="M29" t="str">
        <f>IF(VLOOKUP($G29,'Materials by UPN'!$G$3:$R$112,5)="","",VLOOKUP($G29,'Materials by UPN'!$G$3:$R$112,5))</f>
        <v>205 v03</v>
      </c>
      <c r="N29" t="str">
        <f>VLOOKUP($G29,'Materials by UPN'!$G$3:$R$112,6)</f>
        <v>JLCPCB</v>
      </c>
      <c r="O29" t="str">
        <f>IF(VLOOKUP($G29,'Materials by UPN'!$G$3:$R$112,7)="","",VLOOKUP($G29,'Materials by UPN'!$G$3:$R$112,7))</f>
        <v>200 v03, SLA (Resin), LEDO 6060, Natural White</v>
      </c>
      <c r="P29" s="4">
        <f>VLOOKUP($G29,'Materials by UPN'!$G$3:$R$112,11)</f>
        <v>0.61869230769230765</v>
      </c>
      <c r="Q29" s="4">
        <f t="shared" si="1"/>
        <v>1.2373846153846153</v>
      </c>
      <c r="R29" s="25"/>
    </row>
    <row r="30" spans="1:22" x14ac:dyDescent="0.35">
      <c r="F30" s="2">
        <v>4</v>
      </c>
      <c r="G30" s="2">
        <v>334</v>
      </c>
      <c r="I30" s="2" t="s">
        <v>333</v>
      </c>
      <c r="J30" t="str">
        <f>VLOOKUP($G30,'Materials by UPN'!$G$3:$R$112,2)</f>
        <v>M3 x 12mm cap screw, black</v>
      </c>
      <c r="K30" t="str">
        <f>IF(VLOOKUP($G30,'Materials by UPN'!$G$3:$R$112,3)="","",VLOOKUP($G30,'Materials by UPN'!$G$3:$R$112,3))</f>
        <v/>
      </c>
      <c r="L30" t="str">
        <f>IF(VLOOKUP($G30,'Materials by UPN'!$G$3:$R$112,4)="","",VLOOKUP($G30,'Materials by UPN'!$G$3:$R$112,4))</f>
        <v/>
      </c>
      <c r="M30" t="str">
        <f>IF(VLOOKUP($G30,'Materials by UPN'!$G$3:$R$112,5)="","",VLOOKUP($G30,'Materials by UPN'!$G$3:$R$112,5))</f>
        <v/>
      </c>
      <c r="N30" t="str">
        <f>VLOOKUP($G30,'Materials by UPN'!$G$3:$R$112,6)</f>
        <v>Amazon</v>
      </c>
      <c r="O30" t="str">
        <f>IF(VLOOKUP($G30,'Materials by UPN'!$G$3:$R$112,7)="","",VLOOKUP($G30,'Materials by UPN'!$G$3:$R$112,7))</f>
        <v>https://www.amazon.com/gp/product/B07CNFTK99</v>
      </c>
      <c r="P30" s="4">
        <f>VLOOKUP($G30,'Materials by UPN'!$G$3:$R$112,11)</f>
        <v>8.4691500000000003E-2</v>
      </c>
      <c r="Q30" s="4">
        <f t="shared" si="1"/>
        <v>0.33876600000000001</v>
      </c>
      <c r="R30" s="25"/>
    </row>
    <row r="31" spans="1:22" x14ac:dyDescent="0.35">
      <c r="F31" s="2">
        <v>4</v>
      </c>
      <c r="G31" s="2">
        <v>328</v>
      </c>
      <c r="I31" s="2" t="s">
        <v>333</v>
      </c>
      <c r="J31" t="str">
        <f>VLOOKUP($G31,'Materials by UPN'!$G$3:$R$112,2)</f>
        <v>M3 self locking nut</v>
      </c>
      <c r="K31" t="str">
        <f>IF(VLOOKUP($G31,'Materials by UPN'!$G$3:$R$112,3)="","",VLOOKUP($G31,'Materials by UPN'!$G$3:$R$112,3))</f>
        <v/>
      </c>
      <c r="L31" t="str">
        <f>IF(VLOOKUP($G31,'Materials by UPN'!$G$3:$R$112,4)="","",VLOOKUP($G31,'Materials by UPN'!$G$3:$R$112,4))</f>
        <v/>
      </c>
      <c r="M31" t="str">
        <f>IF(VLOOKUP($G31,'Materials by UPN'!$G$3:$R$112,5)="","",VLOOKUP($G31,'Materials by UPN'!$G$3:$R$112,5))</f>
        <v/>
      </c>
      <c r="N31" t="str">
        <f>VLOOKUP($G31,'Materials by UPN'!$G$3:$R$112,6)</f>
        <v>Amazon</v>
      </c>
      <c r="O31" t="str">
        <f>IF(VLOOKUP($G31,'Materials by UPN'!$G$3:$R$112,7)="","",VLOOKUP($G31,'Materials by UPN'!$G$3:$R$112,7))</f>
        <v>https://www.amazon.com/Stainless-Self-Locking-Industrial-Construction-Fasteners/dp/B09SLLQ3KV</v>
      </c>
      <c r="P31" s="4">
        <f>VLOOKUP($G31,'Materials by UPN'!$G$3:$R$112,11)</f>
        <v>5.4533333333333329E-2</v>
      </c>
      <c r="Q31" s="4">
        <f t="shared" si="1"/>
        <v>0.21813333333333332</v>
      </c>
      <c r="R31" s="25"/>
    </row>
    <row r="32" spans="1:22" x14ac:dyDescent="0.35">
      <c r="F32" s="2">
        <v>2</v>
      </c>
      <c r="G32" s="2">
        <v>364</v>
      </c>
      <c r="I32" s="2" t="s">
        <v>334</v>
      </c>
      <c r="J32" t="str">
        <f>VLOOKUP($G32,'Materials by UPN'!$G$3:$R$112,2)</f>
        <v>3" x 5" Small Plastic Bags- Reclosable Zip Bags</v>
      </c>
      <c r="K32" t="str">
        <f>IF(VLOOKUP($G32,'Materials by UPN'!$G$3:$R$112,3)="","",VLOOKUP($G32,'Materials by UPN'!$G$3:$R$112,3))</f>
        <v/>
      </c>
      <c r="L32" t="str">
        <f>IF(VLOOKUP($G32,'Materials by UPN'!$G$3:$R$112,4)="","",VLOOKUP($G32,'Materials by UPN'!$G$3:$R$112,4))</f>
        <v/>
      </c>
      <c r="M32" t="str">
        <f>IF(VLOOKUP($G32,'Materials by UPN'!$G$3:$R$112,5)="","",VLOOKUP($G32,'Materials by UPN'!$G$3:$R$112,5))</f>
        <v/>
      </c>
      <c r="N32" t="str">
        <f>VLOOKUP($G32,'Materials by UPN'!$G$3:$R$112,6)</f>
        <v>Amazon</v>
      </c>
      <c r="O32" t="str">
        <f>IF(VLOOKUP($G32,'Materials by UPN'!$G$3:$R$112,7)="","",VLOOKUP($G32,'Materials by UPN'!$G$3:$R$112,7))</f>
        <v>https://www.amazon.com/gp/product/B07XBF98NV</v>
      </c>
      <c r="P32" s="4">
        <f>VLOOKUP($G32,'Materials by UPN'!$G$3:$R$112,11)</f>
        <v>1.9379999999999998E-2</v>
      </c>
      <c r="Q32" s="4">
        <f>F32*P32</f>
        <v>3.8759999999999996E-2</v>
      </c>
      <c r="R32" s="25"/>
    </row>
    <row r="33" spans="1:20" x14ac:dyDescent="0.35">
      <c r="R33" s="25"/>
    </row>
    <row r="34" spans="1:20" s="41" customFormat="1" ht="18.5" x14ac:dyDescent="0.45">
      <c r="A34" s="30" t="s">
        <v>162</v>
      </c>
      <c r="B34" s="30" t="s">
        <v>339</v>
      </c>
      <c r="C34" s="30"/>
      <c r="D34" s="30"/>
      <c r="E34" s="30"/>
      <c r="F34" s="35"/>
      <c r="G34" s="35"/>
      <c r="H34" s="36"/>
      <c r="I34" s="35"/>
      <c r="J34" s="30"/>
      <c r="K34" s="30"/>
      <c r="L34" s="30"/>
      <c r="M34" s="30"/>
      <c r="N34" s="30"/>
      <c r="O34" s="30"/>
      <c r="P34" s="42"/>
      <c r="Q34" s="30"/>
      <c r="R34" s="43">
        <f>SUM(Q34:Q44)</f>
        <v>22.808468542786574</v>
      </c>
      <c r="S34" s="40">
        <f>CEILING(R34,1)</f>
        <v>23</v>
      </c>
    </row>
    <row r="35" spans="1:20" s="41" customFormat="1" ht="14.5" customHeight="1" x14ac:dyDescent="0.45">
      <c r="A35" s="1"/>
      <c r="B35" s="45" t="s">
        <v>325</v>
      </c>
      <c r="C35" s="46"/>
      <c r="D35" s="46" t="s">
        <v>230</v>
      </c>
      <c r="E35" s="46"/>
      <c r="F35" s="47"/>
      <c r="G35" s="47">
        <v>0</v>
      </c>
      <c r="H35" s="48"/>
      <c r="I35" s="49" t="s">
        <v>325</v>
      </c>
      <c r="J35" s="46" t="s">
        <v>269</v>
      </c>
      <c r="K35" s="50"/>
      <c r="L35" s="50"/>
      <c r="M35" s="50"/>
      <c r="N35" s="50"/>
      <c r="O35" s="50"/>
      <c r="P35" s="51"/>
      <c r="Q35" s="50"/>
      <c r="R35" s="25"/>
      <c r="S35"/>
      <c r="T35"/>
    </row>
    <row r="36" spans="1:20" x14ac:dyDescent="0.35">
      <c r="F36" s="2">
        <v>2</v>
      </c>
      <c r="G36" s="2">
        <v>105</v>
      </c>
      <c r="I36" s="2" t="s">
        <v>325</v>
      </c>
      <c r="J36" t="str">
        <f>VLOOKUP($G36,'Materials by UPN'!$G$3:$R$112,2)</f>
        <v>PCB, M993GW RK05 Adapter Board</v>
      </c>
      <c r="K36" t="str">
        <f>IF(VLOOKUP($G36,'Materials by UPN'!$G$3:$R$112,3)="","",VLOOKUP($G36,'Materials by UPN'!$G$3:$R$112,3))</f>
        <v>v2</v>
      </c>
      <c r="L36" t="str">
        <f>IF(VLOOKUP($G36,'Materials by UPN'!$G$3:$R$112,4)="","",VLOOKUP($G36,'Materials by UPN'!$G$3:$R$112,4))</f>
        <v/>
      </c>
      <c r="M36" t="str">
        <f>IF(VLOOKUP($G36,'Materials by UPN'!$G$3:$R$112,5)="","",VLOOKUP($G36,'Materials by UPN'!$G$3:$R$112,5))</f>
        <v/>
      </c>
      <c r="N36" t="str">
        <f>VLOOKUP($G36,'Materials by UPN'!$G$3:$R$112,6)</f>
        <v>JLCPCB</v>
      </c>
      <c r="O36" t="str">
        <f>IF(VLOOKUP($G36,'Materials by UPN'!$G$3:$R$112,7)="","",VLOOKUP($G36,'Materials by UPN'!$G$3:$R$112,7))</f>
        <v>Surface Finish: ENIG</v>
      </c>
      <c r="P36" s="4">
        <f>VLOOKUP($G36,'Materials by UPN'!$G$3:$R$112,11)</f>
        <v>5.6760000000000002</v>
      </c>
      <c r="Q36" s="4">
        <f>F36*P36</f>
        <v>11.352</v>
      </c>
      <c r="R36" s="25"/>
    </row>
    <row r="37" spans="1:20" x14ac:dyDescent="0.35">
      <c r="F37" s="2">
        <v>1</v>
      </c>
      <c r="G37" s="2">
        <v>368</v>
      </c>
      <c r="I37" s="2" t="s">
        <v>328</v>
      </c>
      <c r="J37" t="str">
        <f>VLOOKUP($G37,'Materials by UPN'!$G$3:$R$112,2)</f>
        <v>Ziplock Sandwich Bag</v>
      </c>
      <c r="K37" t="str">
        <f>IF(VLOOKUP($G37,'Materials by UPN'!$G$3:$R$112,3)="","",VLOOKUP($G37,'Materials by UPN'!$G$3:$R$112,3))</f>
        <v/>
      </c>
      <c r="L37" t="str">
        <f>IF(VLOOKUP($G37,'Materials by UPN'!$G$3:$R$112,4)="","",VLOOKUP($G37,'Materials by UPN'!$G$3:$R$112,4))</f>
        <v/>
      </c>
      <c r="M37" t="str">
        <f>IF(VLOOKUP($G37,'Materials by UPN'!$G$3:$R$112,5)="","",VLOOKUP($G37,'Materials by UPN'!$G$3:$R$112,5))</f>
        <v/>
      </c>
      <c r="N37" t="str">
        <f>VLOOKUP($G37,'Materials by UPN'!$G$3:$R$112,6)</f>
        <v>Costco</v>
      </c>
      <c r="O37" t="str">
        <f>IF(VLOOKUP($G37,'Materials by UPN'!$G$3:$R$112,7)="","",VLOOKUP($G37,'Materials by UPN'!$G$3:$R$112,7))</f>
        <v/>
      </c>
      <c r="P37" s="4">
        <f>VLOOKUP($G37,'Materials by UPN'!$G$3:$R$112,11)</f>
        <v>0</v>
      </c>
      <c r="Q37" s="4">
        <f>F37*P37</f>
        <v>0</v>
      </c>
      <c r="R37" s="25"/>
    </row>
    <row r="38" spans="1:20" x14ac:dyDescent="0.35">
      <c r="B38" s="45" t="s">
        <v>281</v>
      </c>
      <c r="C38" s="46"/>
      <c r="D38" s="46"/>
      <c r="E38" s="46"/>
      <c r="F38" s="47"/>
      <c r="G38" s="47">
        <v>0</v>
      </c>
      <c r="H38" s="48"/>
      <c r="I38" s="49" t="s">
        <v>281</v>
      </c>
      <c r="J38" s="46" t="s">
        <v>338</v>
      </c>
      <c r="K38" s="50"/>
      <c r="L38" s="50"/>
      <c r="M38" s="50"/>
      <c r="N38" s="50"/>
      <c r="O38" s="50"/>
      <c r="P38" s="51"/>
      <c r="Q38" s="50"/>
      <c r="R38" s="25"/>
    </row>
    <row r="39" spans="1:20" x14ac:dyDescent="0.35">
      <c r="F39" s="2">
        <v>1</v>
      </c>
      <c r="G39" s="2">
        <v>361</v>
      </c>
      <c r="I39" s="2" t="s">
        <v>281</v>
      </c>
      <c r="J39" t="str">
        <f>VLOOKUP($G39,'Materials by UPN'!$G$3:$R$112,2)</f>
        <v>Flat Cable, 40-pin 2x20 IDC, 30cm</v>
      </c>
      <c r="K39" t="str">
        <f>IF(VLOOKUP($G39,'Materials by UPN'!$G$3:$R$112,3)="","",VLOOKUP($G39,'Materials by UPN'!$G$3:$R$112,3))</f>
        <v/>
      </c>
      <c r="L39" t="str">
        <f>IF(VLOOKUP($G39,'Materials by UPN'!$G$3:$R$112,4)="","",VLOOKUP($G39,'Materials by UPN'!$G$3:$R$112,4))</f>
        <v/>
      </c>
      <c r="M39" t="str">
        <f>IF(VLOOKUP($G39,'Materials by UPN'!$G$3:$R$112,5)="","",VLOOKUP($G39,'Materials by UPN'!$G$3:$R$112,5))</f>
        <v/>
      </c>
      <c r="N39" t="str">
        <f>VLOOKUP($G39,'Materials by UPN'!$G$3:$R$112,6)</f>
        <v>AliExpress</v>
      </c>
      <c r="O39" t="str">
        <f>IF(VLOOKUP($G39,'Materials by UPN'!$G$3:$R$112,7)="","",VLOOKUP($G39,'Materials by UPN'!$G$3:$R$112,7))</f>
        <v>https://www.aliexpress.us/item/3256803248238815.html</v>
      </c>
      <c r="P39" s="4">
        <f>VLOOKUP($G39,'Materials by UPN'!$G$3:$R$112,11)</f>
        <v>2.129</v>
      </c>
      <c r="Q39" s="4">
        <f>F39*P39</f>
        <v>2.129</v>
      </c>
      <c r="R39" s="25"/>
    </row>
    <row r="40" spans="1:20" x14ac:dyDescent="0.35">
      <c r="F40" s="2">
        <v>1</v>
      </c>
      <c r="G40" s="2">
        <v>370</v>
      </c>
      <c r="I40" s="2" t="s">
        <v>281</v>
      </c>
      <c r="J40" t="str">
        <f>VLOOKUP($G40,'Materials by UPN'!$G$3:$R$112,2)</f>
        <v>Flat Cable, 40-pin 2x20 IDC, 20cm</v>
      </c>
      <c r="K40" t="str">
        <f>IF(VLOOKUP($G40,'Materials by UPN'!$G$3:$R$112,3)="","",VLOOKUP($G40,'Materials by UPN'!$G$3:$R$112,3))</f>
        <v/>
      </c>
      <c r="L40" t="str">
        <f>IF(VLOOKUP($G40,'Materials by UPN'!$G$3:$R$112,4)="","",VLOOKUP($G40,'Materials by UPN'!$G$3:$R$112,4))</f>
        <v/>
      </c>
      <c r="M40" t="str">
        <f>IF(VLOOKUP($G40,'Materials by UPN'!$G$3:$R$112,5)="","",VLOOKUP($G40,'Materials by UPN'!$G$3:$R$112,5))</f>
        <v/>
      </c>
      <c r="N40" t="str">
        <f>VLOOKUP($G40,'Materials by UPN'!$G$3:$R$112,6)</f>
        <v>AliExpress</v>
      </c>
      <c r="O40" t="str">
        <f>IF(VLOOKUP($G40,'Materials by UPN'!$G$3:$R$112,7)="","",VLOOKUP($G40,'Materials by UPN'!$G$3:$R$112,7))</f>
        <v>https://www.aliexpress.us/item/3256803248238815.html</v>
      </c>
      <c r="P40" s="4">
        <f>VLOOKUP($G40,'Materials by UPN'!$G$3:$R$112,11)</f>
        <v>2.129</v>
      </c>
      <c r="Q40" s="4">
        <f>F40*P40</f>
        <v>2.129</v>
      </c>
      <c r="R40" s="25"/>
    </row>
    <row r="41" spans="1:20" x14ac:dyDescent="0.35">
      <c r="B41" s="45" t="s">
        <v>329</v>
      </c>
      <c r="C41" s="46"/>
      <c r="D41" s="46" t="s">
        <v>230</v>
      </c>
      <c r="E41" s="46"/>
      <c r="F41" s="47"/>
      <c r="G41" s="47">
        <v>0</v>
      </c>
      <c r="H41" s="48"/>
      <c r="I41" s="49" t="s">
        <v>329</v>
      </c>
      <c r="J41" s="46" t="s">
        <v>316</v>
      </c>
      <c r="K41" s="50"/>
      <c r="L41" s="50"/>
      <c r="M41" s="50"/>
      <c r="N41" s="50"/>
      <c r="O41" s="50"/>
      <c r="P41" s="51"/>
      <c r="Q41" s="50"/>
      <c r="R41" s="25"/>
    </row>
    <row r="42" spans="1:20" x14ac:dyDescent="0.35">
      <c r="F42" s="2">
        <v>4</v>
      </c>
      <c r="G42" s="2">
        <v>336</v>
      </c>
      <c r="I42" s="2" t="s">
        <v>329</v>
      </c>
      <c r="J42" t="str">
        <f>VLOOKUP($G42,'Materials by UPN'!$G$3:$R$112,2)</f>
        <v>Header, 40-pin, right-angle, with ejectors</v>
      </c>
      <c r="K42" t="str">
        <f>IF(VLOOKUP($G42,'Materials by UPN'!$G$3:$R$112,3)="","",VLOOKUP($G42,'Materials by UPN'!$G$3:$R$112,3))</f>
        <v/>
      </c>
      <c r="L42" t="str">
        <f>IF(VLOOKUP($G42,'Materials by UPN'!$G$3:$R$112,4)="","",VLOOKUP($G42,'Materials by UPN'!$G$3:$R$112,4))</f>
        <v>Amphenol ICC (FCI)</v>
      </c>
      <c r="M42" t="str">
        <f>IF(VLOOKUP($G42,'Materials by UPN'!$G$3:$R$112,5)="","",VLOOKUP($G42,'Materials by UPN'!$G$3:$R$112,5))</f>
        <v>86130402113345E1LF</v>
      </c>
      <c r="N42" t="str">
        <f>VLOOKUP($G42,'Materials by UPN'!$G$3:$R$112,6)</f>
        <v>Digikey</v>
      </c>
      <c r="O42" t="str">
        <f>IF(VLOOKUP($G42,'Materials by UPN'!$G$3:$R$112,7)="","",VLOOKUP($G42,'Materials by UPN'!$G$3:$R$112,7))</f>
        <v>https://www.digikey.com/en/products/detail/amphenol-cs-fci/86130402113345E1LF/5201672</v>
      </c>
      <c r="P42" s="4">
        <f>VLOOKUP($G42,'Materials by UPN'!$G$3:$R$112,11)</f>
        <v>1.789927135696644</v>
      </c>
      <c r="Q42" s="4">
        <f>F42*P42</f>
        <v>7.1597085427865759</v>
      </c>
      <c r="R42" s="25"/>
    </row>
    <row r="43" spans="1:20" x14ac:dyDescent="0.35">
      <c r="F43" s="2">
        <v>2</v>
      </c>
      <c r="G43" s="2">
        <v>364</v>
      </c>
      <c r="I43" s="2" t="s">
        <v>330</v>
      </c>
      <c r="J43" t="str">
        <f>VLOOKUP($G43,'Materials by UPN'!$G$3:$R$112,2)</f>
        <v>3" x 5" Small Plastic Bags- Reclosable Zip Bags</v>
      </c>
      <c r="K43" t="str">
        <f>IF(VLOOKUP($G43,'Materials by UPN'!$G$3:$R$112,3)="","",VLOOKUP($G43,'Materials by UPN'!$G$3:$R$112,3))</f>
        <v/>
      </c>
      <c r="L43" t="str">
        <f>IF(VLOOKUP($G43,'Materials by UPN'!$G$3:$R$112,4)="","",VLOOKUP($G43,'Materials by UPN'!$G$3:$R$112,4))</f>
        <v/>
      </c>
      <c r="M43" t="str">
        <f>IF(VLOOKUP($G43,'Materials by UPN'!$G$3:$R$112,5)="","",VLOOKUP($G43,'Materials by UPN'!$G$3:$R$112,5))</f>
        <v/>
      </c>
      <c r="N43" t="str">
        <f>VLOOKUP($G43,'Materials by UPN'!$G$3:$R$112,6)</f>
        <v>Amazon</v>
      </c>
      <c r="O43" t="str">
        <f>IF(VLOOKUP($G43,'Materials by UPN'!$G$3:$R$112,7)="","",VLOOKUP($G43,'Materials by UPN'!$G$3:$R$112,7))</f>
        <v>https://www.amazon.com/gp/product/B07XBF98NV</v>
      </c>
      <c r="P43" s="4">
        <f>VLOOKUP($G43,'Materials by UPN'!$G$3:$R$112,11)</f>
        <v>1.9379999999999998E-2</v>
      </c>
      <c r="Q43" s="4">
        <f>F43*P43</f>
        <v>3.8759999999999996E-2</v>
      </c>
      <c r="R43" s="25"/>
    </row>
    <row r="44" spans="1:20" x14ac:dyDescent="0.35">
      <c r="R44" s="25"/>
    </row>
    <row r="45" spans="1:20" s="41" customFormat="1" ht="18.5" x14ac:dyDescent="0.45">
      <c r="A45" s="30" t="s">
        <v>163</v>
      </c>
      <c r="B45" s="30" t="s">
        <v>203</v>
      </c>
      <c r="C45" s="30"/>
      <c r="D45" s="30"/>
      <c r="E45" s="30"/>
      <c r="F45" s="35"/>
      <c r="G45" s="35"/>
      <c r="H45" s="36"/>
      <c r="I45" s="35"/>
      <c r="J45" s="30"/>
      <c r="K45" s="30"/>
      <c r="L45" s="30"/>
      <c r="M45" s="30"/>
      <c r="N45" s="30"/>
      <c r="O45" s="30"/>
      <c r="P45" s="42"/>
      <c r="Q45" s="30"/>
      <c r="R45" s="43">
        <f>SUM(Q45:Q55)</f>
        <v>10.191756245752263</v>
      </c>
      <c r="S45" s="40">
        <f>CEILING(R45,1)</f>
        <v>11</v>
      </c>
    </row>
    <row r="46" spans="1:20" s="41" customFormat="1" ht="14.5" customHeight="1" x14ac:dyDescent="0.45">
      <c r="A46" s="1"/>
      <c r="B46" s="45" t="s">
        <v>278</v>
      </c>
      <c r="C46" s="46"/>
      <c r="D46" s="46" t="s">
        <v>230</v>
      </c>
      <c r="E46" s="46"/>
      <c r="F46" s="47"/>
      <c r="G46" s="47">
        <v>0</v>
      </c>
      <c r="H46" s="48"/>
      <c r="I46" s="49" t="s">
        <v>278</v>
      </c>
      <c r="J46" s="46" t="s">
        <v>269</v>
      </c>
      <c r="K46" s="50"/>
      <c r="L46" s="50"/>
      <c r="M46" s="50"/>
      <c r="N46" s="50"/>
      <c r="O46" s="50"/>
      <c r="P46" s="51"/>
      <c r="Q46" s="50"/>
      <c r="R46" s="25"/>
      <c r="S46"/>
      <c r="T46"/>
    </row>
    <row r="47" spans="1:20" x14ac:dyDescent="0.35">
      <c r="F47" s="2">
        <v>1</v>
      </c>
      <c r="G47" s="2">
        <v>105</v>
      </c>
      <c r="I47" s="2" t="s">
        <v>278</v>
      </c>
      <c r="J47" t="str">
        <f>VLOOKUP($G47,'Materials by UPN'!$G$3:$R$112,2)</f>
        <v>PCB, M993GW RK05 Adapter Board</v>
      </c>
      <c r="K47" t="str">
        <f>IF(VLOOKUP($G47,'Materials by UPN'!$G$3:$R$112,3)="","",VLOOKUP($G47,'Materials by UPN'!$G$3:$R$112,3))</f>
        <v>v2</v>
      </c>
      <c r="L47" t="str">
        <f>IF(VLOOKUP($G47,'Materials by UPN'!$G$3:$R$112,4)="","",VLOOKUP($G47,'Materials by UPN'!$G$3:$R$112,4))</f>
        <v/>
      </c>
      <c r="M47" t="str">
        <f>IF(VLOOKUP($G47,'Materials by UPN'!$G$3:$R$112,5)="","",VLOOKUP($G47,'Materials by UPN'!$G$3:$R$112,5))</f>
        <v/>
      </c>
      <c r="N47" t="str">
        <f>VLOOKUP($G47,'Materials by UPN'!$G$3:$R$112,6)</f>
        <v>JLCPCB</v>
      </c>
      <c r="O47" t="str">
        <f>IF(VLOOKUP($G47,'Materials by UPN'!$G$3:$R$112,7)="","",VLOOKUP($G47,'Materials by UPN'!$G$3:$R$112,7))</f>
        <v>Surface Finish: ENIG</v>
      </c>
      <c r="P47" s="4">
        <f>VLOOKUP($G47,'Materials by UPN'!$G$3:$R$112,11)</f>
        <v>5.6760000000000002</v>
      </c>
      <c r="Q47" s="4">
        <f t="shared" ref="Q47:Q54" si="2">F47*P47</f>
        <v>5.6760000000000002</v>
      </c>
      <c r="R47" s="25"/>
    </row>
    <row r="48" spans="1:20" x14ac:dyDescent="0.35">
      <c r="F48" s="2">
        <v>1</v>
      </c>
      <c r="G48" s="2">
        <v>368</v>
      </c>
      <c r="I48" s="2" t="s">
        <v>303</v>
      </c>
      <c r="J48" t="str">
        <f>VLOOKUP($G48,'Materials by UPN'!$G$3:$R$112,2)</f>
        <v>Ziplock Sandwich Bag</v>
      </c>
      <c r="K48" t="str">
        <f>IF(VLOOKUP($G48,'Materials by UPN'!$G$3:$R$112,3)="","",VLOOKUP($G48,'Materials by UPN'!$G$3:$R$112,3))</f>
        <v/>
      </c>
      <c r="L48" t="str">
        <f>IF(VLOOKUP($G48,'Materials by UPN'!$G$3:$R$112,4)="","",VLOOKUP($G48,'Materials by UPN'!$G$3:$R$112,4))</f>
        <v/>
      </c>
      <c r="M48" t="str">
        <f>IF(VLOOKUP($G48,'Materials by UPN'!$G$3:$R$112,5)="","",VLOOKUP($G48,'Materials by UPN'!$G$3:$R$112,5))</f>
        <v/>
      </c>
      <c r="N48" t="str">
        <f>VLOOKUP($G48,'Materials by UPN'!$G$3:$R$112,6)</f>
        <v>Costco</v>
      </c>
      <c r="O48" t="str">
        <f>IF(VLOOKUP($G48,'Materials by UPN'!$G$3:$R$112,7)="","",VLOOKUP($G48,'Materials by UPN'!$G$3:$R$112,7))</f>
        <v/>
      </c>
      <c r="P48" s="4">
        <f>VLOOKUP($G48,'Materials by UPN'!$G$3:$R$112,11)</f>
        <v>0</v>
      </c>
      <c r="Q48" s="4">
        <f>F48*P48</f>
        <v>0</v>
      </c>
      <c r="R48" s="25"/>
    </row>
    <row r="49" spans="1:20" x14ac:dyDescent="0.35">
      <c r="B49" s="45" t="s">
        <v>331</v>
      </c>
      <c r="C49" s="46"/>
      <c r="D49" s="46" t="s">
        <v>230</v>
      </c>
      <c r="E49" s="46"/>
      <c r="F49" s="47"/>
      <c r="G49" s="47">
        <v>0</v>
      </c>
      <c r="H49" s="48"/>
      <c r="I49" s="49" t="s">
        <v>331</v>
      </c>
      <c r="J49" s="46" t="s">
        <v>314</v>
      </c>
      <c r="K49" s="50"/>
      <c r="L49" s="50"/>
      <c r="M49" s="50"/>
      <c r="N49" s="50"/>
      <c r="O49" s="50"/>
      <c r="P49" s="51"/>
      <c r="Q49" s="50"/>
      <c r="R49" s="25"/>
    </row>
    <row r="50" spans="1:20" x14ac:dyDescent="0.35">
      <c r="F50" s="2">
        <v>2</v>
      </c>
      <c r="G50" s="2">
        <v>336</v>
      </c>
      <c r="I50" s="2" t="s">
        <v>331</v>
      </c>
      <c r="J50" t="str">
        <f>VLOOKUP($G50,'Materials by UPN'!$G$3:$R$112,2)</f>
        <v>Header, 40-pin, right-angle, with ejectors</v>
      </c>
      <c r="K50" t="str">
        <f>IF(VLOOKUP($G50,'Materials by UPN'!$G$3:$R$112,3)="","",VLOOKUP($G50,'Materials by UPN'!$G$3:$R$112,3))</f>
        <v/>
      </c>
      <c r="L50" t="str">
        <f>IF(VLOOKUP($G50,'Materials by UPN'!$G$3:$R$112,4)="","",VLOOKUP($G50,'Materials by UPN'!$G$3:$R$112,4))</f>
        <v>Amphenol ICC (FCI)</v>
      </c>
      <c r="M50" t="str">
        <f>IF(VLOOKUP($G50,'Materials by UPN'!$G$3:$R$112,5)="","",VLOOKUP($G50,'Materials by UPN'!$G$3:$R$112,5))</f>
        <v>86130402113345E1LF</v>
      </c>
      <c r="N50" t="str">
        <f>VLOOKUP($G50,'Materials by UPN'!$G$3:$R$112,6)</f>
        <v>Digikey</v>
      </c>
      <c r="O50" t="str">
        <f>IF(VLOOKUP($G50,'Materials by UPN'!$G$3:$R$112,7)="","",VLOOKUP($G50,'Materials by UPN'!$G$3:$R$112,7))</f>
        <v>https://www.digikey.com/en/products/detail/amphenol-cs-fci/86130402113345E1LF/5201672</v>
      </c>
      <c r="P50" s="4">
        <f>VLOOKUP($G50,'Materials by UPN'!$G$3:$R$112,11)</f>
        <v>1.789927135696644</v>
      </c>
      <c r="Q50" s="4">
        <f t="shared" si="2"/>
        <v>3.5798542713932879</v>
      </c>
      <c r="R50" s="25"/>
    </row>
    <row r="51" spans="1:20" x14ac:dyDescent="0.35">
      <c r="F51" s="2">
        <v>1</v>
      </c>
      <c r="G51" s="2">
        <v>205</v>
      </c>
      <c r="I51" s="2" t="s">
        <v>331</v>
      </c>
      <c r="J51" t="str">
        <f>VLOOKUP($G51,'Materials by UPN'!$G$3:$R$112,2)</f>
        <v>M993GW Cable Clamp, 3D printed</v>
      </c>
      <c r="K51" t="str">
        <f>IF(VLOOKUP($G51,'Materials by UPN'!$G$3:$R$112,3)="","",VLOOKUP($G51,'Materials by UPN'!$G$3:$R$112,3))</f>
        <v>v03</v>
      </c>
      <c r="L51" t="str">
        <f>IF(VLOOKUP($G51,'Materials by UPN'!$G$3:$R$112,4)="","",VLOOKUP($G51,'Materials by UPN'!$G$3:$R$112,4))</f>
        <v/>
      </c>
      <c r="M51" t="str">
        <f>IF(VLOOKUP($G51,'Materials by UPN'!$G$3:$R$112,5)="","",VLOOKUP($G51,'Materials by UPN'!$G$3:$R$112,5))</f>
        <v>205 v03</v>
      </c>
      <c r="N51" t="str">
        <f>VLOOKUP($G51,'Materials by UPN'!$G$3:$R$112,6)</f>
        <v>JLCPCB</v>
      </c>
      <c r="O51" t="str">
        <f>IF(VLOOKUP($G51,'Materials by UPN'!$G$3:$R$112,7)="","",VLOOKUP($G51,'Materials by UPN'!$G$3:$R$112,7))</f>
        <v>200 v03, SLA (Resin), LEDO 6060, Natural White</v>
      </c>
      <c r="P51" s="4">
        <f>VLOOKUP($G51,'Materials by UPN'!$G$3:$R$112,11)</f>
        <v>0.61869230769230765</v>
      </c>
      <c r="Q51" s="4">
        <f t="shared" si="2"/>
        <v>0.61869230769230765</v>
      </c>
      <c r="R51" s="25"/>
    </row>
    <row r="52" spans="1:20" x14ac:dyDescent="0.35">
      <c r="F52" s="2">
        <v>2</v>
      </c>
      <c r="G52" s="2">
        <v>334</v>
      </c>
      <c r="I52" s="2" t="s">
        <v>331</v>
      </c>
      <c r="J52" t="str">
        <f>VLOOKUP($G52,'Materials by UPN'!$G$3:$R$112,2)</f>
        <v>M3 x 12mm cap screw, black</v>
      </c>
      <c r="K52" t="str">
        <f>IF(VLOOKUP($G52,'Materials by UPN'!$G$3:$R$112,3)="","",VLOOKUP($G52,'Materials by UPN'!$G$3:$R$112,3))</f>
        <v/>
      </c>
      <c r="L52" t="str">
        <f>IF(VLOOKUP($G52,'Materials by UPN'!$G$3:$R$112,4)="","",VLOOKUP($G52,'Materials by UPN'!$G$3:$R$112,4))</f>
        <v/>
      </c>
      <c r="M52" t="str">
        <f>IF(VLOOKUP($G52,'Materials by UPN'!$G$3:$R$112,5)="","",VLOOKUP($G52,'Materials by UPN'!$G$3:$R$112,5))</f>
        <v/>
      </c>
      <c r="N52" t="str">
        <f>VLOOKUP($G52,'Materials by UPN'!$G$3:$R$112,6)</f>
        <v>Amazon</v>
      </c>
      <c r="O52" t="str">
        <f>IF(VLOOKUP($G52,'Materials by UPN'!$G$3:$R$112,7)="","",VLOOKUP($G52,'Materials by UPN'!$G$3:$R$112,7))</f>
        <v>https://www.amazon.com/gp/product/B07CNFTK99</v>
      </c>
      <c r="P52" s="4">
        <f>VLOOKUP($G52,'Materials by UPN'!$G$3:$R$112,11)</f>
        <v>8.4691500000000003E-2</v>
      </c>
      <c r="Q52" s="4">
        <f t="shared" si="2"/>
        <v>0.16938300000000001</v>
      </c>
      <c r="R52" s="25"/>
    </row>
    <row r="53" spans="1:20" x14ac:dyDescent="0.35">
      <c r="F53" s="2">
        <v>2</v>
      </c>
      <c r="G53" s="2">
        <v>328</v>
      </c>
      <c r="I53" s="2" t="s">
        <v>331</v>
      </c>
      <c r="J53" t="str">
        <f>VLOOKUP($G53,'Materials by UPN'!$G$3:$R$112,2)</f>
        <v>M3 self locking nut</v>
      </c>
      <c r="K53" t="str">
        <f>IF(VLOOKUP($G53,'Materials by UPN'!$G$3:$R$112,3)="","",VLOOKUP($G53,'Materials by UPN'!$G$3:$R$112,3))</f>
        <v/>
      </c>
      <c r="L53" t="str">
        <f>IF(VLOOKUP($G53,'Materials by UPN'!$G$3:$R$112,4)="","",VLOOKUP($G53,'Materials by UPN'!$G$3:$R$112,4))</f>
        <v/>
      </c>
      <c r="M53" t="str">
        <f>IF(VLOOKUP($G53,'Materials by UPN'!$G$3:$R$112,5)="","",VLOOKUP($G53,'Materials by UPN'!$G$3:$R$112,5))</f>
        <v/>
      </c>
      <c r="N53" t="str">
        <f>VLOOKUP($G53,'Materials by UPN'!$G$3:$R$112,6)</f>
        <v>Amazon</v>
      </c>
      <c r="O53" t="str">
        <f>IF(VLOOKUP($G53,'Materials by UPN'!$G$3:$R$112,7)="","",VLOOKUP($G53,'Materials by UPN'!$G$3:$R$112,7))</f>
        <v>https://www.amazon.com/Stainless-Self-Locking-Industrial-Construction-Fasteners/dp/B09SLLQ3KV</v>
      </c>
      <c r="P53" s="4">
        <f>VLOOKUP($G53,'Materials by UPN'!$G$3:$R$112,11)</f>
        <v>5.4533333333333329E-2</v>
      </c>
      <c r="Q53" s="4">
        <f t="shared" si="2"/>
        <v>0.10906666666666666</v>
      </c>
      <c r="R53" s="25"/>
    </row>
    <row r="54" spans="1:20" x14ac:dyDescent="0.35">
      <c r="F54" s="2">
        <v>2</v>
      </c>
      <c r="G54" s="2">
        <v>364</v>
      </c>
      <c r="I54" s="2" t="s">
        <v>332</v>
      </c>
      <c r="J54" t="str">
        <f>VLOOKUP($G54,'Materials by UPN'!$G$3:$R$112,2)</f>
        <v>3" x 5" Small Plastic Bags- Reclosable Zip Bags</v>
      </c>
      <c r="K54" t="str">
        <f>IF(VLOOKUP($G54,'Materials by UPN'!$G$3:$R$112,3)="","",VLOOKUP($G54,'Materials by UPN'!$G$3:$R$112,3))</f>
        <v/>
      </c>
      <c r="L54" t="str">
        <f>IF(VLOOKUP($G54,'Materials by UPN'!$G$3:$R$112,4)="","",VLOOKUP($G54,'Materials by UPN'!$G$3:$R$112,4))</f>
        <v/>
      </c>
      <c r="M54" t="str">
        <f>IF(VLOOKUP($G54,'Materials by UPN'!$G$3:$R$112,5)="","",VLOOKUP($G54,'Materials by UPN'!$G$3:$R$112,5))</f>
        <v/>
      </c>
      <c r="N54" t="str">
        <f>VLOOKUP($G54,'Materials by UPN'!$G$3:$R$112,6)</f>
        <v>Amazon</v>
      </c>
      <c r="O54" t="str">
        <f>IF(VLOOKUP($G54,'Materials by UPN'!$G$3:$R$112,7)="","",VLOOKUP($G54,'Materials by UPN'!$G$3:$R$112,7))</f>
        <v>https://www.amazon.com/gp/product/B07XBF98NV</v>
      </c>
      <c r="P54" s="4">
        <f>VLOOKUP($G54,'Materials by UPN'!$G$3:$R$112,11)</f>
        <v>1.9379999999999998E-2</v>
      </c>
      <c r="Q54" s="4">
        <f t="shared" si="2"/>
        <v>3.8759999999999996E-2</v>
      </c>
      <c r="R54" s="25"/>
    </row>
    <row r="55" spans="1:20" x14ac:dyDescent="0.35">
      <c r="R55" s="25"/>
    </row>
    <row r="56" spans="1:20" s="41" customFormat="1" ht="18.5" x14ac:dyDescent="0.45">
      <c r="A56" s="30" t="s">
        <v>164</v>
      </c>
      <c r="B56" s="30" t="s">
        <v>142</v>
      </c>
      <c r="C56" s="30"/>
      <c r="D56" s="30"/>
      <c r="E56" s="30"/>
      <c r="F56" s="35"/>
      <c r="G56" s="35"/>
      <c r="H56" s="36"/>
      <c r="I56" s="35"/>
      <c r="J56" s="30"/>
      <c r="K56" s="30"/>
      <c r="L56" s="30"/>
      <c r="M56" s="30"/>
      <c r="N56" s="30"/>
      <c r="O56" s="30"/>
      <c r="P56" s="42"/>
      <c r="Q56" s="30"/>
      <c r="R56" s="43">
        <f>SUM(Q56:Q71)</f>
        <v>31.348452491504524</v>
      </c>
      <c r="S56" s="40">
        <f>CEILING(R56,1)</f>
        <v>32</v>
      </c>
    </row>
    <row r="57" spans="1:20" s="41" customFormat="1" ht="14.5" customHeight="1" x14ac:dyDescent="0.45">
      <c r="A57" s="1"/>
      <c r="B57" s="45" t="s">
        <v>278</v>
      </c>
      <c r="C57" s="46"/>
      <c r="D57" s="46" t="s">
        <v>230</v>
      </c>
      <c r="E57" s="46"/>
      <c r="F57" s="47"/>
      <c r="G57" s="47">
        <v>0</v>
      </c>
      <c r="H57" s="48"/>
      <c r="I57" s="49" t="s">
        <v>278</v>
      </c>
      <c r="J57" s="46" t="s">
        <v>269</v>
      </c>
      <c r="K57" s="50"/>
      <c r="L57" s="50"/>
      <c r="M57" s="50"/>
      <c r="N57" s="50"/>
      <c r="O57" s="50"/>
      <c r="P57" s="51"/>
      <c r="Q57" s="50"/>
      <c r="R57" s="25"/>
      <c r="S57"/>
      <c r="T57"/>
    </row>
    <row r="58" spans="1:20" x14ac:dyDescent="0.35">
      <c r="F58" s="2">
        <v>1</v>
      </c>
      <c r="G58" s="2">
        <v>105</v>
      </c>
      <c r="I58" s="2" t="s">
        <v>278</v>
      </c>
      <c r="J58" t="str">
        <f>VLOOKUP($G58,'Materials by UPN'!$G$3:$R$112,2)</f>
        <v>PCB, M993GW RK05 Adapter Board</v>
      </c>
      <c r="K58" t="str">
        <f>IF(VLOOKUP($G58,'Materials by UPN'!$G$3:$R$112,3)="","",VLOOKUP($G58,'Materials by UPN'!$G$3:$R$112,3))</f>
        <v>v2</v>
      </c>
      <c r="L58" t="str">
        <f>IF(VLOOKUP($G58,'Materials by UPN'!$G$3:$R$112,4)="","",VLOOKUP($G58,'Materials by UPN'!$G$3:$R$112,4))</f>
        <v/>
      </c>
      <c r="M58" t="str">
        <f>IF(VLOOKUP($G58,'Materials by UPN'!$G$3:$R$112,5)="","",VLOOKUP($G58,'Materials by UPN'!$G$3:$R$112,5))</f>
        <v/>
      </c>
      <c r="N58" t="str">
        <f>VLOOKUP($G58,'Materials by UPN'!$G$3:$R$112,6)</f>
        <v>JLCPCB</v>
      </c>
      <c r="O58" t="str">
        <f>IF(VLOOKUP($G58,'Materials by UPN'!$G$3:$R$112,7)="","",VLOOKUP($G58,'Materials by UPN'!$G$3:$R$112,7))</f>
        <v>Surface Finish: ENIG</v>
      </c>
      <c r="P58" s="4">
        <f>VLOOKUP($G58,'Materials by UPN'!$G$3:$R$112,11)</f>
        <v>5.6760000000000002</v>
      </c>
      <c r="Q58" s="4">
        <f t="shared" ref="Q58:Q69" si="3">F58*P58</f>
        <v>5.6760000000000002</v>
      </c>
      <c r="R58" s="25"/>
    </row>
    <row r="59" spans="1:20" x14ac:dyDescent="0.35">
      <c r="F59" s="2">
        <v>1</v>
      </c>
      <c r="G59" s="2">
        <v>368</v>
      </c>
      <c r="I59" s="2" t="s">
        <v>303</v>
      </c>
      <c r="J59" t="str">
        <f>VLOOKUP($G59,'Materials by UPN'!$G$3:$R$112,2)</f>
        <v>Ziplock Sandwich Bag</v>
      </c>
      <c r="K59" t="str">
        <f>IF(VLOOKUP($G59,'Materials by UPN'!$G$3:$R$112,3)="","",VLOOKUP($G59,'Materials by UPN'!$G$3:$R$112,3))</f>
        <v/>
      </c>
      <c r="L59" t="str">
        <f>IF(VLOOKUP($G59,'Materials by UPN'!$G$3:$R$112,4)="","",VLOOKUP($G59,'Materials by UPN'!$G$3:$R$112,4))</f>
        <v/>
      </c>
      <c r="M59" t="str">
        <f>IF(VLOOKUP($G59,'Materials by UPN'!$G$3:$R$112,5)="","",VLOOKUP($G59,'Materials by UPN'!$G$3:$R$112,5))</f>
        <v/>
      </c>
      <c r="N59" t="str">
        <f>VLOOKUP($G59,'Materials by UPN'!$G$3:$R$112,6)</f>
        <v>Costco</v>
      </c>
      <c r="O59" t="str">
        <f>IF(VLOOKUP($G59,'Materials by UPN'!$G$3:$R$112,7)="","",VLOOKUP($G59,'Materials by UPN'!$G$3:$R$112,7))</f>
        <v/>
      </c>
      <c r="P59" s="4">
        <f>VLOOKUP($G59,'Materials by UPN'!$G$3:$R$112,11)</f>
        <v>0</v>
      </c>
      <c r="Q59" s="4">
        <f>F59*P59</f>
        <v>0</v>
      </c>
      <c r="R59" s="25"/>
    </row>
    <row r="60" spans="1:20" x14ac:dyDescent="0.35">
      <c r="B60" s="45" t="s">
        <v>277</v>
      </c>
      <c r="C60" s="46"/>
      <c r="D60" s="46" t="s">
        <v>317</v>
      </c>
      <c r="E60" s="46"/>
      <c r="F60" s="47"/>
      <c r="G60" s="47">
        <v>0</v>
      </c>
      <c r="H60" s="48"/>
      <c r="I60" s="49" t="s">
        <v>277</v>
      </c>
      <c r="J60" s="46" t="s">
        <v>270</v>
      </c>
      <c r="K60" s="50"/>
      <c r="L60" s="50"/>
      <c r="M60" s="50"/>
      <c r="N60" s="50"/>
      <c r="O60" s="50"/>
      <c r="P60" s="51"/>
      <c r="Q60" s="50"/>
      <c r="R60" s="25"/>
    </row>
    <row r="61" spans="1:20" x14ac:dyDescent="0.35">
      <c r="F61" s="2">
        <v>1</v>
      </c>
      <c r="G61" s="2">
        <v>106</v>
      </c>
      <c r="I61" s="2" t="s">
        <v>304</v>
      </c>
      <c r="J61" t="str">
        <f>VLOOKUP($G61,'Materials by UPN'!$G$3:$R$112,2)</f>
        <v>PCB, RK05 Tester Cable Adapter Board</v>
      </c>
      <c r="K61" t="str">
        <f>IF(VLOOKUP($G61,'Materials by UPN'!$G$3:$R$112,3)="","",VLOOKUP($G61,'Materials by UPN'!$G$3:$R$112,3))</f>
        <v>v1</v>
      </c>
      <c r="L61" t="str">
        <f>IF(VLOOKUP($G61,'Materials by UPN'!$G$3:$R$112,4)="","",VLOOKUP($G61,'Materials by UPN'!$G$3:$R$112,4))</f>
        <v/>
      </c>
      <c r="M61" t="str">
        <f>IF(VLOOKUP($G61,'Materials by UPN'!$G$3:$R$112,5)="","",VLOOKUP($G61,'Materials by UPN'!$G$3:$R$112,5))</f>
        <v/>
      </c>
      <c r="N61" t="str">
        <f>VLOOKUP($G61,'Materials by UPN'!$G$3:$R$112,6)</f>
        <v>JLCPCB</v>
      </c>
      <c r="O61" t="str">
        <f>IF(VLOOKUP($G61,'Materials by UPN'!$G$3:$R$112,7)="","",VLOOKUP($G61,'Materials by UPN'!$G$3:$R$112,7))</f>
        <v>Surface Finish: ENIG</v>
      </c>
      <c r="P61" s="4">
        <f>VLOOKUP($G61,'Materials by UPN'!$G$3:$R$112,11)</f>
        <v>5.6760000000000002</v>
      </c>
      <c r="Q61" s="4">
        <f t="shared" si="3"/>
        <v>5.6760000000000002</v>
      </c>
      <c r="R61" s="25"/>
    </row>
    <row r="62" spans="1:20" x14ac:dyDescent="0.35">
      <c r="F62" s="2">
        <v>1</v>
      </c>
      <c r="G62" s="2">
        <v>368</v>
      </c>
      <c r="I62" s="2" t="s">
        <v>304</v>
      </c>
      <c r="J62" t="str">
        <f>VLOOKUP($G62,'Materials by UPN'!$G$3:$R$112,2)</f>
        <v>Ziplock Sandwich Bag</v>
      </c>
      <c r="K62" t="str">
        <f>IF(VLOOKUP($G62,'Materials by UPN'!$G$3:$R$112,3)="","",VLOOKUP($G62,'Materials by UPN'!$G$3:$R$112,3))</f>
        <v/>
      </c>
      <c r="L62" t="str">
        <f>IF(VLOOKUP($G62,'Materials by UPN'!$G$3:$R$112,4)="","",VLOOKUP($G62,'Materials by UPN'!$G$3:$R$112,4))</f>
        <v/>
      </c>
      <c r="M62" t="str">
        <f>IF(VLOOKUP($G62,'Materials by UPN'!$G$3:$R$112,5)="","",VLOOKUP($G62,'Materials by UPN'!$G$3:$R$112,5))</f>
        <v/>
      </c>
      <c r="N62" t="str">
        <f>VLOOKUP($G62,'Materials by UPN'!$G$3:$R$112,6)</f>
        <v>Costco</v>
      </c>
      <c r="O62" t="str">
        <f>IF(VLOOKUP($G62,'Materials by UPN'!$G$3:$R$112,7)="","",VLOOKUP($G62,'Materials by UPN'!$G$3:$R$112,7))</f>
        <v/>
      </c>
      <c r="P62" s="4">
        <f>VLOOKUP($G62,'Materials by UPN'!$G$3:$R$112,11)</f>
        <v>0</v>
      </c>
      <c r="Q62" s="4">
        <f>F62*P62</f>
        <v>0</v>
      </c>
      <c r="R62" s="25"/>
    </row>
    <row r="63" spans="1:20" x14ac:dyDescent="0.35">
      <c r="B63" s="45" t="s">
        <v>280</v>
      </c>
      <c r="C63" s="46"/>
      <c r="D63" s="46"/>
      <c r="E63" s="46"/>
      <c r="F63" s="47"/>
      <c r="G63" s="47">
        <v>0</v>
      </c>
      <c r="H63" s="48"/>
      <c r="I63" s="49" t="s">
        <v>280</v>
      </c>
      <c r="J63" s="46" t="s">
        <v>315</v>
      </c>
      <c r="K63" s="50"/>
      <c r="L63" s="50"/>
      <c r="M63" s="50"/>
      <c r="N63" s="50"/>
      <c r="O63" s="50"/>
      <c r="P63" s="51"/>
      <c r="Q63" s="50"/>
      <c r="R63" s="25"/>
    </row>
    <row r="64" spans="1:20" x14ac:dyDescent="0.35">
      <c r="F64" s="2">
        <v>2</v>
      </c>
      <c r="G64" s="2">
        <v>349</v>
      </c>
      <c r="I64" s="2" t="s">
        <v>280</v>
      </c>
      <c r="J64" t="str">
        <f>VLOOKUP($G64,'Materials by UPN'!$G$3:$R$112,2)</f>
        <v>Flat Cable, 40-pin 2x20 IDC, 1m</v>
      </c>
      <c r="K64" t="str">
        <f>IF(VLOOKUP($G64,'Materials by UPN'!$G$3:$R$112,3)="","",VLOOKUP($G64,'Materials by UPN'!$G$3:$R$112,3))</f>
        <v/>
      </c>
      <c r="L64" t="str">
        <f>IF(VLOOKUP($G64,'Materials by UPN'!$G$3:$R$112,4)="","",VLOOKUP($G64,'Materials by UPN'!$G$3:$R$112,4))</f>
        <v/>
      </c>
      <c r="M64" t="str">
        <f>IF(VLOOKUP($G64,'Materials by UPN'!$G$3:$R$112,5)="","",VLOOKUP($G64,'Materials by UPN'!$G$3:$R$112,5))</f>
        <v/>
      </c>
      <c r="N64" t="str">
        <f>VLOOKUP($G64,'Materials by UPN'!$G$3:$R$112,6)</f>
        <v>AliExpress</v>
      </c>
      <c r="O64" t="str">
        <f>IF(VLOOKUP($G64,'Materials by UPN'!$G$3:$R$112,7)="","",VLOOKUP($G64,'Materials by UPN'!$G$3:$R$112,7))</f>
        <v>https://www.aliexpress.us/item/3256803248238815.html</v>
      </c>
      <c r="P64" s="4">
        <f>VLOOKUP($G64,'Materials by UPN'!$G$3:$R$112,11)</f>
        <v>5.5018500000000001</v>
      </c>
      <c r="Q64" s="4">
        <f t="shared" si="3"/>
        <v>11.0037</v>
      </c>
      <c r="R64" s="25"/>
    </row>
    <row r="65" spans="1:19" x14ac:dyDescent="0.35">
      <c r="B65" s="45" t="s">
        <v>333</v>
      </c>
      <c r="C65" s="46"/>
      <c r="D65" s="46" t="s">
        <v>230</v>
      </c>
      <c r="E65" s="46"/>
      <c r="F65" s="47"/>
      <c r="G65" s="47">
        <v>0</v>
      </c>
      <c r="H65" s="48"/>
      <c r="I65" s="49" t="s">
        <v>333</v>
      </c>
      <c r="J65" s="46" t="s">
        <v>314</v>
      </c>
      <c r="K65" s="50"/>
      <c r="L65" s="50"/>
      <c r="M65" s="50"/>
      <c r="N65" s="50"/>
      <c r="O65" s="50"/>
      <c r="P65" s="51"/>
      <c r="Q65" s="50"/>
      <c r="R65" s="25"/>
    </row>
    <row r="66" spans="1:19" x14ac:dyDescent="0.35">
      <c r="F66" s="2">
        <v>4</v>
      </c>
      <c r="G66" s="2">
        <v>336</v>
      </c>
      <c r="I66" s="2" t="s">
        <v>333</v>
      </c>
      <c r="J66" t="str">
        <f>VLOOKUP($G66,'Materials by UPN'!$G$3:$R$112,2)</f>
        <v>Header, 40-pin, right-angle, with ejectors</v>
      </c>
      <c r="K66" t="str">
        <f>IF(VLOOKUP($G66,'Materials by UPN'!$G$3:$R$112,3)="","",VLOOKUP($G66,'Materials by UPN'!$G$3:$R$112,3))</f>
        <v/>
      </c>
      <c r="L66" t="str">
        <f>IF(VLOOKUP($G66,'Materials by UPN'!$G$3:$R$112,4)="","",VLOOKUP($G66,'Materials by UPN'!$G$3:$R$112,4))</f>
        <v>Amphenol ICC (FCI)</v>
      </c>
      <c r="M66" t="str">
        <f>IF(VLOOKUP($G66,'Materials by UPN'!$G$3:$R$112,5)="","",VLOOKUP($G66,'Materials by UPN'!$G$3:$R$112,5))</f>
        <v>86130402113345E1LF</v>
      </c>
      <c r="N66" t="str">
        <f>VLOOKUP($G66,'Materials by UPN'!$G$3:$R$112,6)</f>
        <v>Digikey</v>
      </c>
      <c r="O66" t="str">
        <f>IF(VLOOKUP($G66,'Materials by UPN'!$G$3:$R$112,7)="","",VLOOKUP($G66,'Materials by UPN'!$G$3:$R$112,7))</f>
        <v>https://www.digikey.com/en/products/detail/amphenol-cs-fci/86130402113345E1LF/5201672</v>
      </c>
      <c r="P66" s="4">
        <f>VLOOKUP($G66,'Materials by UPN'!$G$3:$R$112,11)</f>
        <v>1.789927135696644</v>
      </c>
      <c r="Q66" s="4">
        <f>F66*P66</f>
        <v>7.1597085427865759</v>
      </c>
      <c r="R66" s="25"/>
    </row>
    <row r="67" spans="1:19" x14ac:dyDescent="0.35">
      <c r="F67" s="2">
        <v>2</v>
      </c>
      <c r="G67" s="2">
        <v>205</v>
      </c>
      <c r="I67" s="2" t="s">
        <v>333</v>
      </c>
      <c r="J67" t="str">
        <f>VLOOKUP($G67,'Materials by UPN'!$G$3:$R$112,2)</f>
        <v>M993GW Cable Clamp, 3D printed</v>
      </c>
      <c r="K67" t="str">
        <f>IF(VLOOKUP($G67,'Materials by UPN'!$G$3:$R$112,3)="","",VLOOKUP($G67,'Materials by UPN'!$G$3:$R$112,3))</f>
        <v>v03</v>
      </c>
      <c r="L67" t="str">
        <f>IF(VLOOKUP($G67,'Materials by UPN'!$G$3:$R$112,4)="","",VLOOKUP($G67,'Materials by UPN'!$G$3:$R$112,4))</f>
        <v/>
      </c>
      <c r="M67" t="str">
        <f>IF(VLOOKUP($G67,'Materials by UPN'!$G$3:$R$112,5)="","",VLOOKUP($G67,'Materials by UPN'!$G$3:$R$112,5))</f>
        <v>205 v03</v>
      </c>
      <c r="N67" t="str">
        <f>VLOOKUP($G67,'Materials by UPN'!$G$3:$R$112,6)</f>
        <v>JLCPCB</v>
      </c>
      <c r="O67" t="str">
        <f>IF(VLOOKUP($G67,'Materials by UPN'!$G$3:$R$112,7)="","",VLOOKUP($G67,'Materials by UPN'!$G$3:$R$112,7))</f>
        <v>200 v03, SLA (Resin), LEDO 6060, Natural White</v>
      </c>
      <c r="P67" s="4">
        <f>VLOOKUP($G67,'Materials by UPN'!$G$3:$R$112,11)</f>
        <v>0.61869230769230765</v>
      </c>
      <c r="Q67" s="4">
        <f t="shared" si="3"/>
        <v>1.2373846153846153</v>
      </c>
      <c r="R67" s="25"/>
    </row>
    <row r="68" spans="1:19" x14ac:dyDescent="0.35">
      <c r="F68" s="2">
        <v>4</v>
      </c>
      <c r="G68" s="2">
        <v>334</v>
      </c>
      <c r="I68" s="2" t="s">
        <v>333</v>
      </c>
      <c r="J68" t="str">
        <f>VLOOKUP($G68,'Materials by UPN'!$G$3:$R$112,2)</f>
        <v>M3 x 12mm cap screw, black</v>
      </c>
      <c r="K68" t="str">
        <f>IF(VLOOKUP($G68,'Materials by UPN'!$G$3:$R$112,3)="","",VLOOKUP($G68,'Materials by UPN'!$G$3:$R$112,3))</f>
        <v/>
      </c>
      <c r="L68" t="str">
        <f>IF(VLOOKUP($G68,'Materials by UPN'!$G$3:$R$112,4)="","",VLOOKUP($G68,'Materials by UPN'!$G$3:$R$112,4))</f>
        <v/>
      </c>
      <c r="M68" t="str">
        <f>IF(VLOOKUP($G68,'Materials by UPN'!$G$3:$R$112,5)="","",VLOOKUP($G68,'Materials by UPN'!$G$3:$R$112,5))</f>
        <v/>
      </c>
      <c r="N68" t="str">
        <f>VLOOKUP($G68,'Materials by UPN'!$G$3:$R$112,6)</f>
        <v>Amazon</v>
      </c>
      <c r="O68" t="str">
        <f>IF(VLOOKUP($G68,'Materials by UPN'!$G$3:$R$112,7)="","",VLOOKUP($G68,'Materials by UPN'!$G$3:$R$112,7))</f>
        <v>https://www.amazon.com/gp/product/B07CNFTK99</v>
      </c>
      <c r="P68" s="4">
        <f>VLOOKUP($G68,'Materials by UPN'!$G$3:$R$112,11)</f>
        <v>8.4691500000000003E-2</v>
      </c>
      <c r="Q68" s="4">
        <f t="shared" si="3"/>
        <v>0.33876600000000001</v>
      </c>
      <c r="R68" s="25"/>
    </row>
    <row r="69" spans="1:19" x14ac:dyDescent="0.35">
      <c r="F69" s="2">
        <v>4</v>
      </c>
      <c r="G69" s="2">
        <v>328</v>
      </c>
      <c r="I69" s="2" t="s">
        <v>333</v>
      </c>
      <c r="J69" t="str">
        <f>VLOOKUP($G69,'Materials by UPN'!$G$3:$R$112,2)</f>
        <v>M3 self locking nut</v>
      </c>
      <c r="K69" t="str">
        <f>IF(VLOOKUP($G69,'Materials by UPN'!$G$3:$R$112,3)="","",VLOOKUP($G69,'Materials by UPN'!$G$3:$R$112,3))</f>
        <v/>
      </c>
      <c r="L69" t="str">
        <f>IF(VLOOKUP($G69,'Materials by UPN'!$G$3:$R$112,4)="","",VLOOKUP($G69,'Materials by UPN'!$G$3:$R$112,4))</f>
        <v/>
      </c>
      <c r="M69" t="str">
        <f>IF(VLOOKUP($G69,'Materials by UPN'!$G$3:$R$112,5)="","",VLOOKUP($G69,'Materials by UPN'!$G$3:$R$112,5))</f>
        <v/>
      </c>
      <c r="N69" t="str">
        <f>VLOOKUP($G69,'Materials by UPN'!$G$3:$R$112,6)</f>
        <v>Amazon</v>
      </c>
      <c r="O69" t="str">
        <f>IF(VLOOKUP($G69,'Materials by UPN'!$G$3:$R$112,7)="","",VLOOKUP($G69,'Materials by UPN'!$G$3:$R$112,7))</f>
        <v>https://www.amazon.com/Stainless-Self-Locking-Industrial-Construction-Fasteners/dp/B09SLLQ3KV</v>
      </c>
      <c r="P69" s="4">
        <f>VLOOKUP($G69,'Materials by UPN'!$G$3:$R$112,11)</f>
        <v>5.4533333333333329E-2</v>
      </c>
      <c r="Q69" s="4">
        <f t="shared" si="3"/>
        <v>0.21813333333333332</v>
      </c>
      <c r="R69" s="25"/>
    </row>
    <row r="70" spans="1:19" x14ac:dyDescent="0.35">
      <c r="F70" s="2">
        <v>2</v>
      </c>
      <c r="G70" s="2">
        <v>364</v>
      </c>
      <c r="I70" s="2" t="s">
        <v>334</v>
      </c>
      <c r="J70" t="str">
        <f>VLOOKUP($G70,'Materials by UPN'!$G$3:$R$112,2)</f>
        <v>3" x 5" Small Plastic Bags- Reclosable Zip Bags</v>
      </c>
      <c r="K70" t="str">
        <f>IF(VLOOKUP($G70,'Materials by UPN'!$G$3:$R$112,3)="","",VLOOKUP($G70,'Materials by UPN'!$G$3:$R$112,3))</f>
        <v/>
      </c>
      <c r="L70" t="str">
        <f>IF(VLOOKUP($G70,'Materials by UPN'!$G$3:$R$112,4)="","",VLOOKUP($G70,'Materials by UPN'!$G$3:$R$112,4))</f>
        <v/>
      </c>
      <c r="M70" t="str">
        <f>IF(VLOOKUP($G70,'Materials by UPN'!$G$3:$R$112,5)="","",VLOOKUP($G70,'Materials by UPN'!$G$3:$R$112,5))</f>
        <v/>
      </c>
      <c r="N70" t="str">
        <f>VLOOKUP($G70,'Materials by UPN'!$G$3:$R$112,6)</f>
        <v>Amazon</v>
      </c>
      <c r="O70" t="str">
        <f>IF(VLOOKUP($G70,'Materials by UPN'!$G$3:$R$112,7)="","",VLOOKUP($G70,'Materials by UPN'!$G$3:$R$112,7))</f>
        <v>https://www.amazon.com/gp/product/B07XBF98NV</v>
      </c>
      <c r="P70" s="4">
        <f>VLOOKUP($G70,'Materials by UPN'!$G$3:$R$112,11)</f>
        <v>1.9379999999999998E-2</v>
      </c>
      <c r="Q70" s="4">
        <f>F70*P70</f>
        <v>3.8759999999999996E-2</v>
      </c>
      <c r="R70" s="25"/>
    </row>
    <row r="71" spans="1:19" x14ac:dyDescent="0.35">
      <c r="R71" s="25"/>
    </row>
    <row r="72" spans="1:19" s="41" customFormat="1" ht="18.5" x14ac:dyDescent="0.45">
      <c r="A72" s="30" t="s">
        <v>170</v>
      </c>
      <c r="B72" s="30" t="s">
        <v>204</v>
      </c>
      <c r="C72" s="30"/>
      <c r="D72" s="30"/>
      <c r="E72" s="30"/>
      <c r="F72" s="35"/>
      <c r="G72" s="35"/>
      <c r="H72" s="36"/>
      <c r="I72" s="35"/>
      <c r="J72" s="30"/>
      <c r="K72" s="30"/>
      <c r="L72" s="30"/>
      <c r="M72" s="30"/>
      <c r="N72" s="30"/>
      <c r="O72" s="30"/>
      <c r="P72" s="42"/>
      <c r="Q72" s="30"/>
      <c r="R72" s="43">
        <f>SUM(Q72:Q82)</f>
        <v>10.191756245752263</v>
      </c>
      <c r="S72" s="40">
        <f>CEILING(R72,1)</f>
        <v>11</v>
      </c>
    </row>
    <row r="73" spans="1:19" s="41" customFormat="1" ht="14.5" customHeight="1" x14ac:dyDescent="0.45">
      <c r="A73" s="1"/>
      <c r="B73" s="45" t="s">
        <v>277</v>
      </c>
      <c r="C73" s="46"/>
      <c r="D73" s="46" t="s">
        <v>317</v>
      </c>
      <c r="E73" s="46"/>
      <c r="F73" s="47"/>
      <c r="G73" s="47">
        <v>0</v>
      </c>
      <c r="H73" s="48"/>
      <c r="I73" s="49" t="s">
        <v>277</v>
      </c>
      <c r="J73" s="46" t="s">
        <v>270</v>
      </c>
      <c r="K73" s="50"/>
      <c r="L73" s="50"/>
      <c r="M73" s="50"/>
      <c r="N73" s="50"/>
      <c r="O73" s="50"/>
      <c r="P73" s="51"/>
      <c r="Q73" s="50"/>
      <c r="R73" s="25"/>
      <c r="S73"/>
    </row>
    <row r="74" spans="1:19" x14ac:dyDescent="0.35">
      <c r="F74" s="2">
        <v>1</v>
      </c>
      <c r="G74" s="2">
        <v>106</v>
      </c>
      <c r="I74" s="2" t="s">
        <v>277</v>
      </c>
      <c r="J74" t="str">
        <f>VLOOKUP($G74,'Materials by UPN'!$G$3:$R$112,2)</f>
        <v>PCB, RK05 Tester Cable Adapter Board</v>
      </c>
      <c r="K74" t="str">
        <f>IF(VLOOKUP($G74,'Materials by UPN'!$G$3:$R$112,3)="","",VLOOKUP($G74,'Materials by UPN'!$G$3:$R$112,3))</f>
        <v>v1</v>
      </c>
      <c r="L74" t="str">
        <f>IF(VLOOKUP($G74,'Materials by UPN'!$G$3:$R$112,4)="","",VLOOKUP($G74,'Materials by UPN'!$G$3:$R$112,4))</f>
        <v/>
      </c>
      <c r="M74" t="str">
        <f>IF(VLOOKUP($G74,'Materials by UPN'!$G$3:$R$112,5)="","",VLOOKUP($G74,'Materials by UPN'!$G$3:$R$112,5))</f>
        <v/>
      </c>
      <c r="N74" t="str">
        <f>VLOOKUP($G74,'Materials by UPN'!$G$3:$R$112,6)</f>
        <v>JLCPCB</v>
      </c>
      <c r="O74" t="str">
        <f>IF(VLOOKUP($G74,'Materials by UPN'!$G$3:$R$112,7)="","",VLOOKUP($G74,'Materials by UPN'!$G$3:$R$112,7))</f>
        <v>Surface Finish: ENIG</v>
      </c>
      <c r="P74" s="4">
        <f>VLOOKUP($G74,'Materials by UPN'!$G$3:$R$112,11)</f>
        <v>5.6760000000000002</v>
      </c>
      <c r="Q74" s="4">
        <f t="shared" ref="Q74:Q81" si="4">F74*P74</f>
        <v>5.6760000000000002</v>
      </c>
      <c r="R74" s="25"/>
    </row>
    <row r="75" spans="1:19" x14ac:dyDescent="0.35">
      <c r="F75" s="2">
        <v>1</v>
      </c>
      <c r="G75" s="2">
        <v>368</v>
      </c>
      <c r="I75" s="2" t="s">
        <v>304</v>
      </c>
      <c r="J75" t="str">
        <f>VLOOKUP($G75,'Materials by UPN'!$G$3:$R$112,2)</f>
        <v>Ziplock Sandwich Bag</v>
      </c>
      <c r="K75" t="str">
        <f>IF(VLOOKUP($G75,'Materials by UPN'!$G$3:$R$112,3)="","",VLOOKUP($G75,'Materials by UPN'!$G$3:$R$112,3))</f>
        <v/>
      </c>
      <c r="L75" t="str">
        <f>IF(VLOOKUP($G75,'Materials by UPN'!$G$3:$R$112,4)="","",VLOOKUP($G75,'Materials by UPN'!$G$3:$R$112,4))</f>
        <v/>
      </c>
      <c r="M75" t="str">
        <f>IF(VLOOKUP($G75,'Materials by UPN'!$G$3:$R$112,5)="","",VLOOKUP($G75,'Materials by UPN'!$G$3:$R$112,5))</f>
        <v/>
      </c>
      <c r="N75" t="str">
        <f>VLOOKUP($G75,'Materials by UPN'!$G$3:$R$112,6)</f>
        <v>Costco</v>
      </c>
      <c r="O75" t="str">
        <f>IF(VLOOKUP($G75,'Materials by UPN'!$G$3:$R$112,7)="","",VLOOKUP($G75,'Materials by UPN'!$G$3:$R$112,7))</f>
        <v/>
      </c>
      <c r="P75" s="4">
        <f>VLOOKUP($G75,'Materials by UPN'!$G$3:$R$112,11)</f>
        <v>0</v>
      </c>
      <c r="Q75" s="4">
        <f>F75*P75</f>
        <v>0</v>
      </c>
      <c r="R75" s="25"/>
    </row>
    <row r="76" spans="1:19" x14ac:dyDescent="0.35">
      <c r="B76" s="45" t="s">
        <v>331</v>
      </c>
      <c r="C76" s="46"/>
      <c r="D76" s="46" t="s">
        <v>230</v>
      </c>
      <c r="E76" s="46"/>
      <c r="F76" s="47"/>
      <c r="G76" s="47">
        <v>0</v>
      </c>
      <c r="H76" s="48"/>
      <c r="I76" s="49" t="s">
        <v>331</v>
      </c>
      <c r="J76" s="46" t="s">
        <v>314</v>
      </c>
      <c r="K76" s="50"/>
      <c r="L76" s="50"/>
      <c r="M76" s="50"/>
      <c r="N76" s="50"/>
      <c r="O76" s="50"/>
      <c r="P76" s="51"/>
      <c r="Q76" s="50"/>
      <c r="R76" s="25"/>
    </row>
    <row r="77" spans="1:19" x14ac:dyDescent="0.35">
      <c r="F77" s="2">
        <v>2</v>
      </c>
      <c r="G77" s="2">
        <v>336</v>
      </c>
      <c r="I77" s="2" t="s">
        <v>331</v>
      </c>
      <c r="J77" t="str">
        <f>VLOOKUP($G77,'Materials by UPN'!$G$3:$R$112,2)</f>
        <v>Header, 40-pin, right-angle, with ejectors</v>
      </c>
      <c r="K77" t="str">
        <f>IF(VLOOKUP($G77,'Materials by UPN'!$G$3:$R$112,3)="","",VLOOKUP($G77,'Materials by UPN'!$G$3:$R$112,3))</f>
        <v/>
      </c>
      <c r="L77" t="str">
        <f>IF(VLOOKUP($G77,'Materials by UPN'!$G$3:$R$112,4)="","",VLOOKUP($G77,'Materials by UPN'!$G$3:$R$112,4))</f>
        <v>Amphenol ICC (FCI)</v>
      </c>
      <c r="M77" t="str">
        <f>IF(VLOOKUP($G77,'Materials by UPN'!$G$3:$R$112,5)="","",VLOOKUP($G77,'Materials by UPN'!$G$3:$R$112,5))</f>
        <v>86130402113345E1LF</v>
      </c>
      <c r="N77" t="str">
        <f>VLOOKUP($G77,'Materials by UPN'!$G$3:$R$112,6)</f>
        <v>Digikey</v>
      </c>
      <c r="O77" t="str">
        <f>IF(VLOOKUP($G77,'Materials by UPN'!$G$3:$R$112,7)="","",VLOOKUP($G77,'Materials by UPN'!$G$3:$R$112,7))</f>
        <v>https://www.digikey.com/en/products/detail/amphenol-cs-fci/86130402113345E1LF/5201672</v>
      </c>
      <c r="P77" s="4">
        <f>VLOOKUP($G77,'Materials by UPN'!$G$3:$R$112,11)</f>
        <v>1.789927135696644</v>
      </c>
      <c r="Q77" s="4">
        <f t="shared" si="4"/>
        <v>3.5798542713932879</v>
      </c>
      <c r="R77" s="25"/>
    </row>
    <row r="78" spans="1:19" x14ac:dyDescent="0.35">
      <c r="F78" s="2">
        <v>1</v>
      </c>
      <c r="G78" s="2">
        <v>205</v>
      </c>
      <c r="I78" s="2" t="s">
        <v>331</v>
      </c>
      <c r="J78" t="str">
        <f>VLOOKUP($G78,'Materials by UPN'!$G$3:$R$112,2)</f>
        <v>M993GW Cable Clamp, 3D printed</v>
      </c>
      <c r="K78" t="str">
        <f>IF(VLOOKUP($G78,'Materials by UPN'!$G$3:$R$112,3)="","",VLOOKUP($G78,'Materials by UPN'!$G$3:$R$112,3))</f>
        <v>v03</v>
      </c>
      <c r="L78" t="str">
        <f>IF(VLOOKUP($G78,'Materials by UPN'!$G$3:$R$112,4)="","",VLOOKUP($G78,'Materials by UPN'!$G$3:$R$112,4))</f>
        <v/>
      </c>
      <c r="M78" t="str">
        <f>IF(VLOOKUP($G78,'Materials by UPN'!$G$3:$R$112,5)="","",VLOOKUP($G78,'Materials by UPN'!$G$3:$R$112,5))</f>
        <v>205 v03</v>
      </c>
      <c r="N78" t="str">
        <f>VLOOKUP($G78,'Materials by UPN'!$G$3:$R$112,6)</f>
        <v>JLCPCB</v>
      </c>
      <c r="O78" t="str">
        <f>IF(VLOOKUP($G78,'Materials by UPN'!$G$3:$R$112,7)="","",VLOOKUP($G78,'Materials by UPN'!$G$3:$R$112,7))</f>
        <v>200 v03, SLA (Resin), LEDO 6060, Natural White</v>
      </c>
      <c r="P78" s="4">
        <f>VLOOKUP($G78,'Materials by UPN'!$G$3:$R$112,11)</f>
        <v>0.61869230769230765</v>
      </c>
      <c r="Q78" s="4">
        <f t="shared" si="4"/>
        <v>0.61869230769230765</v>
      </c>
      <c r="R78" s="25"/>
    </row>
    <row r="79" spans="1:19" x14ac:dyDescent="0.35">
      <c r="F79" s="2">
        <v>2</v>
      </c>
      <c r="G79" s="2">
        <v>334</v>
      </c>
      <c r="I79" s="2" t="s">
        <v>331</v>
      </c>
      <c r="J79" t="str">
        <f>VLOOKUP($G79,'Materials by UPN'!$G$3:$R$112,2)</f>
        <v>M3 x 12mm cap screw, black</v>
      </c>
      <c r="K79" t="str">
        <f>IF(VLOOKUP($G79,'Materials by UPN'!$G$3:$R$112,3)="","",VLOOKUP($G79,'Materials by UPN'!$G$3:$R$112,3))</f>
        <v/>
      </c>
      <c r="L79" t="str">
        <f>IF(VLOOKUP($G79,'Materials by UPN'!$G$3:$R$112,4)="","",VLOOKUP($G79,'Materials by UPN'!$G$3:$R$112,4))</f>
        <v/>
      </c>
      <c r="M79" t="str">
        <f>IF(VLOOKUP($G79,'Materials by UPN'!$G$3:$R$112,5)="","",VLOOKUP($G79,'Materials by UPN'!$G$3:$R$112,5))</f>
        <v/>
      </c>
      <c r="N79" t="str">
        <f>VLOOKUP($G79,'Materials by UPN'!$G$3:$R$112,6)</f>
        <v>Amazon</v>
      </c>
      <c r="O79" t="str">
        <f>IF(VLOOKUP($G79,'Materials by UPN'!$G$3:$R$112,7)="","",VLOOKUP($G79,'Materials by UPN'!$G$3:$R$112,7))</f>
        <v>https://www.amazon.com/gp/product/B07CNFTK99</v>
      </c>
      <c r="P79" s="4">
        <f>VLOOKUP($G79,'Materials by UPN'!$G$3:$R$112,11)</f>
        <v>8.4691500000000003E-2</v>
      </c>
      <c r="Q79" s="4">
        <f t="shared" si="4"/>
        <v>0.16938300000000001</v>
      </c>
      <c r="R79" s="25"/>
    </row>
    <row r="80" spans="1:19" x14ac:dyDescent="0.35">
      <c r="F80" s="2">
        <v>2</v>
      </c>
      <c r="G80" s="2">
        <v>328</v>
      </c>
      <c r="I80" s="2" t="s">
        <v>331</v>
      </c>
      <c r="J80" t="str">
        <f>VLOOKUP($G80,'Materials by UPN'!$G$3:$R$112,2)</f>
        <v>M3 self locking nut</v>
      </c>
      <c r="K80" t="str">
        <f>IF(VLOOKUP($G80,'Materials by UPN'!$G$3:$R$112,3)="","",VLOOKUP($G80,'Materials by UPN'!$G$3:$R$112,3))</f>
        <v/>
      </c>
      <c r="L80" t="str">
        <f>IF(VLOOKUP($G80,'Materials by UPN'!$G$3:$R$112,4)="","",VLOOKUP($G80,'Materials by UPN'!$G$3:$R$112,4))</f>
        <v/>
      </c>
      <c r="M80" t="str">
        <f>IF(VLOOKUP($G80,'Materials by UPN'!$G$3:$R$112,5)="","",VLOOKUP($G80,'Materials by UPN'!$G$3:$R$112,5))</f>
        <v/>
      </c>
      <c r="N80" t="str">
        <f>VLOOKUP($G80,'Materials by UPN'!$G$3:$R$112,6)</f>
        <v>Amazon</v>
      </c>
      <c r="O80" t="str">
        <f>IF(VLOOKUP($G80,'Materials by UPN'!$G$3:$R$112,7)="","",VLOOKUP($G80,'Materials by UPN'!$G$3:$R$112,7))</f>
        <v>https://www.amazon.com/Stainless-Self-Locking-Industrial-Construction-Fasteners/dp/B09SLLQ3KV</v>
      </c>
      <c r="P80" s="4">
        <f>VLOOKUP($G80,'Materials by UPN'!$G$3:$R$112,11)</f>
        <v>5.4533333333333329E-2</v>
      </c>
      <c r="Q80" s="4">
        <f t="shared" si="4"/>
        <v>0.10906666666666666</v>
      </c>
      <c r="R80" s="25"/>
    </row>
    <row r="81" spans="1:20" x14ac:dyDescent="0.35">
      <c r="F81" s="2">
        <v>2</v>
      </c>
      <c r="G81" s="2">
        <v>364</v>
      </c>
      <c r="I81" s="2" t="s">
        <v>332</v>
      </c>
      <c r="J81" t="str">
        <f>VLOOKUP($G81,'Materials by UPN'!$G$3:$R$112,2)</f>
        <v>3" x 5" Small Plastic Bags- Reclosable Zip Bags</v>
      </c>
      <c r="K81" t="str">
        <f>IF(VLOOKUP($G81,'Materials by UPN'!$G$3:$R$112,3)="","",VLOOKUP($G81,'Materials by UPN'!$G$3:$R$112,3))</f>
        <v/>
      </c>
      <c r="L81" t="str">
        <f>IF(VLOOKUP($G81,'Materials by UPN'!$G$3:$R$112,4)="","",VLOOKUP($G81,'Materials by UPN'!$G$3:$R$112,4))</f>
        <v/>
      </c>
      <c r="M81" t="str">
        <f>IF(VLOOKUP($G81,'Materials by UPN'!$G$3:$R$112,5)="","",VLOOKUP($G81,'Materials by UPN'!$G$3:$R$112,5))</f>
        <v/>
      </c>
      <c r="N81" t="str">
        <f>VLOOKUP($G81,'Materials by UPN'!$G$3:$R$112,6)</f>
        <v>Amazon</v>
      </c>
      <c r="O81" t="str">
        <f>IF(VLOOKUP($G81,'Materials by UPN'!$G$3:$R$112,7)="","",VLOOKUP($G81,'Materials by UPN'!$G$3:$R$112,7))</f>
        <v>https://www.amazon.com/gp/product/B07XBF98NV</v>
      </c>
      <c r="P81" s="4">
        <f>VLOOKUP($G81,'Materials by UPN'!$G$3:$R$112,11)</f>
        <v>1.9379999999999998E-2</v>
      </c>
      <c r="Q81" s="4">
        <f t="shared" si="4"/>
        <v>3.8759999999999996E-2</v>
      </c>
      <c r="R81" s="25"/>
    </row>
    <row r="82" spans="1:20" x14ac:dyDescent="0.35">
      <c r="R82" s="25"/>
    </row>
    <row r="83" spans="1:20" s="41" customFormat="1" ht="18.5" x14ac:dyDescent="0.45">
      <c r="A83" s="30" t="s">
        <v>184</v>
      </c>
      <c r="B83" s="30" t="s">
        <v>186</v>
      </c>
      <c r="C83" s="30"/>
      <c r="D83" s="30"/>
      <c r="E83" s="30"/>
      <c r="F83" s="35"/>
      <c r="G83" s="35"/>
      <c r="H83" s="36"/>
      <c r="I83" s="35"/>
      <c r="J83" s="30"/>
      <c r="K83" s="30"/>
      <c r="L83" s="30"/>
      <c r="M83" s="30"/>
      <c r="N83" s="30"/>
      <c r="O83" s="30"/>
      <c r="P83" s="42"/>
      <c r="Q83" s="30"/>
      <c r="R83" s="43">
        <f>SUM(Q83:Q115)</f>
        <v>15.902518679177698</v>
      </c>
      <c r="S83" s="40">
        <f>CEILING(R83,1)</f>
        <v>16</v>
      </c>
    </row>
    <row r="84" spans="1:20" s="41" customFormat="1" ht="14.5" customHeight="1" x14ac:dyDescent="0.45">
      <c r="A84" s="1"/>
      <c r="B84" s="45" t="s">
        <v>279</v>
      </c>
      <c r="C84" s="46"/>
      <c r="D84" s="46" t="s">
        <v>317</v>
      </c>
      <c r="E84" s="46"/>
      <c r="F84" s="47"/>
      <c r="G84" s="47">
        <v>0</v>
      </c>
      <c r="H84" s="48"/>
      <c r="I84" s="49" t="s">
        <v>279</v>
      </c>
      <c r="J84" s="46" t="s">
        <v>185</v>
      </c>
      <c r="K84" s="50"/>
      <c r="L84" s="50"/>
      <c r="M84" s="50"/>
      <c r="N84" s="50"/>
      <c r="O84" s="50"/>
      <c r="P84" s="51"/>
      <c r="Q84" s="50"/>
      <c r="R84" s="25"/>
      <c r="S84"/>
      <c r="T84"/>
    </row>
    <row r="85" spans="1:20" x14ac:dyDescent="0.35">
      <c r="F85" s="2">
        <v>1</v>
      </c>
      <c r="G85" s="2">
        <v>107</v>
      </c>
      <c r="I85" s="2" t="s">
        <v>279</v>
      </c>
      <c r="J85" t="str">
        <f>VLOOKUP($G85,'Materials by UPN'!$G$3:$R$112,2)</f>
        <v>PCB, RK05 Emulator Power Supply</v>
      </c>
      <c r="K85" t="str">
        <f>IF(VLOOKUP($G85,'Materials by UPN'!$G$3:$R$112,3)="","",VLOOKUP($G85,'Materials by UPN'!$G$3:$R$112,3))</f>
        <v>v1</v>
      </c>
      <c r="L85" t="str">
        <f>IF(VLOOKUP($G85,'Materials by UPN'!$G$3:$R$112,4)="","",VLOOKUP($G85,'Materials by UPN'!$G$3:$R$112,4))</f>
        <v/>
      </c>
      <c r="M85" t="str">
        <f>IF(VLOOKUP($G85,'Materials by UPN'!$G$3:$R$112,5)="","",VLOOKUP($G85,'Materials by UPN'!$G$3:$R$112,5))</f>
        <v/>
      </c>
      <c r="N85" t="str">
        <f>VLOOKUP($G85,'Materials by UPN'!$G$3:$R$112,6)</f>
        <v>JLCPCB</v>
      </c>
      <c r="O85" t="str">
        <f>IF(VLOOKUP($G85,'Materials by UPN'!$G$3:$R$112,7)="","",VLOOKUP($G85,'Materials by UPN'!$G$3:$R$112,7))</f>
        <v>PCB Color: Black, Surface Finish: LeadFree HASL, Remove Order Number: Specify a location</v>
      </c>
      <c r="P85" s="4">
        <f>VLOOKUP($G85,'Materials by UPN'!$G$3:$R$112,11)</f>
        <v>1.9700000000000002</v>
      </c>
      <c r="Q85" s="4">
        <f>F85*P85</f>
        <v>1.9700000000000002</v>
      </c>
      <c r="R85" s="25"/>
    </row>
    <row r="86" spans="1:20" x14ac:dyDescent="0.35">
      <c r="F86" s="2">
        <v>1</v>
      </c>
      <c r="G86" s="2">
        <v>368</v>
      </c>
      <c r="I86" s="2" t="s">
        <v>305</v>
      </c>
      <c r="J86" t="str">
        <f>VLOOKUP($G86,'Materials by UPN'!$G$3:$R$112,2)</f>
        <v>Ziplock Sandwich Bag</v>
      </c>
      <c r="K86" t="str">
        <f>IF(VLOOKUP($G86,'Materials by UPN'!$G$3:$R$112,3)="","",VLOOKUP($G86,'Materials by UPN'!$G$3:$R$112,3))</f>
        <v/>
      </c>
      <c r="L86" t="str">
        <f>IF(VLOOKUP($G86,'Materials by UPN'!$G$3:$R$112,4)="","",VLOOKUP($G86,'Materials by UPN'!$G$3:$R$112,4))</f>
        <v/>
      </c>
      <c r="M86" t="str">
        <f>IF(VLOOKUP($G86,'Materials by UPN'!$G$3:$R$112,5)="","",VLOOKUP($G86,'Materials by UPN'!$G$3:$R$112,5))</f>
        <v/>
      </c>
      <c r="N86" t="str">
        <f>VLOOKUP($G86,'Materials by UPN'!$G$3:$R$112,6)</f>
        <v>Costco</v>
      </c>
      <c r="O86" t="str">
        <f>IF(VLOOKUP($G86,'Materials by UPN'!$G$3:$R$112,7)="","",VLOOKUP($G86,'Materials by UPN'!$G$3:$R$112,7))</f>
        <v/>
      </c>
      <c r="P86" s="4">
        <f>VLOOKUP($G86,'Materials by UPN'!$G$3:$R$112,11)</f>
        <v>0</v>
      </c>
      <c r="Q86" s="4">
        <f>F86*P86</f>
        <v>0</v>
      </c>
      <c r="R86" s="25"/>
    </row>
    <row r="87" spans="1:20" x14ac:dyDescent="0.35">
      <c r="B87" s="45" t="s">
        <v>282</v>
      </c>
      <c r="C87" s="46"/>
      <c r="D87" s="46" t="s">
        <v>230</v>
      </c>
      <c r="E87" s="46"/>
      <c r="F87" s="47"/>
      <c r="G87" s="47">
        <v>0</v>
      </c>
      <c r="H87" s="48"/>
      <c r="I87" s="49" t="s">
        <v>282</v>
      </c>
      <c r="J87" s="46" t="s">
        <v>206</v>
      </c>
      <c r="K87" s="50"/>
      <c r="L87" s="50"/>
      <c r="M87" s="50"/>
      <c r="N87" s="50"/>
      <c r="O87" s="50"/>
      <c r="P87" s="51"/>
      <c r="Q87" s="50"/>
      <c r="R87" s="25"/>
    </row>
    <row r="88" spans="1:20" x14ac:dyDescent="0.35">
      <c r="F88" s="2">
        <v>1</v>
      </c>
      <c r="G88" s="2">
        <v>363</v>
      </c>
      <c r="I88" s="2" t="s">
        <v>282</v>
      </c>
      <c r="J88" t="str">
        <f>VLOOKUP($G88,'Materials by UPN'!$G$3:$R$112,2)</f>
        <v>USB Type C Charger, 25W, with USB C to USB C 6 foot cable</v>
      </c>
      <c r="K88" t="str">
        <f>IF(VLOOKUP($G88,'Materials by UPN'!$G$3:$R$112,3)="","",VLOOKUP($G88,'Materials by UPN'!$G$3:$R$112,3))</f>
        <v/>
      </c>
      <c r="L88" t="str">
        <f>IF(VLOOKUP($G88,'Materials by UPN'!$G$3:$R$112,4)="","",VLOOKUP($G88,'Materials by UPN'!$G$3:$R$112,4))</f>
        <v/>
      </c>
      <c r="M88" t="str">
        <f>IF(VLOOKUP($G88,'Materials by UPN'!$G$3:$R$112,5)="","",VLOOKUP($G88,'Materials by UPN'!$G$3:$R$112,5))</f>
        <v/>
      </c>
      <c r="N88" t="str">
        <f>VLOOKUP($G88,'Materials by UPN'!$G$3:$R$112,6)</f>
        <v>Amazon</v>
      </c>
      <c r="O88" t="str">
        <f>IF(VLOOKUP($G88,'Materials by UPN'!$G$3:$R$112,7)="","",VLOOKUP($G88,'Materials by UPN'!$G$3:$R$112,7))</f>
        <v>https://www.amazon.com/dp/B097MVXSQ5</v>
      </c>
      <c r="P88" s="4">
        <f>VLOOKUP($G88,'Materials by UPN'!$G$3:$R$112,11)</f>
        <v>5.3767250000000004</v>
      </c>
      <c r="Q88" s="4">
        <f>F88*P88</f>
        <v>5.3767250000000004</v>
      </c>
      <c r="R88" s="25"/>
    </row>
    <row r="89" spans="1:20" x14ac:dyDescent="0.35">
      <c r="F89" s="2">
        <v>1</v>
      </c>
      <c r="G89" s="2">
        <v>364</v>
      </c>
      <c r="I89" s="2" t="s">
        <v>310</v>
      </c>
      <c r="J89" t="str">
        <f>VLOOKUP($G89,'Materials by UPN'!$G$3:$R$112,2)</f>
        <v>3" x 5" Small Plastic Bags- Reclosable Zip Bags</v>
      </c>
      <c r="K89" t="str">
        <f>IF(VLOOKUP($G89,'Materials by UPN'!$G$3:$R$112,3)="","",VLOOKUP($G89,'Materials by UPN'!$G$3:$R$112,3))</f>
        <v/>
      </c>
      <c r="L89" t="str">
        <f>IF(VLOOKUP($G89,'Materials by UPN'!$G$3:$R$112,4)="","",VLOOKUP($G89,'Materials by UPN'!$G$3:$R$112,4))</f>
        <v/>
      </c>
      <c r="M89" t="str">
        <f>IF(VLOOKUP($G89,'Materials by UPN'!$G$3:$R$112,5)="","",VLOOKUP($G89,'Materials by UPN'!$G$3:$R$112,5))</f>
        <v/>
      </c>
      <c r="N89" t="str">
        <f>VLOOKUP($G89,'Materials by UPN'!$G$3:$R$112,6)</f>
        <v>Amazon</v>
      </c>
      <c r="O89" t="str">
        <f>IF(VLOOKUP($G89,'Materials by UPN'!$G$3:$R$112,7)="","",VLOOKUP($G89,'Materials by UPN'!$G$3:$R$112,7))</f>
        <v>https://www.amazon.com/gp/product/B07XBF98NV</v>
      </c>
      <c r="P89" s="4">
        <f>VLOOKUP($G89,'Materials by UPN'!$G$3:$R$112,11)</f>
        <v>1.9379999999999998E-2</v>
      </c>
      <c r="Q89" s="4">
        <f>F89*P89</f>
        <v>1.9379999999999998E-2</v>
      </c>
      <c r="R89" s="25"/>
    </row>
    <row r="90" spans="1:20" x14ac:dyDescent="0.35">
      <c r="B90" s="45" t="s">
        <v>284</v>
      </c>
      <c r="C90" s="46"/>
      <c r="D90" s="46" t="s">
        <v>255</v>
      </c>
      <c r="E90" s="46"/>
      <c r="F90" s="47"/>
      <c r="G90" s="47">
        <v>0</v>
      </c>
      <c r="H90" s="48" t="s">
        <v>290</v>
      </c>
      <c r="I90" s="49" t="s">
        <v>284</v>
      </c>
      <c r="J90" s="46" t="s">
        <v>148</v>
      </c>
      <c r="K90" s="50"/>
      <c r="L90" s="50"/>
      <c r="M90" s="50"/>
      <c r="N90" s="50"/>
      <c r="O90" s="50"/>
      <c r="P90" s="51"/>
      <c r="Q90" s="50"/>
      <c r="R90" s="25"/>
    </row>
    <row r="91" spans="1:20" x14ac:dyDescent="0.35">
      <c r="F91" s="2">
        <v>1</v>
      </c>
      <c r="G91" s="2">
        <v>351</v>
      </c>
      <c r="I91" s="2" t="s">
        <v>284</v>
      </c>
      <c r="J91" t="str">
        <f>VLOOKUP($G91,'Materials by UPN'!$G$3:$R$112,2)</f>
        <v>Power Trigger Module, USB Type C, 12V</v>
      </c>
      <c r="K91" t="str">
        <f>IF(VLOOKUP($G91,'Materials by UPN'!$G$3:$R$112,3)="","",VLOOKUP($G91,'Materials by UPN'!$G$3:$R$112,3))</f>
        <v/>
      </c>
      <c r="L91" t="str">
        <f>IF(VLOOKUP($G91,'Materials by UPN'!$G$3:$R$112,4)="","",VLOOKUP($G91,'Materials by UPN'!$G$3:$R$112,4))</f>
        <v/>
      </c>
      <c r="M91" t="str">
        <f>IF(VLOOKUP($G91,'Materials by UPN'!$G$3:$R$112,5)="","",VLOOKUP($G91,'Materials by UPN'!$G$3:$R$112,5))</f>
        <v/>
      </c>
      <c r="N91" t="str">
        <f>VLOOKUP($G91,'Materials by UPN'!$G$3:$R$112,6)</f>
        <v>AliExpress</v>
      </c>
      <c r="O91" t="str">
        <f>IF(VLOOKUP($G91,'Materials by UPN'!$G$3:$R$112,7)="","",VLOOKUP($G91,'Materials by UPN'!$G$3:$R$112,7))</f>
        <v>https://www.aliexpress.us/item/3256802974608811.html</v>
      </c>
      <c r="P91" s="4">
        <f>VLOOKUP($G91,'Materials by UPN'!$G$3:$R$112,11)</f>
        <v>0.83399999999999996</v>
      </c>
      <c r="Q91" s="4">
        <f>F91*P91</f>
        <v>0.83399999999999996</v>
      </c>
      <c r="R91" s="25"/>
    </row>
    <row r="92" spans="1:20" x14ac:dyDescent="0.35">
      <c r="F92" s="2">
        <v>1</v>
      </c>
      <c r="G92" s="2">
        <v>367</v>
      </c>
      <c r="I92" s="2" t="s">
        <v>309</v>
      </c>
      <c r="J92" t="str">
        <f>VLOOKUP($G92,'Materials by UPN'!$G$3:$R$112,2)</f>
        <v>Antistatic bag, 6x9 cm</v>
      </c>
      <c r="K92" t="str">
        <f>IF(VLOOKUP($G92,'Materials by UPN'!$G$3:$R$112,3)="","",VLOOKUP($G92,'Materials by UPN'!$G$3:$R$112,3))</f>
        <v/>
      </c>
      <c r="L92" t="str">
        <f>IF(VLOOKUP($G92,'Materials by UPN'!$G$3:$R$112,4)="","",VLOOKUP($G92,'Materials by UPN'!$G$3:$R$112,4))</f>
        <v/>
      </c>
      <c r="M92" t="str">
        <f>IF(VLOOKUP($G92,'Materials by UPN'!$G$3:$R$112,5)="","",VLOOKUP($G92,'Materials by UPN'!$G$3:$R$112,5))</f>
        <v/>
      </c>
      <c r="N92" t="str">
        <f>VLOOKUP($G92,'Materials by UPN'!$G$3:$R$112,6)</f>
        <v>AliExpress</v>
      </c>
      <c r="O92" t="str">
        <f>IF(VLOOKUP($G92,'Materials by UPN'!$G$3:$R$112,7)="","",VLOOKUP($G92,'Materials by UPN'!$G$3:$R$112,7))</f>
        <v xml:space="preserve">https://www.aliexpress.us/item/3256802834769879.html </v>
      </c>
      <c r="P92" s="4">
        <f>VLOOKUP($G92,'Materials by UPN'!$G$3:$R$112,11)</f>
        <v>8.5311499999999998E-2</v>
      </c>
      <c r="Q92" s="4">
        <f>F92*P92</f>
        <v>8.5311499999999998E-2</v>
      </c>
      <c r="R92" s="25"/>
    </row>
    <row r="93" spans="1:20" x14ac:dyDescent="0.35">
      <c r="B93" s="45" t="s">
        <v>283</v>
      </c>
      <c r="C93" s="46"/>
      <c r="D93" s="46" t="s">
        <v>230</v>
      </c>
      <c r="E93" s="46"/>
      <c r="F93" s="47"/>
      <c r="G93" s="47">
        <v>0</v>
      </c>
      <c r="H93" s="48"/>
      <c r="I93" s="49" t="s">
        <v>283</v>
      </c>
      <c r="J93" s="46" t="s">
        <v>147</v>
      </c>
      <c r="K93" s="50"/>
      <c r="L93" s="50"/>
      <c r="M93" s="50"/>
      <c r="N93" s="50"/>
      <c r="O93" s="50"/>
      <c r="P93" s="51"/>
      <c r="Q93" s="50"/>
      <c r="R93" s="25"/>
    </row>
    <row r="94" spans="1:20" x14ac:dyDescent="0.35">
      <c r="F94" s="2">
        <v>1</v>
      </c>
      <c r="G94" s="2">
        <v>359</v>
      </c>
      <c r="I94" s="2" t="s">
        <v>283</v>
      </c>
      <c r="J94" t="str">
        <f>VLOOKUP($G94,'Materials by UPN'!$G$3:$R$112,2)</f>
        <v>DC-to-DC Converter, 12V input to 5V 10A output</v>
      </c>
      <c r="K94" t="str">
        <f>IF(VLOOKUP($G94,'Materials by UPN'!$G$3:$R$112,3)="","",VLOOKUP($G94,'Materials by UPN'!$G$3:$R$112,3))</f>
        <v/>
      </c>
      <c r="L94" t="str">
        <f>IF(VLOOKUP($G94,'Materials by UPN'!$G$3:$R$112,4)="","",VLOOKUP($G94,'Materials by UPN'!$G$3:$R$112,4))</f>
        <v>TOBSUN</v>
      </c>
      <c r="M94" t="str">
        <f>IF(VLOOKUP($G94,'Materials by UPN'!$G$3:$R$112,5)="","",VLOOKUP($G94,'Materials by UPN'!$G$3:$R$112,5))</f>
        <v>EA50-5V</v>
      </c>
      <c r="N94" t="str">
        <f>VLOOKUP($G94,'Materials by UPN'!$G$3:$R$112,6)</f>
        <v>AliExpress</v>
      </c>
      <c r="O94" t="str">
        <f>IF(VLOOKUP($G94,'Materials by UPN'!$G$3:$R$112,7)="","",VLOOKUP($G94,'Materials by UPN'!$G$3:$R$112,7))</f>
        <v>https://www.aliexpress.us/item/3256804612946913.html</v>
      </c>
      <c r="P94" s="4">
        <f>VLOOKUP($G94,'Materials by UPN'!$G$3:$R$112,11)</f>
        <v>5.0960000000000001</v>
      </c>
      <c r="Q94" s="4">
        <f>F94*P94</f>
        <v>5.0960000000000001</v>
      </c>
      <c r="R94" s="25"/>
    </row>
    <row r="95" spans="1:20" x14ac:dyDescent="0.35">
      <c r="F95" s="2">
        <v>1</v>
      </c>
      <c r="G95" s="2">
        <v>368</v>
      </c>
      <c r="I95" s="2" t="s">
        <v>305</v>
      </c>
      <c r="J95" t="str">
        <f>VLOOKUP($G95,'Materials by UPN'!$G$3:$R$112,2)</f>
        <v>Ziplock Sandwich Bag</v>
      </c>
      <c r="K95" t="str">
        <f>IF(VLOOKUP($G95,'Materials by UPN'!$G$3:$R$112,3)="","",VLOOKUP($G95,'Materials by UPN'!$G$3:$R$112,3))</f>
        <v/>
      </c>
      <c r="L95" t="str">
        <f>IF(VLOOKUP($G95,'Materials by UPN'!$G$3:$R$112,4)="","",VLOOKUP($G95,'Materials by UPN'!$G$3:$R$112,4))</f>
        <v/>
      </c>
      <c r="M95" t="str">
        <f>IF(VLOOKUP($G95,'Materials by UPN'!$G$3:$R$112,5)="","",VLOOKUP($G95,'Materials by UPN'!$G$3:$R$112,5))</f>
        <v/>
      </c>
      <c r="N95" t="str">
        <f>VLOOKUP($G95,'Materials by UPN'!$G$3:$R$112,6)</f>
        <v>Costco</v>
      </c>
      <c r="O95" t="str">
        <f>IF(VLOOKUP($G95,'Materials by UPN'!$G$3:$R$112,7)="","",VLOOKUP($G95,'Materials by UPN'!$G$3:$R$112,7))</f>
        <v/>
      </c>
      <c r="P95" s="4">
        <f>VLOOKUP($G95,'Materials by UPN'!$G$3:$R$112,11)</f>
        <v>0</v>
      </c>
      <c r="Q95" s="4">
        <f>F95*P95</f>
        <v>0</v>
      </c>
      <c r="R95" s="25"/>
    </row>
    <row r="96" spans="1:20" x14ac:dyDescent="0.35">
      <c r="B96" s="45" t="s">
        <v>275</v>
      </c>
      <c r="C96" s="46"/>
      <c r="D96" s="46" t="s">
        <v>230</v>
      </c>
      <c r="E96" s="46"/>
      <c r="F96" s="47"/>
      <c r="G96" s="47">
        <v>0</v>
      </c>
      <c r="H96" s="48"/>
      <c r="I96" s="49" t="s">
        <v>275</v>
      </c>
      <c r="J96" s="46" t="s">
        <v>311</v>
      </c>
      <c r="K96" s="50"/>
      <c r="L96" s="50"/>
      <c r="M96" s="50"/>
      <c r="N96" s="50"/>
      <c r="O96" s="50"/>
      <c r="P96" s="51"/>
      <c r="Q96" s="50"/>
      <c r="R96" s="25"/>
    </row>
    <row r="97" spans="2:18" x14ac:dyDescent="0.35">
      <c r="F97" s="2">
        <v>2</v>
      </c>
      <c r="G97" s="2">
        <v>360</v>
      </c>
      <c r="I97" s="2" t="s">
        <v>275</v>
      </c>
      <c r="J97" t="str">
        <f>VLOOKUP($G97,'Materials by UPN'!$G$3:$R$112,2)</f>
        <v>22AWG 2 Conductor, Low-Voltage Tinned-Copper Wire, 1.5 inch</v>
      </c>
      <c r="K97" t="str">
        <f>IF(VLOOKUP($G97,'Materials by UPN'!$G$3:$R$112,3)="","",VLOOKUP($G97,'Materials by UPN'!$G$3:$R$112,3))</f>
        <v/>
      </c>
      <c r="L97" t="str">
        <f>IF(VLOOKUP($G97,'Materials by UPN'!$G$3:$R$112,4)="","",VLOOKUP($G97,'Materials by UPN'!$G$3:$R$112,4))</f>
        <v/>
      </c>
      <c r="M97" t="str">
        <f>IF(VLOOKUP($G97,'Materials by UPN'!$G$3:$R$112,5)="","",VLOOKUP($G97,'Materials by UPN'!$G$3:$R$112,5))</f>
        <v/>
      </c>
      <c r="N97" t="str">
        <f>VLOOKUP($G97,'Materials by UPN'!$G$3:$R$112,6)</f>
        <v>Amazon</v>
      </c>
      <c r="O97" t="str">
        <f>IF(VLOOKUP($G97,'Materials by UPN'!$G$3:$R$112,7)="","",VLOOKUP($G97,'Materials by UPN'!$G$3:$R$112,7))</f>
        <v>https://www.amazon.com/dp/B07SCJ69H4</v>
      </c>
      <c r="P97" s="4">
        <f>VLOOKUP($G97,'Materials by UPN'!$G$3:$R$112,11)</f>
        <v>3.0559777462121213E-3</v>
      </c>
      <c r="Q97" s="4">
        <f t="shared" ref="Q97:Q109" si="5">F97*P97</f>
        <v>6.1119554924242425E-3</v>
      </c>
      <c r="R97" s="25"/>
    </row>
    <row r="98" spans="2:18" x14ac:dyDescent="0.35">
      <c r="F98" s="2">
        <v>4</v>
      </c>
      <c r="G98" s="2">
        <v>362</v>
      </c>
      <c r="I98" s="2" t="s">
        <v>275</v>
      </c>
      <c r="J98" t="str">
        <f>VLOOKUP($G98,'Materials by UPN'!$G$3:$R$112,2)</f>
        <v>Spade Lug, Fork, 16-22AWG, SV1.25-4, Red</v>
      </c>
      <c r="K98" t="str">
        <f>IF(VLOOKUP($G98,'Materials by UPN'!$G$3:$R$112,3)="","",VLOOKUP($G98,'Materials by UPN'!$G$3:$R$112,3))</f>
        <v/>
      </c>
      <c r="L98" t="str">
        <f>IF(VLOOKUP($G98,'Materials by UPN'!$G$3:$R$112,4)="","",VLOOKUP($G98,'Materials by UPN'!$G$3:$R$112,4))</f>
        <v/>
      </c>
      <c r="M98" t="str">
        <f>IF(VLOOKUP($G98,'Materials by UPN'!$G$3:$R$112,5)="","",VLOOKUP($G98,'Materials by UPN'!$G$3:$R$112,5))</f>
        <v/>
      </c>
      <c r="N98" t="str">
        <f>VLOOKUP($G98,'Materials by UPN'!$G$3:$R$112,6)</f>
        <v>AliExpress</v>
      </c>
      <c r="O98" t="str">
        <f>IF(VLOOKUP($G98,'Materials by UPN'!$G$3:$R$112,7)="","",VLOOKUP($G98,'Materials by UPN'!$G$3:$R$112,7))</f>
        <v>https://www.aliexpress.us/item/2251832658426440.html</v>
      </c>
      <c r="P98" s="4">
        <f>VLOOKUP($G98,'Materials by UPN'!$G$3:$R$112,11)</f>
        <v>2.3700000000000002E-2</v>
      </c>
      <c r="Q98" s="4">
        <f t="shared" si="5"/>
        <v>9.4800000000000009E-2</v>
      </c>
      <c r="R98" s="25"/>
    </row>
    <row r="99" spans="2:18" x14ac:dyDescent="0.35">
      <c r="F99" s="2">
        <v>3</v>
      </c>
      <c r="G99" s="2">
        <v>340</v>
      </c>
      <c r="H99" s="15" t="s">
        <v>149</v>
      </c>
      <c r="I99" s="2" t="s">
        <v>275</v>
      </c>
      <c r="J99" t="str">
        <f>VLOOKUP($G99,'Materials by UPN'!$G$3:$R$112,2)</f>
        <v>CONN HEADER VERT 3POS, 3.96MM</v>
      </c>
      <c r="K99" t="str">
        <f>IF(VLOOKUP($G99,'Materials by UPN'!$G$3:$R$112,3)="","",VLOOKUP($G99,'Materials by UPN'!$G$3:$R$112,3))</f>
        <v/>
      </c>
      <c r="L99" t="str">
        <f>IF(VLOOKUP($G99,'Materials by UPN'!$G$3:$R$112,4)="","",VLOOKUP($G99,'Materials by UPN'!$G$3:$R$112,4))</f>
        <v>TE Connectivity AMP Connectors</v>
      </c>
      <c r="M99" t="str">
        <f>IF(VLOOKUP($G99,'Materials by UPN'!$G$3:$R$112,5)="","",VLOOKUP($G99,'Materials by UPN'!$G$3:$R$112,5))</f>
        <v>4-1123724-2</v>
      </c>
      <c r="N99" t="str">
        <f>VLOOKUP($G99,'Materials by UPN'!$G$3:$R$112,6)</f>
        <v>Digikey</v>
      </c>
      <c r="O99" t="str">
        <f>IF(VLOOKUP($G99,'Materials by UPN'!$G$3:$R$112,7)="","",VLOOKUP($G99,'Materials by UPN'!$G$3:$R$112,7))</f>
        <v>https://www.digikey.com/en/products/detail/te-connectivity-amp-connectors/4-1123724-2/5439777</v>
      </c>
      <c r="P99" s="4">
        <f>VLOOKUP($G99,'Materials by UPN'!$G$3:$R$112,11)</f>
        <v>0.14770028112741537</v>
      </c>
      <c r="Q99" s="4">
        <f t="shared" si="5"/>
        <v>0.44310084338224609</v>
      </c>
      <c r="R99" s="25"/>
    </row>
    <row r="100" spans="2:18" x14ac:dyDescent="0.35">
      <c r="F100" s="2">
        <v>1</v>
      </c>
      <c r="G100" s="2">
        <v>352</v>
      </c>
      <c r="I100" s="2" t="s">
        <v>275</v>
      </c>
      <c r="J100" t="str">
        <f>VLOOKUP($G100,'Materials by UPN'!$G$3:$R$112,2)</f>
        <v>Single Row 40 Pin 2.54 mm Male Pin Header Connector, cut to 4 pins</v>
      </c>
      <c r="K100" t="str">
        <f>IF(VLOOKUP($G100,'Materials by UPN'!$G$3:$R$112,3)="","",VLOOKUP($G100,'Materials by UPN'!$G$3:$R$112,3))</f>
        <v/>
      </c>
      <c r="L100" t="str">
        <f>IF(VLOOKUP($G100,'Materials by UPN'!$G$3:$R$112,4)="","",VLOOKUP($G100,'Materials by UPN'!$G$3:$R$112,4))</f>
        <v/>
      </c>
      <c r="M100" t="str">
        <f>IF(VLOOKUP($G100,'Materials by UPN'!$G$3:$R$112,5)="","",VLOOKUP($G100,'Materials by UPN'!$G$3:$R$112,5))</f>
        <v/>
      </c>
      <c r="N100" t="str">
        <f>VLOOKUP($G100,'Materials by UPN'!$G$3:$R$112,6)</f>
        <v>Amazon</v>
      </c>
      <c r="O100" t="str">
        <f>IF(VLOOKUP($G100,'Materials by UPN'!$G$3:$R$112,7)="","",VLOOKUP($G100,'Materials by UPN'!$G$3:$R$112,7))</f>
        <v>https://www.amazon.com/gp/product/B06XR8CV8P</v>
      </c>
      <c r="P100" s="4">
        <f>VLOOKUP($G100,'Materials by UPN'!$G$3:$R$112,11)</f>
        <v>2.1520000000000001E-2</v>
      </c>
      <c r="Q100" s="4">
        <f t="shared" si="5"/>
        <v>2.1520000000000001E-2</v>
      </c>
      <c r="R100" s="25"/>
    </row>
    <row r="101" spans="2:18" x14ac:dyDescent="0.35">
      <c r="F101" s="2">
        <v>1</v>
      </c>
      <c r="G101" s="2">
        <v>371</v>
      </c>
      <c r="I101" s="2" t="s">
        <v>275</v>
      </c>
      <c r="J101" t="str">
        <f>VLOOKUP($G101,'Materials by UPN'!$G$3:$R$112,2)</f>
        <v>Rectifier, 40V 450mV@5A 5A DO-27 Schottky Barrier Diode</v>
      </c>
      <c r="K101" t="str">
        <f>IF(VLOOKUP($G101,'Materials by UPN'!$G$3:$R$112,3)="","",VLOOKUP($G101,'Materials by UPN'!$G$3:$R$112,3))</f>
        <v/>
      </c>
      <c r="L101" t="str">
        <f>IF(VLOOKUP($G101,'Materials by UPN'!$G$3:$R$112,4)="","",VLOOKUP($G101,'Materials by UPN'!$G$3:$R$112,4))</f>
        <v>Comchip</v>
      </c>
      <c r="M101" t="str">
        <f>IF(VLOOKUP($G101,'Materials by UPN'!$G$3:$R$112,5)="","",VLOOKUP($G101,'Materials by UPN'!$G$3:$R$112,5))</f>
        <v>SR540L</v>
      </c>
      <c r="N101" t="str">
        <f>VLOOKUP($G101,'Materials by UPN'!$G$3:$R$112,6)</f>
        <v>AliExpress</v>
      </c>
      <c r="O101" t="str">
        <f>IF(VLOOKUP($G101,'Materials by UPN'!$G$3:$R$112,7)="","",VLOOKUP($G101,'Materials by UPN'!$G$3:$R$112,7))</f>
        <v>https://www.aliexpress.us/item/3256805591615901.html</v>
      </c>
      <c r="P101" s="4">
        <f>VLOOKUP($G101,'Materials by UPN'!$G$3:$R$112,11)</f>
        <v>0.24657875000000001</v>
      </c>
      <c r="Q101" s="4">
        <f>F101*P101</f>
        <v>0.24657875000000001</v>
      </c>
      <c r="R101" s="25"/>
    </row>
    <row r="102" spans="2:18" x14ac:dyDescent="0.35">
      <c r="F102" s="2">
        <v>0</v>
      </c>
      <c r="G102" s="2">
        <v>372</v>
      </c>
      <c r="I102" s="2" t="s">
        <v>275</v>
      </c>
      <c r="J102" t="str">
        <f>VLOOKUP($G102,'Materials by UPN'!$G$3:$R$112,2)</f>
        <v>Resistor, 4.7k, 1/4W 5%</v>
      </c>
      <c r="K102" t="str">
        <f>IF(VLOOKUP($G102,'Materials by UPN'!$G$3:$R$112,3)="","",VLOOKUP($G102,'Materials by UPN'!$G$3:$R$112,3))</f>
        <v/>
      </c>
      <c r="L102" t="str">
        <f>IF(VLOOKUP($G102,'Materials by UPN'!$G$3:$R$112,4)="","",VLOOKUP($G102,'Materials by UPN'!$G$3:$R$112,4))</f>
        <v/>
      </c>
      <c r="M102" t="str">
        <f>IF(VLOOKUP($G102,'Materials by UPN'!$G$3:$R$112,5)="","",VLOOKUP($G102,'Materials by UPN'!$G$3:$R$112,5))</f>
        <v/>
      </c>
      <c r="N102" t="str">
        <f>VLOOKUP($G102,'Materials by UPN'!$G$3:$R$112,6)</f>
        <v>AliExpress</v>
      </c>
      <c r="O102" t="str">
        <f>IF(VLOOKUP($G102,'Materials by UPN'!$G$3:$R$112,7)="","",VLOOKUP($G102,'Materials by UPN'!$G$3:$R$112,7))</f>
        <v>https://www.aliexpress.us/item/3256805483572082.html</v>
      </c>
      <c r="P102" s="4">
        <f>VLOOKUP($G102,'Materials by UPN'!$G$3:$R$112,11)</f>
        <v>3.04595E-2</v>
      </c>
      <c r="Q102" s="4">
        <f>F102*P102</f>
        <v>0</v>
      </c>
      <c r="R102" s="25"/>
    </row>
    <row r="103" spans="2:18" x14ac:dyDescent="0.35">
      <c r="F103" s="2">
        <v>2</v>
      </c>
      <c r="G103" s="2">
        <v>331</v>
      </c>
      <c r="I103" s="2" t="s">
        <v>275</v>
      </c>
      <c r="J103" t="str">
        <f>VLOOKUP($G103,'Materials by UPN'!$G$3:$R$112,2)</f>
        <v>M3 screw, hex, 8 mm, black</v>
      </c>
      <c r="K103" t="str">
        <f>IF(VLOOKUP($G103,'Materials by UPN'!$G$3:$R$112,3)="","",VLOOKUP($G103,'Materials by UPN'!$G$3:$R$112,3))</f>
        <v/>
      </c>
      <c r="L103" t="str">
        <f>IF(VLOOKUP($G103,'Materials by UPN'!$G$3:$R$112,4)="","",VLOOKUP($G103,'Materials by UPN'!$G$3:$R$112,4))</f>
        <v/>
      </c>
      <c r="M103" t="str">
        <f>IF(VLOOKUP($G103,'Materials by UPN'!$G$3:$R$112,5)="","",VLOOKUP($G103,'Materials by UPN'!$G$3:$R$112,5))</f>
        <v/>
      </c>
      <c r="N103" t="str">
        <f>VLOOKUP($G103,'Materials by UPN'!$G$3:$R$112,6)</f>
        <v>AliExpress</v>
      </c>
      <c r="O103" t="str">
        <f>IF(VLOOKUP($G103,'Materials by UPN'!$G$3:$R$112,7)="","",VLOOKUP($G103,'Materials by UPN'!$G$3:$R$112,7))</f>
        <v>https://www.aliexpress.us/item/3256805242052170.html</v>
      </c>
      <c r="P103" s="4">
        <f>VLOOKUP($G103,'Materials by UPN'!$G$3:$R$112,11)</f>
        <v>3.4749999999999996E-2</v>
      </c>
      <c r="Q103" s="4">
        <f t="shared" si="5"/>
        <v>6.9499999999999992E-2</v>
      </c>
      <c r="R103" s="25"/>
    </row>
    <row r="104" spans="2:18" x14ac:dyDescent="0.35">
      <c r="F104" s="2">
        <v>2</v>
      </c>
      <c r="G104" s="2">
        <v>328</v>
      </c>
      <c r="I104" s="2" t="s">
        <v>275</v>
      </c>
      <c r="J104" t="str">
        <f>VLOOKUP($G104,'Materials by UPN'!$G$3:$R$112,2)</f>
        <v>M3 self locking nut</v>
      </c>
      <c r="K104" t="str">
        <f>IF(VLOOKUP($G104,'Materials by UPN'!$G$3:$R$112,3)="","",VLOOKUP($G104,'Materials by UPN'!$G$3:$R$112,3))</f>
        <v/>
      </c>
      <c r="L104" t="str">
        <f>IF(VLOOKUP($G104,'Materials by UPN'!$G$3:$R$112,4)="","",VLOOKUP($G104,'Materials by UPN'!$G$3:$R$112,4))</f>
        <v/>
      </c>
      <c r="M104" t="str">
        <f>IF(VLOOKUP($G104,'Materials by UPN'!$G$3:$R$112,5)="","",VLOOKUP($G104,'Materials by UPN'!$G$3:$R$112,5))</f>
        <v/>
      </c>
      <c r="N104" t="str">
        <f>VLOOKUP($G104,'Materials by UPN'!$G$3:$R$112,6)</f>
        <v>Amazon</v>
      </c>
      <c r="O104" t="str">
        <f>IF(VLOOKUP($G104,'Materials by UPN'!$G$3:$R$112,7)="","",VLOOKUP($G104,'Materials by UPN'!$G$3:$R$112,7))</f>
        <v>https://www.amazon.com/Stainless-Self-Locking-Industrial-Construction-Fasteners/dp/B09SLLQ3KV</v>
      </c>
      <c r="P104" s="4">
        <f>VLOOKUP($G104,'Materials by UPN'!$G$3:$R$112,11)</f>
        <v>5.4533333333333329E-2</v>
      </c>
      <c r="Q104" s="4">
        <f t="shared" si="5"/>
        <v>0.10906666666666666</v>
      </c>
      <c r="R104" s="25"/>
    </row>
    <row r="105" spans="2:18" x14ac:dyDescent="0.35">
      <c r="F105" s="2">
        <v>4</v>
      </c>
      <c r="G105" s="2">
        <v>357</v>
      </c>
      <c r="I105" s="2" t="s">
        <v>275</v>
      </c>
      <c r="J105" t="str">
        <f>VLOOKUP($G105,'Materials by UPN'!$G$3:$R$112,2)</f>
        <v>M3 Threaded Spacer, hex, nylon, black, 20mm + 6mm, female-male</v>
      </c>
      <c r="K105" t="str">
        <f>IF(VLOOKUP($G105,'Materials by UPN'!$G$3:$R$112,3)="","",VLOOKUP($G105,'Materials by UPN'!$G$3:$R$112,3))</f>
        <v/>
      </c>
      <c r="L105" t="str">
        <f>IF(VLOOKUP($G105,'Materials by UPN'!$G$3:$R$112,4)="","",VLOOKUP($G105,'Materials by UPN'!$G$3:$R$112,4))</f>
        <v/>
      </c>
      <c r="M105" t="str">
        <f>IF(VLOOKUP($G105,'Materials by UPN'!$G$3:$R$112,5)="","",VLOOKUP($G105,'Materials by UPN'!$G$3:$R$112,5))</f>
        <v/>
      </c>
      <c r="N105" t="str">
        <f>VLOOKUP($G105,'Materials by UPN'!$G$3:$R$112,6)</f>
        <v>Amazon</v>
      </c>
      <c r="O105" t="str">
        <f>IF(VLOOKUP($G105,'Materials by UPN'!$G$3:$R$112,7)="","",VLOOKUP($G105,'Materials by UPN'!$G$3:$R$112,7))</f>
        <v>https://www.aliexpress.us/item/3256804121267045.html</v>
      </c>
      <c r="P105" s="4">
        <f>VLOOKUP($G105,'Materials by UPN'!$G$3:$R$112,11)</f>
        <v>8.2848500000000005E-2</v>
      </c>
      <c r="Q105" s="4">
        <f>F105*P105</f>
        <v>0.33139400000000002</v>
      </c>
      <c r="R105" s="25"/>
    </row>
    <row r="106" spans="2:18" x14ac:dyDescent="0.35">
      <c r="F106" s="2">
        <v>4</v>
      </c>
      <c r="G106" s="2">
        <v>355</v>
      </c>
      <c r="I106" s="2" t="s">
        <v>275</v>
      </c>
      <c r="J106" t="str">
        <f>VLOOKUP($G106,'Materials by UPN'!$G$3:$R$112,2)</f>
        <v>M3 nut</v>
      </c>
      <c r="K106" t="str">
        <f>IF(VLOOKUP($G106,'Materials by UPN'!$G$3:$R$112,3)="","",VLOOKUP($G106,'Materials by UPN'!$G$3:$R$112,3))</f>
        <v/>
      </c>
      <c r="L106" t="str">
        <f>IF(VLOOKUP($G106,'Materials by UPN'!$G$3:$R$112,4)="","",VLOOKUP($G106,'Materials by UPN'!$G$3:$R$112,4))</f>
        <v/>
      </c>
      <c r="M106" t="str">
        <f>IF(VLOOKUP($G106,'Materials by UPN'!$G$3:$R$112,5)="","",VLOOKUP($G106,'Materials by UPN'!$G$3:$R$112,5))</f>
        <v/>
      </c>
      <c r="N106" t="str">
        <f>VLOOKUP($G106,'Materials by UPN'!$G$3:$R$112,6)</f>
        <v>AliExpress</v>
      </c>
      <c r="O106" t="str">
        <f>IF(VLOOKUP($G106,'Materials by UPN'!$G$3:$R$112,7)="","",VLOOKUP($G106,'Materials by UPN'!$G$3:$R$112,7))</f>
        <v>https://www.aliexpress.us/item/2255800416538696.html</v>
      </c>
      <c r="P106" s="4">
        <f>VLOOKUP($G106,'Materials by UPN'!$G$3:$R$112,11)</f>
        <v>2.7069090909090907E-2</v>
      </c>
      <c r="Q106" s="4">
        <f>F106*P106</f>
        <v>0.10827636363636363</v>
      </c>
      <c r="R106" s="25"/>
    </row>
    <row r="107" spans="2:18" x14ac:dyDescent="0.35">
      <c r="F107" s="2">
        <v>4</v>
      </c>
      <c r="G107" s="2">
        <v>332</v>
      </c>
      <c r="I107" s="2" t="s">
        <v>275</v>
      </c>
      <c r="J107" t="str">
        <f>VLOOKUP($G107,'Materials by UPN'!$G$3:$R$112,2)</f>
        <v>M3 split lockwasher</v>
      </c>
      <c r="K107" t="str">
        <f>IF(VLOOKUP($G107,'Materials by UPN'!$G$3:$R$112,3)="","",VLOOKUP($G107,'Materials by UPN'!$G$3:$R$112,3))</f>
        <v/>
      </c>
      <c r="L107" t="str">
        <f>IF(VLOOKUP($G107,'Materials by UPN'!$G$3:$R$112,4)="","",VLOOKUP($G107,'Materials by UPN'!$G$3:$R$112,4))</f>
        <v/>
      </c>
      <c r="M107" t="str">
        <f>IF(VLOOKUP($G107,'Materials by UPN'!$G$3:$R$112,5)="","",VLOOKUP($G107,'Materials by UPN'!$G$3:$R$112,5))</f>
        <v/>
      </c>
      <c r="N107" t="str">
        <f>VLOOKUP($G107,'Materials by UPN'!$G$3:$R$112,6)</f>
        <v>Amazon</v>
      </c>
      <c r="O107" t="str">
        <f>IF(VLOOKUP($G107,'Materials by UPN'!$G$3:$R$112,7)="","",VLOOKUP($G107,'Materials by UPN'!$G$3:$R$112,7))</f>
        <v>https://www.amazon.com/gp/product/B07Z2FJ2XW</v>
      </c>
      <c r="P107" s="4">
        <f>VLOOKUP($G107,'Materials by UPN'!$G$3:$R$112,11)</f>
        <v>2.1528450000000001E-2</v>
      </c>
      <c r="Q107" s="4">
        <f t="shared" si="5"/>
        <v>8.6113800000000004E-2</v>
      </c>
      <c r="R107" s="25"/>
    </row>
    <row r="108" spans="2:18" x14ac:dyDescent="0.35">
      <c r="F108" s="2">
        <v>0</v>
      </c>
      <c r="G108" s="2">
        <v>366</v>
      </c>
      <c r="I108" s="2" t="s">
        <v>275</v>
      </c>
      <c r="J108" t="str">
        <f>VLOOKUP($G108,'Materials by UPN'!$G$3:$R$112,2)</f>
        <v>Toggle Switch, SPDT, 6A 125V</v>
      </c>
      <c r="K108" t="str">
        <f>IF(VLOOKUP($G108,'Materials by UPN'!$G$3:$R$112,3)="","",VLOOKUP($G108,'Materials by UPN'!$G$3:$R$112,3))</f>
        <v/>
      </c>
      <c r="L108" t="str">
        <f>IF(VLOOKUP($G108,'Materials by UPN'!$G$3:$R$112,4)="","",VLOOKUP($G108,'Materials by UPN'!$G$3:$R$112,4))</f>
        <v/>
      </c>
      <c r="M108" t="str">
        <f>IF(VLOOKUP($G108,'Materials by UPN'!$G$3:$R$112,5)="","",VLOOKUP($G108,'Materials by UPN'!$G$3:$R$112,5))</f>
        <v/>
      </c>
      <c r="N108" t="str">
        <f>VLOOKUP($G108,'Materials by UPN'!$G$3:$R$112,6)</f>
        <v>AliExpress</v>
      </c>
      <c r="O108" t="str">
        <f>IF(VLOOKUP($G108,'Materials by UPN'!$G$3:$R$112,7)="","",VLOOKUP($G108,'Materials by UPN'!$G$3:$R$112,7))</f>
        <v>https://www.aliexpress.us/item/3256804434717398.html</v>
      </c>
      <c r="P108" s="4">
        <f>VLOOKUP($G108,'Materials by UPN'!$G$3:$R$112,11)</f>
        <v>0.61599250000000005</v>
      </c>
      <c r="Q108" s="4">
        <f t="shared" si="5"/>
        <v>0</v>
      </c>
      <c r="R108" s="25"/>
    </row>
    <row r="109" spans="2:18" x14ac:dyDescent="0.35">
      <c r="F109" s="2">
        <v>1</v>
      </c>
      <c r="G109" s="2">
        <v>364</v>
      </c>
      <c r="I109" s="2" t="s">
        <v>310</v>
      </c>
      <c r="J109" t="str">
        <f>VLOOKUP($G109,'Materials by UPN'!$G$3:$R$112,2)</f>
        <v>3" x 5" Small Plastic Bags- Reclosable Zip Bags</v>
      </c>
      <c r="K109" t="str">
        <f>IF(VLOOKUP($G109,'Materials by UPN'!$G$3:$R$112,3)="","",VLOOKUP($G109,'Materials by UPN'!$G$3:$R$112,3))</f>
        <v/>
      </c>
      <c r="L109" t="str">
        <f>IF(VLOOKUP($G109,'Materials by UPN'!$G$3:$R$112,4)="","",VLOOKUP($G109,'Materials by UPN'!$G$3:$R$112,4))</f>
        <v/>
      </c>
      <c r="M109" t="str">
        <f>IF(VLOOKUP($G109,'Materials by UPN'!$G$3:$R$112,5)="","",VLOOKUP($G109,'Materials by UPN'!$G$3:$R$112,5))</f>
        <v/>
      </c>
      <c r="N109" t="str">
        <f>VLOOKUP($G109,'Materials by UPN'!$G$3:$R$112,6)</f>
        <v>Amazon</v>
      </c>
      <c r="O109" t="str">
        <f>IF(VLOOKUP($G109,'Materials by UPN'!$G$3:$R$112,7)="","",VLOOKUP($G109,'Materials by UPN'!$G$3:$R$112,7))</f>
        <v>https://www.amazon.com/gp/product/B07XBF98NV</v>
      </c>
      <c r="P109" s="4">
        <f>VLOOKUP($G109,'Materials by UPN'!$G$3:$R$112,11)</f>
        <v>1.9379999999999998E-2</v>
      </c>
      <c r="Q109" s="4">
        <f t="shared" si="5"/>
        <v>1.9379999999999998E-2</v>
      </c>
      <c r="R109" s="25"/>
    </row>
    <row r="110" spans="2:18" x14ac:dyDescent="0.35">
      <c r="B110" s="45" t="s">
        <v>285</v>
      </c>
      <c r="C110" s="46"/>
      <c r="D110" s="46" t="s">
        <v>230</v>
      </c>
      <c r="E110" s="46"/>
      <c r="F110" s="47"/>
      <c r="G110" s="47">
        <v>0</v>
      </c>
      <c r="H110" s="48"/>
      <c r="I110" s="49" t="s">
        <v>285</v>
      </c>
      <c r="J110" s="46" t="s">
        <v>202</v>
      </c>
      <c r="K110" s="50"/>
      <c r="L110" s="50"/>
      <c r="M110" s="50"/>
      <c r="N110" s="50"/>
      <c r="O110" s="50"/>
      <c r="P110" s="51"/>
      <c r="Q110" s="50"/>
      <c r="R110" s="25"/>
    </row>
    <row r="111" spans="2:18" x14ac:dyDescent="0.35">
      <c r="F111" s="2">
        <v>8</v>
      </c>
      <c r="G111" s="2">
        <v>358</v>
      </c>
      <c r="I111" s="2" t="s">
        <v>285</v>
      </c>
      <c r="J111" t="str">
        <f>VLOOKUP($G111,'Materials by UPN'!$G$3:$R$112,2)</f>
        <v>Fender Washer, M3x16x1.0 mm</v>
      </c>
      <c r="K111" t="str">
        <f>IF(VLOOKUP($G111,'Materials by UPN'!$G$3:$R$112,3)="","",VLOOKUP($G111,'Materials by UPN'!$G$3:$R$112,3))</f>
        <v/>
      </c>
      <c r="L111" t="str">
        <f>IF(VLOOKUP($G111,'Materials by UPN'!$G$3:$R$112,4)="","",VLOOKUP($G111,'Materials by UPN'!$G$3:$R$112,4))</f>
        <v/>
      </c>
      <c r="M111" t="str">
        <f>IF(VLOOKUP($G111,'Materials by UPN'!$G$3:$R$112,5)="","",VLOOKUP($G111,'Materials by UPN'!$G$3:$R$112,5))</f>
        <v/>
      </c>
      <c r="N111" t="str">
        <f>VLOOKUP($G111,'Materials by UPN'!$G$3:$R$112,6)</f>
        <v>AliExpress</v>
      </c>
      <c r="O111" t="str">
        <f>IF(VLOOKUP($G111,'Materials by UPN'!$G$3:$R$112,7)="","",VLOOKUP($G111,'Materials by UPN'!$G$3:$R$112,7))</f>
        <v>https://www.aliexpress.us/item/3256802393168670.html</v>
      </c>
      <c r="P111" s="4">
        <f>VLOOKUP($G111,'Materials by UPN'!$G$3:$R$112,11)</f>
        <v>6.7625000000000005E-2</v>
      </c>
      <c r="Q111" s="4">
        <f>F111*P111</f>
        <v>0.54100000000000004</v>
      </c>
      <c r="R111" s="25"/>
    </row>
    <row r="112" spans="2:18" x14ac:dyDescent="0.35">
      <c r="F112" s="2">
        <v>4</v>
      </c>
      <c r="G112" s="2">
        <v>334</v>
      </c>
      <c r="I112" s="2" t="s">
        <v>285</v>
      </c>
      <c r="J112" t="str">
        <f>VLOOKUP($G112,'Materials by UPN'!$G$3:$R$112,2)</f>
        <v>M3 x 12mm cap screw, black</v>
      </c>
      <c r="K112" t="str">
        <f>IF(VLOOKUP($G112,'Materials by UPN'!$G$3:$R$112,3)="","",VLOOKUP($G112,'Materials by UPN'!$G$3:$R$112,3))</f>
        <v/>
      </c>
      <c r="L112" t="str">
        <f>IF(VLOOKUP($G112,'Materials by UPN'!$G$3:$R$112,4)="","",VLOOKUP($G112,'Materials by UPN'!$G$3:$R$112,4))</f>
        <v/>
      </c>
      <c r="M112" t="str">
        <f>IF(VLOOKUP($G112,'Materials by UPN'!$G$3:$R$112,5)="","",VLOOKUP($G112,'Materials by UPN'!$G$3:$R$112,5))</f>
        <v/>
      </c>
      <c r="N112" t="str">
        <f>VLOOKUP($G112,'Materials by UPN'!$G$3:$R$112,6)</f>
        <v>Amazon</v>
      </c>
      <c r="O112" t="str">
        <f>IF(VLOOKUP($G112,'Materials by UPN'!$G$3:$R$112,7)="","",VLOOKUP($G112,'Materials by UPN'!$G$3:$R$112,7))</f>
        <v>https://www.amazon.com/gp/product/B07CNFTK99</v>
      </c>
      <c r="P112" s="4">
        <f>VLOOKUP($G112,'Materials by UPN'!$G$3:$R$112,11)</f>
        <v>8.4691500000000003E-2</v>
      </c>
      <c r="Q112" s="4">
        <f>F112*P112</f>
        <v>0.33876600000000001</v>
      </c>
      <c r="R112" s="25"/>
    </row>
    <row r="113" spans="1:19" x14ac:dyDescent="0.35">
      <c r="F113" s="2">
        <v>4</v>
      </c>
      <c r="G113" s="2">
        <v>332</v>
      </c>
      <c r="I113" s="2" t="s">
        <v>285</v>
      </c>
      <c r="J113" t="str">
        <f>VLOOKUP($G113,'Materials by UPN'!$G$3:$R$112,2)</f>
        <v>M3 split lockwasher</v>
      </c>
      <c r="K113" t="str">
        <f>IF(VLOOKUP($G113,'Materials by UPN'!$G$3:$R$112,3)="","",VLOOKUP($G113,'Materials by UPN'!$G$3:$R$112,3))</f>
        <v/>
      </c>
      <c r="L113" t="str">
        <f>IF(VLOOKUP($G113,'Materials by UPN'!$G$3:$R$112,4)="","",VLOOKUP($G113,'Materials by UPN'!$G$3:$R$112,4))</f>
        <v/>
      </c>
      <c r="M113" t="str">
        <f>IF(VLOOKUP($G113,'Materials by UPN'!$G$3:$R$112,5)="","",VLOOKUP($G113,'Materials by UPN'!$G$3:$R$112,5))</f>
        <v/>
      </c>
      <c r="N113" t="str">
        <f>VLOOKUP($G113,'Materials by UPN'!$G$3:$R$112,6)</f>
        <v>Amazon</v>
      </c>
      <c r="O113" t="str">
        <f>IF(VLOOKUP($G113,'Materials by UPN'!$G$3:$R$112,7)="","",VLOOKUP($G113,'Materials by UPN'!$G$3:$R$112,7))</f>
        <v>https://www.amazon.com/gp/product/B07Z2FJ2XW</v>
      </c>
      <c r="P113" s="4">
        <f>VLOOKUP($G113,'Materials by UPN'!$G$3:$R$112,11)</f>
        <v>2.1528450000000001E-2</v>
      </c>
      <c r="Q113" s="4">
        <f>F113*P113</f>
        <v>8.6113800000000004E-2</v>
      </c>
      <c r="R113" s="25"/>
    </row>
    <row r="114" spans="1:19" x14ac:dyDescent="0.35">
      <c r="F114" s="2">
        <v>1</v>
      </c>
      <c r="G114" s="2">
        <v>364</v>
      </c>
      <c r="I114" s="2" t="s">
        <v>308</v>
      </c>
      <c r="J114" t="str">
        <f>VLOOKUP($G114,'Materials by UPN'!$G$3:$R$112,2)</f>
        <v>3" x 5" Small Plastic Bags- Reclosable Zip Bags</v>
      </c>
      <c r="K114" t="str">
        <f>IF(VLOOKUP($G114,'Materials by UPN'!$G$3:$R$112,3)="","",VLOOKUP($G114,'Materials by UPN'!$G$3:$R$112,3))</f>
        <v/>
      </c>
      <c r="L114" t="str">
        <f>IF(VLOOKUP($G114,'Materials by UPN'!$G$3:$R$112,4)="","",VLOOKUP($G114,'Materials by UPN'!$G$3:$R$112,4))</f>
        <v/>
      </c>
      <c r="M114" t="str">
        <f>IF(VLOOKUP($G114,'Materials by UPN'!$G$3:$R$112,5)="","",VLOOKUP($G114,'Materials by UPN'!$G$3:$R$112,5))</f>
        <v/>
      </c>
      <c r="N114" t="str">
        <f>VLOOKUP($G114,'Materials by UPN'!$G$3:$R$112,6)</f>
        <v>Amazon</v>
      </c>
      <c r="O114" t="str">
        <f>IF(VLOOKUP($G114,'Materials by UPN'!$G$3:$R$112,7)="","",VLOOKUP($G114,'Materials by UPN'!$G$3:$R$112,7))</f>
        <v>https://www.amazon.com/gp/product/B07XBF98NV</v>
      </c>
      <c r="P114" s="4">
        <f>VLOOKUP($G114,'Materials by UPN'!$G$3:$R$112,11)</f>
        <v>1.9379999999999998E-2</v>
      </c>
      <c r="Q114" s="4">
        <f>F114*P114</f>
        <v>1.9379999999999998E-2</v>
      </c>
      <c r="R114" s="25"/>
    </row>
    <row r="115" spans="1:19" x14ac:dyDescent="0.35">
      <c r="Q115" s="4"/>
      <c r="R115" s="25"/>
    </row>
    <row r="116" spans="1:19" s="41" customFormat="1" ht="18.5" x14ac:dyDescent="0.45">
      <c r="A116" s="30" t="s">
        <v>200</v>
      </c>
      <c r="B116" s="30" t="s">
        <v>208</v>
      </c>
      <c r="C116" s="30"/>
      <c r="D116" s="30"/>
      <c r="E116" s="30"/>
      <c r="F116" s="35"/>
      <c r="G116" s="35"/>
      <c r="H116" s="36"/>
      <c r="I116" s="35"/>
      <c r="J116" s="30"/>
      <c r="K116" s="30"/>
      <c r="L116" s="30"/>
      <c r="M116" s="30"/>
      <c r="N116" s="30"/>
      <c r="O116" s="30"/>
      <c r="P116" s="42"/>
      <c r="Q116" s="30"/>
      <c r="R116" s="43">
        <f>SUM(Q116:Q131)</f>
        <v>2.9582650070186101</v>
      </c>
      <c r="S116" s="40">
        <f>CEILING(R116,1)</f>
        <v>3</v>
      </c>
    </row>
    <row r="117" spans="1:19" s="41" customFormat="1" ht="14.5" customHeight="1" x14ac:dyDescent="0.45">
      <c r="A117" s="1"/>
      <c r="B117" s="45" t="s">
        <v>279</v>
      </c>
      <c r="C117" s="46"/>
      <c r="D117" s="46" t="s">
        <v>317</v>
      </c>
      <c r="E117" s="46"/>
      <c r="F117" s="47"/>
      <c r="G117" s="47">
        <v>0</v>
      </c>
      <c r="H117" s="48"/>
      <c r="I117" s="49" t="s">
        <v>279</v>
      </c>
      <c r="J117" s="46" t="s">
        <v>185</v>
      </c>
      <c r="K117" s="50"/>
      <c r="L117" s="50"/>
      <c r="M117" s="50"/>
      <c r="N117" s="50"/>
      <c r="O117" s="50"/>
      <c r="P117" s="51"/>
      <c r="Q117" s="50"/>
      <c r="R117" s="25"/>
      <c r="S117"/>
    </row>
    <row r="118" spans="1:19" x14ac:dyDescent="0.35">
      <c r="F118" s="2">
        <v>1</v>
      </c>
      <c r="G118" s="2">
        <v>107</v>
      </c>
      <c r="I118" s="2" t="s">
        <v>279</v>
      </c>
      <c r="J118" t="str">
        <f>VLOOKUP($G118,'Materials by UPN'!$G$3:$R$112,2)</f>
        <v>PCB, RK05 Emulator Power Supply</v>
      </c>
      <c r="K118" t="str">
        <f>IF(VLOOKUP($G118,'Materials by UPN'!$G$3:$R$112,3)="","",VLOOKUP($G118,'Materials by UPN'!$G$3:$R$112,3))</f>
        <v>v1</v>
      </c>
      <c r="L118" t="str">
        <f>IF(VLOOKUP($G118,'Materials by UPN'!$G$3:$R$112,4)="","",VLOOKUP($G118,'Materials by UPN'!$G$3:$R$112,4))</f>
        <v/>
      </c>
      <c r="M118" t="str">
        <f>IF(VLOOKUP($G118,'Materials by UPN'!$G$3:$R$112,5)="","",VLOOKUP($G118,'Materials by UPN'!$G$3:$R$112,5))</f>
        <v/>
      </c>
      <c r="N118" t="str">
        <f>VLOOKUP($G118,'Materials by UPN'!$G$3:$R$112,6)</f>
        <v>JLCPCB</v>
      </c>
      <c r="O118" t="str">
        <f>IF(VLOOKUP($G118,'Materials by UPN'!$G$3:$R$112,7)="","",VLOOKUP($G118,'Materials by UPN'!$G$3:$R$112,7))</f>
        <v>PCB Color: Black, Surface Finish: LeadFree HASL, Remove Order Number: Specify a location</v>
      </c>
      <c r="P118" s="4">
        <f>VLOOKUP($G118,'Materials by UPN'!$G$3:$R$112,11)</f>
        <v>1.9700000000000002</v>
      </c>
      <c r="Q118" s="4">
        <f>F118*P118</f>
        <v>1.9700000000000002</v>
      </c>
      <c r="R118" s="25"/>
    </row>
    <row r="119" spans="1:19" x14ac:dyDescent="0.35">
      <c r="F119" s="2">
        <v>1</v>
      </c>
      <c r="G119" s="2">
        <v>368</v>
      </c>
      <c r="I119" s="2" t="s">
        <v>305</v>
      </c>
      <c r="J119" t="str">
        <f>VLOOKUP($G119,'Materials by UPN'!$G$3:$R$112,2)</f>
        <v>Ziplock Sandwich Bag</v>
      </c>
      <c r="K119" t="str">
        <f>IF(VLOOKUP($G119,'Materials by UPN'!$G$3:$R$112,3)="","",VLOOKUP($G119,'Materials by UPN'!$G$3:$R$112,3))</f>
        <v/>
      </c>
      <c r="L119" t="str">
        <f>IF(VLOOKUP($G119,'Materials by UPN'!$G$3:$R$112,4)="","",VLOOKUP($G119,'Materials by UPN'!$G$3:$R$112,4))</f>
        <v/>
      </c>
      <c r="M119" t="str">
        <f>IF(VLOOKUP($G119,'Materials by UPN'!$G$3:$R$112,5)="","",VLOOKUP($G119,'Materials by UPN'!$G$3:$R$112,5))</f>
        <v/>
      </c>
      <c r="N119" t="str">
        <f>VLOOKUP($G119,'Materials by UPN'!$G$3:$R$112,6)</f>
        <v>Costco</v>
      </c>
      <c r="O119" t="str">
        <f>IF(VLOOKUP($G119,'Materials by UPN'!$G$3:$R$112,7)="","",VLOOKUP($G119,'Materials by UPN'!$G$3:$R$112,7))</f>
        <v/>
      </c>
      <c r="P119" s="4">
        <f>VLOOKUP($G119,'Materials by UPN'!$G$3:$R$112,11)</f>
        <v>0</v>
      </c>
      <c r="Q119" s="4">
        <f>F119*P119</f>
        <v>0</v>
      </c>
      <c r="R119" s="25"/>
    </row>
    <row r="120" spans="1:19" x14ac:dyDescent="0.35">
      <c r="B120" s="45" t="s">
        <v>276</v>
      </c>
      <c r="C120" s="46"/>
      <c r="D120" s="46" t="s">
        <v>230</v>
      </c>
      <c r="E120" s="46"/>
      <c r="F120" s="47"/>
      <c r="G120" s="47">
        <v>0</v>
      </c>
      <c r="H120" s="48"/>
      <c r="I120" s="49" t="s">
        <v>276</v>
      </c>
      <c r="J120" s="46" t="s">
        <v>306</v>
      </c>
      <c r="K120" s="50"/>
      <c r="L120" s="50"/>
      <c r="M120" s="50"/>
      <c r="N120" s="50"/>
      <c r="O120" s="50"/>
      <c r="P120" s="51"/>
      <c r="Q120" s="50"/>
      <c r="R120" s="25"/>
    </row>
    <row r="121" spans="1:19" x14ac:dyDescent="0.35">
      <c r="F121" s="2">
        <v>3</v>
      </c>
      <c r="G121" s="2">
        <v>340</v>
      </c>
      <c r="H121" s="15" t="s">
        <v>149</v>
      </c>
      <c r="I121" s="2" t="s">
        <v>276</v>
      </c>
      <c r="J121" t="str">
        <f>VLOOKUP($G121,'Materials by UPN'!$G$3:$R$112,2)</f>
        <v>CONN HEADER VERT 3POS, 3.96MM</v>
      </c>
      <c r="K121" t="str">
        <f>IF(VLOOKUP($G121,'Materials by UPN'!$G$3:$R$112,3)="","",VLOOKUP($G121,'Materials by UPN'!$G$3:$R$112,3))</f>
        <v/>
      </c>
      <c r="L121" t="str">
        <f>IF(VLOOKUP($G121,'Materials by UPN'!$G$3:$R$112,4)="","",VLOOKUP($G121,'Materials by UPN'!$G$3:$R$112,4))</f>
        <v>TE Connectivity AMP Connectors</v>
      </c>
      <c r="M121" t="str">
        <f>IF(VLOOKUP($G121,'Materials by UPN'!$G$3:$R$112,5)="","",VLOOKUP($G121,'Materials by UPN'!$G$3:$R$112,5))</f>
        <v>4-1123724-2</v>
      </c>
      <c r="N121" t="str">
        <f>VLOOKUP($G121,'Materials by UPN'!$G$3:$R$112,6)</f>
        <v>Digikey</v>
      </c>
      <c r="O121" t="str">
        <f>IF(VLOOKUP($G121,'Materials by UPN'!$G$3:$R$112,7)="","",VLOOKUP($G121,'Materials by UPN'!$G$3:$R$112,7))</f>
        <v>https://www.digikey.com/en/products/detail/te-connectivity-amp-connectors/4-1123724-2/5439777</v>
      </c>
      <c r="P121" s="4">
        <f>VLOOKUP($G121,'Materials by UPN'!$G$3:$R$112,11)</f>
        <v>0.14770028112741537</v>
      </c>
      <c r="Q121" s="4">
        <f t="shared" ref="Q121:Q130" si="6">F121*P121</f>
        <v>0.44310084338224609</v>
      </c>
      <c r="R121" s="25"/>
    </row>
    <row r="122" spans="1:19" x14ac:dyDescent="0.35">
      <c r="F122" s="2">
        <v>0</v>
      </c>
      <c r="G122" s="2">
        <v>371</v>
      </c>
      <c r="I122" s="2" t="s">
        <v>276</v>
      </c>
      <c r="J122" t="str">
        <f>VLOOKUP($G122,'Materials by UPN'!$G$3:$R$112,2)</f>
        <v>Rectifier, 40V 450mV@5A 5A DO-27 Schottky Barrier Diode</v>
      </c>
      <c r="K122" t="str">
        <f>IF(VLOOKUP($G122,'Materials by UPN'!$G$3:$R$112,3)="","",VLOOKUP($G122,'Materials by UPN'!$G$3:$R$112,3))</f>
        <v/>
      </c>
      <c r="L122" t="str">
        <f>IF(VLOOKUP($G122,'Materials by UPN'!$G$3:$R$112,4)="","",VLOOKUP($G122,'Materials by UPN'!$G$3:$R$112,4))</f>
        <v>Comchip</v>
      </c>
      <c r="M122" t="str">
        <f>IF(VLOOKUP($G122,'Materials by UPN'!$G$3:$R$112,5)="","",VLOOKUP($G122,'Materials by UPN'!$G$3:$R$112,5))</f>
        <v>SR540L</v>
      </c>
      <c r="N122" t="str">
        <f>VLOOKUP($G122,'Materials by UPN'!$G$3:$R$112,6)</f>
        <v>AliExpress</v>
      </c>
      <c r="O122" t="str">
        <f>IF(VLOOKUP($G122,'Materials by UPN'!$G$3:$R$112,7)="","",VLOOKUP($G122,'Materials by UPN'!$G$3:$R$112,7))</f>
        <v>https://www.aliexpress.us/item/3256805591615901.html</v>
      </c>
      <c r="P122" s="4">
        <f>VLOOKUP($G122,'Materials by UPN'!$G$3:$R$112,11)</f>
        <v>0.24657875000000001</v>
      </c>
      <c r="Q122" s="4">
        <f t="shared" si="6"/>
        <v>0</v>
      </c>
      <c r="R122" s="25"/>
    </row>
    <row r="123" spans="1:19" x14ac:dyDescent="0.35">
      <c r="F123" s="2">
        <v>0</v>
      </c>
      <c r="G123" s="2">
        <v>373</v>
      </c>
      <c r="I123" s="2" t="s">
        <v>276</v>
      </c>
      <c r="J123" t="str">
        <f>VLOOKUP($G123,'Materials by UPN'!$G$3:$R$112,2)</f>
        <v>Mini Digital Voltmeter</v>
      </c>
      <c r="K123" t="str">
        <f>IF(VLOOKUP($G123,'Materials by UPN'!$G$3:$R$112,3)="","",VLOOKUP($G123,'Materials by UPN'!$G$3:$R$112,3))</f>
        <v/>
      </c>
      <c r="L123" t="str">
        <f>IF(VLOOKUP($G123,'Materials by UPN'!$G$3:$R$112,4)="","",VLOOKUP($G123,'Materials by UPN'!$G$3:$R$112,4))</f>
        <v/>
      </c>
      <c r="M123" t="str">
        <f>IF(VLOOKUP($G123,'Materials by UPN'!$G$3:$R$112,5)="","",VLOOKUP($G123,'Materials by UPN'!$G$3:$R$112,5))</f>
        <v/>
      </c>
      <c r="N123" t="str">
        <f>VLOOKUP($G123,'Materials by UPN'!$G$3:$R$112,6)</f>
        <v>AliExpress</v>
      </c>
      <c r="O123" t="str">
        <f>IF(VLOOKUP($G123,'Materials by UPN'!$G$3:$R$112,7)="","",VLOOKUP($G123,'Materials by UPN'!$G$3:$R$112,7))</f>
        <v>https://www.aliexpress.us/item/3256805856942849.html</v>
      </c>
      <c r="P123" s="4">
        <f>VLOOKUP($G123,'Materials by UPN'!$G$3:$R$112,11)</f>
        <v>1.0445</v>
      </c>
      <c r="Q123" s="4">
        <f t="shared" si="6"/>
        <v>0</v>
      </c>
      <c r="R123" s="25"/>
    </row>
    <row r="124" spans="1:19" x14ac:dyDescent="0.35">
      <c r="F124" s="2">
        <v>0</v>
      </c>
      <c r="G124" s="2">
        <v>324</v>
      </c>
      <c r="I124" s="2" t="s">
        <v>276</v>
      </c>
      <c r="J124" t="str">
        <f>VLOOKUP($G124,'Materials by UPN'!$G$3:$R$112,2)</f>
        <v>M2 Threaded Spacer, hex, nylon, black, 10mm, female-female</v>
      </c>
      <c r="K124" t="str">
        <f>IF(VLOOKUP($G124,'Materials by UPN'!$G$3:$R$112,3)="","",VLOOKUP($G124,'Materials by UPN'!$G$3:$R$112,3))</f>
        <v/>
      </c>
      <c r="L124" t="str">
        <f>IF(VLOOKUP($G124,'Materials by UPN'!$G$3:$R$112,4)="","",VLOOKUP($G124,'Materials by UPN'!$G$3:$R$112,4))</f>
        <v/>
      </c>
      <c r="M124" t="str">
        <f>IF(VLOOKUP($G124,'Materials by UPN'!$G$3:$R$112,5)="","",VLOOKUP($G124,'Materials by UPN'!$G$3:$R$112,5))</f>
        <v/>
      </c>
      <c r="N124" t="str">
        <f>VLOOKUP($G124,'Materials by UPN'!$G$3:$R$112,6)</f>
        <v>AliExpress</v>
      </c>
      <c r="O124" t="str">
        <f>IF(VLOOKUP($G124,'Materials by UPN'!$G$3:$R$112,7)="","",VLOOKUP($G124,'Materials by UPN'!$G$3:$R$112,7))</f>
        <v>https://www.aliexpress.us/item/3256805464087324.html</v>
      </c>
      <c r="P124" s="4">
        <f>VLOOKUP($G124,'Materials by UPN'!$G$3:$R$112,11)</f>
        <v>4.4600000000000001E-2</v>
      </c>
      <c r="Q124" s="4">
        <f t="shared" si="6"/>
        <v>0</v>
      </c>
      <c r="R124" s="25"/>
    </row>
    <row r="125" spans="1:19" x14ac:dyDescent="0.35">
      <c r="F125" s="2">
        <v>0</v>
      </c>
      <c r="G125" s="2">
        <v>315</v>
      </c>
      <c r="I125" s="2" t="s">
        <v>276</v>
      </c>
      <c r="J125" t="str">
        <f>VLOOKUP($G125,'Materials by UPN'!$G$3:$R$112,2)</f>
        <v>M2 x 8mm screw, steel</v>
      </c>
      <c r="K125" t="str">
        <f>IF(VLOOKUP($G125,'Materials by UPN'!$G$3:$R$112,3)="","",VLOOKUP($G125,'Materials by UPN'!$G$3:$R$112,3))</f>
        <v/>
      </c>
      <c r="L125" t="str">
        <f>IF(VLOOKUP($G125,'Materials by UPN'!$G$3:$R$112,4)="","",VLOOKUP($G125,'Materials by UPN'!$G$3:$R$112,4))</f>
        <v/>
      </c>
      <c r="M125" t="str">
        <f>IF(VLOOKUP($G125,'Materials by UPN'!$G$3:$R$112,5)="","",VLOOKUP($G125,'Materials by UPN'!$G$3:$R$112,5))</f>
        <v/>
      </c>
      <c r="N125" t="str">
        <f>VLOOKUP($G125,'Materials by UPN'!$G$3:$R$112,6)</f>
        <v>Amazon</v>
      </c>
      <c r="O125" t="str">
        <f>IF(VLOOKUP($G125,'Materials by UPN'!$G$3:$R$112,7)="","",VLOOKUP($G125,'Materials by UPN'!$G$3:$R$112,7))</f>
        <v>https://www.amazon.com/gp/product/B01M5DVI7A</v>
      </c>
      <c r="P125" s="4">
        <f>VLOOKUP($G125,'Materials by UPN'!$G$3:$R$112,11)</f>
        <v>8.9666666666666658E-2</v>
      </c>
      <c r="Q125" s="4">
        <f t="shared" si="6"/>
        <v>0</v>
      </c>
      <c r="R125" s="25"/>
    </row>
    <row r="126" spans="1:19" x14ac:dyDescent="0.35">
      <c r="F126" s="2">
        <v>0</v>
      </c>
      <c r="G126" s="2">
        <v>321</v>
      </c>
      <c r="I126" s="2" t="s">
        <v>276</v>
      </c>
      <c r="J126" t="str">
        <f>VLOOKUP($G126,'Materials by UPN'!$G$3:$R$112,2)</f>
        <v>M2 Phillips Round Pan Head Machine Screws (M2 x 4mm), Stainless Steel</v>
      </c>
      <c r="K126" t="str">
        <f>IF(VLOOKUP($G126,'Materials by UPN'!$G$3:$R$112,3)="","",VLOOKUP($G126,'Materials by UPN'!$G$3:$R$112,3))</f>
        <v/>
      </c>
      <c r="L126" t="str">
        <f>IF(VLOOKUP($G126,'Materials by UPN'!$G$3:$R$112,4)="","",VLOOKUP($G126,'Materials by UPN'!$G$3:$R$112,4))</f>
        <v/>
      </c>
      <c r="M126" t="str">
        <f>IF(VLOOKUP($G126,'Materials by UPN'!$G$3:$R$112,5)="","",VLOOKUP($G126,'Materials by UPN'!$G$3:$R$112,5))</f>
        <v/>
      </c>
      <c r="N126" t="str">
        <f>VLOOKUP($G126,'Materials by UPN'!$G$3:$R$112,6)</f>
        <v>Amazon</v>
      </c>
      <c r="O126" t="str">
        <f>IF(VLOOKUP($G126,'Materials by UPN'!$G$3:$R$112,7)="","",VLOOKUP($G126,'Materials by UPN'!$G$3:$R$112,7))</f>
        <v>https://www.amazon.com/gp/product/B07HFYZ9YM</v>
      </c>
      <c r="P126" s="4">
        <f>VLOOKUP($G126,'Materials by UPN'!$G$3:$R$112,11)</f>
        <v>8.6099999999999996E-2</v>
      </c>
      <c r="Q126" s="4">
        <f t="shared" si="6"/>
        <v>0</v>
      </c>
      <c r="R126" s="25"/>
    </row>
    <row r="127" spans="1:19" x14ac:dyDescent="0.35">
      <c r="F127" s="2">
        <v>4</v>
      </c>
      <c r="G127" s="2">
        <v>357</v>
      </c>
      <c r="I127" s="2" t="s">
        <v>276</v>
      </c>
      <c r="J127" t="str">
        <f>VLOOKUP($G127,'Materials by UPN'!$G$3:$R$112,2)</f>
        <v>M3 Threaded Spacer, hex, nylon, black, 20mm + 6mm, female-male</v>
      </c>
      <c r="K127" t="str">
        <f>IF(VLOOKUP($G127,'Materials by UPN'!$G$3:$R$112,3)="","",VLOOKUP($G127,'Materials by UPN'!$G$3:$R$112,3))</f>
        <v/>
      </c>
      <c r="L127" t="str">
        <f>IF(VLOOKUP($G127,'Materials by UPN'!$G$3:$R$112,4)="","",VLOOKUP($G127,'Materials by UPN'!$G$3:$R$112,4))</f>
        <v/>
      </c>
      <c r="M127" t="str">
        <f>IF(VLOOKUP($G127,'Materials by UPN'!$G$3:$R$112,5)="","",VLOOKUP($G127,'Materials by UPN'!$G$3:$R$112,5))</f>
        <v/>
      </c>
      <c r="N127" t="str">
        <f>VLOOKUP($G127,'Materials by UPN'!$G$3:$R$112,6)</f>
        <v>Amazon</v>
      </c>
      <c r="O127" t="str">
        <f>IF(VLOOKUP($G127,'Materials by UPN'!$G$3:$R$112,7)="","",VLOOKUP($G127,'Materials by UPN'!$G$3:$R$112,7))</f>
        <v>https://www.aliexpress.us/item/3256804121267045.html</v>
      </c>
      <c r="P127" s="4">
        <f>VLOOKUP($G127,'Materials by UPN'!$G$3:$R$112,11)</f>
        <v>8.2848500000000005E-2</v>
      </c>
      <c r="Q127" s="4">
        <f t="shared" si="6"/>
        <v>0.33139400000000002</v>
      </c>
      <c r="R127" s="25"/>
    </row>
    <row r="128" spans="1:19" x14ac:dyDescent="0.35">
      <c r="F128" s="2">
        <v>4</v>
      </c>
      <c r="G128" s="2">
        <v>355</v>
      </c>
      <c r="I128" s="2" t="s">
        <v>276</v>
      </c>
      <c r="J128" t="str">
        <f>VLOOKUP($G128,'Materials by UPN'!$G$3:$R$112,2)</f>
        <v>M3 nut</v>
      </c>
      <c r="K128" t="str">
        <f>IF(VLOOKUP($G128,'Materials by UPN'!$G$3:$R$112,3)="","",VLOOKUP($G128,'Materials by UPN'!$G$3:$R$112,3))</f>
        <v/>
      </c>
      <c r="L128" t="str">
        <f>IF(VLOOKUP($G128,'Materials by UPN'!$G$3:$R$112,4)="","",VLOOKUP($G128,'Materials by UPN'!$G$3:$R$112,4))</f>
        <v/>
      </c>
      <c r="M128" t="str">
        <f>IF(VLOOKUP($G128,'Materials by UPN'!$G$3:$R$112,5)="","",VLOOKUP($G128,'Materials by UPN'!$G$3:$R$112,5))</f>
        <v/>
      </c>
      <c r="N128" t="str">
        <f>VLOOKUP($G128,'Materials by UPN'!$G$3:$R$112,6)</f>
        <v>AliExpress</v>
      </c>
      <c r="O128" t="str">
        <f>IF(VLOOKUP($G128,'Materials by UPN'!$G$3:$R$112,7)="","",VLOOKUP($G128,'Materials by UPN'!$G$3:$R$112,7))</f>
        <v>https://www.aliexpress.us/item/2255800416538696.html</v>
      </c>
      <c r="P128" s="4">
        <f>VLOOKUP($G128,'Materials by UPN'!$G$3:$R$112,11)</f>
        <v>2.7069090909090907E-2</v>
      </c>
      <c r="Q128" s="4">
        <f t="shared" si="6"/>
        <v>0.10827636363636363</v>
      </c>
      <c r="R128" s="25"/>
    </row>
    <row r="129" spans="1:19" x14ac:dyDescent="0.35">
      <c r="F129" s="2">
        <v>4</v>
      </c>
      <c r="G129" s="2">
        <v>332</v>
      </c>
      <c r="I129" s="2" t="s">
        <v>276</v>
      </c>
      <c r="J129" t="str">
        <f>VLOOKUP($G129,'Materials by UPN'!$G$3:$R$112,2)</f>
        <v>M3 split lockwasher</v>
      </c>
      <c r="K129" t="str">
        <f>IF(VLOOKUP($G129,'Materials by UPN'!$G$3:$R$112,3)="","",VLOOKUP($G129,'Materials by UPN'!$G$3:$R$112,3))</f>
        <v/>
      </c>
      <c r="L129" t="str">
        <f>IF(VLOOKUP($G129,'Materials by UPN'!$G$3:$R$112,4)="","",VLOOKUP($G129,'Materials by UPN'!$G$3:$R$112,4))</f>
        <v/>
      </c>
      <c r="M129" t="str">
        <f>IF(VLOOKUP($G129,'Materials by UPN'!$G$3:$R$112,5)="","",VLOOKUP($G129,'Materials by UPN'!$G$3:$R$112,5))</f>
        <v/>
      </c>
      <c r="N129" t="str">
        <f>VLOOKUP($G129,'Materials by UPN'!$G$3:$R$112,6)</f>
        <v>Amazon</v>
      </c>
      <c r="O129" t="str">
        <f>IF(VLOOKUP($G129,'Materials by UPN'!$G$3:$R$112,7)="","",VLOOKUP($G129,'Materials by UPN'!$G$3:$R$112,7))</f>
        <v>https://www.amazon.com/gp/product/B07Z2FJ2XW</v>
      </c>
      <c r="P129" s="4">
        <f>VLOOKUP($G129,'Materials by UPN'!$G$3:$R$112,11)</f>
        <v>2.1528450000000001E-2</v>
      </c>
      <c r="Q129" s="4">
        <f t="shared" si="6"/>
        <v>8.6113800000000004E-2</v>
      </c>
      <c r="R129" s="25"/>
    </row>
    <row r="130" spans="1:19" x14ac:dyDescent="0.35">
      <c r="F130" s="2">
        <v>1</v>
      </c>
      <c r="G130" s="2">
        <v>364</v>
      </c>
      <c r="I130" s="2" t="s">
        <v>307</v>
      </c>
      <c r="J130" t="str">
        <f>VLOOKUP($G130,'Materials by UPN'!$G$3:$R$112,2)</f>
        <v>3" x 5" Small Plastic Bags- Reclosable Zip Bags</v>
      </c>
      <c r="K130" t="str">
        <f>IF(VLOOKUP($G130,'Materials by UPN'!$G$3:$R$112,3)="","",VLOOKUP($G130,'Materials by UPN'!$G$3:$R$112,3))</f>
        <v/>
      </c>
      <c r="L130" t="str">
        <f>IF(VLOOKUP($G130,'Materials by UPN'!$G$3:$R$112,4)="","",VLOOKUP($G130,'Materials by UPN'!$G$3:$R$112,4))</f>
        <v/>
      </c>
      <c r="M130" t="str">
        <f>IF(VLOOKUP($G130,'Materials by UPN'!$G$3:$R$112,5)="","",VLOOKUP($G130,'Materials by UPN'!$G$3:$R$112,5))</f>
        <v/>
      </c>
      <c r="N130" t="str">
        <f>VLOOKUP($G130,'Materials by UPN'!$G$3:$R$112,6)</f>
        <v>Amazon</v>
      </c>
      <c r="O130" t="str">
        <f>IF(VLOOKUP($G130,'Materials by UPN'!$G$3:$R$112,7)="","",VLOOKUP($G130,'Materials by UPN'!$G$3:$R$112,7))</f>
        <v>https://www.amazon.com/gp/product/B07XBF98NV</v>
      </c>
      <c r="P130" s="4">
        <f>VLOOKUP($G130,'Materials by UPN'!$G$3:$R$112,11)</f>
        <v>1.9379999999999998E-2</v>
      </c>
      <c r="Q130" s="4">
        <f t="shared" si="6"/>
        <v>1.9379999999999998E-2</v>
      </c>
      <c r="R130" s="25"/>
    </row>
    <row r="131" spans="1:19" x14ac:dyDescent="0.35">
      <c r="R131" s="25"/>
    </row>
    <row r="132" spans="1:19" s="41" customFormat="1" ht="18.5" x14ac:dyDescent="0.45">
      <c r="A132" s="30" t="s">
        <v>201</v>
      </c>
      <c r="B132" s="30" t="s">
        <v>245</v>
      </c>
      <c r="C132" s="30"/>
      <c r="D132" s="30"/>
      <c r="E132" s="30"/>
      <c r="F132" s="35"/>
      <c r="G132" s="35"/>
      <c r="H132" s="36"/>
      <c r="I132" s="35"/>
      <c r="J132" s="30"/>
      <c r="K132" s="30"/>
      <c r="L132" s="30"/>
      <c r="M132" s="30"/>
      <c r="N132" s="30"/>
      <c r="O132" s="30"/>
      <c r="P132" s="42"/>
      <c r="Q132" s="30"/>
      <c r="R132" s="43">
        <f>SUM(Q132:Q134)</f>
        <v>28.55</v>
      </c>
      <c r="S132" s="40">
        <f>CEILING(R132,1)</f>
        <v>29</v>
      </c>
    </row>
    <row r="133" spans="1:19" x14ac:dyDescent="0.35">
      <c r="F133" s="2">
        <v>1</v>
      </c>
      <c r="G133" s="2">
        <v>356</v>
      </c>
      <c r="J133" t="str">
        <f>VLOOKUP($G133,'Materials by UPN'!$G$3:$R$112,2)</f>
        <v>Rack Mount Tray, 19-Inch 1U Server, Vented Shelves</v>
      </c>
      <c r="K133" t="str">
        <f>IF(VLOOKUP($G133,'Materials by UPN'!$G$3:$R$112,3)="","",VLOOKUP($G133,'Materials by UPN'!$G$3:$R$112,3))</f>
        <v/>
      </c>
      <c r="L133" t="str">
        <f>IF(VLOOKUP($G133,'Materials by UPN'!$G$3:$R$112,4)="","",VLOOKUP($G133,'Materials by UPN'!$G$3:$R$112,4))</f>
        <v/>
      </c>
      <c r="M133" t="str">
        <f>IF(VLOOKUP($G133,'Materials by UPN'!$G$3:$R$112,5)="","",VLOOKUP($G133,'Materials by UPN'!$G$3:$R$112,5))</f>
        <v/>
      </c>
      <c r="N133" t="str">
        <f>VLOOKUP($G133,'Materials by UPN'!$G$3:$R$112,6)</f>
        <v>Amazon</v>
      </c>
      <c r="O133" t="str">
        <f>IF(VLOOKUP($G133,'Materials by UPN'!$G$3:$R$112,7)="","",VLOOKUP($G133,'Materials by UPN'!$G$3:$R$112,7))</f>
        <v>https://www.amazon.com/gp/product/B01HTG4WHY</v>
      </c>
      <c r="P133" s="4">
        <f>VLOOKUP($G133,'Materials by UPN'!$G$3:$R$112,11)</f>
        <v>28.55</v>
      </c>
      <c r="Q133" s="4">
        <f>F133*P133</f>
        <v>28.55</v>
      </c>
      <c r="R133" s="25"/>
    </row>
  </sheetData>
  <pageMargins left="0.25" right="0.25" top="0.25" bottom="0.25" header="0.3" footer="0.3"/>
  <pageSetup scale="37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B5A5-66CB-4BBB-A48D-EF1504671D7B}">
  <dimension ref="A1:T112"/>
  <sheetViews>
    <sheetView workbookViewId="0">
      <pane ySplit="1450" activePane="bottomLeft"/>
      <selection activeCell="T1" sqref="T1:AA1048576"/>
      <selection pane="bottomLeft" activeCell="A2" sqref="A2"/>
    </sheetView>
  </sheetViews>
  <sheetFormatPr defaultRowHeight="14.5" x14ac:dyDescent="0.35"/>
  <cols>
    <col min="1" max="4" width="4.54296875" style="1" customWidth="1"/>
    <col min="5" max="5" width="2.54296875" style="1" customWidth="1"/>
    <col min="6" max="6" width="5.54296875" style="2" customWidth="1"/>
    <col min="7" max="7" width="8.26953125" style="2" customWidth="1"/>
    <col min="8" max="8" width="62.54296875" customWidth="1"/>
    <col min="9" max="9" width="4.54296875" customWidth="1"/>
    <col min="10" max="10" width="19.1796875" customWidth="1"/>
    <col min="11" max="11" width="27.453125" bestFit="1" customWidth="1"/>
    <col min="12" max="12" width="15.54296875" customWidth="1"/>
    <col min="13" max="13" width="49.453125" bestFit="1" customWidth="1"/>
    <col min="14" max="14" width="8.81640625" style="7" customWidth="1"/>
    <col min="15" max="15" width="9.81640625" style="7" customWidth="1"/>
    <col min="16" max="16" width="11.1796875" style="2" customWidth="1"/>
    <col min="17" max="17" width="10.453125" style="4" customWidth="1"/>
    <col min="18" max="18" width="11" customWidth="1"/>
  </cols>
  <sheetData>
    <row r="1" spans="6:20" x14ac:dyDescent="0.35">
      <c r="S1">
        <f>SUM(S3:S62)</f>
        <v>0</v>
      </c>
    </row>
    <row r="2" spans="6:20" s="1" customFormat="1" ht="43.5" x14ac:dyDescent="0.35">
      <c r="F2" s="3" t="s">
        <v>0</v>
      </c>
      <c r="G2" s="3" t="s">
        <v>76</v>
      </c>
      <c r="H2" s="1" t="s">
        <v>1</v>
      </c>
      <c r="I2" s="1" t="s">
        <v>12</v>
      </c>
      <c r="J2" s="1" t="s">
        <v>7</v>
      </c>
      <c r="K2" s="1" t="s">
        <v>3</v>
      </c>
      <c r="L2" s="1" t="s">
        <v>2</v>
      </c>
      <c r="M2" s="1" t="s">
        <v>29</v>
      </c>
      <c r="N2" s="6" t="s">
        <v>71</v>
      </c>
      <c r="O2" s="6" t="s">
        <v>28</v>
      </c>
      <c r="P2" s="5" t="s">
        <v>42</v>
      </c>
      <c r="Q2" s="9" t="s">
        <v>4</v>
      </c>
      <c r="R2" s="3" t="s">
        <v>5</v>
      </c>
      <c r="S2" s="12"/>
    </row>
    <row r="3" spans="6:20" x14ac:dyDescent="0.35">
      <c r="F3" s="2">
        <v>1</v>
      </c>
      <c r="G3" s="2">
        <v>100</v>
      </c>
      <c r="H3" t="s">
        <v>24</v>
      </c>
      <c r="I3" t="s">
        <v>23</v>
      </c>
      <c r="L3" t="s">
        <v>14</v>
      </c>
      <c r="M3" t="s">
        <v>267</v>
      </c>
      <c r="N3" s="7">
        <f>132.71+31.05+29.94+77.5+20</f>
        <v>291.20000000000005</v>
      </c>
      <c r="O3" s="7">
        <f>(47.56/2)+(((47.56/2)+N3)*0.0775)</f>
        <v>48.190950000000001</v>
      </c>
      <c r="P3" s="2">
        <v>10</v>
      </c>
      <c r="Q3" s="4">
        <f t="shared" ref="Q3:Q14" si="0">(N3+O3)/P3</f>
        <v>33.939095000000002</v>
      </c>
      <c r="R3" s="4">
        <f t="shared" ref="R3:R16" si="1">F3*Q3</f>
        <v>33.939095000000002</v>
      </c>
      <c r="S3" s="11"/>
      <c r="T3" s="26">
        <f>N3+N4+O3+O4</f>
        <v>414.09402500000004</v>
      </c>
    </row>
    <row r="4" spans="6:20" x14ac:dyDescent="0.35">
      <c r="F4" s="2">
        <v>1</v>
      </c>
      <c r="G4" s="2">
        <v>101</v>
      </c>
      <c r="H4" t="s">
        <v>22</v>
      </c>
      <c r="I4" t="s">
        <v>128</v>
      </c>
      <c r="L4" t="s">
        <v>14</v>
      </c>
      <c r="M4" t="s">
        <v>267</v>
      </c>
      <c r="N4" s="7">
        <f>14.5+31.05</f>
        <v>45.55</v>
      </c>
      <c r="O4" s="7">
        <f>(47.56/2)+(((47.56/2)+N4)*0.0775)</f>
        <v>29.153075000000001</v>
      </c>
      <c r="P4" s="2">
        <v>10</v>
      </c>
      <c r="Q4" s="4">
        <f t="shared" si="0"/>
        <v>7.4703074999999997</v>
      </c>
      <c r="R4" s="4">
        <f t="shared" si="1"/>
        <v>7.4703074999999997</v>
      </c>
      <c r="S4" s="11"/>
    </row>
    <row r="5" spans="6:20" x14ac:dyDescent="0.35">
      <c r="F5" s="2">
        <v>1</v>
      </c>
      <c r="G5" s="2">
        <v>102</v>
      </c>
      <c r="H5" t="s">
        <v>26</v>
      </c>
      <c r="I5" t="s">
        <v>23</v>
      </c>
      <c r="L5" t="s">
        <v>14</v>
      </c>
      <c r="M5" t="s">
        <v>267</v>
      </c>
      <c r="N5" s="7">
        <f>6.4+18.2</f>
        <v>24.6</v>
      </c>
      <c r="O5" s="7">
        <f>13.81+2.98</f>
        <v>16.79</v>
      </c>
      <c r="P5" s="2">
        <v>30</v>
      </c>
      <c r="Q5" s="4">
        <f t="shared" si="0"/>
        <v>1.3796666666666666</v>
      </c>
      <c r="R5" s="4">
        <f t="shared" si="1"/>
        <v>1.3796666666666666</v>
      </c>
      <c r="S5" s="11"/>
    </row>
    <row r="6" spans="6:20" x14ac:dyDescent="0.35">
      <c r="F6" s="2">
        <v>1</v>
      </c>
      <c r="G6" s="2">
        <v>103</v>
      </c>
      <c r="H6" t="s">
        <v>194</v>
      </c>
      <c r="I6" t="s">
        <v>19</v>
      </c>
      <c r="L6" t="s">
        <v>14</v>
      </c>
      <c r="M6" t="s">
        <v>267</v>
      </c>
      <c r="N6" s="7">
        <v>13.5</v>
      </c>
      <c r="O6" s="7">
        <f>15.58+2.25</f>
        <v>17.829999999999998</v>
      </c>
      <c r="P6" s="2">
        <v>10</v>
      </c>
      <c r="Q6" s="4">
        <f t="shared" si="0"/>
        <v>3.133</v>
      </c>
      <c r="R6" s="4">
        <f t="shared" si="1"/>
        <v>3.133</v>
      </c>
      <c r="S6" s="11"/>
    </row>
    <row r="7" spans="6:20" x14ac:dyDescent="0.35">
      <c r="F7" s="2">
        <v>1</v>
      </c>
      <c r="G7" s="2">
        <v>104</v>
      </c>
      <c r="H7" t="s">
        <v>171</v>
      </c>
      <c r="I7" t="s">
        <v>21</v>
      </c>
      <c r="L7" t="s">
        <v>14</v>
      </c>
      <c r="M7" t="s">
        <v>349</v>
      </c>
      <c r="N7" s="7">
        <v>53.81</v>
      </c>
      <c r="O7" s="7">
        <v>30.08</v>
      </c>
      <c r="P7" s="2">
        <v>10</v>
      </c>
      <c r="Q7" s="4">
        <f t="shared" si="0"/>
        <v>8.3889999999999993</v>
      </c>
      <c r="R7" s="4">
        <f t="shared" si="1"/>
        <v>8.3889999999999993</v>
      </c>
      <c r="S7" s="11"/>
    </row>
    <row r="8" spans="6:20" x14ac:dyDescent="0.35">
      <c r="F8" s="2">
        <v>1</v>
      </c>
      <c r="G8" s="2">
        <v>105</v>
      </c>
      <c r="H8" t="s">
        <v>269</v>
      </c>
      <c r="I8" t="s">
        <v>129</v>
      </c>
      <c r="L8" t="s">
        <v>14</v>
      </c>
      <c r="M8" t="s">
        <v>266</v>
      </c>
      <c r="N8" s="7">
        <v>35.6</v>
      </c>
      <c r="O8" s="7">
        <v>21.16</v>
      </c>
      <c r="P8" s="2">
        <v>10</v>
      </c>
      <c r="Q8" s="4">
        <f t="shared" si="0"/>
        <v>5.6760000000000002</v>
      </c>
      <c r="R8" s="4">
        <f t="shared" si="1"/>
        <v>5.6760000000000002</v>
      </c>
      <c r="S8" s="11"/>
    </row>
    <row r="9" spans="6:20" x14ac:dyDescent="0.35">
      <c r="F9" s="2">
        <v>0</v>
      </c>
      <c r="G9" s="2">
        <v>106</v>
      </c>
      <c r="H9" t="s">
        <v>270</v>
      </c>
      <c r="I9" t="s">
        <v>23</v>
      </c>
      <c r="L9" t="s">
        <v>14</v>
      </c>
      <c r="M9" t="s">
        <v>266</v>
      </c>
      <c r="N9" s="7">
        <v>35.6</v>
      </c>
      <c r="O9" s="7">
        <v>21.16</v>
      </c>
      <c r="P9" s="2">
        <v>10</v>
      </c>
      <c r="Q9" s="4">
        <f t="shared" si="0"/>
        <v>5.6760000000000002</v>
      </c>
      <c r="R9" s="4">
        <f t="shared" si="1"/>
        <v>0</v>
      </c>
      <c r="S9" s="11"/>
    </row>
    <row r="10" spans="6:20" x14ac:dyDescent="0.35">
      <c r="F10" s="2">
        <v>0</v>
      </c>
      <c r="G10" s="2">
        <v>107</v>
      </c>
      <c r="H10" t="s">
        <v>185</v>
      </c>
      <c r="I10" t="s">
        <v>23</v>
      </c>
      <c r="L10" t="s">
        <v>14</v>
      </c>
      <c r="M10" s="57" t="s">
        <v>268</v>
      </c>
      <c r="N10" s="7">
        <v>6.4</v>
      </c>
      <c r="O10" s="7">
        <v>13.3</v>
      </c>
      <c r="P10" s="2">
        <v>10</v>
      </c>
      <c r="Q10" s="4">
        <f t="shared" si="0"/>
        <v>1.9700000000000002</v>
      </c>
      <c r="R10" s="4">
        <f t="shared" si="1"/>
        <v>0</v>
      </c>
      <c r="S10" s="11"/>
    </row>
    <row r="11" spans="6:20" x14ac:dyDescent="0.35">
      <c r="F11" s="2">
        <v>1</v>
      </c>
      <c r="G11" s="2">
        <v>200</v>
      </c>
      <c r="H11" t="s">
        <v>340</v>
      </c>
      <c r="I11" t="s">
        <v>13</v>
      </c>
      <c r="K11" t="s">
        <v>260</v>
      </c>
      <c r="L11" t="s">
        <v>14</v>
      </c>
      <c r="M11" t="s">
        <v>259</v>
      </c>
      <c r="N11" s="7">
        <v>9.8699999999999992</v>
      </c>
      <c r="O11" s="7">
        <f>21.29/3</f>
        <v>7.0966666666666667</v>
      </c>
      <c r="P11" s="2">
        <v>10</v>
      </c>
      <c r="Q11" s="4">
        <f t="shared" si="0"/>
        <v>1.6966666666666665</v>
      </c>
      <c r="R11" s="4">
        <f t="shared" si="1"/>
        <v>1.6966666666666665</v>
      </c>
      <c r="S11" s="11"/>
    </row>
    <row r="12" spans="6:20" x14ac:dyDescent="0.35">
      <c r="F12" s="2">
        <v>1</v>
      </c>
      <c r="G12" s="2">
        <v>201</v>
      </c>
      <c r="H12" t="s">
        <v>54</v>
      </c>
      <c r="I12" t="s">
        <v>132</v>
      </c>
      <c r="K12" t="s">
        <v>322</v>
      </c>
      <c r="L12" t="s">
        <v>14</v>
      </c>
      <c r="M12" t="s">
        <v>323</v>
      </c>
      <c r="N12" s="7">
        <v>30.54</v>
      </c>
      <c r="O12" s="7">
        <v>19.38</v>
      </c>
      <c r="P12" s="2">
        <v>10</v>
      </c>
      <c r="Q12" s="4">
        <f t="shared" si="0"/>
        <v>4.992</v>
      </c>
      <c r="R12" s="4">
        <f>F12*Q12</f>
        <v>4.992</v>
      </c>
      <c r="S12" s="11"/>
    </row>
    <row r="13" spans="6:20" x14ac:dyDescent="0.35">
      <c r="F13" s="2">
        <v>1</v>
      </c>
      <c r="G13" s="2">
        <v>202</v>
      </c>
      <c r="H13" t="s">
        <v>324</v>
      </c>
      <c r="I13" t="s">
        <v>132</v>
      </c>
      <c r="K13" t="s">
        <v>261</v>
      </c>
      <c r="L13" t="s">
        <v>14</v>
      </c>
      <c r="M13" t="s">
        <v>259</v>
      </c>
      <c r="N13" s="7">
        <v>3.6</v>
      </c>
      <c r="O13" s="7">
        <f>21.29/3</f>
        <v>7.0966666666666667</v>
      </c>
      <c r="P13" s="2">
        <v>10</v>
      </c>
      <c r="Q13" s="4">
        <f t="shared" si="0"/>
        <v>1.0696666666666668</v>
      </c>
      <c r="R13" s="4">
        <f t="shared" si="1"/>
        <v>1.0696666666666668</v>
      </c>
      <c r="S13" s="11"/>
    </row>
    <row r="14" spans="6:20" x14ac:dyDescent="0.35">
      <c r="F14" s="2">
        <v>0</v>
      </c>
      <c r="G14" s="2">
        <v>203</v>
      </c>
      <c r="H14" t="s">
        <v>130</v>
      </c>
      <c r="I14" t="s">
        <v>131</v>
      </c>
      <c r="K14" t="s">
        <v>263</v>
      </c>
      <c r="L14" t="s">
        <v>14</v>
      </c>
      <c r="M14" t="s">
        <v>263</v>
      </c>
      <c r="N14" s="7">
        <v>0</v>
      </c>
      <c r="P14" s="2">
        <v>10</v>
      </c>
      <c r="Q14" s="4">
        <f t="shared" si="0"/>
        <v>0</v>
      </c>
      <c r="R14" s="4">
        <f>F14*Q14</f>
        <v>0</v>
      </c>
      <c r="S14" s="11"/>
    </row>
    <row r="15" spans="6:20" x14ac:dyDescent="0.35">
      <c r="F15" s="2">
        <v>1</v>
      </c>
      <c r="G15" s="2">
        <v>204</v>
      </c>
      <c r="H15" t="s">
        <v>53</v>
      </c>
      <c r="I15" t="s">
        <v>318</v>
      </c>
      <c r="K15" t="s">
        <v>319</v>
      </c>
      <c r="L15" t="s">
        <v>14</v>
      </c>
      <c r="M15" t="s">
        <v>320</v>
      </c>
      <c r="N15" s="7">
        <v>10</v>
      </c>
      <c r="O15" s="7">
        <f>(1/1.3)*13.81</f>
        <v>10.623076923076923</v>
      </c>
      <c r="P15" s="2">
        <v>10</v>
      </c>
      <c r="Q15" s="4">
        <f>(N15+O15)/P15</f>
        <v>2.0623076923076922</v>
      </c>
      <c r="R15" s="4">
        <f>F15*Q15</f>
        <v>2.0623076923076922</v>
      </c>
      <c r="S15" s="11"/>
    </row>
    <row r="16" spans="6:20" x14ac:dyDescent="0.35">
      <c r="F16" s="2">
        <v>1</v>
      </c>
      <c r="G16" s="2">
        <v>205</v>
      </c>
      <c r="H16" t="s">
        <v>90</v>
      </c>
      <c r="I16" t="s">
        <v>13</v>
      </c>
      <c r="K16" t="s">
        <v>262</v>
      </c>
      <c r="L16" t="s">
        <v>14</v>
      </c>
      <c r="M16" t="s">
        <v>259</v>
      </c>
      <c r="N16" s="7">
        <v>3</v>
      </c>
      <c r="O16" s="7">
        <f>(0.3/1.3)*13.81</f>
        <v>3.186923076923077</v>
      </c>
      <c r="P16" s="2">
        <v>10</v>
      </c>
      <c r="Q16" s="4">
        <f>(N16+O16)/P16</f>
        <v>0.61869230769230765</v>
      </c>
      <c r="R16" s="4">
        <f t="shared" si="1"/>
        <v>0.61869230769230765</v>
      </c>
      <c r="S16" s="11"/>
    </row>
    <row r="17" spans="6:19" x14ac:dyDescent="0.35">
      <c r="F17" s="2">
        <v>0</v>
      </c>
      <c r="G17" s="2">
        <v>206</v>
      </c>
      <c r="H17" t="s">
        <v>246</v>
      </c>
      <c r="I17" t="s">
        <v>23</v>
      </c>
      <c r="L17" t="s">
        <v>247</v>
      </c>
      <c r="N17" s="7">
        <v>5</v>
      </c>
      <c r="O17" s="7">
        <v>0</v>
      </c>
      <c r="P17" s="2">
        <v>300</v>
      </c>
      <c r="Q17" s="4">
        <f>(N17+O17)/P17</f>
        <v>1.6666666666666666E-2</v>
      </c>
      <c r="R17" s="4">
        <f>F17*Q17</f>
        <v>0</v>
      </c>
      <c r="S17" s="11"/>
    </row>
    <row r="18" spans="6:19" x14ac:dyDescent="0.35">
      <c r="F18" s="2">
        <v>1</v>
      </c>
      <c r="G18" s="2">
        <v>207</v>
      </c>
      <c r="H18" t="s">
        <v>341</v>
      </c>
      <c r="I18" t="s">
        <v>13</v>
      </c>
      <c r="K18" t="s">
        <v>356</v>
      </c>
      <c r="L18" t="s">
        <v>14</v>
      </c>
      <c r="M18" t="s">
        <v>357</v>
      </c>
      <c r="N18" s="7">
        <v>3.6</v>
      </c>
      <c r="O18" s="7">
        <v>1.5</v>
      </c>
      <c r="P18" s="2">
        <v>12</v>
      </c>
      <c r="Q18" s="4">
        <f>(N18+O18)/P18</f>
        <v>0.42499999999999999</v>
      </c>
      <c r="R18" s="4">
        <f>F18*Q18</f>
        <v>0.42499999999999999</v>
      </c>
      <c r="S18" s="11"/>
    </row>
    <row r="19" spans="6:19" x14ac:dyDescent="0.35">
      <c r="F19" s="2">
        <v>6</v>
      </c>
      <c r="G19" s="2">
        <v>300</v>
      </c>
      <c r="H19" t="s">
        <v>264</v>
      </c>
      <c r="L19" t="s">
        <v>27</v>
      </c>
      <c r="M19" s="8" t="s">
        <v>265</v>
      </c>
      <c r="N19" s="7">
        <f>3.7*3</f>
        <v>11.100000000000001</v>
      </c>
      <c r="P19" s="2">
        <v>300</v>
      </c>
      <c r="Q19" s="4">
        <f t="shared" ref="Q19:Q51" si="2">(N19+O19)/P19</f>
        <v>3.7000000000000005E-2</v>
      </c>
      <c r="R19" s="4">
        <f t="shared" ref="R19:R51" si="3">F19*Q19</f>
        <v>0.22200000000000003</v>
      </c>
      <c r="S19" s="11"/>
    </row>
    <row r="20" spans="6:19" x14ac:dyDescent="0.35">
      <c r="F20" s="2">
        <v>0</v>
      </c>
      <c r="G20" s="2">
        <v>301</v>
      </c>
      <c r="H20" t="s">
        <v>86</v>
      </c>
      <c r="L20" t="s">
        <v>27</v>
      </c>
      <c r="M20" s="8" t="s">
        <v>33</v>
      </c>
      <c r="N20" s="7">
        <v>4.07</v>
      </c>
      <c r="P20" s="2">
        <v>50</v>
      </c>
      <c r="Q20" s="4">
        <f t="shared" si="2"/>
        <v>8.14E-2</v>
      </c>
      <c r="R20" s="4">
        <f t="shared" si="3"/>
        <v>0</v>
      </c>
      <c r="S20" s="11"/>
    </row>
    <row r="21" spans="6:19" x14ac:dyDescent="0.35">
      <c r="F21" s="2">
        <v>0</v>
      </c>
      <c r="G21" s="2">
        <v>302</v>
      </c>
      <c r="H21" t="s">
        <v>18</v>
      </c>
      <c r="L21" t="s">
        <v>6</v>
      </c>
      <c r="M21" s="8" t="s">
        <v>41</v>
      </c>
      <c r="N21" s="7">
        <v>7.86</v>
      </c>
      <c r="O21" s="7">
        <f>N21*0.0775</f>
        <v>0.60914999999999997</v>
      </c>
      <c r="P21" s="2">
        <v>100</v>
      </c>
      <c r="Q21" s="4">
        <f t="shared" si="2"/>
        <v>8.4691500000000003E-2</v>
      </c>
      <c r="R21" s="4">
        <f t="shared" si="3"/>
        <v>0</v>
      </c>
      <c r="S21" s="11"/>
    </row>
    <row r="22" spans="6:19" x14ac:dyDescent="0.35">
      <c r="F22" s="2">
        <v>1</v>
      </c>
      <c r="G22" s="2">
        <v>303</v>
      </c>
      <c r="H22" t="s">
        <v>63</v>
      </c>
      <c r="K22" t="s">
        <v>58</v>
      </c>
      <c r="L22" t="s">
        <v>35</v>
      </c>
      <c r="M22" s="8" t="s">
        <v>59</v>
      </c>
      <c r="N22" s="7">
        <v>18.239999999999998</v>
      </c>
      <c r="O22" s="7">
        <f>1.41+1</f>
        <v>2.41</v>
      </c>
      <c r="P22" s="2">
        <v>10</v>
      </c>
      <c r="Q22" s="4">
        <f t="shared" si="2"/>
        <v>2.0649999999999999</v>
      </c>
      <c r="R22" s="4">
        <f t="shared" si="3"/>
        <v>2.0649999999999999</v>
      </c>
      <c r="S22" s="11"/>
    </row>
    <row r="23" spans="6:19" x14ac:dyDescent="0.35">
      <c r="F23" s="2">
        <v>1</v>
      </c>
      <c r="G23" s="2">
        <v>304</v>
      </c>
      <c r="H23" t="s">
        <v>62</v>
      </c>
      <c r="K23" t="s">
        <v>60</v>
      </c>
      <c r="L23" t="s">
        <v>35</v>
      </c>
      <c r="M23" s="8" t="s">
        <v>61</v>
      </c>
      <c r="N23" s="7">
        <v>11.66</v>
      </c>
      <c r="O23" s="7">
        <f>0.9+1</f>
        <v>1.9</v>
      </c>
      <c r="P23" s="2">
        <v>10</v>
      </c>
      <c r="Q23" s="4">
        <f t="shared" si="2"/>
        <v>1.3560000000000001</v>
      </c>
      <c r="R23" s="4">
        <f t="shared" si="3"/>
        <v>1.3560000000000001</v>
      </c>
      <c r="S23" s="11"/>
    </row>
    <row r="24" spans="6:19" x14ac:dyDescent="0.35">
      <c r="F24" s="2">
        <v>1</v>
      </c>
      <c r="G24" s="2">
        <v>305</v>
      </c>
      <c r="H24" t="s">
        <v>83</v>
      </c>
      <c r="J24" t="s">
        <v>34</v>
      </c>
      <c r="K24" t="s">
        <v>36</v>
      </c>
      <c r="L24" t="s">
        <v>108</v>
      </c>
      <c r="M24" s="8" t="s">
        <v>37</v>
      </c>
      <c r="N24" s="7">
        <v>95.51</v>
      </c>
      <c r="O24" s="7">
        <v>1</v>
      </c>
      <c r="P24" s="2">
        <v>10</v>
      </c>
      <c r="Q24" s="4">
        <f t="shared" si="2"/>
        <v>9.6509999999999998</v>
      </c>
      <c r="R24" s="4">
        <f t="shared" si="3"/>
        <v>9.6509999999999998</v>
      </c>
      <c r="S24" s="11"/>
    </row>
    <row r="25" spans="6:19" x14ac:dyDescent="0.35">
      <c r="F25" s="2">
        <v>1</v>
      </c>
      <c r="G25" s="2">
        <v>306</v>
      </c>
      <c r="H25" s="10" t="s">
        <v>84</v>
      </c>
      <c r="J25" s="10" t="s">
        <v>65</v>
      </c>
      <c r="K25" t="s">
        <v>64</v>
      </c>
      <c r="L25" t="s">
        <v>108</v>
      </c>
      <c r="M25" s="8" t="s">
        <v>82</v>
      </c>
      <c r="N25" s="7">
        <v>19</v>
      </c>
      <c r="O25" s="7">
        <v>1</v>
      </c>
      <c r="P25" s="2">
        <v>10</v>
      </c>
      <c r="Q25" s="4">
        <f t="shared" si="2"/>
        <v>2</v>
      </c>
      <c r="R25" s="4">
        <f t="shared" si="3"/>
        <v>2</v>
      </c>
      <c r="S25" s="11"/>
    </row>
    <row r="26" spans="6:19" x14ac:dyDescent="0.35">
      <c r="F26" s="2">
        <v>0</v>
      </c>
      <c r="G26" s="2">
        <v>307</v>
      </c>
      <c r="H26" s="10" t="s">
        <v>68</v>
      </c>
      <c r="J26" s="10" t="s">
        <v>69</v>
      </c>
      <c r="K26" t="s">
        <v>67</v>
      </c>
      <c r="L26" t="s">
        <v>35</v>
      </c>
      <c r="M26" s="8" t="s">
        <v>70</v>
      </c>
      <c r="N26" s="7">
        <v>7.5</v>
      </c>
      <c r="O26" s="7">
        <f>0.58+1</f>
        <v>1.58</v>
      </c>
      <c r="P26" s="2">
        <v>10</v>
      </c>
      <c r="Q26" s="4">
        <f t="shared" si="2"/>
        <v>0.90800000000000003</v>
      </c>
      <c r="R26" s="4">
        <f t="shared" si="3"/>
        <v>0</v>
      </c>
      <c r="S26" s="11"/>
    </row>
    <row r="27" spans="6:19" x14ac:dyDescent="0.35">
      <c r="F27" s="2">
        <v>0</v>
      </c>
      <c r="G27" s="2">
        <v>308</v>
      </c>
      <c r="H27" t="s">
        <v>79</v>
      </c>
      <c r="J27" s="10"/>
      <c r="L27" t="s">
        <v>6</v>
      </c>
      <c r="M27" s="8" t="s">
        <v>133</v>
      </c>
      <c r="N27" s="7">
        <v>9.99</v>
      </c>
      <c r="O27" s="7">
        <v>0.77</v>
      </c>
      <c r="P27" s="2">
        <f>60*40/(4+1)</f>
        <v>480</v>
      </c>
      <c r="Q27" s="4">
        <f t="shared" si="2"/>
        <v>2.2416666666666665E-2</v>
      </c>
      <c r="R27" s="4">
        <f t="shared" si="3"/>
        <v>0</v>
      </c>
      <c r="S27" s="11"/>
    </row>
    <row r="28" spans="6:19" x14ac:dyDescent="0.35">
      <c r="F28" s="2">
        <v>1</v>
      </c>
      <c r="G28" s="2">
        <v>309</v>
      </c>
      <c r="H28" t="s">
        <v>102</v>
      </c>
      <c r="J28" s="10"/>
      <c r="L28" t="s">
        <v>35</v>
      </c>
      <c r="M28" s="8" t="s">
        <v>103</v>
      </c>
      <c r="N28" s="7">
        <v>50</v>
      </c>
      <c r="O28" s="7">
        <f>6.99+3.88</f>
        <v>10.870000000000001</v>
      </c>
      <c r="P28" s="2">
        <v>10</v>
      </c>
      <c r="Q28" s="4">
        <f t="shared" si="2"/>
        <v>6.0870000000000006</v>
      </c>
      <c r="R28" s="4">
        <f t="shared" si="3"/>
        <v>6.0870000000000006</v>
      </c>
      <c r="S28" s="11"/>
    </row>
    <row r="29" spans="6:19" x14ac:dyDescent="0.35">
      <c r="F29" s="2">
        <v>1</v>
      </c>
      <c r="G29" s="2">
        <v>310</v>
      </c>
      <c r="H29" t="s">
        <v>77</v>
      </c>
      <c r="J29" s="10"/>
      <c r="L29" t="s">
        <v>6</v>
      </c>
      <c r="M29" s="8" t="s">
        <v>75</v>
      </c>
      <c r="N29" s="7">
        <v>9.99</v>
      </c>
      <c r="O29" s="7">
        <v>0.77</v>
      </c>
      <c r="P29" s="2">
        <f>INT(50*40/3)</f>
        <v>666</v>
      </c>
      <c r="Q29" s="4">
        <f t="shared" si="2"/>
        <v>1.6156156156156155E-2</v>
      </c>
      <c r="R29" s="4">
        <f t="shared" si="3"/>
        <v>1.6156156156156155E-2</v>
      </c>
      <c r="S29" s="11"/>
    </row>
    <row r="30" spans="6:19" x14ac:dyDescent="0.35">
      <c r="F30" s="2">
        <v>2</v>
      </c>
      <c r="G30" s="2">
        <v>311</v>
      </c>
      <c r="H30" t="s">
        <v>93</v>
      </c>
      <c r="L30" t="s">
        <v>6</v>
      </c>
      <c r="M30" s="8" t="s">
        <v>94</v>
      </c>
      <c r="N30" s="7">
        <v>8.59</v>
      </c>
      <c r="O30" s="7">
        <f>N30*0.0775</f>
        <v>0.66572500000000001</v>
      </c>
      <c r="P30" s="2">
        <v>100</v>
      </c>
      <c r="Q30" s="4">
        <f t="shared" si="2"/>
        <v>9.2557249999999994E-2</v>
      </c>
      <c r="R30" s="4">
        <f t="shared" si="3"/>
        <v>0.18511449999999999</v>
      </c>
      <c r="S30" s="11"/>
    </row>
    <row r="31" spans="6:19" ht="29" x14ac:dyDescent="0.35">
      <c r="F31" s="2">
        <v>2</v>
      </c>
      <c r="G31" s="2">
        <v>312</v>
      </c>
      <c r="H31" t="s">
        <v>105</v>
      </c>
      <c r="J31" s="10" t="s">
        <v>115</v>
      </c>
      <c r="K31" t="s">
        <v>110</v>
      </c>
      <c r="L31" t="s">
        <v>35</v>
      </c>
      <c r="M31" s="8" t="s">
        <v>114</v>
      </c>
      <c r="N31" s="7">
        <v>1.19</v>
      </c>
      <c r="O31" s="7">
        <f>(N31*0.0775)+(11.99*N31/68.83)</f>
        <v>0.2995197842510533</v>
      </c>
      <c r="P31" s="2">
        <v>15</v>
      </c>
      <c r="Q31" s="4">
        <f t="shared" si="2"/>
        <v>9.9301318950070216E-2</v>
      </c>
      <c r="R31" s="4">
        <f t="shared" si="3"/>
        <v>0.19860263790014043</v>
      </c>
      <c r="S31" s="11"/>
    </row>
    <row r="32" spans="6:19" x14ac:dyDescent="0.35">
      <c r="F32" s="2">
        <v>2</v>
      </c>
      <c r="G32" s="2">
        <v>313</v>
      </c>
      <c r="H32" t="s">
        <v>38</v>
      </c>
      <c r="L32" t="s">
        <v>27</v>
      </c>
      <c r="M32" s="8" t="s">
        <v>39</v>
      </c>
      <c r="N32" s="7">
        <v>30.4</v>
      </c>
      <c r="O32" s="7">
        <v>3.31</v>
      </c>
      <c r="P32" s="2">
        <v>10</v>
      </c>
      <c r="Q32" s="4">
        <f t="shared" si="2"/>
        <v>3.371</v>
      </c>
      <c r="R32" s="4">
        <f t="shared" si="3"/>
        <v>6.742</v>
      </c>
      <c r="S32" s="11"/>
    </row>
    <row r="33" spans="6:19" x14ac:dyDescent="0.35">
      <c r="F33" s="2">
        <v>0</v>
      </c>
      <c r="G33" s="2">
        <v>314</v>
      </c>
      <c r="H33" t="s">
        <v>15</v>
      </c>
      <c r="L33" t="s">
        <v>27</v>
      </c>
      <c r="M33" s="8" t="s">
        <v>127</v>
      </c>
      <c r="N33" s="7">
        <v>9.6</v>
      </c>
      <c r="O33" s="7">
        <f>1.99+0.73</f>
        <v>2.7199999999999998</v>
      </c>
      <c r="P33" s="2">
        <v>10</v>
      </c>
      <c r="Q33" s="4">
        <f t="shared" si="2"/>
        <v>1.232</v>
      </c>
      <c r="R33" s="4">
        <f t="shared" si="3"/>
        <v>0</v>
      </c>
      <c r="S33" s="11"/>
    </row>
    <row r="34" spans="6:19" x14ac:dyDescent="0.35">
      <c r="F34" s="2">
        <v>4</v>
      </c>
      <c r="G34" s="2">
        <v>315</v>
      </c>
      <c r="H34" t="s">
        <v>47</v>
      </c>
      <c r="L34" t="s">
        <v>6</v>
      </c>
      <c r="M34" s="8" t="s">
        <v>48</v>
      </c>
      <c r="N34" s="7">
        <v>9.99</v>
      </c>
      <c r="O34" s="7">
        <v>0.77</v>
      </c>
      <c r="P34" s="2">
        <v>120</v>
      </c>
      <c r="Q34" s="4">
        <f t="shared" si="2"/>
        <v>8.9666666666666658E-2</v>
      </c>
      <c r="R34" s="4">
        <f t="shared" si="3"/>
        <v>0.35866666666666663</v>
      </c>
      <c r="S34" s="11"/>
    </row>
    <row r="35" spans="6:19" x14ac:dyDescent="0.35">
      <c r="F35" s="2">
        <v>0</v>
      </c>
      <c r="G35" s="2">
        <v>316</v>
      </c>
      <c r="H35" t="s">
        <v>45</v>
      </c>
      <c r="L35" t="s">
        <v>6</v>
      </c>
      <c r="M35" s="8" t="s">
        <v>46</v>
      </c>
      <c r="N35" s="7">
        <v>9.99</v>
      </c>
      <c r="O35" s="7">
        <v>0.77</v>
      </c>
      <c r="P35" s="2">
        <v>100</v>
      </c>
      <c r="Q35" s="4">
        <f t="shared" si="2"/>
        <v>0.1076</v>
      </c>
      <c r="R35" s="4">
        <f t="shared" si="3"/>
        <v>0</v>
      </c>
      <c r="S35" s="11"/>
    </row>
    <row r="36" spans="6:19" x14ac:dyDescent="0.35">
      <c r="F36" s="2">
        <v>1</v>
      </c>
      <c r="G36" s="2">
        <v>317</v>
      </c>
      <c r="H36" t="s">
        <v>16</v>
      </c>
      <c r="J36" t="s">
        <v>223</v>
      </c>
      <c r="L36" t="s">
        <v>27</v>
      </c>
      <c r="M36" s="8" t="s">
        <v>224</v>
      </c>
      <c r="N36" s="7">
        <v>1.03</v>
      </c>
      <c r="O36" s="7">
        <f>3.24+0.08</f>
        <v>3.3200000000000003</v>
      </c>
      <c r="P36" s="2">
        <v>10</v>
      </c>
      <c r="Q36" s="4">
        <f t="shared" si="2"/>
        <v>0.43500000000000005</v>
      </c>
      <c r="R36" s="4">
        <f t="shared" si="3"/>
        <v>0.43500000000000005</v>
      </c>
      <c r="S36" s="11"/>
    </row>
    <row r="37" spans="6:19" x14ac:dyDescent="0.35">
      <c r="F37" s="2">
        <v>2</v>
      </c>
      <c r="G37" s="2">
        <v>318</v>
      </c>
      <c r="H37" s="10" t="s">
        <v>258</v>
      </c>
      <c r="L37" t="s">
        <v>6</v>
      </c>
      <c r="M37" s="8" t="s">
        <v>31</v>
      </c>
      <c r="N37" s="7">
        <v>11.98</v>
      </c>
      <c r="O37" s="7">
        <f>N37*0.0775</f>
        <v>0.92845</v>
      </c>
      <c r="P37" s="2">
        <f>INT(66*12/3.5)</f>
        <v>226</v>
      </c>
      <c r="Q37" s="4">
        <f t="shared" si="2"/>
        <v>5.7117035398230091E-2</v>
      </c>
      <c r="R37" s="4">
        <f t="shared" si="3"/>
        <v>0.11423407079646018</v>
      </c>
      <c r="S37" s="11"/>
    </row>
    <row r="38" spans="6:19" x14ac:dyDescent="0.35">
      <c r="F38" s="2">
        <v>4</v>
      </c>
      <c r="G38" s="2">
        <v>319</v>
      </c>
      <c r="H38" t="s">
        <v>17</v>
      </c>
      <c r="L38" t="s">
        <v>6</v>
      </c>
      <c r="M38" s="8" t="s">
        <v>32</v>
      </c>
      <c r="N38" s="7">
        <v>7.99</v>
      </c>
      <c r="O38" s="7">
        <f>N38*0.0775</f>
        <v>0.61922500000000003</v>
      </c>
      <c r="P38" s="2">
        <v>100</v>
      </c>
      <c r="Q38" s="4">
        <f t="shared" si="2"/>
        <v>8.6092250000000009E-2</v>
      </c>
      <c r="R38" s="4">
        <f t="shared" si="3"/>
        <v>0.34436900000000004</v>
      </c>
      <c r="S38" s="11"/>
    </row>
    <row r="39" spans="6:19" x14ac:dyDescent="0.35">
      <c r="F39" s="2">
        <v>1</v>
      </c>
      <c r="G39" s="2">
        <v>320</v>
      </c>
      <c r="H39" t="s">
        <v>81</v>
      </c>
      <c r="L39" t="s">
        <v>6</v>
      </c>
      <c r="M39" s="8" t="s">
        <v>72</v>
      </c>
      <c r="N39" s="7">
        <v>6.99</v>
      </c>
      <c r="O39" s="7">
        <v>0.54</v>
      </c>
      <c r="P39" s="2">
        <v>1000</v>
      </c>
      <c r="Q39" s="4">
        <f t="shared" si="2"/>
        <v>7.5300000000000002E-3</v>
      </c>
      <c r="R39" s="4">
        <f t="shared" si="3"/>
        <v>7.5300000000000002E-3</v>
      </c>
      <c r="S39" s="11"/>
    </row>
    <row r="40" spans="6:19" x14ac:dyDescent="0.35">
      <c r="F40" s="2">
        <v>4</v>
      </c>
      <c r="G40" s="2">
        <v>321</v>
      </c>
      <c r="H40" t="s">
        <v>95</v>
      </c>
      <c r="L40" t="s">
        <v>6</v>
      </c>
      <c r="M40" s="8" t="s">
        <v>49</v>
      </c>
      <c r="N40" s="7">
        <v>7.99</v>
      </c>
      <c r="O40" s="7">
        <v>0.62</v>
      </c>
      <c r="P40" s="2">
        <v>100</v>
      </c>
      <c r="Q40" s="4">
        <f t="shared" si="2"/>
        <v>8.6099999999999996E-2</v>
      </c>
      <c r="R40" s="4">
        <f t="shared" si="3"/>
        <v>0.34439999999999998</v>
      </c>
      <c r="S40" s="11"/>
    </row>
    <row r="41" spans="6:19" x14ac:dyDescent="0.35">
      <c r="F41" s="2">
        <v>6</v>
      </c>
      <c r="G41" s="2">
        <v>322</v>
      </c>
      <c r="H41" t="s">
        <v>44</v>
      </c>
      <c r="L41" t="s">
        <v>6</v>
      </c>
      <c r="M41" s="8" t="s">
        <v>50</v>
      </c>
      <c r="N41" s="7">
        <v>10.5</v>
      </c>
      <c r="O41" s="7">
        <v>0.81</v>
      </c>
      <c r="P41" s="2">
        <v>500</v>
      </c>
      <c r="Q41" s="4">
        <f t="shared" si="2"/>
        <v>2.2620000000000001E-2</v>
      </c>
      <c r="R41" s="4">
        <f t="shared" si="3"/>
        <v>0.13572000000000001</v>
      </c>
      <c r="S41" s="11"/>
    </row>
    <row r="42" spans="6:19" x14ac:dyDescent="0.35">
      <c r="F42" s="2">
        <v>1</v>
      </c>
      <c r="G42" s="2">
        <v>323</v>
      </c>
      <c r="H42" t="s">
        <v>55</v>
      </c>
      <c r="L42" t="s">
        <v>27</v>
      </c>
      <c r="M42" s="8" t="s">
        <v>100</v>
      </c>
      <c r="N42" s="7">
        <v>16.39</v>
      </c>
      <c r="O42" s="7">
        <v>1.27</v>
      </c>
      <c r="P42" s="2">
        <v>11</v>
      </c>
      <c r="Q42" s="4">
        <f t="shared" si="2"/>
        <v>1.6054545454545455</v>
      </c>
      <c r="R42" s="4">
        <f t="shared" si="3"/>
        <v>1.6054545454545455</v>
      </c>
      <c r="S42" s="11"/>
    </row>
    <row r="43" spans="6:19" x14ac:dyDescent="0.35">
      <c r="F43" s="2">
        <v>2</v>
      </c>
      <c r="G43" s="2">
        <v>324</v>
      </c>
      <c r="H43" t="s">
        <v>87</v>
      </c>
      <c r="L43" t="s">
        <v>27</v>
      </c>
      <c r="M43" s="8" t="s">
        <v>80</v>
      </c>
      <c r="N43" s="7">
        <v>2.0699999999999998</v>
      </c>
      <c r="O43" s="7">
        <v>0.16</v>
      </c>
      <c r="P43" s="2">
        <v>50</v>
      </c>
      <c r="Q43" s="4">
        <f t="shared" si="2"/>
        <v>4.4600000000000001E-2</v>
      </c>
      <c r="R43" s="4">
        <f t="shared" si="3"/>
        <v>8.9200000000000002E-2</v>
      </c>
      <c r="S43" s="11"/>
    </row>
    <row r="44" spans="6:19" x14ac:dyDescent="0.35">
      <c r="F44" s="2">
        <v>2</v>
      </c>
      <c r="G44" s="2">
        <v>325</v>
      </c>
      <c r="H44" t="s">
        <v>51</v>
      </c>
      <c r="L44" t="s">
        <v>6</v>
      </c>
      <c r="M44" s="8" t="s">
        <v>52</v>
      </c>
      <c r="N44" s="7">
        <v>6.99</v>
      </c>
      <c r="O44" s="7">
        <v>0.54</v>
      </c>
      <c r="P44" s="2">
        <v>200</v>
      </c>
      <c r="Q44" s="4">
        <f t="shared" si="2"/>
        <v>3.7650000000000003E-2</v>
      </c>
      <c r="R44" s="4">
        <f t="shared" si="3"/>
        <v>7.5300000000000006E-2</v>
      </c>
      <c r="S44" s="11"/>
    </row>
    <row r="45" spans="6:19" x14ac:dyDescent="0.35">
      <c r="F45" s="2">
        <v>8</v>
      </c>
      <c r="G45" s="2">
        <v>326</v>
      </c>
      <c r="H45" t="s">
        <v>85</v>
      </c>
      <c r="L45" t="s">
        <v>6</v>
      </c>
      <c r="M45" s="8" t="s">
        <v>40</v>
      </c>
      <c r="N45" s="7">
        <v>6.26</v>
      </c>
      <c r="O45" s="7">
        <v>0.49</v>
      </c>
      <c r="P45" s="2">
        <v>100</v>
      </c>
      <c r="Q45" s="4">
        <f t="shared" si="2"/>
        <v>6.7500000000000004E-2</v>
      </c>
      <c r="R45" s="4">
        <f t="shared" si="3"/>
        <v>0.54</v>
      </c>
      <c r="S45" s="11"/>
    </row>
    <row r="46" spans="6:19" x14ac:dyDescent="0.35">
      <c r="F46" s="2">
        <v>8</v>
      </c>
      <c r="G46" s="2">
        <v>327</v>
      </c>
      <c r="H46" t="s">
        <v>209</v>
      </c>
      <c r="L46" t="s">
        <v>27</v>
      </c>
      <c r="M46" s="8" t="s">
        <v>99</v>
      </c>
      <c r="N46" s="7">
        <v>1.19</v>
      </c>
      <c r="P46" s="2">
        <v>40</v>
      </c>
      <c r="Q46" s="4">
        <f t="shared" si="2"/>
        <v>2.9749999999999999E-2</v>
      </c>
      <c r="R46" s="4">
        <f t="shared" si="3"/>
        <v>0.23799999999999999</v>
      </c>
      <c r="S46" s="11"/>
    </row>
    <row r="47" spans="6:19" x14ac:dyDescent="0.35">
      <c r="F47" s="2">
        <v>2</v>
      </c>
      <c r="G47" s="2">
        <v>328</v>
      </c>
      <c r="H47" t="s">
        <v>57</v>
      </c>
      <c r="L47" t="s">
        <v>6</v>
      </c>
      <c r="M47" s="8" t="s">
        <v>56</v>
      </c>
      <c r="N47" s="7">
        <v>7.59</v>
      </c>
      <c r="O47" s="7">
        <v>0.59</v>
      </c>
      <c r="P47" s="2">
        <v>150</v>
      </c>
      <c r="Q47" s="4">
        <f t="shared" si="2"/>
        <v>5.4533333333333329E-2</v>
      </c>
      <c r="R47" s="4">
        <f t="shared" si="3"/>
        <v>0.10906666666666666</v>
      </c>
      <c r="S47" s="11"/>
    </row>
    <row r="48" spans="6:19" x14ac:dyDescent="0.35">
      <c r="F48" s="2">
        <v>12</v>
      </c>
      <c r="G48" s="2">
        <v>329</v>
      </c>
      <c r="H48" t="s">
        <v>74</v>
      </c>
      <c r="L48" t="s">
        <v>6</v>
      </c>
      <c r="M48" s="8" t="s">
        <v>73</v>
      </c>
      <c r="N48" s="7">
        <v>5.28</v>
      </c>
      <c r="O48" s="7">
        <v>0.41</v>
      </c>
      <c r="P48" s="2">
        <v>400</v>
      </c>
      <c r="Q48" s="4">
        <f t="shared" si="2"/>
        <v>1.4225000000000002E-2</v>
      </c>
      <c r="R48" s="4">
        <f t="shared" si="3"/>
        <v>0.17070000000000002</v>
      </c>
      <c r="S48" s="11"/>
    </row>
    <row r="49" spans="6:19" x14ac:dyDescent="0.35">
      <c r="F49" s="2">
        <v>0</v>
      </c>
      <c r="G49" s="2">
        <v>330</v>
      </c>
      <c r="H49" t="s">
        <v>25</v>
      </c>
      <c r="L49" t="s">
        <v>27</v>
      </c>
      <c r="M49" s="8" t="s">
        <v>30</v>
      </c>
      <c r="N49" s="7">
        <v>11.08</v>
      </c>
      <c r="O49" s="7">
        <f>N49*0.0775</f>
        <v>0.85870000000000002</v>
      </c>
      <c r="P49" s="2">
        <v>40</v>
      </c>
      <c r="Q49" s="4">
        <f t="shared" si="2"/>
        <v>0.2984675</v>
      </c>
      <c r="R49" s="4">
        <f t="shared" si="3"/>
        <v>0</v>
      </c>
      <c r="S49" s="11"/>
    </row>
    <row r="50" spans="6:19" x14ac:dyDescent="0.35">
      <c r="F50" s="2">
        <v>8</v>
      </c>
      <c r="G50" s="2">
        <v>331</v>
      </c>
      <c r="H50" t="s">
        <v>210</v>
      </c>
      <c r="L50" t="s">
        <v>27</v>
      </c>
      <c r="M50" s="8" t="s">
        <v>99</v>
      </c>
      <c r="N50" s="7">
        <v>1.39</v>
      </c>
      <c r="P50" s="2">
        <v>40</v>
      </c>
      <c r="Q50" s="4">
        <f t="shared" si="2"/>
        <v>3.4749999999999996E-2</v>
      </c>
      <c r="R50" s="4">
        <f t="shared" si="3"/>
        <v>0.27799999999999997</v>
      </c>
      <c r="S50" s="11"/>
    </row>
    <row r="51" spans="6:19" x14ac:dyDescent="0.35">
      <c r="F51" s="2">
        <v>6</v>
      </c>
      <c r="G51" s="2">
        <v>332</v>
      </c>
      <c r="H51" t="s">
        <v>96</v>
      </c>
      <c r="L51" t="s">
        <v>6</v>
      </c>
      <c r="M51" s="8" t="s">
        <v>97</v>
      </c>
      <c r="N51" s="7">
        <v>9.99</v>
      </c>
      <c r="O51" s="7">
        <f>N51*0.0775</f>
        <v>0.77422500000000005</v>
      </c>
      <c r="P51" s="2">
        <v>500</v>
      </c>
      <c r="Q51" s="4">
        <f t="shared" si="2"/>
        <v>2.1528450000000001E-2</v>
      </c>
      <c r="R51" s="4">
        <f t="shared" si="3"/>
        <v>0.1291707</v>
      </c>
      <c r="S51" s="11"/>
    </row>
    <row r="52" spans="6:19" x14ac:dyDescent="0.35">
      <c r="F52" s="2">
        <v>0</v>
      </c>
      <c r="G52" s="2">
        <v>333</v>
      </c>
      <c r="H52" t="s">
        <v>91</v>
      </c>
      <c r="L52" t="s">
        <v>6</v>
      </c>
      <c r="S52" s="11"/>
    </row>
    <row r="53" spans="6:19" x14ac:dyDescent="0.35">
      <c r="F53" s="2">
        <v>0</v>
      </c>
      <c r="G53" s="2">
        <v>334</v>
      </c>
      <c r="H53" t="s">
        <v>98</v>
      </c>
      <c r="L53" t="s">
        <v>6</v>
      </c>
      <c r="M53" s="8" t="s">
        <v>176</v>
      </c>
      <c r="N53" s="7">
        <v>7.86</v>
      </c>
      <c r="O53" s="7">
        <f>N53*0.0775</f>
        <v>0.60914999999999997</v>
      </c>
      <c r="P53" s="2">
        <v>100</v>
      </c>
      <c r="Q53" s="4">
        <f>(N53+O53)/P53</f>
        <v>8.4691500000000003E-2</v>
      </c>
      <c r="R53" s="4">
        <f>F53*Q53</f>
        <v>0</v>
      </c>
      <c r="S53" s="11"/>
    </row>
    <row r="54" spans="6:19" x14ac:dyDescent="0.35">
      <c r="F54" s="2">
        <v>0</v>
      </c>
      <c r="G54" s="2">
        <v>335</v>
      </c>
      <c r="H54" t="s">
        <v>79</v>
      </c>
      <c r="J54" s="10"/>
      <c r="L54" t="s">
        <v>6</v>
      </c>
      <c r="M54" s="8" t="s">
        <v>78</v>
      </c>
      <c r="N54" s="7">
        <v>9.99</v>
      </c>
      <c r="O54" s="7">
        <v>0.77</v>
      </c>
      <c r="P54" s="2">
        <f>60*40/(20+1)</f>
        <v>114.28571428571429</v>
      </c>
      <c r="Q54" s="4">
        <f>(N54+O54)/P54</f>
        <v>9.4149999999999998E-2</v>
      </c>
      <c r="R54" s="4">
        <f>F54*Q54</f>
        <v>0</v>
      </c>
      <c r="S54" s="11"/>
    </row>
    <row r="55" spans="6:19" x14ac:dyDescent="0.35">
      <c r="F55" s="2">
        <v>2</v>
      </c>
      <c r="G55" s="2">
        <v>336</v>
      </c>
      <c r="H55" t="s">
        <v>92</v>
      </c>
      <c r="J55" t="s">
        <v>199</v>
      </c>
      <c r="K55" t="s">
        <v>198</v>
      </c>
      <c r="L55" t="s">
        <v>35</v>
      </c>
      <c r="M55" s="8" t="s">
        <v>197</v>
      </c>
      <c r="N55" s="7">
        <v>31.46</v>
      </c>
      <c r="O55" s="7">
        <f>(N55*0.0775)+(11.99*N55/68.83)</f>
        <v>7.918396985326166</v>
      </c>
      <c r="P55" s="2">
        <v>22</v>
      </c>
      <c r="Q55" s="4">
        <f>(N55+O55)/P55</f>
        <v>1.789927135696644</v>
      </c>
      <c r="R55" s="4">
        <f>F55*Q55</f>
        <v>3.5798542713932879</v>
      </c>
      <c r="S55" s="11"/>
    </row>
    <row r="56" spans="6:19" x14ac:dyDescent="0.35">
      <c r="F56" s="2">
        <v>0</v>
      </c>
      <c r="G56" s="2">
        <v>337</v>
      </c>
      <c r="H56" t="s">
        <v>89</v>
      </c>
      <c r="L56" t="s">
        <v>6</v>
      </c>
      <c r="S56" s="11"/>
    </row>
    <row r="57" spans="6:19" x14ac:dyDescent="0.35">
      <c r="F57" s="2">
        <v>2</v>
      </c>
      <c r="G57" s="2">
        <v>338</v>
      </c>
      <c r="H57" t="s">
        <v>287</v>
      </c>
      <c r="L57" t="s">
        <v>6</v>
      </c>
      <c r="M57" s="8" t="s">
        <v>104</v>
      </c>
      <c r="N57" s="7">
        <v>15.39</v>
      </c>
      <c r="O57" s="7">
        <v>1.19</v>
      </c>
      <c r="P57" s="2">
        <v>100</v>
      </c>
      <c r="Q57" s="4">
        <f t="shared" ref="Q57:Q78" si="4">(N57+O57)/P57</f>
        <v>0.16580000000000003</v>
      </c>
      <c r="R57" s="4">
        <f t="shared" ref="R57:R82" si="5">F57*Q57</f>
        <v>0.33160000000000006</v>
      </c>
      <c r="S57" s="11"/>
    </row>
    <row r="58" spans="6:19" ht="29" x14ac:dyDescent="0.35">
      <c r="F58" s="2">
        <v>5</v>
      </c>
      <c r="G58" s="2">
        <v>339</v>
      </c>
      <c r="H58" t="s">
        <v>145</v>
      </c>
      <c r="J58" s="10" t="s">
        <v>115</v>
      </c>
      <c r="K58" t="s">
        <v>111</v>
      </c>
      <c r="L58" t="s">
        <v>35</v>
      </c>
      <c r="M58" s="8" t="s">
        <v>113</v>
      </c>
      <c r="N58" s="7">
        <v>4.51</v>
      </c>
      <c r="O58" s="7">
        <f>(N58*0.0775)+(11.99*N58/68.83)</f>
        <v>1.1351548125817232</v>
      </c>
      <c r="P58" s="2">
        <v>32</v>
      </c>
      <c r="Q58" s="4">
        <f t="shared" si="4"/>
        <v>0.17641108789317883</v>
      </c>
      <c r="R58" s="4">
        <f t="shared" si="5"/>
        <v>0.88205543946589415</v>
      </c>
      <c r="S58" s="11"/>
    </row>
    <row r="59" spans="6:19" ht="29" x14ac:dyDescent="0.35">
      <c r="F59" s="2">
        <v>1</v>
      </c>
      <c r="G59" s="2">
        <v>340</v>
      </c>
      <c r="H59" t="s">
        <v>107</v>
      </c>
      <c r="J59" s="10" t="s">
        <v>115</v>
      </c>
      <c r="K59" t="s">
        <v>109</v>
      </c>
      <c r="L59" t="s">
        <v>35</v>
      </c>
      <c r="M59" s="8" t="s">
        <v>112</v>
      </c>
      <c r="N59" s="7">
        <v>1.77</v>
      </c>
      <c r="O59" s="7">
        <f>(N59*0.0775)+(11.99*N59/68.83)</f>
        <v>0.4455042169112306</v>
      </c>
      <c r="P59" s="2">
        <v>15</v>
      </c>
      <c r="Q59" s="4">
        <f t="shared" si="4"/>
        <v>0.14770028112741537</v>
      </c>
      <c r="R59" s="4">
        <f t="shared" si="5"/>
        <v>0.14770028112741537</v>
      </c>
      <c r="S59" s="11"/>
    </row>
    <row r="60" spans="6:19" x14ac:dyDescent="0.35">
      <c r="F60" s="2">
        <v>2</v>
      </c>
      <c r="G60" s="2">
        <v>341</v>
      </c>
      <c r="H60" t="s">
        <v>117</v>
      </c>
      <c r="L60" t="s">
        <v>27</v>
      </c>
      <c r="M60" s="8" t="s">
        <v>134</v>
      </c>
      <c r="N60" s="7">
        <v>3.3</v>
      </c>
      <c r="O60" s="7">
        <f>3.41-0.17+0.24</f>
        <v>3.4800000000000004</v>
      </c>
      <c r="P60" s="2">
        <f>10*40/4</f>
        <v>100</v>
      </c>
      <c r="Q60" s="4">
        <f t="shared" si="4"/>
        <v>6.7799999999999999E-2</v>
      </c>
      <c r="R60" s="4">
        <f t="shared" si="5"/>
        <v>0.1356</v>
      </c>
      <c r="S60" s="11"/>
    </row>
    <row r="61" spans="6:19" x14ac:dyDescent="0.35">
      <c r="F61" s="2">
        <v>2</v>
      </c>
      <c r="G61" s="2">
        <v>342</v>
      </c>
      <c r="H61" t="s">
        <v>118</v>
      </c>
      <c r="L61" t="s">
        <v>27</v>
      </c>
      <c r="M61" s="8" t="s">
        <v>134</v>
      </c>
      <c r="N61" s="7">
        <v>5.99</v>
      </c>
      <c r="O61" s="7">
        <f>0.0775*N61</f>
        <v>0.464225</v>
      </c>
      <c r="P61" s="2">
        <f>10*40/8</f>
        <v>50</v>
      </c>
      <c r="Q61" s="4">
        <f t="shared" si="4"/>
        <v>0.12908449999999999</v>
      </c>
      <c r="R61" s="4">
        <f t="shared" si="5"/>
        <v>0.25816899999999998</v>
      </c>
      <c r="S61" s="11"/>
    </row>
    <row r="62" spans="6:19" x14ac:dyDescent="0.35">
      <c r="F62" s="2">
        <v>1</v>
      </c>
      <c r="G62" s="2">
        <v>343</v>
      </c>
      <c r="H62" t="s">
        <v>257</v>
      </c>
      <c r="L62" t="s">
        <v>27</v>
      </c>
      <c r="M62" s="8" t="s">
        <v>135</v>
      </c>
      <c r="N62" s="7">
        <v>3.39</v>
      </c>
      <c r="O62" s="7">
        <f>1.29+0.27</f>
        <v>1.56</v>
      </c>
      <c r="P62" s="2">
        <v>50</v>
      </c>
      <c r="Q62" s="4">
        <f t="shared" si="4"/>
        <v>9.9000000000000005E-2</v>
      </c>
      <c r="R62" s="4">
        <f t="shared" si="5"/>
        <v>9.9000000000000005E-2</v>
      </c>
      <c r="S62" s="11"/>
    </row>
    <row r="63" spans="6:19" x14ac:dyDescent="0.35">
      <c r="F63" s="2">
        <v>2</v>
      </c>
      <c r="G63" s="2">
        <v>344</v>
      </c>
      <c r="H63" t="s">
        <v>256</v>
      </c>
      <c r="L63" t="s">
        <v>27</v>
      </c>
      <c r="M63" s="8" t="s">
        <v>135</v>
      </c>
      <c r="N63" s="7">
        <v>6.58</v>
      </c>
      <c r="O63" s="7">
        <f>3.15+0.51</f>
        <v>3.66</v>
      </c>
      <c r="P63" s="2">
        <v>20</v>
      </c>
      <c r="Q63" s="4">
        <f t="shared" si="4"/>
        <v>0.51200000000000001</v>
      </c>
      <c r="R63" s="4">
        <f t="shared" si="5"/>
        <v>1.024</v>
      </c>
      <c r="S63" s="11"/>
    </row>
    <row r="64" spans="6:19" x14ac:dyDescent="0.35">
      <c r="F64" s="2">
        <v>1</v>
      </c>
      <c r="G64" s="2">
        <v>345</v>
      </c>
      <c r="H64" t="s">
        <v>119</v>
      </c>
      <c r="L64" t="s">
        <v>27</v>
      </c>
      <c r="M64" s="8" t="s">
        <v>134</v>
      </c>
      <c r="N64" s="7">
        <v>5.99</v>
      </c>
      <c r="O64" s="7">
        <f>0.0775*N64</f>
        <v>0.464225</v>
      </c>
      <c r="P64" s="2">
        <f>10*40/5</f>
        <v>80</v>
      </c>
      <c r="Q64" s="4">
        <f t="shared" si="4"/>
        <v>8.0677812500000001E-2</v>
      </c>
      <c r="R64" s="4">
        <f t="shared" si="5"/>
        <v>8.0677812500000001E-2</v>
      </c>
      <c r="S64" s="11"/>
    </row>
    <row r="65" spans="6:19" x14ac:dyDescent="0.35">
      <c r="F65" s="2">
        <v>1</v>
      </c>
      <c r="G65" s="2">
        <v>346</v>
      </c>
      <c r="H65" s="10" t="s">
        <v>271</v>
      </c>
      <c r="L65" t="s">
        <v>6</v>
      </c>
      <c r="M65" s="8" t="s">
        <v>31</v>
      </c>
      <c r="N65" s="7">
        <v>11.98</v>
      </c>
      <c r="O65" s="7">
        <f>N65*0.0775</f>
        <v>0.92845</v>
      </c>
      <c r="P65" s="2">
        <f>66</f>
        <v>66</v>
      </c>
      <c r="Q65" s="4">
        <f t="shared" si="4"/>
        <v>0.19558257575757576</v>
      </c>
      <c r="R65" s="4">
        <f t="shared" si="5"/>
        <v>0.19558257575757576</v>
      </c>
      <c r="S65" s="11"/>
    </row>
    <row r="66" spans="6:19" x14ac:dyDescent="0.35">
      <c r="F66" s="2">
        <v>1</v>
      </c>
      <c r="G66" s="2">
        <v>347</v>
      </c>
      <c r="H66" t="s">
        <v>136</v>
      </c>
      <c r="L66" t="s">
        <v>27</v>
      </c>
      <c r="M66" s="8" t="s">
        <v>137</v>
      </c>
      <c r="N66" s="7">
        <f>0.58*11</f>
        <v>6.38</v>
      </c>
      <c r="O66" s="7">
        <f>6+0.0775*N66</f>
        <v>6.4944499999999996</v>
      </c>
      <c r="P66" s="2">
        <v>11</v>
      </c>
      <c r="Q66" s="4">
        <f t="shared" si="4"/>
        <v>1.1704045454545453</v>
      </c>
      <c r="R66" s="4">
        <f t="shared" si="5"/>
        <v>1.1704045454545453</v>
      </c>
      <c r="S66" s="11"/>
    </row>
    <row r="67" spans="6:19" x14ac:dyDescent="0.35">
      <c r="F67" s="2">
        <v>1</v>
      </c>
      <c r="G67" s="2">
        <v>348</v>
      </c>
      <c r="H67" t="s">
        <v>138</v>
      </c>
      <c r="L67" t="s">
        <v>27</v>
      </c>
      <c r="M67" s="8" t="s">
        <v>137</v>
      </c>
      <c r="N67" s="7">
        <f>0.728*11</f>
        <v>8.0079999999999991</v>
      </c>
      <c r="O67" s="7">
        <f>6+0.0775*N67</f>
        <v>6.6206199999999997</v>
      </c>
      <c r="P67" s="2">
        <v>11</v>
      </c>
      <c r="Q67" s="4">
        <f t="shared" si="4"/>
        <v>1.3298745454545453</v>
      </c>
      <c r="R67" s="4">
        <f t="shared" si="5"/>
        <v>1.3298745454545453</v>
      </c>
      <c r="S67" s="11"/>
    </row>
    <row r="68" spans="6:19" x14ac:dyDescent="0.35">
      <c r="F68" s="2">
        <v>2</v>
      </c>
      <c r="G68" s="2">
        <v>349</v>
      </c>
      <c r="H68" t="s">
        <v>139</v>
      </c>
      <c r="L68" t="s">
        <v>27</v>
      </c>
      <c r="M68" s="8" t="s">
        <v>137</v>
      </c>
      <c r="N68" s="7">
        <f>4.74*20</f>
        <v>94.800000000000011</v>
      </c>
      <c r="O68" s="7">
        <f>7.89+0.0775*N68</f>
        <v>15.237</v>
      </c>
      <c r="P68" s="2">
        <v>20</v>
      </c>
      <c r="Q68" s="4">
        <f t="shared" si="4"/>
        <v>5.5018500000000001</v>
      </c>
      <c r="R68" s="4">
        <f t="shared" si="5"/>
        <v>11.0037</v>
      </c>
      <c r="S68" s="11"/>
    </row>
    <row r="69" spans="6:19" x14ac:dyDescent="0.35">
      <c r="F69" s="2">
        <v>0</v>
      </c>
      <c r="G69" s="2">
        <v>350</v>
      </c>
      <c r="H69" t="s">
        <v>147</v>
      </c>
      <c r="J69" t="s">
        <v>182</v>
      </c>
      <c r="K69" t="s">
        <v>181</v>
      </c>
      <c r="L69" t="s">
        <v>6</v>
      </c>
      <c r="M69" s="8" t="s">
        <v>146</v>
      </c>
      <c r="N69" s="7">
        <v>17.79</v>
      </c>
      <c r="O69" s="7">
        <f>0.0775*N69</f>
        <v>1.378725</v>
      </c>
      <c r="P69" s="2">
        <v>1</v>
      </c>
      <c r="Q69" s="4">
        <f t="shared" si="4"/>
        <v>19.168724999999998</v>
      </c>
      <c r="R69" s="4">
        <f t="shared" si="5"/>
        <v>0</v>
      </c>
      <c r="S69" s="11"/>
    </row>
    <row r="70" spans="6:19" x14ac:dyDescent="0.35">
      <c r="F70" s="2">
        <v>0</v>
      </c>
      <c r="G70" s="2">
        <v>351</v>
      </c>
      <c r="H70" t="s">
        <v>148</v>
      </c>
      <c r="L70" t="s">
        <v>27</v>
      </c>
      <c r="M70" s="8" t="s">
        <v>191</v>
      </c>
      <c r="N70" s="7">
        <v>5.0999999999999996</v>
      </c>
      <c r="O70" s="7">
        <f>2.84+0.4</f>
        <v>3.2399999999999998</v>
      </c>
      <c r="P70" s="2">
        <v>10</v>
      </c>
      <c r="Q70" s="4">
        <f t="shared" si="4"/>
        <v>0.83399999999999996</v>
      </c>
      <c r="R70" s="4">
        <f t="shared" si="5"/>
        <v>0</v>
      </c>
      <c r="S70" s="11"/>
    </row>
    <row r="71" spans="6:19" x14ac:dyDescent="0.35">
      <c r="F71" s="2">
        <v>0</v>
      </c>
      <c r="G71" s="2">
        <v>352</v>
      </c>
      <c r="H71" t="s">
        <v>150</v>
      </c>
      <c r="J71" s="10"/>
      <c r="L71" t="s">
        <v>6</v>
      </c>
      <c r="M71" s="8" t="s">
        <v>75</v>
      </c>
      <c r="N71" s="7">
        <v>9.99</v>
      </c>
      <c r="O71" s="7">
        <v>0.77</v>
      </c>
      <c r="P71" s="2">
        <f>50*40/4</f>
        <v>500</v>
      </c>
      <c r="Q71" s="4">
        <f t="shared" si="4"/>
        <v>2.1520000000000001E-2</v>
      </c>
      <c r="R71" s="4">
        <f t="shared" si="5"/>
        <v>0</v>
      </c>
      <c r="S71" s="11"/>
    </row>
    <row r="72" spans="6:19" x14ac:dyDescent="0.35">
      <c r="F72" s="2">
        <v>0</v>
      </c>
      <c r="G72" s="2">
        <v>353</v>
      </c>
      <c r="H72" t="s">
        <v>151</v>
      </c>
      <c r="L72" t="s">
        <v>6</v>
      </c>
      <c r="M72" s="8" t="s">
        <v>154</v>
      </c>
      <c r="N72" s="7">
        <v>9.98</v>
      </c>
      <c r="O72" s="7">
        <v>0.77</v>
      </c>
      <c r="P72" s="2">
        <v>60</v>
      </c>
      <c r="Q72" s="4">
        <f t="shared" si="4"/>
        <v>0.17916666666666667</v>
      </c>
      <c r="R72" s="4">
        <f t="shared" si="5"/>
        <v>0</v>
      </c>
      <c r="S72" s="11"/>
    </row>
    <row r="73" spans="6:19" x14ac:dyDescent="0.35">
      <c r="F73" s="2">
        <v>0</v>
      </c>
      <c r="G73" s="2">
        <v>354</v>
      </c>
      <c r="H73" t="s">
        <v>152</v>
      </c>
      <c r="L73" t="s">
        <v>6</v>
      </c>
      <c r="M73" s="8" t="s">
        <v>155</v>
      </c>
      <c r="N73" s="7">
        <v>9.99</v>
      </c>
      <c r="O73" s="7">
        <v>0.77</v>
      </c>
      <c r="P73" s="2">
        <v>100</v>
      </c>
      <c r="Q73" s="4">
        <f t="shared" si="4"/>
        <v>0.1076</v>
      </c>
      <c r="R73" s="4">
        <f t="shared" si="5"/>
        <v>0</v>
      </c>
      <c r="S73" s="11"/>
    </row>
    <row r="74" spans="6:19" x14ac:dyDescent="0.35">
      <c r="F74" s="2">
        <v>0</v>
      </c>
      <c r="G74" s="2">
        <v>355</v>
      </c>
      <c r="H74" t="s">
        <v>153</v>
      </c>
      <c r="L74" t="s">
        <v>27</v>
      </c>
      <c r="M74" s="8" t="s">
        <v>348</v>
      </c>
      <c r="N74" s="7">
        <f>0.92*4</f>
        <v>3.68</v>
      </c>
      <c r="O74" s="7">
        <f>N74*0.0775+1.99</f>
        <v>2.2751999999999999</v>
      </c>
      <c r="P74" s="2">
        <v>220</v>
      </c>
      <c r="Q74" s="4">
        <f t="shared" si="4"/>
        <v>2.7069090909090907E-2</v>
      </c>
      <c r="R74" s="4">
        <f t="shared" si="5"/>
        <v>0</v>
      </c>
      <c r="S74" s="11"/>
    </row>
    <row r="75" spans="6:19" x14ac:dyDescent="0.35">
      <c r="F75" s="2">
        <v>0</v>
      </c>
      <c r="G75" s="2">
        <v>356</v>
      </c>
      <c r="H75" t="s">
        <v>157</v>
      </c>
      <c r="L75" t="s">
        <v>6</v>
      </c>
      <c r="M75" s="8" t="s">
        <v>156</v>
      </c>
      <c r="N75" s="7">
        <v>27.78</v>
      </c>
      <c r="O75" s="7">
        <v>0.77</v>
      </c>
      <c r="P75" s="2">
        <v>1</v>
      </c>
      <c r="Q75" s="4">
        <f t="shared" si="4"/>
        <v>28.55</v>
      </c>
      <c r="R75" s="4">
        <f t="shared" si="5"/>
        <v>0</v>
      </c>
      <c r="S75" s="11"/>
    </row>
    <row r="76" spans="6:19" x14ac:dyDescent="0.35">
      <c r="F76" s="2">
        <v>0</v>
      </c>
      <c r="G76" s="2">
        <v>357</v>
      </c>
      <c r="H76" t="s">
        <v>158</v>
      </c>
      <c r="L76" t="s">
        <v>6</v>
      </c>
      <c r="M76" s="8" t="s">
        <v>33</v>
      </c>
      <c r="N76" s="7">
        <v>2.87</v>
      </c>
      <c r="O76" s="7">
        <f>1.05+(0.0775*N76)</f>
        <v>1.2724250000000001</v>
      </c>
      <c r="P76" s="2">
        <v>50</v>
      </c>
      <c r="Q76" s="4">
        <f t="shared" si="4"/>
        <v>8.2848500000000005E-2</v>
      </c>
      <c r="R76" s="4">
        <f t="shared" si="5"/>
        <v>0</v>
      </c>
      <c r="S76" s="11"/>
    </row>
    <row r="77" spans="6:19" x14ac:dyDescent="0.35">
      <c r="F77" s="2">
        <v>2</v>
      </c>
      <c r="G77" s="2">
        <v>358</v>
      </c>
      <c r="H77" t="s">
        <v>168</v>
      </c>
      <c r="L77" t="s">
        <v>27</v>
      </c>
      <c r="M77" s="8" t="s">
        <v>169</v>
      </c>
      <c r="N77" s="7">
        <v>4.6399999999999997</v>
      </c>
      <c r="O77" s="7">
        <v>0.77</v>
      </c>
      <c r="P77" s="2">
        <v>80</v>
      </c>
      <c r="Q77" s="4">
        <f t="shared" si="4"/>
        <v>6.7625000000000005E-2</v>
      </c>
      <c r="R77" s="4">
        <f t="shared" si="5"/>
        <v>0.13525000000000001</v>
      </c>
      <c r="S77" s="11"/>
    </row>
    <row r="78" spans="6:19" x14ac:dyDescent="0.35">
      <c r="F78" s="2">
        <v>0</v>
      </c>
      <c r="G78" s="2">
        <v>359</v>
      </c>
      <c r="H78" t="s">
        <v>147</v>
      </c>
      <c r="J78" t="s">
        <v>180</v>
      </c>
      <c r="K78" t="s">
        <v>178</v>
      </c>
      <c r="L78" t="s">
        <v>27</v>
      </c>
      <c r="M78" s="8" t="s">
        <v>177</v>
      </c>
      <c r="N78" s="7">
        <f>2.82*5</f>
        <v>14.1</v>
      </c>
      <c r="O78" s="7">
        <v>11.38</v>
      </c>
      <c r="P78" s="2">
        <v>5</v>
      </c>
      <c r="Q78" s="4">
        <f t="shared" si="4"/>
        <v>5.0960000000000001</v>
      </c>
      <c r="R78" s="4">
        <f t="shared" si="5"/>
        <v>0</v>
      </c>
      <c r="S78" s="11"/>
    </row>
    <row r="79" spans="6:19" x14ac:dyDescent="0.35">
      <c r="F79" s="2">
        <v>0</v>
      </c>
      <c r="G79" s="2">
        <v>360</v>
      </c>
      <c r="H79" s="10" t="s">
        <v>179</v>
      </c>
      <c r="L79" t="s">
        <v>6</v>
      </c>
      <c r="M79" s="8" t="s">
        <v>31</v>
      </c>
      <c r="N79" s="7">
        <v>11.98</v>
      </c>
      <c r="O79" s="7">
        <f>N79*0.0775</f>
        <v>0.92845</v>
      </c>
      <c r="P79" s="2">
        <f>66*12/1.5</f>
        <v>528</v>
      </c>
      <c r="Q79" s="4">
        <f>((N79+O79)/P79)*(1.5/12)</f>
        <v>3.0559777462121213E-3</v>
      </c>
      <c r="R79" s="4">
        <f t="shared" si="5"/>
        <v>0</v>
      </c>
      <c r="S79" s="11"/>
    </row>
    <row r="80" spans="6:19" x14ac:dyDescent="0.35">
      <c r="F80" s="2">
        <v>0</v>
      </c>
      <c r="G80" s="2">
        <v>361</v>
      </c>
      <c r="H80" t="s">
        <v>205</v>
      </c>
      <c r="L80" t="s">
        <v>27</v>
      </c>
      <c r="M80" s="8" t="s">
        <v>137</v>
      </c>
      <c r="N80" s="7">
        <f>1.55*10</f>
        <v>15.5</v>
      </c>
      <c r="O80" s="7">
        <v>5.79</v>
      </c>
      <c r="P80" s="2">
        <v>10</v>
      </c>
      <c r="Q80" s="4">
        <f t="shared" ref="Q80:Q86" si="6">(N80+O80)/P80</f>
        <v>2.129</v>
      </c>
      <c r="R80" s="4">
        <f t="shared" si="5"/>
        <v>0</v>
      </c>
      <c r="S80" s="11"/>
    </row>
    <row r="81" spans="6:19" x14ac:dyDescent="0.35">
      <c r="F81" s="2">
        <v>0</v>
      </c>
      <c r="G81" s="2">
        <v>362</v>
      </c>
      <c r="H81" t="s">
        <v>196</v>
      </c>
      <c r="L81" t="s">
        <v>27</v>
      </c>
      <c r="M81" s="8" t="s">
        <v>195</v>
      </c>
      <c r="N81" s="7">
        <v>1.23</v>
      </c>
      <c r="O81" s="7">
        <f>1.05+0.09</f>
        <v>1.1400000000000001</v>
      </c>
      <c r="P81" s="2">
        <v>100</v>
      </c>
      <c r="Q81" s="4">
        <f t="shared" si="6"/>
        <v>2.3700000000000002E-2</v>
      </c>
      <c r="R81" s="4">
        <f t="shared" si="5"/>
        <v>0</v>
      </c>
      <c r="S81" s="11"/>
    </row>
    <row r="82" spans="6:19" x14ac:dyDescent="0.35">
      <c r="F82" s="2">
        <v>0</v>
      </c>
      <c r="G82" s="2">
        <v>363</v>
      </c>
      <c r="H82" t="s">
        <v>206</v>
      </c>
      <c r="L82" t="s">
        <v>6</v>
      </c>
      <c r="M82" s="8" t="s">
        <v>207</v>
      </c>
      <c r="N82" s="7">
        <v>9.98</v>
      </c>
      <c r="O82" s="7">
        <f>N82*0.0775</f>
        <v>0.77345000000000008</v>
      </c>
      <c r="P82" s="2">
        <v>2</v>
      </c>
      <c r="Q82" s="4">
        <f t="shared" si="6"/>
        <v>5.3767250000000004</v>
      </c>
      <c r="R82" s="4">
        <f t="shared" si="5"/>
        <v>0</v>
      </c>
      <c r="S82" s="11"/>
    </row>
    <row r="83" spans="6:19" x14ac:dyDescent="0.35">
      <c r="F83" s="2">
        <v>0</v>
      </c>
      <c r="G83" s="2">
        <v>364</v>
      </c>
      <c r="H83" t="s">
        <v>242</v>
      </c>
      <c r="L83" t="s">
        <v>6</v>
      </c>
      <c r="M83" s="8" t="s">
        <v>241</v>
      </c>
      <c r="N83" s="7">
        <v>17.989999999999998</v>
      </c>
      <c r="O83" s="7">
        <v>1.39</v>
      </c>
      <c r="P83" s="2">
        <v>1000</v>
      </c>
      <c r="Q83" s="4">
        <f t="shared" si="6"/>
        <v>1.9379999999999998E-2</v>
      </c>
      <c r="R83" s="4">
        <f t="shared" ref="R83:R89" si="7">F83*Q83</f>
        <v>0</v>
      </c>
      <c r="S83" s="11"/>
    </row>
    <row r="84" spans="6:19" x14ac:dyDescent="0.35">
      <c r="F84" s="2">
        <v>0</v>
      </c>
      <c r="G84" s="2">
        <v>365</v>
      </c>
      <c r="H84" t="s">
        <v>246</v>
      </c>
      <c r="L84" t="s">
        <v>247</v>
      </c>
      <c r="N84" s="7">
        <v>5</v>
      </c>
      <c r="O84" s="7">
        <v>0</v>
      </c>
      <c r="P84" s="2">
        <v>1000</v>
      </c>
      <c r="Q84" s="4">
        <f t="shared" si="6"/>
        <v>5.0000000000000001E-3</v>
      </c>
      <c r="R84" s="4">
        <f t="shared" si="7"/>
        <v>0</v>
      </c>
      <c r="S84" s="11"/>
    </row>
    <row r="85" spans="6:19" x14ac:dyDescent="0.35">
      <c r="F85" s="2">
        <v>0</v>
      </c>
      <c r="G85" s="2">
        <v>366</v>
      </c>
      <c r="H85" t="s">
        <v>273</v>
      </c>
      <c r="L85" t="s">
        <v>27</v>
      </c>
      <c r="M85" s="8" t="s">
        <v>272</v>
      </c>
      <c r="N85" s="7">
        <v>3.87</v>
      </c>
      <c r="O85" s="7">
        <f>0.0775*N85+1.99</f>
        <v>2.2899250000000002</v>
      </c>
      <c r="P85" s="2">
        <v>10</v>
      </c>
      <c r="Q85" s="4">
        <f t="shared" si="6"/>
        <v>0.61599250000000005</v>
      </c>
      <c r="R85" s="4">
        <f t="shared" si="7"/>
        <v>0</v>
      </c>
      <c r="S85" s="11"/>
    </row>
    <row r="86" spans="6:19" x14ac:dyDescent="0.35">
      <c r="F86" s="2">
        <v>0</v>
      </c>
      <c r="G86" s="2">
        <v>367</v>
      </c>
      <c r="H86" t="s">
        <v>288</v>
      </c>
      <c r="L86" t="s">
        <v>27</v>
      </c>
      <c r="M86" s="8" t="s">
        <v>286</v>
      </c>
      <c r="N86" s="7">
        <v>0.33</v>
      </c>
      <c r="O86" s="7">
        <f>N86*0.0775+3.91</f>
        <v>3.935575</v>
      </c>
      <c r="P86" s="2">
        <v>50</v>
      </c>
      <c r="Q86" s="4">
        <f t="shared" si="6"/>
        <v>8.5311499999999998E-2</v>
      </c>
      <c r="R86" s="4">
        <f t="shared" si="7"/>
        <v>0</v>
      </c>
      <c r="S86" s="11"/>
    </row>
    <row r="87" spans="6:19" x14ac:dyDescent="0.35">
      <c r="F87" s="2">
        <v>0</v>
      </c>
      <c r="G87" s="2">
        <v>368</v>
      </c>
      <c r="H87" t="s">
        <v>301</v>
      </c>
      <c r="L87" t="s">
        <v>302</v>
      </c>
      <c r="N87" s="7">
        <v>0</v>
      </c>
      <c r="O87" s="7">
        <v>0</v>
      </c>
      <c r="P87" s="2">
        <v>1</v>
      </c>
      <c r="Q87" s="4">
        <f t="shared" ref="Q87:Q92" si="8">(N87+O87)/P87</f>
        <v>0</v>
      </c>
      <c r="R87" s="4">
        <f t="shared" si="7"/>
        <v>0</v>
      </c>
      <c r="S87" s="11"/>
    </row>
    <row r="88" spans="6:19" x14ac:dyDescent="0.35">
      <c r="F88" s="2">
        <v>4</v>
      </c>
      <c r="G88" s="2">
        <v>369</v>
      </c>
      <c r="H88" t="s">
        <v>313</v>
      </c>
      <c r="L88" t="s">
        <v>27</v>
      </c>
      <c r="M88" s="8" t="s">
        <v>33</v>
      </c>
      <c r="N88" s="7">
        <v>3.63</v>
      </c>
      <c r="O88" s="7">
        <f>N88*0.0775+1.05</f>
        <v>1.3313250000000001</v>
      </c>
      <c r="P88" s="2">
        <v>50</v>
      </c>
      <c r="Q88" s="4">
        <f t="shared" si="8"/>
        <v>9.9226500000000009E-2</v>
      </c>
      <c r="R88" s="4">
        <f t="shared" si="7"/>
        <v>0.39690600000000004</v>
      </c>
      <c r="S88" s="11"/>
    </row>
    <row r="89" spans="6:19" x14ac:dyDescent="0.35">
      <c r="F89" s="2">
        <v>0</v>
      </c>
      <c r="G89" s="2">
        <v>370</v>
      </c>
      <c r="H89" t="s">
        <v>337</v>
      </c>
      <c r="L89" t="s">
        <v>27</v>
      </c>
      <c r="M89" s="8" t="s">
        <v>137</v>
      </c>
      <c r="N89" s="7">
        <f>1.55*10</f>
        <v>15.5</v>
      </c>
      <c r="O89" s="7">
        <v>5.79</v>
      </c>
      <c r="P89" s="2">
        <v>10</v>
      </c>
      <c r="Q89" s="4">
        <f t="shared" si="8"/>
        <v>2.129</v>
      </c>
      <c r="R89" s="4">
        <f t="shared" si="7"/>
        <v>0</v>
      </c>
      <c r="S89" s="11"/>
    </row>
    <row r="90" spans="6:19" x14ac:dyDescent="0.35">
      <c r="F90" s="2">
        <v>0</v>
      </c>
      <c r="G90" s="2">
        <v>371</v>
      </c>
      <c r="H90" t="s">
        <v>342</v>
      </c>
      <c r="J90" t="s">
        <v>344</v>
      </c>
      <c r="K90" t="s">
        <v>343</v>
      </c>
      <c r="L90" t="s">
        <v>27</v>
      </c>
      <c r="M90" s="8" t="s">
        <v>345</v>
      </c>
      <c r="N90" s="7">
        <v>2.73</v>
      </c>
      <c r="O90" s="7">
        <f>N90*0.0775+1.99</f>
        <v>2.2015750000000001</v>
      </c>
      <c r="P90" s="2">
        <v>20</v>
      </c>
      <c r="Q90" s="4">
        <f t="shared" si="8"/>
        <v>0.24657875000000001</v>
      </c>
      <c r="R90" s="4">
        <f>F90*Q90</f>
        <v>0</v>
      </c>
      <c r="S90" s="11"/>
    </row>
    <row r="91" spans="6:19" x14ac:dyDescent="0.35">
      <c r="F91" s="2">
        <v>0</v>
      </c>
      <c r="G91" s="2">
        <v>372</v>
      </c>
      <c r="H91" t="s">
        <v>346</v>
      </c>
      <c r="L91" t="s">
        <v>27</v>
      </c>
      <c r="M91" s="8" t="s">
        <v>347</v>
      </c>
      <c r="N91" s="7">
        <v>0.98</v>
      </c>
      <c r="O91" s="7">
        <f>N91*0.0775+1.99</f>
        <v>2.06595</v>
      </c>
      <c r="P91" s="2">
        <v>100</v>
      </c>
      <c r="Q91" s="4">
        <f t="shared" si="8"/>
        <v>3.04595E-2</v>
      </c>
      <c r="R91" s="4">
        <f>F91*Q91</f>
        <v>0</v>
      </c>
      <c r="S91" s="11"/>
    </row>
    <row r="92" spans="6:19" x14ac:dyDescent="0.35">
      <c r="F92" s="2">
        <v>0</v>
      </c>
      <c r="G92" s="2">
        <v>373</v>
      </c>
      <c r="H92" t="s">
        <v>350</v>
      </c>
      <c r="L92" t="s">
        <v>27</v>
      </c>
      <c r="M92" s="8" t="s">
        <v>351</v>
      </c>
      <c r="N92" s="7">
        <v>3</v>
      </c>
      <c r="O92" s="7">
        <f>N92*0.0775+1.99</f>
        <v>2.2225000000000001</v>
      </c>
      <c r="P92" s="2">
        <v>5</v>
      </c>
      <c r="Q92" s="4">
        <f t="shared" si="8"/>
        <v>1.0445</v>
      </c>
      <c r="R92" s="4">
        <f>F92*Q92</f>
        <v>0</v>
      </c>
      <c r="S92" s="11"/>
    </row>
    <row r="93" spans="6:19" x14ac:dyDescent="0.35">
      <c r="M93" s="8"/>
      <c r="R93" s="4"/>
    </row>
    <row r="94" spans="6:19" x14ac:dyDescent="0.35">
      <c r="M94" s="8"/>
      <c r="R94" s="4"/>
    </row>
    <row r="95" spans="6:19" x14ac:dyDescent="0.35">
      <c r="M95" s="8"/>
      <c r="R95" s="4"/>
    </row>
    <row r="96" spans="6:19" x14ac:dyDescent="0.35">
      <c r="M96" s="8"/>
      <c r="R96" s="4"/>
    </row>
    <row r="97" spans="7:18" x14ac:dyDescent="0.35">
      <c r="M97" s="8"/>
      <c r="R97" s="4"/>
    </row>
    <row r="98" spans="7:18" x14ac:dyDescent="0.35">
      <c r="M98" s="8"/>
      <c r="R98" s="4"/>
    </row>
    <row r="99" spans="7:18" x14ac:dyDescent="0.35">
      <c r="M99" s="8"/>
      <c r="R99" s="4"/>
    </row>
    <row r="100" spans="7:18" x14ac:dyDescent="0.35">
      <c r="M100" s="8"/>
      <c r="R100" s="4"/>
    </row>
    <row r="101" spans="7:18" x14ac:dyDescent="0.35">
      <c r="M101" s="8"/>
      <c r="R101" s="4"/>
    </row>
    <row r="102" spans="7:18" x14ac:dyDescent="0.35">
      <c r="M102" s="8"/>
      <c r="R102" s="4"/>
    </row>
    <row r="112" spans="7:18" ht="15" thickBot="1" x14ac:dyDescent="0.4">
      <c r="G112" s="14"/>
      <c r="H112" t="s">
        <v>106</v>
      </c>
    </row>
  </sheetData>
  <autoFilter ref="F2:S49" xr:uid="{6346B5A5-66CB-4BBB-A48D-EF1504671D7B}">
    <sortState xmlns:xlrd2="http://schemas.microsoft.com/office/spreadsheetml/2017/richdata2" ref="F3:S58">
      <sortCondition ref="G2:G49"/>
    </sortState>
  </autoFilter>
  <sortState xmlns:xlrd2="http://schemas.microsoft.com/office/spreadsheetml/2017/richdata2" ref="F3:S49">
    <sortCondition ref="L3:L49"/>
  </sortState>
  <hyperlinks>
    <hyperlink ref="M49" r:id="rId1" xr:uid="{7F26A9DF-F073-4A1A-BF9B-86817F913814}"/>
    <hyperlink ref="M37" r:id="rId2" xr:uid="{3705008F-C110-4213-91C3-572AFF527650}"/>
    <hyperlink ref="M38" r:id="rId3" xr:uid="{4B123DDC-6E6B-42D3-9851-65327BB0C345}"/>
    <hyperlink ref="M20" r:id="rId4" xr:uid="{BDF40057-F923-4AF4-8703-82009DE0AF0F}"/>
    <hyperlink ref="M24" r:id="rId5" xr:uid="{C4D5565F-24C4-42DF-AA6B-1F4BBC72DCEA}"/>
    <hyperlink ref="M32" r:id="rId6" xr:uid="{E2BE5801-8F32-4F74-BBB6-5841BE9274CC}"/>
    <hyperlink ref="M21" r:id="rId7" xr:uid="{EBBF6824-4BE2-4400-B25A-225D7B4781ED}"/>
    <hyperlink ref="M35" r:id="rId8" xr:uid="{116EBA78-0868-4791-B50E-10E3EE51A62F}"/>
    <hyperlink ref="M34" r:id="rId9" xr:uid="{F70D4401-B5F1-4B11-B87F-94E1CB1FB29C}"/>
    <hyperlink ref="M40" r:id="rId10" xr:uid="{CFB7AB51-615D-4979-A415-F7B7C0CAED4B}"/>
    <hyperlink ref="M41" r:id="rId11" xr:uid="{E8465139-8B40-4CD7-98B2-768C36FB5B6E}"/>
    <hyperlink ref="M44" r:id="rId12" xr:uid="{9396D0F1-654E-41AC-9F6C-56361832C09F}"/>
    <hyperlink ref="M45" r:id="rId13" xr:uid="{3F36F117-F46E-4A7B-B0F3-571653C984D0}"/>
    <hyperlink ref="M47" r:id="rId14" xr:uid="{0B286ED6-599D-4382-9E10-2F9406A85FD5}"/>
    <hyperlink ref="M22" r:id="rId15" xr:uid="{8FBEA940-3A4D-4A07-808D-BFFBBE6BAAA7}"/>
    <hyperlink ref="M23" r:id="rId16" xr:uid="{70127A66-AC27-42F8-83B0-83F37B2501F2}"/>
    <hyperlink ref="M26" r:id="rId17" xr:uid="{51EDDC0C-7D50-45C9-8F49-124881FFD2E0}"/>
    <hyperlink ref="M39" r:id="rId18" xr:uid="{F006B4C4-DB42-4423-A49E-65D5FD6E75E7}"/>
    <hyperlink ref="M48" r:id="rId19" xr:uid="{E9F42964-83D6-48BA-A2EE-B9B0B555CCD8}"/>
    <hyperlink ref="M29" r:id="rId20" xr:uid="{106F0047-2495-4870-AC95-72356C6CE987}"/>
    <hyperlink ref="M54" r:id="rId21" xr:uid="{E13EF8C8-6FDE-4929-A135-345EB8E82E9D}"/>
    <hyperlink ref="M28" r:id="rId22" xr:uid="{69625799-202C-43AC-974C-21C645ED57A7}"/>
    <hyperlink ref="M43" r:id="rId23" xr:uid="{B9C03ED2-C87C-4581-ACC9-F3DF4058A925}"/>
    <hyperlink ref="M25" r:id="rId24" xr:uid="{D0E1F340-FB51-4A9A-B69D-0004686055AF}"/>
    <hyperlink ref="M30" r:id="rId25" xr:uid="{5C2521E1-BC6D-41B7-9AD3-4E1DF22E5E5B}"/>
    <hyperlink ref="M57" r:id="rId26" xr:uid="{3AF76ACE-A168-4B7A-8D83-277AEC137576}"/>
    <hyperlink ref="M59" r:id="rId27" xr:uid="{71F6DF0E-E5BF-4486-9135-551F3660F56E}"/>
    <hyperlink ref="M58" r:id="rId28" xr:uid="{0A59A5EB-9F1C-4877-9712-F69410FFB943}"/>
    <hyperlink ref="M31" r:id="rId29" xr:uid="{157E3408-AF93-47FF-9B3C-0A046440F2D3}"/>
    <hyperlink ref="M65" r:id="rId30" xr:uid="{794E4D79-6A2A-4C16-BF1F-ED84135F87BE}"/>
    <hyperlink ref="M33" r:id="rId31" xr:uid="{F04C1311-BF74-4202-BD76-041CA1EE0D72}"/>
    <hyperlink ref="M27" r:id="rId32" display="https://www.amazon.com/gp/product/B07CGGSDWF" xr:uid="{CCA9404B-5CAE-4A41-A2A5-7925C1E83F58}"/>
    <hyperlink ref="M64" r:id="rId33" xr:uid="{D0C79F6E-BFA3-4261-8C7A-B541F0AA3996}"/>
    <hyperlink ref="M60" r:id="rId34" xr:uid="{0A33D477-2B74-4484-9A7E-0BCF4BF6914E}"/>
    <hyperlink ref="M61" r:id="rId35" xr:uid="{1F1779AF-736E-44DF-B5F0-BC6F92ADD80D}"/>
    <hyperlink ref="M63" r:id="rId36" xr:uid="{1927F6E6-0BA1-4021-91A2-8E06F34A9BF1}"/>
    <hyperlink ref="M62" r:id="rId37" xr:uid="{B0254086-4D85-4584-828B-3E54C79BBCE2}"/>
    <hyperlink ref="M66" r:id="rId38" xr:uid="{08895591-6A04-419E-B933-33954A2AE38F}"/>
    <hyperlink ref="M67" r:id="rId39" xr:uid="{79473E0E-1429-4045-A18F-F3E0094F40D4}"/>
    <hyperlink ref="M68" r:id="rId40" xr:uid="{D7553FC2-5139-4F39-A2A9-73153E92335D}"/>
    <hyperlink ref="M69" r:id="rId41" xr:uid="{788BA989-9A5E-4012-8E75-15B0E0E2DB41}"/>
    <hyperlink ref="M71" r:id="rId42" xr:uid="{ADC3C818-EAC0-4382-8A93-195B8AEA85C5}"/>
    <hyperlink ref="M72" r:id="rId43" xr:uid="{46F7B5D2-8D69-4FCE-B19B-E58C8FDD45F6}"/>
    <hyperlink ref="M73" r:id="rId44" xr:uid="{D6CE5CAE-4315-4004-B0C5-4E24CA4AB938}"/>
    <hyperlink ref="M75" r:id="rId45" xr:uid="{5389B571-827B-4418-8DD4-4F5E13093E83}"/>
    <hyperlink ref="M77" r:id="rId46" xr:uid="{BFF9A98F-4662-4AA8-9A9D-0E25B16E8B8F}"/>
    <hyperlink ref="M53" r:id="rId47" xr:uid="{FB20A1C5-BECB-481C-9905-941ECF4B69B6}"/>
    <hyperlink ref="M78" r:id="rId48" xr:uid="{87E8790A-0D08-49A1-98ED-7079DA42004A}"/>
    <hyperlink ref="M79" r:id="rId49" xr:uid="{19CF6E55-D00D-457B-91EB-73F53530119F}"/>
    <hyperlink ref="M80" r:id="rId50" xr:uid="{AFAB9FE8-BEE4-4C72-8754-57F2D571D990}"/>
    <hyperlink ref="M70" r:id="rId51" xr:uid="{9AB8C64B-CED0-416C-90BA-EFECD98EEF80}"/>
    <hyperlink ref="M81" r:id="rId52" xr:uid="{6145EA51-0F31-4400-982D-84A5D58372F8}"/>
    <hyperlink ref="M55" r:id="rId53" xr:uid="{33451542-B307-46BC-8219-AE14D732B296}"/>
    <hyperlink ref="M82" r:id="rId54" xr:uid="{E6B5101D-E9AA-4E46-B046-7BCAD50392F2}"/>
    <hyperlink ref="M36" r:id="rId55" xr:uid="{4CF3EBA8-2BB8-44D0-A160-86A29A256E1F}"/>
    <hyperlink ref="M83" r:id="rId56" xr:uid="{8DA2239C-0EEB-4EFF-90D8-A282250198DB}"/>
    <hyperlink ref="M19" r:id="rId57" xr:uid="{641484FD-5538-4F9B-8907-0D52E949137F}"/>
    <hyperlink ref="M85" r:id="rId58" xr:uid="{B1C455DC-2616-488E-ADA7-B295610EDFA6}"/>
    <hyperlink ref="M86" r:id="rId59" xr:uid="{D60085D9-C044-489E-82CC-B2C00832B1B8}"/>
    <hyperlink ref="M88" r:id="rId60" xr:uid="{B170C7A2-4667-4377-88C1-4625671752C0}"/>
    <hyperlink ref="M89" r:id="rId61" xr:uid="{E8D2BD2D-39CD-49A8-8D3B-1431CF8FE977}"/>
    <hyperlink ref="M46" r:id="rId62" xr:uid="{2F9C909C-0DF8-4803-B3F8-A129E6F9A421}"/>
    <hyperlink ref="M90" r:id="rId63" xr:uid="{08E09B65-23E5-43B2-89DF-8FAB731A0EF2}"/>
    <hyperlink ref="M91" r:id="rId64" xr:uid="{027D7857-E270-481F-AB7D-201EBAF904BE}"/>
    <hyperlink ref="M74" r:id="rId65" xr:uid="{D87F37E9-C3EA-4661-AC43-6C9C266AF571}"/>
    <hyperlink ref="M92" r:id="rId66" xr:uid="{2E362258-79E1-40EE-9E22-1548AD191F28}"/>
  </hyperlinks>
  <pageMargins left="0.5" right="0.5" top="0.25" bottom="0.5" header="0.3" footer="0.3"/>
  <pageSetup scale="95" orientation="portrait" r:id="rId6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1F7DC-7E86-4DB2-8C90-B43C4485A7B5}">
  <dimension ref="A2:Y122"/>
  <sheetViews>
    <sheetView zoomScale="110" zoomScaleNormal="110" workbookViewId="0"/>
  </sheetViews>
  <sheetFormatPr defaultRowHeight="14.5" x14ac:dyDescent="0.35"/>
  <sheetData>
    <row r="2" spans="1:8" x14ac:dyDescent="0.35">
      <c r="B2" s="2">
        <v>100</v>
      </c>
      <c r="C2" t="s">
        <v>24</v>
      </c>
    </row>
    <row r="3" spans="1:8" x14ac:dyDescent="0.35">
      <c r="B3" s="2">
        <v>101</v>
      </c>
      <c r="C3" t="s">
        <v>22</v>
      </c>
    </row>
    <row r="4" spans="1:8" x14ac:dyDescent="0.35">
      <c r="B4" s="2">
        <v>102</v>
      </c>
      <c r="C4" t="s">
        <v>26</v>
      </c>
    </row>
    <row r="5" spans="1:8" x14ac:dyDescent="0.35">
      <c r="B5" s="2">
        <v>103</v>
      </c>
      <c r="C5" t="s">
        <v>194</v>
      </c>
    </row>
    <row r="6" spans="1:8" x14ac:dyDescent="0.35">
      <c r="B6" s="2">
        <v>104</v>
      </c>
      <c r="C6" t="s">
        <v>171</v>
      </c>
    </row>
    <row r="7" spans="1:8" x14ac:dyDescent="0.35">
      <c r="B7" s="2">
        <v>105</v>
      </c>
      <c r="C7" t="s">
        <v>172</v>
      </c>
    </row>
    <row r="8" spans="1:8" x14ac:dyDescent="0.35">
      <c r="B8" s="2">
        <v>106</v>
      </c>
      <c r="C8" t="s">
        <v>173</v>
      </c>
    </row>
    <row r="9" spans="1:8" x14ac:dyDescent="0.35">
      <c r="B9" s="2">
        <v>107</v>
      </c>
      <c r="C9" t="s">
        <v>174</v>
      </c>
    </row>
    <row r="11" spans="1:8" x14ac:dyDescent="0.35">
      <c r="A11" s="3">
        <v>100</v>
      </c>
      <c r="B11" s="1" t="s">
        <v>24</v>
      </c>
    </row>
    <row r="12" spans="1:8" x14ac:dyDescent="0.35">
      <c r="B12" s="3" t="s">
        <v>0</v>
      </c>
      <c r="C12" s="3" t="s">
        <v>187</v>
      </c>
      <c r="D12" s="3" t="s">
        <v>188</v>
      </c>
      <c r="E12" s="3" t="s">
        <v>189</v>
      </c>
      <c r="F12" s="3" t="s">
        <v>101</v>
      </c>
      <c r="G12" s="3" t="s">
        <v>190</v>
      </c>
    </row>
    <row r="13" spans="1:8" x14ac:dyDescent="0.35">
      <c r="B13" s="3" t="s">
        <v>0</v>
      </c>
      <c r="C13" s="3" t="s">
        <v>187</v>
      </c>
      <c r="D13" s="3" t="s">
        <v>225</v>
      </c>
      <c r="E13" s="3" t="s">
        <v>189</v>
      </c>
      <c r="F13" s="3" t="s">
        <v>226</v>
      </c>
      <c r="G13" s="3" t="s">
        <v>101</v>
      </c>
      <c r="H13" s="3" t="s">
        <v>190</v>
      </c>
    </row>
    <row r="14" spans="1:8" x14ac:dyDescent="0.35">
      <c r="B14" s="2">
        <v>5</v>
      </c>
      <c r="C14" s="26">
        <v>89.59</v>
      </c>
      <c r="D14" s="26">
        <f t="shared" ref="D14:D19" si="0">9+3+B14*((0.6249*3)+1.98+9.76)</f>
        <v>80.073499999999996</v>
      </c>
      <c r="E14" s="26">
        <v>23.8</v>
      </c>
      <c r="F14" s="26">
        <f t="shared" ref="F14:F19" si="1">(C14+D14+E14)*0.0775</f>
        <v>14.993421250000001</v>
      </c>
      <c r="G14" s="26">
        <f t="shared" ref="G14:G19" si="2">SUM(C14:F14)</f>
        <v>208.45692125000002</v>
      </c>
      <c r="H14" s="26">
        <f t="shared" ref="H14:H19" si="3">G14/B14</f>
        <v>41.691384250000006</v>
      </c>
    </row>
    <row r="15" spans="1:8" x14ac:dyDescent="0.35">
      <c r="B15" s="2">
        <v>10</v>
      </c>
      <c r="C15" s="26">
        <v>127.57</v>
      </c>
      <c r="D15" s="26">
        <f t="shared" si="0"/>
        <v>148.14699999999999</v>
      </c>
      <c r="E15" s="26">
        <v>43.25</v>
      </c>
      <c r="F15" s="26">
        <f t="shared" si="1"/>
        <v>24.719942499999998</v>
      </c>
      <c r="G15" s="26">
        <f t="shared" si="2"/>
        <v>343.68694249999999</v>
      </c>
      <c r="H15" s="27">
        <f t="shared" si="3"/>
        <v>34.368694249999997</v>
      </c>
    </row>
    <row r="16" spans="1:8" x14ac:dyDescent="0.35">
      <c r="B16" s="2">
        <v>15</v>
      </c>
      <c r="C16" s="26">
        <v>170.85</v>
      </c>
      <c r="D16" s="26">
        <f t="shared" si="0"/>
        <v>216.22049999999999</v>
      </c>
      <c r="E16" s="26">
        <v>47.56</v>
      </c>
      <c r="F16" s="26">
        <f t="shared" si="1"/>
        <v>33.68386375</v>
      </c>
      <c r="G16" s="26">
        <f t="shared" si="2"/>
        <v>468.31436374999998</v>
      </c>
      <c r="H16" s="26">
        <f t="shared" si="3"/>
        <v>31.220957583333334</v>
      </c>
    </row>
    <row r="17" spans="1:8" x14ac:dyDescent="0.35">
      <c r="B17" s="2">
        <v>20</v>
      </c>
      <c r="C17" s="26">
        <v>214.35</v>
      </c>
      <c r="D17" s="26">
        <f t="shared" si="0"/>
        <v>284.29399999999998</v>
      </c>
      <c r="E17" s="26">
        <v>47.56</v>
      </c>
      <c r="F17" s="26">
        <f t="shared" si="1"/>
        <v>42.330809999999992</v>
      </c>
      <c r="G17" s="26">
        <f t="shared" si="2"/>
        <v>588.53480999999999</v>
      </c>
      <c r="H17" s="26">
        <f t="shared" si="3"/>
        <v>29.426740500000001</v>
      </c>
    </row>
    <row r="18" spans="1:8" x14ac:dyDescent="0.35">
      <c r="B18" s="2">
        <v>25</v>
      </c>
      <c r="C18" s="26">
        <v>257.64999999999998</v>
      </c>
      <c r="D18" s="26">
        <f t="shared" si="0"/>
        <v>352.36749999999995</v>
      </c>
      <c r="E18" s="26">
        <v>55.95</v>
      </c>
      <c r="F18" s="26">
        <f t="shared" si="1"/>
        <v>51.612481249999995</v>
      </c>
      <c r="G18" s="26">
        <f t="shared" si="2"/>
        <v>717.57998124999995</v>
      </c>
      <c r="H18" s="26">
        <f t="shared" si="3"/>
        <v>28.703199249999997</v>
      </c>
    </row>
    <row r="19" spans="1:8" x14ac:dyDescent="0.35">
      <c r="B19" s="2">
        <v>30</v>
      </c>
      <c r="C19" s="26">
        <v>292.73</v>
      </c>
      <c r="D19" s="26">
        <f t="shared" si="0"/>
        <v>420.44099999999997</v>
      </c>
      <c r="E19" s="26">
        <v>60.87</v>
      </c>
      <c r="F19" s="26">
        <f t="shared" si="1"/>
        <v>59.988177500000006</v>
      </c>
      <c r="G19" s="26">
        <f t="shared" si="2"/>
        <v>834.02917750000006</v>
      </c>
      <c r="H19" s="26">
        <f t="shared" si="3"/>
        <v>27.800972583333337</v>
      </c>
    </row>
    <row r="27" spans="1:8" x14ac:dyDescent="0.35">
      <c r="B27" s="3"/>
      <c r="C27" s="3"/>
      <c r="D27" s="3"/>
      <c r="E27" s="3"/>
      <c r="F27" s="3"/>
    </row>
    <row r="28" spans="1:8" x14ac:dyDescent="0.35">
      <c r="B28" s="3"/>
      <c r="C28" s="3"/>
      <c r="D28" s="3"/>
      <c r="E28" s="3"/>
      <c r="F28" s="3"/>
    </row>
    <row r="29" spans="1:8" x14ac:dyDescent="0.35">
      <c r="A29" s="3">
        <v>101</v>
      </c>
      <c r="B29" s="1" t="s">
        <v>22</v>
      </c>
    </row>
    <row r="30" spans="1:8" x14ac:dyDescent="0.35">
      <c r="B30" s="3" t="s">
        <v>0</v>
      </c>
      <c r="C30" s="3" t="s">
        <v>187</v>
      </c>
      <c r="D30" s="3" t="s">
        <v>225</v>
      </c>
      <c r="E30" s="3" t="s">
        <v>189</v>
      </c>
      <c r="F30" s="3" t="s">
        <v>101</v>
      </c>
      <c r="G30" s="3" t="s">
        <v>190</v>
      </c>
    </row>
    <row r="31" spans="1:8" x14ac:dyDescent="0.35">
      <c r="B31" s="2">
        <v>5</v>
      </c>
      <c r="C31" s="26">
        <v>35.57</v>
      </c>
      <c r="D31" s="26"/>
      <c r="E31" s="26">
        <v>22.25</v>
      </c>
      <c r="F31" s="26">
        <f t="shared" ref="F31:F36" si="4">SUM(C31:E31)</f>
        <v>57.82</v>
      </c>
      <c r="G31" s="26">
        <f t="shared" ref="G31:G36" si="5">F31/B31</f>
        <v>11.564</v>
      </c>
      <c r="H31" s="26"/>
    </row>
    <row r="32" spans="1:8" x14ac:dyDescent="0.35">
      <c r="B32" s="2">
        <v>10</v>
      </c>
      <c r="C32" s="26">
        <v>45.55</v>
      </c>
      <c r="D32" s="26"/>
      <c r="E32" s="26">
        <v>38.11</v>
      </c>
      <c r="F32" s="26">
        <f t="shared" si="4"/>
        <v>83.66</v>
      </c>
      <c r="G32" s="27">
        <f t="shared" si="5"/>
        <v>8.3659999999999997</v>
      </c>
      <c r="H32" s="26"/>
    </row>
    <row r="33" spans="1:8" x14ac:dyDescent="0.35">
      <c r="B33" s="2">
        <v>15</v>
      </c>
      <c r="C33" s="26">
        <v>55.86</v>
      </c>
      <c r="D33" s="26"/>
      <c r="E33" s="26">
        <v>43.25</v>
      </c>
      <c r="F33" s="26">
        <f t="shared" si="4"/>
        <v>99.11</v>
      </c>
      <c r="G33" s="26">
        <f t="shared" si="5"/>
        <v>6.6073333333333331</v>
      </c>
      <c r="H33" s="26"/>
    </row>
    <row r="34" spans="1:8" x14ac:dyDescent="0.35">
      <c r="B34" s="2">
        <v>20</v>
      </c>
      <c r="C34" s="26">
        <v>66.849999999999994</v>
      </c>
      <c r="D34" s="26"/>
      <c r="E34" s="26">
        <v>47.56</v>
      </c>
      <c r="F34" s="26">
        <f t="shared" si="4"/>
        <v>114.41</v>
      </c>
      <c r="G34" s="26">
        <f t="shared" si="5"/>
        <v>5.7204999999999995</v>
      </c>
      <c r="H34" s="26"/>
    </row>
    <row r="35" spans="1:8" x14ac:dyDescent="0.35">
      <c r="B35" s="2">
        <v>25</v>
      </c>
      <c r="C35" s="26">
        <v>77.650000000000006</v>
      </c>
      <c r="D35" s="26"/>
      <c r="E35" s="26">
        <v>47.56</v>
      </c>
      <c r="F35" s="26">
        <f t="shared" si="4"/>
        <v>125.21000000000001</v>
      </c>
      <c r="G35" s="26">
        <f t="shared" si="5"/>
        <v>5.0084</v>
      </c>
      <c r="H35" s="26"/>
    </row>
    <row r="36" spans="1:8" x14ac:dyDescent="0.35">
      <c r="B36" s="2">
        <v>30</v>
      </c>
      <c r="C36" s="26">
        <v>85.76</v>
      </c>
      <c r="D36" s="26"/>
      <c r="E36" s="26">
        <v>55.95</v>
      </c>
      <c r="F36" s="26">
        <f t="shared" si="4"/>
        <v>141.71</v>
      </c>
      <c r="G36" s="26">
        <f t="shared" si="5"/>
        <v>4.7236666666666673</v>
      </c>
      <c r="H36" s="26"/>
    </row>
    <row r="37" spans="1:8" x14ac:dyDescent="0.35">
      <c r="B37" s="2"/>
      <c r="C37" s="26"/>
      <c r="D37" s="26"/>
      <c r="E37" s="26"/>
      <c r="F37" s="26"/>
      <c r="G37" s="26"/>
      <c r="H37" s="26"/>
    </row>
    <row r="45" spans="1:8" x14ac:dyDescent="0.35">
      <c r="B45" s="3"/>
      <c r="C45" s="3"/>
      <c r="D45" s="3"/>
      <c r="E45" s="3"/>
      <c r="F45" s="3"/>
    </row>
    <row r="46" spans="1:8" x14ac:dyDescent="0.35">
      <c r="A46" s="3">
        <v>102</v>
      </c>
      <c r="B46" s="1" t="s">
        <v>26</v>
      </c>
    </row>
    <row r="47" spans="1:8" x14ac:dyDescent="0.35">
      <c r="B47" s="3" t="s">
        <v>0</v>
      </c>
      <c r="C47" s="3" t="s">
        <v>187</v>
      </c>
      <c r="D47" s="3" t="s">
        <v>188</v>
      </c>
      <c r="E47" s="3" t="s">
        <v>189</v>
      </c>
      <c r="F47" s="3" t="s">
        <v>101</v>
      </c>
      <c r="G47" s="3" t="s">
        <v>190</v>
      </c>
    </row>
    <row r="48" spans="1:8" x14ac:dyDescent="0.35">
      <c r="B48" s="2">
        <v>5</v>
      </c>
      <c r="C48" s="26">
        <v>3.1</v>
      </c>
      <c r="D48" s="26">
        <v>13.34</v>
      </c>
      <c r="E48" s="26">
        <v>1.5</v>
      </c>
      <c r="F48" s="26">
        <f>SUM(C48:E48)</f>
        <v>17.940000000000001</v>
      </c>
      <c r="G48" s="26">
        <f>F48/B48</f>
        <v>3.5880000000000001</v>
      </c>
      <c r="H48" s="26"/>
    </row>
    <row r="49" spans="1:8" x14ac:dyDescent="0.35">
      <c r="B49" s="2">
        <v>10</v>
      </c>
      <c r="C49" s="26">
        <v>6.1</v>
      </c>
      <c r="D49" s="26">
        <v>14.32</v>
      </c>
      <c r="E49" s="26">
        <v>1.5</v>
      </c>
      <c r="F49" s="26">
        <f t="shared" ref="F49:F54" si="6">SUM(C49:E49)</f>
        <v>21.92</v>
      </c>
      <c r="G49" s="27">
        <f t="shared" ref="G49:G54" si="7">F49/B49</f>
        <v>2.1920000000000002</v>
      </c>
      <c r="H49" s="26"/>
    </row>
    <row r="50" spans="1:8" x14ac:dyDescent="0.35">
      <c r="B50" s="2">
        <v>20</v>
      </c>
      <c r="C50" s="26">
        <v>6</v>
      </c>
      <c r="D50" s="26">
        <v>16.25</v>
      </c>
      <c r="E50" s="26">
        <v>11.27</v>
      </c>
      <c r="F50" s="26">
        <f t="shared" si="6"/>
        <v>33.519999999999996</v>
      </c>
      <c r="G50" s="26">
        <f t="shared" si="7"/>
        <v>1.6759999999999997</v>
      </c>
      <c r="H50" s="26"/>
    </row>
    <row r="51" spans="1:8" x14ac:dyDescent="0.35">
      <c r="B51" s="2">
        <v>30</v>
      </c>
      <c r="C51" s="26">
        <v>6.4</v>
      </c>
      <c r="D51" s="26">
        <v>18.2</v>
      </c>
      <c r="E51" s="26">
        <v>13.81</v>
      </c>
      <c r="F51" s="26">
        <f t="shared" si="6"/>
        <v>38.410000000000004</v>
      </c>
      <c r="G51" s="26">
        <f t="shared" si="7"/>
        <v>1.2803333333333335</v>
      </c>
      <c r="H51" s="26"/>
    </row>
    <row r="52" spans="1:8" x14ac:dyDescent="0.35">
      <c r="B52" s="2">
        <v>50</v>
      </c>
      <c r="C52" s="26"/>
      <c r="D52" s="26"/>
      <c r="E52" s="26"/>
      <c r="F52" s="26">
        <f t="shared" si="6"/>
        <v>0</v>
      </c>
      <c r="G52" s="26">
        <f t="shared" si="7"/>
        <v>0</v>
      </c>
      <c r="H52" s="26"/>
    </row>
    <row r="53" spans="1:8" x14ac:dyDescent="0.35">
      <c r="B53" s="2">
        <v>100</v>
      </c>
      <c r="C53" s="26"/>
      <c r="D53" s="26"/>
      <c r="E53" s="26"/>
      <c r="F53" s="26">
        <f t="shared" si="6"/>
        <v>0</v>
      </c>
      <c r="G53" s="26">
        <f t="shared" si="7"/>
        <v>0</v>
      </c>
      <c r="H53" s="26"/>
    </row>
    <row r="54" spans="1:8" x14ac:dyDescent="0.35">
      <c r="B54" s="2">
        <v>200</v>
      </c>
      <c r="C54" s="26"/>
      <c r="D54" s="26"/>
      <c r="E54" s="26"/>
      <c r="F54" s="26">
        <f t="shared" si="6"/>
        <v>0</v>
      </c>
      <c r="G54" s="26">
        <f t="shared" si="7"/>
        <v>0</v>
      </c>
      <c r="H54" s="26"/>
    </row>
    <row r="62" spans="1:8" x14ac:dyDescent="0.35">
      <c r="B62" s="3"/>
      <c r="C62" s="3"/>
      <c r="D62" s="3"/>
      <c r="E62" s="3"/>
      <c r="F62" s="3"/>
    </row>
    <row r="63" spans="1:8" x14ac:dyDescent="0.35">
      <c r="A63" s="3">
        <v>103</v>
      </c>
      <c r="B63" s="1" t="s">
        <v>194</v>
      </c>
    </row>
    <row r="64" spans="1:8" x14ac:dyDescent="0.35">
      <c r="B64" s="3" t="s">
        <v>0</v>
      </c>
      <c r="C64" s="3" t="s">
        <v>187</v>
      </c>
      <c r="D64" s="3" t="s">
        <v>188</v>
      </c>
      <c r="E64" s="3" t="s">
        <v>189</v>
      </c>
      <c r="F64" s="3" t="s">
        <v>101</v>
      </c>
      <c r="G64" s="3" t="s">
        <v>190</v>
      </c>
    </row>
    <row r="65" spans="1:8" x14ac:dyDescent="0.35">
      <c r="B65" s="2">
        <v>5</v>
      </c>
      <c r="C65" s="26">
        <v>9.3000000000000007</v>
      </c>
      <c r="D65" s="26">
        <v>0</v>
      </c>
      <c r="E65" s="26">
        <v>1.5</v>
      </c>
      <c r="F65" s="26">
        <f>SUM(C65:E65)</f>
        <v>10.8</v>
      </c>
      <c r="G65" s="26">
        <f>F65/B65</f>
        <v>2.16</v>
      </c>
      <c r="H65" s="26"/>
    </row>
    <row r="66" spans="1:8" x14ac:dyDescent="0.35">
      <c r="B66" s="2">
        <v>10</v>
      </c>
      <c r="C66" s="26">
        <v>13.5</v>
      </c>
      <c r="D66" s="26">
        <v>0</v>
      </c>
      <c r="E66" s="26">
        <v>13.76</v>
      </c>
      <c r="F66" s="26">
        <f t="shared" ref="F66:F71" si="8">SUM(C66:E66)</f>
        <v>27.259999999999998</v>
      </c>
      <c r="G66" s="27">
        <f t="shared" ref="G66:G71" si="9">F66/B66</f>
        <v>2.726</v>
      </c>
      <c r="H66" s="26"/>
    </row>
    <row r="67" spans="1:8" x14ac:dyDescent="0.35">
      <c r="B67" s="2">
        <v>20</v>
      </c>
      <c r="C67" s="26">
        <v>21.8</v>
      </c>
      <c r="D67" s="26">
        <v>0</v>
      </c>
      <c r="E67" s="26">
        <v>20.05</v>
      </c>
      <c r="F67" s="26">
        <f t="shared" si="8"/>
        <v>41.85</v>
      </c>
      <c r="G67" s="26">
        <f t="shared" si="9"/>
        <v>2.0925000000000002</v>
      </c>
      <c r="H67" s="26"/>
    </row>
    <row r="68" spans="1:8" x14ac:dyDescent="0.35">
      <c r="B68" s="2">
        <v>30</v>
      </c>
      <c r="C68" s="26">
        <v>30.3</v>
      </c>
      <c r="D68" s="26">
        <v>0</v>
      </c>
      <c r="E68" s="26">
        <v>27.81</v>
      </c>
      <c r="F68" s="26">
        <f t="shared" si="8"/>
        <v>58.11</v>
      </c>
      <c r="G68" s="26">
        <f t="shared" si="9"/>
        <v>1.9370000000000001</v>
      </c>
      <c r="H68" s="26"/>
    </row>
    <row r="69" spans="1:8" x14ac:dyDescent="0.35">
      <c r="B69" s="2">
        <v>50</v>
      </c>
      <c r="C69" s="26"/>
      <c r="D69" s="26">
        <v>0</v>
      </c>
      <c r="E69" s="26"/>
      <c r="F69" s="26">
        <f t="shared" si="8"/>
        <v>0</v>
      </c>
      <c r="G69" s="26">
        <f t="shared" si="9"/>
        <v>0</v>
      </c>
      <c r="H69" s="26"/>
    </row>
    <row r="70" spans="1:8" x14ac:dyDescent="0.35">
      <c r="B70" s="2">
        <v>100</v>
      </c>
      <c r="C70" s="26"/>
      <c r="D70" s="26">
        <v>0</v>
      </c>
      <c r="E70" s="26"/>
      <c r="F70" s="26">
        <f t="shared" si="8"/>
        <v>0</v>
      </c>
      <c r="G70" s="26">
        <f t="shared" si="9"/>
        <v>0</v>
      </c>
      <c r="H70" s="26"/>
    </row>
    <row r="71" spans="1:8" x14ac:dyDescent="0.35">
      <c r="B71" s="2">
        <v>200</v>
      </c>
      <c r="C71" s="26"/>
      <c r="D71" s="26">
        <v>0</v>
      </c>
      <c r="E71" s="26"/>
      <c r="F71" s="26">
        <f t="shared" si="8"/>
        <v>0</v>
      </c>
      <c r="G71" s="26">
        <f t="shared" si="9"/>
        <v>0</v>
      </c>
      <c r="H71" s="26"/>
    </row>
    <row r="79" spans="1:8" x14ac:dyDescent="0.35">
      <c r="B79" s="3"/>
      <c r="C79" s="3"/>
      <c r="D79" s="3"/>
      <c r="E79" s="3"/>
      <c r="F79" s="3"/>
    </row>
    <row r="80" spans="1:8" x14ac:dyDescent="0.35">
      <c r="A80" s="3">
        <v>104</v>
      </c>
      <c r="B80" s="1" t="s">
        <v>171</v>
      </c>
    </row>
    <row r="81" spans="2:8" x14ac:dyDescent="0.35">
      <c r="B81" s="3" t="s">
        <v>0</v>
      </c>
      <c r="C81" s="3" t="s">
        <v>187</v>
      </c>
      <c r="D81" s="3" t="s">
        <v>188</v>
      </c>
      <c r="E81" s="3" t="s">
        <v>189</v>
      </c>
      <c r="F81" s="3" t="s">
        <v>101</v>
      </c>
      <c r="G81" s="3" t="s">
        <v>190</v>
      </c>
    </row>
    <row r="82" spans="2:8" x14ac:dyDescent="0.35">
      <c r="B82" s="2">
        <v>5</v>
      </c>
      <c r="C82" s="26">
        <v>23.5</v>
      </c>
      <c r="D82" s="26">
        <v>23.2</v>
      </c>
      <c r="E82" s="26">
        <v>20.22</v>
      </c>
      <c r="F82" s="26">
        <f>SUM(C82:E82)</f>
        <v>66.92</v>
      </c>
      <c r="G82" s="26">
        <f>F82/B82</f>
        <v>13.384</v>
      </c>
      <c r="H82" s="26"/>
    </row>
    <row r="83" spans="2:8" x14ac:dyDescent="0.35">
      <c r="B83" s="2">
        <v>10</v>
      </c>
      <c r="C83" s="26">
        <v>27.2</v>
      </c>
      <c r="D83" s="26">
        <v>26.61</v>
      </c>
      <c r="E83" s="26">
        <v>30.08</v>
      </c>
      <c r="F83" s="26">
        <f t="shared" ref="F83:F88" si="10">SUM(C83:E83)</f>
        <v>83.89</v>
      </c>
      <c r="G83" s="27">
        <f t="shared" ref="G83:G88" si="11">F83/B83</f>
        <v>8.3889999999999993</v>
      </c>
      <c r="H83" s="26"/>
    </row>
    <row r="84" spans="2:8" x14ac:dyDescent="0.35">
      <c r="B84" s="2">
        <v>20</v>
      </c>
      <c r="C84" s="26">
        <v>34.6</v>
      </c>
      <c r="D84" s="26">
        <v>34.47</v>
      </c>
      <c r="E84" s="26">
        <v>34.340000000000003</v>
      </c>
      <c r="F84" s="26">
        <f t="shared" si="10"/>
        <v>103.41</v>
      </c>
      <c r="G84" s="26">
        <f t="shared" si="11"/>
        <v>5.1704999999999997</v>
      </c>
      <c r="H84" s="26"/>
    </row>
    <row r="85" spans="2:8" x14ac:dyDescent="0.35">
      <c r="B85" s="2">
        <v>30</v>
      </c>
      <c r="C85" s="26">
        <v>42.1</v>
      </c>
      <c r="D85" s="26">
        <v>41.95</v>
      </c>
      <c r="E85" s="26">
        <v>38.590000000000003</v>
      </c>
      <c r="F85" s="26">
        <f t="shared" si="10"/>
        <v>122.64000000000001</v>
      </c>
      <c r="G85" s="26">
        <f t="shared" si="11"/>
        <v>4.0880000000000001</v>
      </c>
      <c r="H85" s="26"/>
    </row>
    <row r="86" spans="2:8" x14ac:dyDescent="0.35">
      <c r="B86" s="2">
        <v>50</v>
      </c>
      <c r="C86" s="26"/>
      <c r="D86" s="26">
        <v>0</v>
      </c>
      <c r="E86" s="26"/>
      <c r="F86" s="26">
        <f t="shared" si="10"/>
        <v>0</v>
      </c>
      <c r="G86" s="26">
        <f t="shared" si="11"/>
        <v>0</v>
      </c>
      <c r="H86" s="26"/>
    </row>
    <row r="87" spans="2:8" x14ac:dyDescent="0.35">
      <c r="B87" s="2">
        <v>100</v>
      </c>
      <c r="C87" s="26"/>
      <c r="D87" s="26">
        <v>0</v>
      </c>
      <c r="E87" s="26"/>
      <c r="F87" s="26">
        <f t="shared" si="10"/>
        <v>0</v>
      </c>
      <c r="G87" s="26">
        <f t="shared" si="11"/>
        <v>0</v>
      </c>
      <c r="H87" s="26"/>
    </row>
    <row r="88" spans="2:8" x14ac:dyDescent="0.35">
      <c r="B88" s="2">
        <v>200</v>
      </c>
      <c r="C88" s="26"/>
      <c r="D88" s="26">
        <v>0</v>
      </c>
      <c r="E88" s="26"/>
      <c r="F88" s="26">
        <f t="shared" si="10"/>
        <v>0</v>
      </c>
      <c r="G88" s="26">
        <f t="shared" si="11"/>
        <v>0</v>
      </c>
      <c r="H88" s="26"/>
    </row>
    <row r="97" spans="1:25" x14ac:dyDescent="0.35">
      <c r="A97" s="3" t="s">
        <v>192</v>
      </c>
      <c r="B97" s="1" t="s">
        <v>193</v>
      </c>
      <c r="R97" s="3" t="s">
        <v>192</v>
      </c>
      <c r="S97" s="1" t="s">
        <v>193</v>
      </c>
    </row>
    <row r="98" spans="1:25" x14ac:dyDescent="0.35">
      <c r="B98" s="3" t="s">
        <v>0</v>
      </c>
      <c r="C98" s="3" t="s">
        <v>187</v>
      </c>
      <c r="D98" s="3" t="s">
        <v>188</v>
      </c>
      <c r="E98" s="3" t="s">
        <v>189</v>
      </c>
      <c r="F98" s="3" t="s">
        <v>101</v>
      </c>
      <c r="G98" s="3" t="s">
        <v>190</v>
      </c>
      <c r="S98" s="3" t="s">
        <v>0</v>
      </c>
      <c r="T98" s="3" t="s">
        <v>187</v>
      </c>
      <c r="U98" s="3" t="s">
        <v>188</v>
      </c>
      <c r="V98" s="3" t="s">
        <v>189</v>
      </c>
      <c r="W98" s="3" t="s">
        <v>101</v>
      </c>
      <c r="X98" s="3" t="s">
        <v>190</v>
      </c>
    </row>
    <row r="99" spans="1:25" x14ac:dyDescent="0.35">
      <c r="B99" s="2">
        <v>5</v>
      </c>
      <c r="C99" s="26">
        <v>27.7</v>
      </c>
      <c r="D99" s="26">
        <v>0</v>
      </c>
      <c r="E99" s="26">
        <v>13.81</v>
      </c>
      <c r="F99" s="26">
        <f>SUM(C99:E99)</f>
        <v>41.51</v>
      </c>
      <c r="G99" s="26">
        <f>F99/B99</f>
        <v>8.3019999999999996</v>
      </c>
      <c r="H99" s="26"/>
      <c r="S99" s="2">
        <v>5</v>
      </c>
      <c r="T99" s="26">
        <v>27.7</v>
      </c>
      <c r="U99" s="26">
        <v>0</v>
      </c>
      <c r="V99" s="26">
        <v>17.8</v>
      </c>
      <c r="W99" s="26">
        <f>SUM(T99:V99)</f>
        <v>45.5</v>
      </c>
      <c r="X99" s="26">
        <f>W99/S99</f>
        <v>9.1</v>
      </c>
      <c r="Y99" s="26"/>
    </row>
    <row r="100" spans="1:25" x14ac:dyDescent="0.35">
      <c r="B100" s="2">
        <v>10</v>
      </c>
      <c r="C100" s="26">
        <v>35.6</v>
      </c>
      <c r="D100" s="26">
        <v>0</v>
      </c>
      <c r="E100" s="26">
        <v>21.16</v>
      </c>
      <c r="F100" s="26">
        <f t="shared" ref="F100:F105" si="12">SUM(C100:E100)</f>
        <v>56.760000000000005</v>
      </c>
      <c r="G100" s="27">
        <f t="shared" ref="G100:G105" si="13">F100/B100</f>
        <v>5.6760000000000002</v>
      </c>
      <c r="H100" s="26"/>
      <c r="S100" s="2">
        <v>10</v>
      </c>
      <c r="T100" s="26">
        <v>35.6</v>
      </c>
      <c r="U100" s="26">
        <v>0</v>
      </c>
      <c r="V100" s="26">
        <v>25.8</v>
      </c>
      <c r="W100" s="26">
        <f t="shared" ref="W100:W104" si="14">SUM(T100:V100)</f>
        <v>61.400000000000006</v>
      </c>
      <c r="X100" s="27">
        <f t="shared" ref="X100:X104" si="15">W100/S100</f>
        <v>6.1400000000000006</v>
      </c>
      <c r="Y100" s="26"/>
    </row>
    <row r="101" spans="1:25" x14ac:dyDescent="0.35">
      <c r="B101" s="2">
        <v>20</v>
      </c>
      <c r="C101" s="26">
        <v>51.5</v>
      </c>
      <c r="D101" s="26">
        <v>0</v>
      </c>
      <c r="E101" s="26">
        <v>30.08</v>
      </c>
      <c r="F101" s="26">
        <f t="shared" si="12"/>
        <v>81.58</v>
      </c>
      <c r="G101" s="26">
        <f t="shared" si="13"/>
        <v>4.0789999999999997</v>
      </c>
      <c r="H101" s="26"/>
      <c r="S101" s="2">
        <v>15</v>
      </c>
      <c r="T101" s="26">
        <v>43.5</v>
      </c>
      <c r="U101" s="26">
        <v>0</v>
      </c>
      <c r="V101" s="26">
        <v>25.8</v>
      </c>
      <c r="W101" s="26">
        <f t="shared" si="14"/>
        <v>69.3</v>
      </c>
      <c r="X101" s="26">
        <f t="shared" si="15"/>
        <v>4.62</v>
      </c>
      <c r="Y101" s="26"/>
    </row>
    <row r="102" spans="1:25" x14ac:dyDescent="0.35">
      <c r="B102" s="2">
        <v>30</v>
      </c>
      <c r="C102" s="26">
        <v>67.3</v>
      </c>
      <c r="D102" s="26">
        <v>0</v>
      </c>
      <c r="E102" s="26">
        <v>34.340000000000003</v>
      </c>
      <c r="F102" s="26">
        <f t="shared" si="12"/>
        <v>101.64</v>
      </c>
      <c r="G102" s="26">
        <f t="shared" si="13"/>
        <v>3.3879999999999999</v>
      </c>
      <c r="H102" s="26"/>
      <c r="S102" s="2">
        <v>20</v>
      </c>
      <c r="T102" s="26">
        <v>51.4</v>
      </c>
      <c r="U102" s="26">
        <v>0</v>
      </c>
      <c r="V102" s="26">
        <v>42.63</v>
      </c>
      <c r="W102" s="26">
        <f t="shared" si="14"/>
        <v>94.03</v>
      </c>
      <c r="X102" s="26">
        <f t="shared" si="15"/>
        <v>4.7015000000000002</v>
      </c>
      <c r="Y102" s="26"/>
    </row>
    <row r="103" spans="1:25" x14ac:dyDescent="0.35">
      <c r="B103" s="2">
        <v>50</v>
      </c>
      <c r="C103" s="26">
        <v>80.8</v>
      </c>
      <c r="D103" s="26">
        <v>0</v>
      </c>
      <c r="E103" s="26">
        <v>50.35</v>
      </c>
      <c r="F103" s="26">
        <f t="shared" si="12"/>
        <v>131.15</v>
      </c>
      <c r="G103" s="26">
        <f t="shared" si="13"/>
        <v>2.6230000000000002</v>
      </c>
      <c r="H103" s="26"/>
      <c r="S103" s="2">
        <v>25</v>
      </c>
      <c r="T103" s="26">
        <v>59.2</v>
      </c>
      <c r="U103" s="26">
        <v>0</v>
      </c>
      <c r="V103" s="26">
        <v>43.25</v>
      </c>
      <c r="W103" s="26">
        <f t="shared" si="14"/>
        <v>102.45</v>
      </c>
      <c r="X103" s="26">
        <f t="shared" si="15"/>
        <v>4.0979999999999999</v>
      </c>
      <c r="Y103" s="26"/>
    </row>
    <row r="104" spans="1:25" x14ac:dyDescent="0.35">
      <c r="B104" s="2">
        <v>100</v>
      </c>
      <c r="C104" s="26">
        <v>133.5</v>
      </c>
      <c r="D104" s="26">
        <v>0</v>
      </c>
      <c r="E104" s="26">
        <v>74.83</v>
      </c>
      <c r="F104" s="26">
        <f t="shared" si="12"/>
        <v>208.32999999999998</v>
      </c>
      <c r="G104" s="26">
        <f t="shared" si="13"/>
        <v>2.0832999999999999</v>
      </c>
      <c r="H104" s="26"/>
      <c r="S104" s="2">
        <v>30</v>
      </c>
      <c r="T104" s="26">
        <v>67.099999999999994</v>
      </c>
      <c r="U104" s="26">
        <v>0</v>
      </c>
      <c r="V104" s="26">
        <v>43.25</v>
      </c>
      <c r="W104" s="26">
        <f t="shared" si="14"/>
        <v>110.35</v>
      </c>
      <c r="X104" s="26">
        <f t="shared" si="15"/>
        <v>3.6783333333333332</v>
      </c>
      <c r="Y104" s="26"/>
    </row>
    <row r="105" spans="1:25" x14ac:dyDescent="0.35">
      <c r="B105" s="2">
        <v>200</v>
      </c>
      <c r="C105" s="26">
        <v>238.7</v>
      </c>
      <c r="D105" s="26">
        <v>0</v>
      </c>
      <c r="E105" s="26">
        <v>138.56</v>
      </c>
      <c r="F105" s="26">
        <f t="shared" si="12"/>
        <v>377.26</v>
      </c>
      <c r="G105" s="26">
        <f t="shared" si="13"/>
        <v>1.8862999999999999</v>
      </c>
      <c r="H105" s="26"/>
      <c r="S105" s="2"/>
      <c r="T105" s="26"/>
      <c r="U105" s="26"/>
      <c r="V105" s="26"/>
      <c r="W105" s="26"/>
      <c r="X105" s="26"/>
      <c r="Y105" s="26"/>
    </row>
    <row r="114" spans="1:25" x14ac:dyDescent="0.35">
      <c r="A114" s="3">
        <v>107</v>
      </c>
      <c r="B114" s="1" t="s">
        <v>174</v>
      </c>
      <c r="R114" s="3">
        <v>107</v>
      </c>
      <c r="S114" s="1" t="s">
        <v>174</v>
      </c>
    </row>
    <row r="115" spans="1:25" x14ac:dyDescent="0.35">
      <c r="B115" s="3" t="s">
        <v>0</v>
      </c>
      <c r="C115" s="3" t="s">
        <v>187</v>
      </c>
      <c r="D115" s="3" t="s">
        <v>188</v>
      </c>
      <c r="E115" s="3" t="s">
        <v>189</v>
      </c>
      <c r="F115" s="3" t="s">
        <v>101</v>
      </c>
      <c r="G115" s="3" t="s">
        <v>190</v>
      </c>
      <c r="S115" s="3" t="s">
        <v>0</v>
      </c>
      <c r="T115" s="3" t="s">
        <v>187</v>
      </c>
      <c r="U115" s="3" t="s">
        <v>188</v>
      </c>
      <c r="V115" s="3" t="s">
        <v>189</v>
      </c>
      <c r="W115" s="3" t="s">
        <v>101</v>
      </c>
      <c r="X115" s="3" t="s">
        <v>190</v>
      </c>
    </row>
    <row r="116" spans="1:25" x14ac:dyDescent="0.35">
      <c r="B116" s="2">
        <v>5</v>
      </c>
      <c r="C116" s="26">
        <v>3.2</v>
      </c>
      <c r="D116" s="26">
        <v>0</v>
      </c>
      <c r="E116" s="26">
        <v>1.5</v>
      </c>
      <c r="F116" s="26">
        <f>SUM(C116:E116)</f>
        <v>4.7</v>
      </c>
      <c r="G116" s="26">
        <f>F116/B116</f>
        <v>0.94000000000000006</v>
      </c>
      <c r="H116" s="26"/>
      <c r="S116" s="2">
        <v>5</v>
      </c>
      <c r="T116" s="26">
        <v>3.2</v>
      </c>
      <c r="U116" s="26">
        <v>0</v>
      </c>
      <c r="V116" s="26">
        <v>17.8</v>
      </c>
      <c r="W116" s="26">
        <f>SUM(T116:V116)</f>
        <v>21</v>
      </c>
      <c r="X116" s="26">
        <f>W116/S116</f>
        <v>4.2</v>
      </c>
      <c r="Y116" s="26"/>
    </row>
    <row r="117" spans="1:25" x14ac:dyDescent="0.35">
      <c r="B117" s="2">
        <v>10</v>
      </c>
      <c r="C117" s="26">
        <v>6.4</v>
      </c>
      <c r="D117" s="26">
        <v>0</v>
      </c>
      <c r="E117" s="26">
        <v>13.3</v>
      </c>
      <c r="F117" s="26">
        <f t="shared" ref="F117:F122" si="16">SUM(C117:E117)</f>
        <v>19.700000000000003</v>
      </c>
      <c r="G117" s="27">
        <f t="shared" ref="G117:G122" si="17">F117/B117</f>
        <v>1.9700000000000002</v>
      </c>
      <c r="H117" s="26"/>
      <c r="S117" s="2">
        <v>10</v>
      </c>
      <c r="T117" s="26">
        <v>6.4</v>
      </c>
      <c r="U117" s="26">
        <v>0</v>
      </c>
      <c r="V117" s="26">
        <v>17.8</v>
      </c>
      <c r="W117" s="26">
        <f t="shared" ref="W117:W121" si="18">SUM(T117:V117)</f>
        <v>24.200000000000003</v>
      </c>
      <c r="X117" s="27">
        <f t="shared" ref="X117:X121" si="19">W117/S117</f>
        <v>2.4200000000000004</v>
      </c>
      <c r="Y117" s="26"/>
    </row>
    <row r="118" spans="1:25" x14ac:dyDescent="0.35">
      <c r="B118" s="2">
        <v>20</v>
      </c>
      <c r="C118" s="26">
        <v>17.5</v>
      </c>
      <c r="D118" s="26">
        <v>0</v>
      </c>
      <c r="E118" s="26">
        <v>19.89</v>
      </c>
      <c r="F118" s="26">
        <f t="shared" si="16"/>
        <v>37.39</v>
      </c>
      <c r="G118" s="26">
        <f t="shared" si="17"/>
        <v>1.8694999999999999</v>
      </c>
      <c r="H118" s="26"/>
      <c r="S118" s="2">
        <v>15</v>
      </c>
      <c r="T118" s="26">
        <v>14.3</v>
      </c>
      <c r="U118" s="26">
        <v>0</v>
      </c>
      <c r="V118" s="26">
        <v>25.8</v>
      </c>
      <c r="W118" s="26">
        <f t="shared" si="18"/>
        <v>40.1</v>
      </c>
      <c r="X118" s="26">
        <f t="shared" si="19"/>
        <v>2.6733333333333333</v>
      </c>
      <c r="Y118" s="26"/>
    </row>
    <row r="119" spans="1:25" x14ac:dyDescent="0.35">
      <c r="B119" s="2">
        <v>30</v>
      </c>
      <c r="C119" s="26">
        <v>23.6</v>
      </c>
      <c r="D119" s="26">
        <v>0</v>
      </c>
      <c r="E119" s="26">
        <v>25.04</v>
      </c>
      <c r="F119" s="26">
        <f t="shared" si="16"/>
        <v>48.64</v>
      </c>
      <c r="G119" s="26">
        <f t="shared" si="17"/>
        <v>1.6213333333333333</v>
      </c>
      <c r="H119" s="26"/>
      <c r="S119" s="2">
        <v>20</v>
      </c>
      <c r="T119" s="26">
        <v>17.5</v>
      </c>
      <c r="U119" s="26">
        <v>0</v>
      </c>
      <c r="V119" s="26">
        <v>25.8</v>
      </c>
      <c r="W119" s="26">
        <f t="shared" si="18"/>
        <v>43.3</v>
      </c>
      <c r="X119" s="26">
        <f t="shared" si="19"/>
        <v>2.165</v>
      </c>
      <c r="Y119" s="26"/>
    </row>
    <row r="120" spans="1:25" x14ac:dyDescent="0.35">
      <c r="B120" s="2">
        <v>50</v>
      </c>
      <c r="C120" s="26">
        <v>33.799999999999997</v>
      </c>
      <c r="D120" s="26">
        <v>0</v>
      </c>
      <c r="E120" s="26">
        <v>30.08</v>
      </c>
      <c r="F120" s="26">
        <f t="shared" si="16"/>
        <v>63.879999999999995</v>
      </c>
      <c r="G120" s="26">
        <f t="shared" si="17"/>
        <v>1.2775999999999998</v>
      </c>
      <c r="H120" s="26"/>
      <c r="S120" s="2">
        <v>25</v>
      </c>
      <c r="T120" s="26">
        <v>20.6</v>
      </c>
      <c r="U120" s="26">
        <v>0</v>
      </c>
      <c r="V120" s="26">
        <v>25.8</v>
      </c>
      <c r="W120" s="26">
        <f t="shared" si="18"/>
        <v>46.400000000000006</v>
      </c>
      <c r="X120" s="26">
        <f t="shared" si="19"/>
        <v>1.8560000000000003</v>
      </c>
      <c r="Y120" s="26"/>
    </row>
    <row r="121" spans="1:25" x14ac:dyDescent="0.35">
      <c r="B121" s="2">
        <v>100</v>
      </c>
      <c r="C121" s="26">
        <v>52.7</v>
      </c>
      <c r="D121" s="26">
        <v>0</v>
      </c>
      <c r="E121" s="26">
        <v>43.84</v>
      </c>
      <c r="F121" s="26">
        <f t="shared" si="16"/>
        <v>96.54</v>
      </c>
      <c r="G121" s="26">
        <f t="shared" si="17"/>
        <v>0.96540000000000004</v>
      </c>
      <c r="H121" s="26"/>
      <c r="S121" s="2">
        <v>30</v>
      </c>
      <c r="T121" s="26">
        <v>23.6</v>
      </c>
      <c r="U121" s="26">
        <v>0</v>
      </c>
      <c r="V121" s="26">
        <v>25.8</v>
      </c>
      <c r="W121" s="26">
        <f t="shared" si="18"/>
        <v>49.400000000000006</v>
      </c>
      <c r="X121" s="26">
        <f t="shared" si="19"/>
        <v>1.6466666666666669</v>
      </c>
      <c r="Y121" s="26"/>
    </row>
    <row r="122" spans="1:25" x14ac:dyDescent="0.35">
      <c r="B122" s="2">
        <v>200</v>
      </c>
      <c r="C122" s="26">
        <v>90.7</v>
      </c>
      <c r="D122" s="26">
        <v>0</v>
      </c>
      <c r="E122" s="26">
        <v>74.83</v>
      </c>
      <c r="F122" s="26">
        <f t="shared" si="16"/>
        <v>165.53</v>
      </c>
      <c r="G122" s="26">
        <f t="shared" si="17"/>
        <v>0.82765</v>
      </c>
      <c r="H122" s="26"/>
      <c r="S122" s="2"/>
      <c r="T122" s="26"/>
      <c r="U122" s="26"/>
      <c r="V122" s="26"/>
      <c r="W122" s="26"/>
      <c r="X122" s="26"/>
      <c r="Y122" s="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Bill of Materials</vt:lpstr>
      <vt:lpstr>E1 BOM by bag</vt:lpstr>
      <vt:lpstr>Accessory BOM by bag</vt:lpstr>
      <vt:lpstr>Materials by UPN</vt:lpstr>
      <vt:lpstr>make parts cost by 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Wiley</dc:creator>
  <cp:lastModifiedBy>George Wiley</cp:lastModifiedBy>
  <cp:lastPrinted>2024-05-05T16:44:10Z</cp:lastPrinted>
  <dcterms:created xsi:type="dcterms:W3CDTF">2023-08-11T05:23:19Z</dcterms:created>
  <dcterms:modified xsi:type="dcterms:W3CDTF">2024-05-10T18:11:38Z</dcterms:modified>
</cp:coreProperties>
</file>