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2\General\Money\"/>
    </mc:Choice>
  </mc:AlternateContent>
  <xr:revisionPtr revIDLastSave="0" documentId="13_ncr:1_{8A6664D3-686C-493C-9620-F00E00CEFA83}" xr6:coauthVersionLast="47" xr6:coauthVersionMax="47" xr10:uidLastSave="{00000000-0000-0000-0000-000000000000}"/>
  <bookViews>
    <workbookView xWindow="-120" yWindow="-120" windowWidth="29040" windowHeight="15840" activeTab="3" xr2:uid="{08B05FCC-092A-4910-B49C-4FF478D4C3CB}"/>
  </bookViews>
  <sheets>
    <sheet name="Sheet1" sheetId="1" r:id="rId1"/>
    <sheet name="Sheet1 (2)" sheetId="2" r:id="rId2"/>
    <sheet name="Sheet3" sheetId="4" r:id="rId3"/>
    <sheet name="Sheet3 (2)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5" l="1"/>
  <c r="D39" i="5"/>
  <c r="F53" i="5" s="1"/>
  <c r="D40" i="5"/>
  <c r="D41" i="5"/>
  <c r="D42" i="5" s="1"/>
  <c r="E42" i="5"/>
  <c r="F42" i="5"/>
  <c r="G42" i="5"/>
  <c r="H42" i="5"/>
  <c r="I42" i="5"/>
  <c r="J42" i="5"/>
  <c r="K42" i="5"/>
  <c r="L42" i="5"/>
  <c r="M42" i="5"/>
  <c r="N42" i="5"/>
  <c r="O42" i="5"/>
  <c r="P42" i="5"/>
  <c r="D50" i="5"/>
  <c r="D51" i="5" s="1"/>
  <c r="D52" i="5"/>
  <c r="D53" i="5"/>
  <c r="D54" i="5" s="1"/>
  <c r="E54" i="5"/>
  <c r="F54" i="5"/>
  <c r="G54" i="5"/>
  <c r="H54" i="5"/>
  <c r="I54" i="5"/>
  <c r="J54" i="5"/>
  <c r="K54" i="5"/>
  <c r="L54" i="5"/>
  <c r="M54" i="5"/>
  <c r="N54" i="5"/>
  <c r="O54" i="5"/>
  <c r="P54" i="5"/>
  <c r="D62" i="5"/>
  <c r="D63" i="5" s="1"/>
  <c r="J77" i="5" s="1"/>
  <c r="D64" i="5"/>
  <c r="D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D74" i="5"/>
  <c r="D75" i="5" s="1"/>
  <c r="D76" i="5"/>
  <c r="D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D86" i="5"/>
  <c r="D87" i="5" s="1"/>
  <c r="D88" i="5"/>
  <c r="D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D98" i="5"/>
  <c r="D99" i="5" s="1"/>
  <c r="D100" i="5"/>
  <c r="D101" i="5"/>
  <c r="D102" i="5" s="1"/>
  <c r="E102" i="5"/>
  <c r="F102" i="5"/>
  <c r="G102" i="5"/>
  <c r="H102" i="5"/>
  <c r="I102" i="5"/>
  <c r="J102" i="5"/>
  <c r="K102" i="5"/>
  <c r="L102" i="5"/>
  <c r="M102" i="5"/>
  <c r="N102" i="5"/>
  <c r="O102" i="5"/>
  <c r="P102" i="5"/>
  <c r="D110" i="5"/>
  <c r="D111" i="5" s="1"/>
  <c r="F125" i="5" s="1"/>
  <c r="D112" i="5"/>
  <c r="D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D122" i="5"/>
  <c r="D123" i="5" s="1"/>
  <c r="D124" i="5"/>
  <c r="D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D134" i="5"/>
  <c r="D135" i="5" s="1"/>
  <c r="D136" i="5"/>
  <c r="D137" i="5"/>
  <c r="D138" i="5" s="1"/>
  <c r="E138" i="5"/>
  <c r="F138" i="5"/>
  <c r="G138" i="5"/>
  <c r="H138" i="5"/>
  <c r="I138" i="5"/>
  <c r="J138" i="5"/>
  <c r="K138" i="5"/>
  <c r="L138" i="5"/>
  <c r="M138" i="5"/>
  <c r="N138" i="5"/>
  <c r="O138" i="5"/>
  <c r="P138" i="5"/>
  <c r="D146" i="5"/>
  <c r="D147" i="5" s="1"/>
  <c r="D148" i="5"/>
  <c r="D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D158" i="5"/>
  <c r="D159" i="5" s="1"/>
  <c r="D160" i="5"/>
  <c r="D161" i="5"/>
  <c r="D162" i="5" s="1"/>
  <c r="E162" i="5"/>
  <c r="F162" i="5"/>
  <c r="G162" i="5"/>
  <c r="H162" i="5"/>
  <c r="I162" i="5"/>
  <c r="J162" i="5"/>
  <c r="K162" i="5"/>
  <c r="L162" i="5"/>
  <c r="M162" i="5"/>
  <c r="N162" i="5"/>
  <c r="O162" i="5"/>
  <c r="P162" i="5"/>
  <c r="D170" i="5"/>
  <c r="D171" i="5" s="1"/>
  <c r="J185" i="5" s="1"/>
  <c r="D172" i="5"/>
  <c r="D173" i="5"/>
  <c r="D174" i="5" s="1"/>
  <c r="E174" i="5"/>
  <c r="F174" i="5"/>
  <c r="G174" i="5"/>
  <c r="H174" i="5"/>
  <c r="I174" i="5"/>
  <c r="J174" i="5"/>
  <c r="K174" i="5"/>
  <c r="L174" i="5"/>
  <c r="M174" i="5"/>
  <c r="N174" i="5"/>
  <c r="O174" i="5"/>
  <c r="P174" i="5"/>
  <c r="D182" i="5"/>
  <c r="D183" i="5" s="1"/>
  <c r="L197" i="5" s="1"/>
  <c r="D184" i="5"/>
  <c r="D185" i="5"/>
  <c r="D186" i="5" s="1"/>
  <c r="E186" i="5"/>
  <c r="F186" i="5"/>
  <c r="G186" i="5"/>
  <c r="H186" i="5"/>
  <c r="I186" i="5"/>
  <c r="J186" i="5"/>
  <c r="K186" i="5"/>
  <c r="L186" i="5"/>
  <c r="M186" i="5"/>
  <c r="N186" i="5"/>
  <c r="O186" i="5"/>
  <c r="P186" i="5"/>
  <c r="D194" i="5"/>
  <c r="D195" i="5" s="1"/>
  <c r="D196" i="5"/>
  <c r="D197" i="5"/>
  <c r="D198" i="5" s="1"/>
  <c r="E198" i="5"/>
  <c r="F198" i="5"/>
  <c r="G198" i="5"/>
  <c r="H198" i="5"/>
  <c r="I198" i="5"/>
  <c r="J198" i="5"/>
  <c r="K198" i="5"/>
  <c r="L198" i="5"/>
  <c r="M198" i="5"/>
  <c r="N198" i="5"/>
  <c r="O198" i="5"/>
  <c r="P198" i="5"/>
  <c r="D206" i="5"/>
  <c r="D207" i="5" s="1"/>
  <c r="D208" i="5"/>
  <c r="D209" i="5"/>
  <c r="D210" i="5" s="1"/>
  <c r="E210" i="5"/>
  <c r="F210" i="5"/>
  <c r="G210" i="5"/>
  <c r="H210" i="5"/>
  <c r="I210" i="5"/>
  <c r="J210" i="5"/>
  <c r="K210" i="5"/>
  <c r="L210" i="5"/>
  <c r="M210" i="5"/>
  <c r="N210" i="5"/>
  <c r="O210" i="5"/>
  <c r="P210" i="5"/>
  <c r="D218" i="5"/>
  <c r="D219" i="5" s="1"/>
  <c r="D220" i="5"/>
  <c r="D221" i="5"/>
  <c r="D222" i="5" s="1"/>
  <c r="F221" i="5"/>
  <c r="J221" i="5"/>
  <c r="N221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D230" i="5"/>
  <c r="D231" i="5" s="1"/>
  <c r="L245" i="5" s="1"/>
  <c r="D232" i="5"/>
  <c r="D233" i="5"/>
  <c r="D234" i="5" s="1"/>
  <c r="E234" i="5"/>
  <c r="F234" i="5"/>
  <c r="G234" i="5"/>
  <c r="H234" i="5"/>
  <c r="I234" i="5"/>
  <c r="J234" i="5"/>
  <c r="K234" i="5"/>
  <c r="L234" i="5"/>
  <c r="M234" i="5"/>
  <c r="N234" i="5"/>
  <c r="O234" i="5"/>
  <c r="P234" i="5"/>
  <c r="D242" i="5"/>
  <c r="D243" i="5" s="1"/>
  <c r="F257" i="5" s="1"/>
  <c r="D244" i="5"/>
  <c r="D245" i="5"/>
  <c r="D246" i="5" s="1"/>
  <c r="E246" i="5"/>
  <c r="F246" i="5"/>
  <c r="G246" i="5"/>
  <c r="H246" i="5"/>
  <c r="I246" i="5"/>
  <c r="J246" i="5"/>
  <c r="K246" i="5"/>
  <c r="L246" i="5"/>
  <c r="M246" i="5"/>
  <c r="N246" i="5"/>
  <c r="O246" i="5"/>
  <c r="P246" i="5"/>
  <c r="D254" i="5"/>
  <c r="D255" i="5" s="1"/>
  <c r="J269" i="5" s="1"/>
  <c r="D256" i="5"/>
  <c r="D257" i="5"/>
  <c r="D258" i="5" s="1"/>
  <c r="E258" i="5"/>
  <c r="F258" i="5"/>
  <c r="G258" i="5"/>
  <c r="H258" i="5"/>
  <c r="I258" i="5"/>
  <c r="J258" i="5"/>
  <c r="K258" i="5"/>
  <c r="L258" i="5"/>
  <c r="M258" i="5"/>
  <c r="N258" i="5"/>
  <c r="O258" i="5"/>
  <c r="P258" i="5"/>
  <c r="D266" i="5"/>
  <c r="D267" i="5" s="1"/>
  <c r="D268" i="5"/>
  <c r="D269" i="5"/>
  <c r="D270" i="5" s="1"/>
  <c r="E270" i="5"/>
  <c r="F270" i="5"/>
  <c r="G270" i="5"/>
  <c r="H270" i="5"/>
  <c r="I270" i="5"/>
  <c r="J270" i="5"/>
  <c r="K270" i="5"/>
  <c r="L270" i="5"/>
  <c r="M270" i="5"/>
  <c r="N270" i="5"/>
  <c r="O270" i="5"/>
  <c r="P270" i="5"/>
  <c r="D278" i="5"/>
  <c r="D279" i="5" s="1"/>
  <c r="L293" i="5" s="1"/>
  <c r="D280" i="5"/>
  <c r="D281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D290" i="5"/>
  <c r="D291" i="5" s="1"/>
  <c r="D292" i="5"/>
  <c r="D293" i="5"/>
  <c r="D294" i="5" s="1"/>
  <c r="N293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D302" i="5"/>
  <c r="D303" i="5" s="1"/>
  <c r="D304" i="5"/>
  <c r="D305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314" i="5"/>
  <c r="D315" i="5" s="1"/>
  <c r="D316" i="5"/>
  <c r="D317" i="5"/>
  <c r="D318" i="5" s="1"/>
  <c r="E318" i="5"/>
  <c r="F318" i="5"/>
  <c r="G318" i="5"/>
  <c r="H318" i="5"/>
  <c r="I318" i="5"/>
  <c r="J318" i="5"/>
  <c r="K318" i="5"/>
  <c r="L318" i="5"/>
  <c r="M318" i="5"/>
  <c r="N318" i="5"/>
  <c r="O318" i="5"/>
  <c r="P318" i="5"/>
  <c r="D326" i="5"/>
  <c r="D327" i="5" s="1"/>
  <c r="N341" i="5" s="1"/>
  <c r="D328" i="5"/>
  <c r="D329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D338" i="5"/>
  <c r="D339" i="5" s="1"/>
  <c r="G353" i="5" s="1"/>
  <c r="D340" i="5"/>
  <c r="D341" i="5"/>
  <c r="D342" i="5" s="1"/>
  <c r="E342" i="5"/>
  <c r="F342" i="5"/>
  <c r="G342" i="5"/>
  <c r="H342" i="5"/>
  <c r="I342" i="5"/>
  <c r="J342" i="5"/>
  <c r="K342" i="5"/>
  <c r="L342" i="5"/>
  <c r="M342" i="5"/>
  <c r="N342" i="5"/>
  <c r="O342" i="5"/>
  <c r="P342" i="5"/>
  <c r="D350" i="5"/>
  <c r="D351" i="5" s="1"/>
  <c r="L365" i="5" s="1"/>
  <c r="D352" i="5"/>
  <c r="D353" i="5"/>
  <c r="D354" i="5" s="1"/>
  <c r="E354" i="5"/>
  <c r="F354" i="5"/>
  <c r="G354" i="5"/>
  <c r="H354" i="5"/>
  <c r="I354" i="5"/>
  <c r="J354" i="5"/>
  <c r="K354" i="5"/>
  <c r="L354" i="5"/>
  <c r="M354" i="5"/>
  <c r="N354" i="5"/>
  <c r="O354" i="5"/>
  <c r="P354" i="5"/>
  <c r="D362" i="5"/>
  <c r="D363" i="5" s="1"/>
  <c r="D364" i="5"/>
  <c r="D365" i="5"/>
  <c r="D366" i="5" s="1"/>
  <c r="P365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P30" i="5"/>
  <c r="O30" i="5"/>
  <c r="N30" i="5"/>
  <c r="M30" i="5"/>
  <c r="L30" i="5"/>
  <c r="K30" i="5"/>
  <c r="J30" i="5"/>
  <c r="I30" i="5"/>
  <c r="H30" i="5"/>
  <c r="G30" i="5"/>
  <c r="F30" i="5"/>
  <c r="E30" i="5"/>
  <c r="D29" i="5"/>
  <c r="D30" i="5" s="1"/>
  <c r="D28" i="5"/>
  <c r="D26" i="5"/>
  <c r="D27" i="5" s="1"/>
  <c r="H41" i="5" s="1"/>
  <c r="B26" i="5"/>
  <c r="B38" i="5" s="1"/>
  <c r="D19" i="5"/>
  <c r="D20" i="5" s="1"/>
  <c r="P18" i="5"/>
  <c r="O18" i="5"/>
  <c r="N18" i="5"/>
  <c r="M18" i="5"/>
  <c r="L18" i="5"/>
  <c r="K18" i="5"/>
  <c r="J18" i="5"/>
  <c r="I18" i="5"/>
  <c r="H18" i="5"/>
  <c r="G18" i="5"/>
  <c r="F18" i="5"/>
  <c r="E18" i="5"/>
  <c r="D17" i="5"/>
  <c r="D18" i="5" s="1"/>
  <c r="D16" i="5"/>
  <c r="Q14" i="5"/>
  <c r="Q15" i="5" s="1"/>
  <c r="E14" i="5"/>
  <c r="E15" i="5" s="1"/>
  <c r="D14" i="5"/>
  <c r="D15" i="5" s="1"/>
  <c r="D8" i="5"/>
  <c r="E6" i="5"/>
  <c r="E8" i="5" s="1"/>
  <c r="E10" i="5" s="1"/>
  <c r="E12" i="5" s="1"/>
  <c r="E13" i="5" s="1"/>
  <c r="D6" i="5"/>
  <c r="D4" i="5"/>
  <c r="D4" i="4"/>
  <c r="J105" i="4" s="1"/>
  <c r="D106" i="4" s="1"/>
  <c r="D5" i="4"/>
  <c r="D6" i="4"/>
  <c r="D50" i="4"/>
  <c r="D51" i="4" s="1"/>
  <c r="D52" i="4"/>
  <c r="D53" i="4"/>
  <c r="D54" i="4" s="1"/>
  <c r="E54" i="4"/>
  <c r="F54" i="4"/>
  <c r="G54" i="4"/>
  <c r="H54" i="4"/>
  <c r="I54" i="4"/>
  <c r="J54" i="4"/>
  <c r="K54" i="4"/>
  <c r="L54" i="4"/>
  <c r="M54" i="4"/>
  <c r="N54" i="4"/>
  <c r="O54" i="4"/>
  <c r="P54" i="4"/>
  <c r="D62" i="4"/>
  <c r="D63" i="4" s="1"/>
  <c r="D64" i="4"/>
  <c r="D65" i="4"/>
  <c r="D66" i="4" s="1"/>
  <c r="E66" i="4"/>
  <c r="F66" i="4"/>
  <c r="G66" i="4"/>
  <c r="H66" i="4"/>
  <c r="I66" i="4"/>
  <c r="J66" i="4"/>
  <c r="K66" i="4"/>
  <c r="L66" i="4"/>
  <c r="M66" i="4"/>
  <c r="N66" i="4"/>
  <c r="O66" i="4"/>
  <c r="P66" i="4"/>
  <c r="D74" i="4"/>
  <c r="D75" i="4" s="1"/>
  <c r="P89" i="4" s="1"/>
  <c r="D76" i="4"/>
  <c r="D77" i="4"/>
  <c r="D78" i="4" s="1"/>
  <c r="E78" i="4"/>
  <c r="F78" i="4"/>
  <c r="G78" i="4"/>
  <c r="H78" i="4"/>
  <c r="I78" i="4"/>
  <c r="J78" i="4"/>
  <c r="K78" i="4"/>
  <c r="L78" i="4"/>
  <c r="M78" i="4"/>
  <c r="N78" i="4"/>
  <c r="O78" i="4"/>
  <c r="P78" i="4"/>
  <c r="D86" i="4"/>
  <c r="D87" i="4" s="1"/>
  <c r="L101" i="4" s="1"/>
  <c r="D88" i="4"/>
  <c r="D89" i="4"/>
  <c r="D90" i="4" s="1"/>
  <c r="N89" i="4"/>
  <c r="E90" i="4"/>
  <c r="F90" i="4"/>
  <c r="G90" i="4"/>
  <c r="H90" i="4"/>
  <c r="I90" i="4"/>
  <c r="J90" i="4"/>
  <c r="K90" i="4"/>
  <c r="L90" i="4"/>
  <c r="M90" i="4"/>
  <c r="N90" i="4"/>
  <c r="O90" i="4"/>
  <c r="P90" i="4"/>
  <c r="D98" i="4"/>
  <c r="D99" i="4" s="1"/>
  <c r="D100" i="4"/>
  <c r="D101" i="4"/>
  <c r="D102" i="4" s="1"/>
  <c r="E102" i="4"/>
  <c r="F102" i="4"/>
  <c r="G102" i="4"/>
  <c r="H102" i="4"/>
  <c r="I102" i="4"/>
  <c r="J102" i="4"/>
  <c r="K102" i="4"/>
  <c r="L102" i="4"/>
  <c r="M102" i="4"/>
  <c r="N102" i="4"/>
  <c r="O102" i="4"/>
  <c r="P102" i="4"/>
  <c r="D110" i="4"/>
  <c r="D111" i="4" s="1"/>
  <c r="N125" i="4" s="1"/>
  <c r="D112" i="4"/>
  <c r="D113" i="4"/>
  <c r="D114" i="4" s="1"/>
  <c r="E114" i="4"/>
  <c r="F114" i="4"/>
  <c r="G114" i="4"/>
  <c r="H114" i="4"/>
  <c r="I114" i="4"/>
  <c r="J114" i="4"/>
  <c r="K114" i="4"/>
  <c r="L114" i="4"/>
  <c r="M114" i="4"/>
  <c r="N114" i="4"/>
  <c r="O114" i="4"/>
  <c r="P114" i="4"/>
  <c r="D122" i="4"/>
  <c r="D123" i="4" s="1"/>
  <c r="L137" i="4" s="1"/>
  <c r="D124" i="4"/>
  <c r="D125" i="4"/>
  <c r="D126" i="4" s="1"/>
  <c r="E126" i="4"/>
  <c r="F126" i="4"/>
  <c r="G126" i="4"/>
  <c r="H126" i="4"/>
  <c r="I126" i="4"/>
  <c r="J126" i="4"/>
  <c r="K126" i="4"/>
  <c r="L126" i="4"/>
  <c r="M126" i="4"/>
  <c r="N126" i="4"/>
  <c r="O126" i="4"/>
  <c r="P126" i="4"/>
  <c r="D134" i="4"/>
  <c r="D135" i="4" s="1"/>
  <c r="D136" i="4"/>
  <c r="D137" i="4"/>
  <c r="D138" i="4" s="1"/>
  <c r="E138" i="4"/>
  <c r="F138" i="4"/>
  <c r="G138" i="4"/>
  <c r="H138" i="4"/>
  <c r="I138" i="4"/>
  <c r="J138" i="4"/>
  <c r="K138" i="4"/>
  <c r="L138" i="4"/>
  <c r="M138" i="4"/>
  <c r="N138" i="4"/>
  <c r="O138" i="4"/>
  <c r="P138" i="4"/>
  <c r="D146" i="4"/>
  <c r="D147" i="4" s="1"/>
  <c r="D148" i="4"/>
  <c r="D149" i="4"/>
  <c r="D150" i="4" s="1"/>
  <c r="E150" i="4"/>
  <c r="F150" i="4"/>
  <c r="G150" i="4"/>
  <c r="H150" i="4"/>
  <c r="I150" i="4"/>
  <c r="J150" i="4"/>
  <c r="K150" i="4"/>
  <c r="L150" i="4"/>
  <c r="M150" i="4"/>
  <c r="N150" i="4"/>
  <c r="O150" i="4"/>
  <c r="P150" i="4"/>
  <c r="D158" i="4"/>
  <c r="D159" i="4" s="1"/>
  <c r="F173" i="4" s="1"/>
  <c r="D160" i="4"/>
  <c r="D161" i="4"/>
  <c r="D162" i="4" s="1"/>
  <c r="E162" i="4"/>
  <c r="F162" i="4"/>
  <c r="G162" i="4"/>
  <c r="H162" i="4"/>
  <c r="I162" i="4"/>
  <c r="J162" i="4"/>
  <c r="K162" i="4"/>
  <c r="L162" i="4"/>
  <c r="M162" i="4"/>
  <c r="N162" i="4"/>
  <c r="O162" i="4"/>
  <c r="P162" i="4"/>
  <c r="D170" i="4"/>
  <c r="D171" i="4" s="1"/>
  <c r="F185" i="4" s="1"/>
  <c r="D172" i="4"/>
  <c r="D173" i="4"/>
  <c r="D174" i="4" s="1"/>
  <c r="E174" i="4"/>
  <c r="F174" i="4"/>
  <c r="G174" i="4"/>
  <c r="H174" i="4"/>
  <c r="I174" i="4"/>
  <c r="J174" i="4"/>
  <c r="K174" i="4"/>
  <c r="L174" i="4"/>
  <c r="M174" i="4"/>
  <c r="N174" i="4"/>
  <c r="O174" i="4"/>
  <c r="P174" i="4"/>
  <c r="D182" i="4"/>
  <c r="D183" i="4" s="1"/>
  <c r="D184" i="4"/>
  <c r="D185" i="4"/>
  <c r="D186" i="4" s="1"/>
  <c r="E186" i="4"/>
  <c r="F186" i="4"/>
  <c r="G186" i="4"/>
  <c r="H186" i="4"/>
  <c r="I186" i="4"/>
  <c r="J186" i="4"/>
  <c r="K186" i="4"/>
  <c r="L186" i="4"/>
  <c r="M186" i="4"/>
  <c r="N186" i="4"/>
  <c r="O186" i="4"/>
  <c r="P186" i="4"/>
  <c r="D194" i="4"/>
  <c r="D195" i="4" s="1"/>
  <c r="D196" i="4"/>
  <c r="D197" i="4"/>
  <c r="D198" i="4" s="1"/>
  <c r="E198" i="4"/>
  <c r="F198" i="4"/>
  <c r="G198" i="4"/>
  <c r="H198" i="4"/>
  <c r="I198" i="4"/>
  <c r="J198" i="4"/>
  <c r="K198" i="4"/>
  <c r="L198" i="4"/>
  <c r="M198" i="4"/>
  <c r="N198" i="4"/>
  <c r="O198" i="4"/>
  <c r="P198" i="4"/>
  <c r="D206" i="4"/>
  <c r="D207" i="4" s="1"/>
  <c r="G221" i="4" s="1"/>
  <c r="D208" i="4"/>
  <c r="D209" i="4"/>
  <c r="D210" i="4" s="1"/>
  <c r="E210" i="4"/>
  <c r="F210" i="4"/>
  <c r="G210" i="4"/>
  <c r="H210" i="4"/>
  <c r="I210" i="4"/>
  <c r="J210" i="4"/>
  <c r="K210" i="4"/>
  <c r="L210" i="4"/>
  <c r="M210" i="4"/>
  <c r="N210" i="4"/>
  <c r="O210" i="4"/>
  <c r="P210" i="4"/>
  <c r="D218" i="4"/>
  <c r="D219" i="4" s="1"/>
  <c r="D220" i="4"/>
  <c r="D221" i="4"/>
  <c r="D222" i="4" s="1"/>
  <c r="E222" i="4"/>
  <c r="F222" i="4"/>
  <c r="G222" i="4"/>
  <c r="H222" i="4"/>
  <c r="I222" i="4"/>
  <c r="J222" i="4"/>
  <c r="K222" i="4"/>
  <c r="L222" i="4"/>
  <c r="M222" i="4"/>
  <c r="N222" i="4"/>
  <c r="O222" i="4"/>
  <c r="P222" i="4"/>
  <c r="D230" i="4"/>
  <c r="D231" i="4" s="1"/>
  <c r="D232" i="4"/>
  <c r="D233" i="4"/>
  <c r="D234" i="4" s="1"/>
  <c r="E234" i="4"/>
  <c r="F234" i="4"/>
  <c r="G234" i="4"/>
  <c r="H234" i="4"/>
  <c r="I234" i="4"/>
  <c r="J234" i="4"/>
  <c r="K234" i="4"/>
  <c r="L234" i="4"/>
  <c r="M234" i="4"/>
  <c r="N234" i="4"/>
  <c r="O234" i="4"/>
  <c r="P234" i="4"/>
  <c r="D242" i="4"/>
  <c r="D243" i="4" s="1"/>
  <c r="J257" i="4" s="1"/>
  <c r="D244" i="4"/>
  <c r="D245" i="4"/>
  <c r="D246" i="4" s="1"/>
  <c r="E246" i="4"/>
  <c r="F246" i="4"/>
  <c r="G246" i="4"/>
  <c r="H246" i="4"/>
  <c r="I246" i="4"/>
  <c r="J246" i="4"/>
  <c r="K246" i="4"/>
  <c r="L246" i="4"/>
  <c r="M246" i="4"/>
  <c r="N246" i="4"/>
  <c r="O246" i="4"/>
  <c r="P246" i="4"/>
  <c r="D254" i="4"/>
  <c r="D255" i="4" s="1"/>
  <c r="D256" i="4"/>
  <c r="D257" i="4"/>
  <c r="D258" i="4" s="1"/>
  <c r="E258" i="4"/>
  <c r="F258" i="4"/>
  <c r="G258" i="4"/>
  <c r="H258" i="4"/>
  <c r="I258" i="4"/>
  <c r="J258" i="4"/>
  <c r="K258" i="4"/>
  <c r="L258" i="4"/>
  <c r="M258" i="4"/>
  <c r="N258" i="4"/>
  <c r="O258" i="4"/>
  <c r="P258" i="4"/>
  <c r="D266" i="4"/>
  <c r="D267" i="4" s="1"/>
  <c r="D268" i="4"/>
  <c r="D269" i="4"/>
  <c r="D270" i="4" s="1"/>
  <c r="E270" i="4"/>
  <c r="F270" i="4"/>
  <c r="G270" i="4"/>
  <c r="H270" i="4"/>
  <c r="I270" i="4"/>
  <c r="J270" i="4"/>
  <c r="K270" i="4"/>
  <c r="L270" i="4"/>
  <c r="M270" i="4"/>
  <c r="N270" i="4"/>
  <c r="O270" i="4"/>
  <c r="P270" i="4"/>
  <c r="D278" i="4"/>
  <c r="D279" i="4" s="1"/>
  <c r="M293" i="4" s="1"/>
  <c r="D280" i="4"/>
  <c r="D281" i="4"/>
  <c r="D282" i="4" s="1"/>
  <c r="E282" i="4"/>
  <c r="F282" i="4"/>
  <c r="G282" i="4"/>
  <c r="H282" i="4"/>
  <c r="I282" i="4"/>
  <c r="J282" i="4"/>
  <c r="K282" i="4"/>
  <c r="L282" i="4"/>
  <c r="M282" i="4"/>
  <c r="N282" i="4"/>
  <c r="O282" i="4"/>
  <c r="P282" i="4"/>
  <c r="D290" i="4"/>
  <c r="D291" i="4" s="1"/>
  <c r="K305" i="4" s="1"/>
  <c r="D292" i="4"/>
  <c r="D293" i="4"/>
  <c r="D294" i="4" s="1"/>
  <c r="E294" i="4"/>
  <c r="F294" i="4"/>
  <c r="G294" i="4"/>
  <c r="H294" i="4"/>
  <c r="I294" i="4"/>
  <c r="J294" i="4"/>
  <c r="K294" i="4"/>
  <c r="L294" i="4"/>
  <c r="M294" i="4"/>
  <c r="N294" i="4"/>
  <c r="O294" i="4"/>
  <c r="P294" i="4"/>
  <c r="D302" i="4"/>
  <c r="D303" i="4" s="1"/>
  <c r="D304" i="4"/>
  <c r="D305" i="4"/>
  <c r="D306" i="4" s="1"/>
  <c r="E306" i="4"/>
  <c r="F306" i="4"/>
  <c r="G306" i="4"/>
  <c r="H306" i="4"/>
  <c r="I306" i="4"/>
  <c r="J306" i="4"/>
  <c r="K306" i="4"/>
  <c r="L306" i="4"/>
  <c r="M306" i="4"/>
  <c r="N306" i="4"/>
  <c r="O306" i="4"/>
  <c r="P306" i="4"/>
  <c r="D314" i="4"/>
  <c r="D315" i="4" s="1"/>
  <c r="J329" i="4" s="1"/>
  <c r="D316" i="4"/>
  <c r="D317" i="4"/>
  <c r="D318" i="4" s="1"/>
  <c r="E318" i="4"/>
  <c r="F318" i="4"/>
  <c r="G318" i="4"/>
  <c r="H318" i="4"/>
  <c r="I318" i="4"/>
  <c r="J318" i="4"/>
  <c r="K318" i="4"/>
  <c r="L318" i="4"/>
  <c r="M318" i="4"/>
  <c r="N318" i="4"/>
  <c r="O318" i="4"/>
  <c r="P318" i="4"/>
  <c r="D326" i="4"/>
  <c r="D327" i="4" s="1"/>
  <c r="D328" i="4"/>
  <c r="D329" i="4"/>
  <c r="D330" i="4" s="1"/>
  <c r="E330" i="4"/>
  <c r="F330" i="4"/>
  <c r="G330" i="4"/>
  <c r="H330" i="4"/>
  <c r="I330" i="4"/>
  <c r="J330" i="4"/>
  <c r="K330" i="4"/>
  <c r="L330" i="4"/>
  <c r="M330" i="4"/>
  <c r="N330" i="4"/>
  <c r="O330" i="4"/>
  <c r="P330" i="4"/>
  <c r="D338" i="4"/>
  <c r="D339" i="4" s="1"/>
  <c r="J353" i="4" s="1"/>
  <c r="D340" i="4"/>
  <c r="D341" i="4"/>
  <c r="D342" i="4" s="1"/>
  <c r="E342" i="4"/>
  <c r="F342" i="4"/>
  <c r="G342" i="4"/>
  <c r="H342" i="4"/>
  <c r="I342" i="4"/>
  <c r="J342" i="4"/>
  <c r="K342" i="4"/>
  <c r="L342" i="4"/>
  <c r="M342" i="4"/>
  <c r="N342" i="4"/>
  <c r="O342" i="4"/>
  <c r="P342" i="4"/>
  <c r="D350" i="4"/>
  <c r="D351" i="4" s="1"/>
  <c r="D352" i="4"/>
  <c r="D353" i="4"/>
  <c r="D354" i="4" s="1"/>
  <c r="E354" i="4"/>
  <c r="F354" i="4"/>
  <c r="G354" i="4"/>
  <c r="H354" i="4"/>
  <c r="I354" i="4"/>
  <c r="J354" i="4"/>
  <c r="K354" i="4"/>
  <c r="L354" i="4"/>
  <c r="M354" i="4"/>
  <c r="N354" i="4"/>
  <c r="O354" i="4"/>
  <c r="P354" i="4"/>
  <c r="D362" i="4"/>
  <c r="D363" i="4" s="1"/>
  <c r="D364" i="4"/>
  <c r="D365" i="4"/>
  <c r="D366" i="4" s="1"/>
  <c r="E366" i="4"/>
  <c r="F366" i="4"/>
  <c r="G366" i="4"/>
  <c r="H366" i="4"/>
  <c r="I366" i="4"/>
  <c r="J366" i="4"/>
  <c r="K366" i="4"/>
  <c r="L366" i="4"/>
  <c r="M366" i="4"/>
  <c r="N366" i="4"/>
  <c r="O366" i="4"/>
  <c r="P366" i="4"/>
  <c r="D374" i="4"/>
  <c r="D375" i="4" s="1"/>
  <c r="D376" i="4"/>
  <c r="D377" i="4"/>
  <c r="D378" i="4" s="1"/>
  <c r="E378" i="4"/>
  <c r="F378" i="4"/>
  <c r="G378" i="4"/>
  <c r="H378" i="4"/>
  <c r="I378" i="4"/>
  <c r="J378" i="4"/>
  <c r="K378" i="4"/>
  <c r="L378" i="4"/>
  <c r="M378" i="4"/>
  <c r="N378" i="4"/>
  <c r="O378" i="4"/>
  <c r="P378" i="4"/>
  <c r="Q26" i="4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Y23" i="2"/>
  <c r="B38" i="4"/>
  <c r="E38" i="4" s="1"/>
  <c r="F38" i="4" s="1"/>
  <c r="D38" i="4"/>
  <c r="D39" i="4" s="1"/>
  <c r="H53" i="4" s="1"/>
  <c r="D40" i="4"/>
  <c r="D41" i="4"/>
  <c r="D42" i="4" s="1"/>
  <c r="E42" i="4"/>
  <c r="F42" i="4"/>
  <c r="G42" i="4"/>
  <c r="H42" i="4"/>
  <c r="I42" i="4"/>
  <c r="J42" i="4"/>
  <c r="K42" i="4"/>
  <c r="L42" i="4"/>
  <c r="M42" i="4"/>
  <c r="N42" i="4"/>
  <c r="O42" i="4"/>
  <c r="P42" i="4"/>
  <c r="E26" i="4"/>
  <c r="E27" i="4" s="1"/>
  <c r="U31" i="2"/>
  <c r="U33" i="2" s="1"/>
  <c r="G30" i="4"/>
  <c r="H30" i="4"/>
  <c r="I30" i="4"/>
  <c r="J30" i="4"/>
  <c r="K30" i="4"/>
  <c r="L30" i="4"/>
  <c r="M30" i="4"/>
  <c r="N30" i="4"/>
  <c r="O30" i="4"/>
  <c r="P30" i="4"/>
  <c r="F30" i="4"/>
  <c r="E30" i="4"/>
  <c r="D29" i="4"/>
  <c r="D30" i="4" s="1"/>
  <c r="D28" i="4"/>
  <c r="D26" i="4"/>
  <c r="D27" i="4" s="1"/>
  <c r="F29" i="4" s="1"/>
  <c r="E5" i="4"/>
  <c r="E6" i="4" s="1"/>
  <c r="E7" i="4" s="1"/>
  <c r="E8" i="4" s="1"/>
  <c r="E9" i="4" s="1"/>
  <c r="E10" i="4" s="1"/>
  <c r="D31" i="4"/>
  <c r="D43" i="4" s="1"/>
  <c r="D55" i="4" s="1"/>
  <c r="U211" i="2"/>
  <c r="U213" i="2" s="1"/>
  <c r="U205" i="2"/>
  <c r="U204" i="2" s="1"/>
  <c r="U203" i="2"/>
  <c r="U199" i="2"/>
  <c r="U201" i="2" s="1"/>
  <c r="U193" i="2"/>
  <c r="U192" i="2" s="1"/>
  <c r="U191" i="2"/>
  <c r="U187" i="2"/>
  <c r="U189" i="2" s="1"/>
  <c r="U181" i="2"/>
  <c r="U179" i="2"/>
  <c r="U175" i="2"/>
  <c r="U177" i="2" s="1"/>
  <c r="U169" i="2"/>
  <c r="U168" i="2" s="1"/>
  <c r="U167" i="2"/>
  <c r="U163" i="2"/>
  <c r="U165" i="2" s="1"/>
  <c r="U157" i="2"/>
  <c r="U156" i="2" s="1"/>
  <c r="U155" i="2"/>
  <c r="U151" i="2"/>
  <c r="U153" i="2" s="1"/>
  <c r="U145" i="2"/>
  <c r="U144" i="2" s="1"/>
  <c r="U143" i="2"/>
  <c r="U139" i="2"/>
  <c r="U141" i="2" s="1"/>
  <c r="U133" i="2"/>
  <c r="U132" i="2" s="1"/>
  <c r="U131" i="2"/>
  <c r="U127" i="2"/>
  <c r="U129" i="2" s="1"/>
  <c r="U121" i="2"/>
  <c r="U119" i="2"/>
  <c r="U115" i="2"/>
  <c r="U117" i="2" s="1"/>
  <c r="U109" i="2"/>
  <c r="U107" i="2"/>
  <c r="U103" i="2"/>
  <c r="U105" i="2" s="1"/>
  <c r="U97" i="2"/>
  <c r="U96" i="2"/>
  <c r="U95" i="2"/>
  <c r="U91" i="2"/>
  <c r="U93" i="2" s="1"/>
  <c r="U85" i="2"/>
  <c r="U84" i="2"/>
  <c r="U83" i="2"/>
  <c r="U79" i="2"/>
  <c r="U81" i="2" s="1"/>
  <c r="U73" i="2"/>
  <c r="U71" i="2"/>
  <c r="U67" i="2"/>
  <c r="U69" i="2" s="1"/>
  <c r="U61" i="2"/>
  <c r="U60" i="2"/>
  <c r="U59" i="2"/>
  <c r="X57" i="2"/>
  <c r="X69" i="2" s="1"/>
  <c r="X81" i="2" s="1"/>
  <c r="X93" i="2" s="1"/>
  <c r="X105" i="2" s="1"/>
  <c r="X117" i="2" s="1"/>
  <c r="X129" i="2" s="1"/>
  <c r="X141" i="2" s="1"/>
  <c r="X153" i="2" s="1"/>
  <c r="X165" i="2" s="1"/>
  <c r="X177" i="2" s="1"/>
  <c r="X189" i="2" s="1"/>
  <c r="X201" i="2" s="1"/>
  <c r="X213" i="2" s="1"/>
  <c r="U55" i="2"/>
  <c r="U57" i="2" s="1"/>
  <c r="U49" i="2"/>
  <c r="X48" i="2"/>
  <c r="X60" i="2" s="1"/>
  <c r="X72" i="2" s="1"/>
  <c r="X84" i="2" s="1"/>
  <c r="X96" i="2" s="1"/>
  <c r="X108" i="2" s="1"/>
  <c r="X120" i="2" s="1"/>
  <c r="X132" i="2" s="1"/>
  <c r="X144" i="2" s="1"/>
  <c r="X156" i="2" s="1"/>
  <c r="X168" i="2" s="1"/>
  <c r="X180" i="2" s="1"/>
  <c r="X192" i="2" s="1"/>
  <c r="X204" i="2" s="1"/>
  <c r="U47" i="2"/>
  <c r="Y47" i="2" s="1"/>
  <c r="X46" i="2"/>
  <c r="X58" i="2" s="1"/>
  <c r="X70" i="2" s="1"/>
  <c r="X82" i="2" s="1"/>
  <c r="X94" i="2" s="1"/>
  <c r="X106" i="2" s="1"/>
  <c r="X118" i="2" s="1"/>
  <c r="X130" i="2" s="1"/>
  <c r="X142" i="2" s="1"/>
  <c r="X154" i="2" s="1"/>
  <c r="X166" i="2" s="1"/>
  <c r="X178" i="2" s="1"/>
  <c r="X190" i="2" s="1"/>
  <c r="X202" i="2" s="1"/>
  <c r="X214" i="2" s="1"/>
  <c r="X45" i="2"/>
  <c r="X44" i="2"/>
  <c r="X56" i="2" s="1"/>
  <c r="X68" i="2" s="1"/>
  <c r="X80" i="2" s="1"/>
  <c r="X92" i="2" s="1"/>
  <c r="X104" i="2" s="1"/>
  <c r="X116" i="2" s="1"/>
  <c r="X128" i="2" s="1"/>
  <c r="X140" i="2" s="1"/>
  <c r="X152" i="2" s="1"/>
  <c r="X164" i="2" s="1"/>
  <c r="X176" i="2" s="1"/>
  <c r="X188" i="2" s="1"/>
  <c r="X200" i="2" s="1"/>
  <c r="X212" i="2" s="1"/>
  <c r="X43" i="2"/>
  <c r="X55" i="2" s="1"/>
  <c r="X67" i="2" s="1"/>
  <c r="X79" i="2" s="1"/>
  <c r="X91" i="2" s="1"/>
  <c r="X103" i="2" s="1"/>
  <c r="X115" i="2" s="1"/>
  <c r="X127" i="2" s="1"/>
  <c r="X139" i="2" s="1"/>
  <c r="X151" i="2" s="1"/>
  <c r="X163" i="2" s="1"/>
  <c r="X175" i="2" s="1"/>
  <c r="X187" i="2" s="1"/>
  <c r="X199" i="2" s="1"/>
  <c r="X211" i="2" s="1"/>
  <c r="U43" i="2"/>
  <c r="U45" i="2" s="1"/>
  <c r="X42" i="2"/>
  <c r="X54" i="2" s="1"/>
  <c r="X66" i="2" s="1"/>
  <c r="X78" i="2" s="1"/>
  <c r="X90" i="2" s="1"/>
  <c r="X102" i="2" s="1"/>
  <c r="X114" i="2" s="1"/>
  <c r="X126" i="2" s="1"/>
  <c r="X138" i="2" s="1"/>
  <c r="X150" i="2" s="1"/>
  <c r="X162" i="2" s="1"/>
  <c r="X174" i="2" s="1"/>
  <c r="X186" i="2" s="1"/>
  <c r="X198" i="2" s="1"/>
  <c r="X210" i="2" s="1"/>
  <c r="X41" i="2"/>
  <c r="X53" i="2" s="1"/>
  <c r="X65" i="2" s="1"/>
  <c r="X77" i="2" s="1"/>
  <c r="X89" i="2" s="1"/>
  <c r="X101" i="2" s="1"/>
  <c r="X113" i="2" s="1"/>
  <c r="X125" i="2" s="1"/>
  <c r="X137" i="2" s="1"/>
  <c r="X149" i="2" s="1"/>
  <c r="X161" i="2" s="1"/>
  <c r="X173" i="2" s="1"/>
  <c r="X185" i="2" s="1"/>
  <c r="X197" i="2" s="1"/>
  <c r="X209" i="2" s="1"/>
  <c r="X40" i="2"/>
  <c r="X52" i="2" s="1"/>
  <c r="X64" i="2" s="1"/>
  <c r="X76" i="2" s="1"/>
  <c r="X88" i="2" s="1"/>
  <c r="X100" i="2" s="1"/>
  <c r="X112" i="2" s="1"/>
  <c r="X124" i="2" s="1"/>
  <c r="X136" i="2" s="1"/>
  <c r="X148" i="2" s="1"/>
  <c r="X160" i="2" s="1"/>
  <c r="X172" i="2" s="1"/>
  <c r="X184" i="2" s="1"/>
  <c r="X196" i="2" s="1"/>
  <c r="X208" i="2" s="1"/>
  <c r="X39" i="2"/>
  <c r="X51" i="2" s="1"/>
  <c r="X63" i="2" s="1"/>
  <c r="X75" i="2" s="1"/>
  <c r="X87" i="2" s="1"/>
  <c r="X99" i="2" s="1"/>
  <c r="X111" i="2" s="1"/>
  <c r="X123" i="2" s="1"/>
  <c r="X135" i="2" s="1"/>
  <c r="X147" i="2" s="1"/>
  <c r="X159" i="2" s="1"/>
  <c r="X171" i="2" s="1"/>
  <c r="X183" i="2" s="1"/>
  <c r="X195" i="2" s="1"/>
  <c r="X207" i="2" s="1"/>
  <c r="X38" i="2"/>
  <c r="X50" i="2" s="1"/>
  <c r="X62" i="2" s="1"/>
  <c r="X74" i="2" s="1"/>
  <c r="X86" i="2" s="1"/>
  <c r="X98" i="2" s="1"/>
  <c r="X110" i="2" s="1"/>
  <c r="X122" i="2" s="1"/>
  <c r="X134" i="2" s="1"/>
  <c r="X146" i="2" s="1"/>
  <c r="X158" i="2" s="1"/>
  <c r="X170" i="2" s="1"/>
  <c r="X182" i="2" s="1"/>
  <c r="X194" i="2" s="1"/>
  <c r="X206" i="2" s="1"/>
  <c r="X37" i="2"/>
  <c r="X49" i="2" s="1"/>
  <c r="X61" i="2" s="1"/>
  <c r="X73" i="2" s="1"/>
  <c r="X85" i="2" s="1"/>
  <c r="X97" i="2" s="1"/>
  <c r="X109" i="2" s="1"/>
  <c r="X121" i="2" s="1"/>
  <c r="X133" i="2" s="1"/>
  <c r="X145" i="2" s="1"/>
  <c r="X157" i="2" s="1"/>
  <c r="X169" i="2" s="1"/>
  <c r="X181" i="2" s="1"/>
  <c r="X193" i="2" s="1"/>
  <c r="X205" i="2" s="1"/>
  <c r="U37" i="2"/>
  <c r="U36" i="2" s="1"/>
  <c r="X36" i="2"/>
  <c r="X35" i="2"/>
  <c r="X47" i="2" s="1"/>
  <c r="X59" i="2" s="1"/>
  <c r="X71" i="2" s="1"/>
  <c r="X83" i="2" s="1"/>
  <c r="X95" i="2" s="1"/>
  <c r="X107" i="2" s="1"/>
  <c r="X119" i="2" s="1"/>
  <c r="X131" i="2" s="1"/>
  <c r="X143" i="2" s="1"/>
  <c r="X155" i="2" s="1"/>
  <c r="X167" i="2" s="1"/>
  <c r="X179" i="2" s="1"/>
  <c r="X191" i="2" s="1"/>
  <c r="X203" i="2" s="1"/>
  <c r="W35" i="2"/>
  <c r="W47" i="2" s="1"/>
  <c r="W59" i="2" s="1"/>
  <c r="U35" i="2"/>
  <c r="U25" i="2"/>
  <c r="W24" i="2"/>
  <c r="U23" i="2"/>
  <c r="U19" i="2"/>
  <c r="U16" i="2"/>
  <c r="U27" i="2" s="1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U14" i="2"/>
  <c r="U11" i="2"/>
  <c r="U12" i="2" s="1"/>
  <c r="C9" i="2"/>
  <c r="C8" i="2"/>
  <c r="P7" i="2"/>
  <c r="P6" i="2"/>
  <c r="C6" i="2"/>
  <c r="C7" i="2" s="1"/>
  <c r="M5" i="2"/>
  <c r="F5" i="2"/>
  <c r="F4" i="2" s="1"/>
  <c r="C3" i="2"/>
  <c r="C4" i="2" s="1"/>
  <c r="U11" i="1"/>
  <c r="U179" i="1"/>
  <c r="U181" i="1"/>
  <c r="U180" i="1" s="1"/>
  <c r="U187" i="1"/>
  <c r="U189" i="1" s="1"/>
  <c r="U191" i="1"/>
  <c r="U193" i="1"/>
  <c r="U192" i="1" s="1"/>
  <c r="U199" i="1"/>
  <c r="U201" i="1" s="1"/>
  <c r="U203" i="1"/>
  <c r="U205" i="1"/>
  <c r="U211" i="1"/>
  <c r="U213" i="1" s="1"/>
  <c r="U175" i="1"/>
  <c r="U143" i="1"/>
  <c r="U145" i="1"/>
  <c r="U144" i="1" s="1"/>
  <c r="U151" i="1"/>
  <c r="U153" i="1" s="1"/>
  <c r="U155" i="1"/>
  <c r="U157" i="1"/>
  <c r="U156" i="1" s="1"/>
  <c r="U163" i="1"/>
  <c r="U165" i="1" s="1"/>
  <c r="U139" i="1"/>
  <c r="U141" i="1" s="1"/>
  <c r="U107" i="1"/>
  <c r="U109" i="1"/>
  <c r="U108" i="1" s="1"/>
  <c r="U115" i="1"/>
  <c r="U117" i="1" s="1"/>
  <c r="U119" i="1"/>
  <c r="U121" i="1"/>
  <c r="U120" i="1" s="1"/>
  <c r="U127" i="1"/>
  <c r="U129" i="1" s="1"/>
  <c r="U103" i="1"/>
  <c r="U43" i="1"/>
  <c r="U45" i="1" s="1"/>
  <c r="X62" i="1"/>
  <c r="X74" i="1" s="1"/>
  <c r="X86" i="1" s="1"/>
  <c r="X98" i="1" s="1"/>
  <c r="X110" i="1" s="1"/>
  <c r="X122" i="1" s="1"/>
  <c r="X70" i="1"/>
  <c r="X82" i="1" s="1"/>
  <c r="X94" i="1" s="1"/>
  <c r="X78" i="1"/>
  <c r="X90" i="1" s="1"/>
  <c r="X102" i="1" s="1"/>
  <c r="X114" i="1" s="1"/>
  <c r="X126" i="1" s="1"/>
  <c r="X138" i="1" s="1"/>
  <c r="X150" i="1" s="1"/>
  <c r="X162" i="1" s="1"/>
  <c r="X174" i="1" s="1"/>
  <c r="X186" i="1" s="1"/>
  <c r="X198" i="1" s="1"/>
  <c r="X210" i="1" s="1"/>
  <c r="X106" i="1"/>
  <c r="X118" i="1" s="1"/>
  <c r="X130" i="1" s="1"/>
  <c r="X142" i="1" s="1"/>
  <c r="X154" i="1" s="1"/>
  <c r="X166" i="1" s="1"/>
  <c r="X178" i="1" s="1"/>
  <c r="X190" i="1" s="1"/>
  <c r="X202" i="1" s="1"/>
  <c r="X214" i="1" s="1"/>
  <c r="X134" i="1"/>
  <c r="X146" i="1" s="1"/>
  <c r="X158" i="1" s="1"/>
  <c r="X170" i="1"/>
  <c r="X182" i="1" s="1"/>
  <c r="X194" i="1" s="1"/>
  <c r="X206" i="1" s="1"/>
  <c r="X201" i="1"/>
  <c r="X213" i="1" s="1"/>
  <c r="X209" i="1"/>
  <c r="X50" i="1"/>
  <c r="X52" i="1"/>
  <c r="X64" i="1" s="1"/>
  <c r="X76" i="1" s="1"/>
  <c r="X88" i="1" s="1"/>
  <c r="X100" i="1" s="1"/>
  <c r="X112" i="1" s="1"/>
  <c r="X124" i="1" s="1"/>
  <c r="X136" i="1" s="1"/>
  <c r="X148" i="1" s="1"/>
  <c r="X160" i="1" s="1"/>
  <c r="X172" i="1" s="1"/>
  <c r="X184" i="1" s="1"/>
  <c r="X196" i="1" s="1"/>
  <c r="X208" i="1" s="1"/>
  <c r="X54" i="1"/>
  <c r="X66" i="1" s="1"/>
  <c r="X58" i="1"/>
  <c r="X36" i="1"/>
  <c r="X48" i="1" s="1"/>
  <c r="X60" i="1" s="1"/>
  <c r="X72" i="1" s="1"/>
  <c r="X84" i="1" s="1"/>
  <c r="X96" i="1" s="1"/>
  <c r="X108" i="1" s="1"/>
  <c r="X120" i="1" s="1"/>
  <c r="X132" i="1" s="1"/>
  <c r="X144" i="1" s="1"/>
  <c r="X156" i="1" s="1"/>
  <c r="X168" i="1" s="1"/>
  <c r="X180" i="1" s="1"/>
  <c r="X192" i="1" s="1"/>
  <c r="X204" i="1" s="1"/>
  <c r="X37" i="1"/>
  <c r="X49" i="1" s="1"/>
  <c r="X61" i="1" s="1"/>
  <c r="X73" i="1" s="1"/>
  <c r="X85" i="1" s="1"/>
  <c r="X97" i="1" s="1"/>
  <c r="X109" i="1" s="1"/>
  <c r="X121" i="1" s="1"/>
  <c r="X133" i="1" s="1"/>
  <c r="X145" i="1" s="1"/>
  <c r="X157" i="1" s="1"/>
  <c r="X169" i="1" s="1"/>
  <c r="X181" i="1" s="1"/>
  <c r="X193" i="1" s="1"/>
  <c r="X205" i="1" s="1"/>
  <c r="X38" i="1"/>
  <c r="X39" i="1"/>
  <c r="X51" i="1" s="1"/>
  <c r="X63" i="1" s="1"/>
  <c r="X75" i="1" s="1"/>
  <c r="X87" i="1" s="1"/>
  <c r="X99" i="1" s="1"/>
  <c r="X111" i="1" s="1"/>
  <c r="X123" i="1" s="1"/>
  <c r="X135" i="1" s="1"/>
  <c r="X147" i="1" s="1"/>
  <c r="X159" i="1" s="1"/>
  <c r="X171" i="1" s="1"/>
  <c r="X183" i="1" s="1"/>
  <c r="X195" i="1" s="1"/>
  <c r="X207" i="1" s="1"/>
  <c r="X40" i="1"/>
  <c r="X41" i="1"/>
  <c r="X53" i="1" s="1"/>
  <c r="X65" i="1" s="1"/>
  <c r="X77" i="1" s="1"/>
  <c r="X89" i="1" s="1"/>
  <c r="X101" i="1" s="1"/>
  <c r="X113" i="1" s="1"/>
  <c r="X125" i="1" s="1"/>
  <c r="X137" i="1" s="1"/>
  <c r="X149" i="1" s="1"/>
  <c r="X161" i="1" s="1"/>
  <c r="X173" i="1" s="1"/>
  <c r="X185" i="1" s="1"/>
  <c r="X197" i="1" s="1"/>
  <c r="X42" i="1"/>
  <c r="X43" i="1"/>
  <c r="X55" i="1" s="1"/>
  <c r="X67" i="1" s="1"/>
  <c r="X79" i="1" s="1"/>
  <c r="X91" i="1" s="1"/>
  <c r="X103" i="1" s="1"/>
  <c r="X115" i="1" s="1"/>
  <c r="X127" i="1" s="1"/>
  <c r="X139" i="1" s="1"/>
  <c r="X151" i="1" s="1"/>
  <c r="X163" i="1" s="1"/>
  <c r="X175" i="1" s="1"/>
  <c r="X187" i="1" s="1"/>
  <c r="X199" i="1" s="1"/>
  <c r="X211" i="1" s="1"/>
  <c r="X44" i="1"/>
  <c r="X56" i="1" s="1"/>
  <c r="X68" i="1" s="1"/>
  <c r="X80" i="1" s="1"/>
  <c r="X92" i="1" s="1"/>
  <c r="X104" i="1" s="1"/>
  <c r="X116" i="1" s="1"/>
  <c r="X128" i="1" s="1"/>
  <c r="X140" i="1" s="1"/>
  <c r="X152" i="1" s="1"/>
  <c r="X164" i="1" s="1"/>
  <c r="X176" i="1" s="1"/>
  <c r="X188" i="1" s="1"/>
  <c r="X200" i="1" s="1"/>
  <c r="X212" i="1" s="1"/>
  <c r="X45" i="1"/>
  <c r="X57" i="1" s="1"/>
  <c r="X69" i="1" s="1"/>
  <c r="X81" i="1" s="1"/>
  <c r="X93" i="1" s="1"/>
  <c r="X105" i="1" s="1"/>
  <c r="X117" i="1" s="1"/>
  <c r="X129" i="1" s="1"/>
  <c r="X141" i="1" s="1"/>
  <c r="X153" i="1" s="1"/>
  <c r="X165" i="1" s="1"/>
  <c r="X177" i="1" s="1"/>
  <c r="X189" i="1" s="1"/>
  <c r="X46" i="1"/>
  <c r="X35" i="1"/>
  <c r="X47" i="1" s="1"/>
  <c r="X59" i="1" s="1"/>
  <c r="X71" i="1" s="1"/>
  <c r="X83" i="1" s="1"/>
  <c r="X95" i="1" s="1"/>
  <c r="X107" i="1" s="1"/>
  <c r="X119" i="1" s="1"/>
  <c r="X131" i="1" s="1"/>
  <c r="X143" i="1" s="1"/>
  <c r="X155" i="1" s="1"/>
  <c r="X167" i="1" s="1"/>
  <c r="X179" i="1" s="1"/>
  <c r="X191" i="1" s="1"/>
  <c r="X203" i="1" s="1"/>
  <c r="W47" i="1"/>
  <c r="W24" i="1"/>
  <c r="W37" i="1"/>
  <c r="W36" i="1"/>
  <c r="W35" i="1"/>
  <c r="U47" i="1"/>
  <c r="U49" i="1"/>
  <c r="U48" i="1" s="1"/>
  <c r="U55" i="1"/>
  <c r="U57" i="1" s="1"/>
  <c r="U59" i="1"/>
  <c r="U61" i="1"/>
  <c r="U60" i="1" s="1"/>
  <c r="U67" i="1"/>
  <c r="U69" i="1" s="1"/>
  <c r="U71" i="1"/>
  <c r="U73" i="1"/>
  <c r="U79" i="1"/>
  <c r="U81" i="1" s="1"/>
  <c r="U83" i="1"/>
  <c r="U85" i="1"/>
  <c r="U91" i="1"/>
  <c r="U93" i="1" s="1"/>
  <c r="U95" i="1"/>
  <c r="U96" i="1"/>
  <c r="U97" i="1"/>
  <c r="U105" i="1"/>
  <c r="U131" i="1"/>
  <c r="U133" i="1"/>
  <c r="U132" i="1" s="1"/>
  <c r="U167" i="1"/>
  <c r="U169" i="1"/>
  <c r="U168" i="1" s="1"/>
  <c r="U177" i="1"/>
  <c r="U35" i="1"/>
  <c r="U37" i="1"/>
  <c r="U36" i="1" s="1"/>
  <c r="U25" i="1"/>
  <c r="U24" i="1" s="1"/>
  <c r="U23" i="1"/>
  <c r="Y23" i="1" s="1"/>
  <c r="U31" i="1"/>
  <c r="U33" i="1" s="1"/>
  <c r="U19" i="1"/>
  <c r="U16" i="1"/>
  <c r="U27" i="1" s="1"/>
  <c r="U39" i="1" s="1"/>
  <c r="U51" i="1" s="1"/>
  <c r="U14" i="1"/>
  <c r="U12" i="1"/>
  <c r="H365" i="5" l="1"/>
  <c r="J341" i="5"/>
  <c r="M53" i="5"/>
  <c r="I53" i="5"/>
  <c r="E53" i="5"/>
  <c r="F341" i="5"/>
  <c r="P53" i="5"/>
  <c r="L53" i="5"/>
  <c r="H53" i="5"/>
  <c r="N125" i="5"/>
  <c r="O53" i="5"/>
  <c r="K53" i="5"/>
  <c r="G53" i="5"/>
  <c r="N53" i="5"/>
  <c r="J53" i="5"/>
  <c r="H329" i="5"/>
  <c r="O329" i="5"/>
  <c r="K329" i="5"/>
  <c r="H113" i="5"/>
  <c r="O113" i="5"/>
  <c r="G113" i="5"/>
  <c r="K113" i="5"/>
  <c r="J293" i="5"/>
  <c r="N269" i="5"/>
  <c r="J125" i="5"/>
  <c r="G149" i="5"/>
  <c r="N149" i="5"/>
  <c r="J149" i="5"/>
  <c r="F209" i="5"/>
  <c r="E209" i="5"/>
  <c r="I209" i="5"/>
  <c r="M209" i="5"/>
  <c r="F161" i="5"/>
  <c r="M161" i="5"/>
  <c r="E161" i="5"/>
  <c r="I161" i="5"/>
  <c r="M257" i="5"/>
  <c r="I257" i="5"/>
  <c r="F77" i="5"/>
  <c r="O41" i="5"/>
  <c r="F293" i="5"/>
  <c r="E257" i="5"/>
  <c r="K41" i="5"/>
  <c r="F269" i="5"/>
  <c r="G41" i="5"/>
  <c r="O233" i="5"/>
  <c r="K233" i="5"/>
  <c r="G233" i="5"/>
  <c r="G101" i="5"/>
  <c r="K101" i="5"/>
  <c r="O101" i="5"/>
  <c r="F101" i="5"/>
  <c r="N101" i="5"/>
  <c r="H101" i="5"/>
  <c r="L101" i="5"/>
  <c r="P101" i="5"/>
  <c r="J101" i="5"/>
  <c r="E101" i="5"/>
  <c r="I101" i="5"/>
  <c r="M101" i="5"/>
  <c r="G65" i="5"/>
  <c r="K65" i="5"/>
  <c r="O65" i="5"/>
  <c r="H65" i="5"/>
  <c r="L65" i="5"/>
  <c r="P65" i="5"/>
  <c r="E65" i="5"/>
  <c r="I65" i="5"/>
  <c r="M65" i="5"/>
  <c r="F65" i="5"/>
  <c r="J65" i="5"/>
  <c r="N65" i="5"/>
  <c r="E38" i="5"/>
  <c r="F38" i="5" s="1"/>
  <c r="G38" i="5" s="1"/>
  <c r="B50" i="5"/>
  <c r="H305" i="5"/>
  <c r="L305" i="5"/>
  <c r="P305" i="5"/>
  <c r="G305" i="5"/>
  <c r="O305" i="5"/>
  <c r="E305" i="5"/>
  <c r="I305" i="5"/>
  <c r="M305" i="5"/>
  <c r="F305" i="5"/>
  <c r="J305" i="5"/>
  <c r="N305" i="5"/>
  <c r="K305" i="5"/>
  <c r="G173" i="5"/>
  <c r="K173" i="5"/>
  <c r="O173" i="5"/>
  <c r="J173" i="5"/>
  <c r="H173" i="5"/>
  <c r="L173" i="5"/>
  <c r="P173" i="5"/>
  <c r="F173" i="5"/>
  <c r="N173" i="5"/>
  <c r="E173" i="5"/>
  <c r="I173" i="5"/>
  <c r="M173" i="5"/>
  <c r="G89" i="5"/>
  <c r="O89" i="5"/>
  <c r="J89" i="5"/>
  <c r="N89" i="5"/>
  <c r="K89" i="5"/>
  <c r="F89" i="5"/>
  <c r="G281" i="5"/>
  <c r="K281" i="5"/>
  <c r="G329" i="5"/>
  <c r="O353" i="5"/>
  <c r="N329" i="5"/>
  <c r="J329" i="5"/>
  <c r="F329" i="5"/>
  <c r="P257" i="5"/>
  <c r="L257" i="5"/>
  <c r="H257" i="5"/>
  <c r="H245" i="5"/>
  <c r="P209" i="5"/>
  <c r="L209" i="5"/>
  <c r="H209" i="5"/>
  <c r="P161" i="5"/>
  <c r="L161" i="5"/>
  <c r="H161" i="5"/>
  <c r="M149" i="5"/>
  <c r="I149" i="5"/>
  <c r="E149" i="5"/>
  <c r="N113" i="5"/>
  <c r="J113" i="5"/>
  <c r="F113" i="5"/>
  <c r="N41" i="5"/>
  <c r="J41" i="5"/>
  <c r="F41" i="5"/>
  <c r="F185" i="5"/>
  <c r="K353" i="5"/>
  <c r="M329" i="5"/>
  <c r="I329" i="5"/>
  <c r="E329" i="5"/>
  <c r="O257" i="5"/>
  <c r="K257" i="5"/>
  <c r="G257" i="5"/>
  <c r="O209" i="5"/>
  <c r="K209" i="5"/>
  <c r="G209" i="5"/>
  <c r="O161" i="5"/>
  <c r="K161" i="5"/>
  <c r="G161" i="5"/>
  <c r="P149" i="5"/>
  <c r="L149" i="5"/>
  <c r="H149" i="5"/>
  <c r="M113" i="5"/>
  <c r="I113" i="5"/>
  <c r="E113" i="5"/>
  <c r="N77" i="5"/>
  <c r="M41" i="5"/>
  <c r="I41" i="5"/>
  <c r="E41" i="5"/>
  <c r="F149" i="5"/>
  <c r="P329" i="5"/>
  <c r="L329" i="5"/>
  <c r="N257" i="5"/>
  <c r="J257" i="5"/>
  <c r="N209" i="5"/>
  <c r="J209" i="5"/>
  <c r="N185" i="5"/>
  <c r="N161" i="5"/>
  <c r="J161" i="5"/>
  <c r="O149" i="5"/>
  <c r="K149" i="5"/>
  <c r="P113" i="5"/>
  <c r="L113" i="5"/>
  <c r="P41" i="5"/>
  <c r="L41" i="5"/>
  <c r="E19" i="5"/>
  <c r="H353" i="5"/>
  <c r="L353" i="5"/>
  <c r="P353" i="5"/>
  <c r="E353" i="5"/>
  <c r="I353" i="5"/>
  <c r="M353" i="5"/>
  <c r="F353" i="5"/>
  <c r="J353" i="5"/>
  <c r="N353" i="5"/>
  <c r="E317" i="5"/>
  <c r="I317" i="5"/>
  <c r="M317" i="5"/>
  <c r="H317" i="5"/>
  <c r="P317" i="5"/>
  <c r="F317" i="5"/>
  <c r="J317" i="5"/>
  <c r="N317" i="5"/>
  <c r="L317" i="5"/>
  <c r="G317" i="5"/>
  <c r="K317" i="5"/>
  <c r="O317" i="5"/>
  <c r="E365" i="5"/>
  <c r="I365" i="5"/>
  <c r="M365" i="5"/>
  <c r="F365" i="5"/>
  <c r="J365" i="5"/>
  <c r="N365" i="5"/>
  <c r="G365" i="5"/>
  <c r="K365" i="5"/>
  <c r="O365" i="5"/>
  <c r="G341" i="5"/>
  <c r="K341" i="5"/>
  <c r="O341" i="5"/>
  <c r="H341" i="5"/>
  <c r="L341" i="5"/>
  <c r="P341" i="5"/>
  <c r="E341" i="5"/>
  <c r="I341" i="5"/>
  <c r="M341" i="5"/>
  <c r="H197" i="5"/>
  <c r="E197" i="5"/>
  <c r="I197" i="5"/>
  <c r="M197" i="5"/>
  <c r="J197" i="5"/>
  <c r="N197" i="5"/>
  <c r="F197" i="5"/>
  <c r="K197" i="5"/>
  <c r="O197" i="5"/>
  <c r="E245" i="5"/>
  <c r="I245" i="5"/>
  <c r="M245" i="5"/>
  <c r="F245" i="5"/>
  <c r="J245" i="5"/>
  <c r="N245" i="5"/>
  <c r="G245" i="5"/>
  <c r="K245" i="5"/>
  <c r="O245" i="5"/>
  <c r="G221" i="5"/>
  <c r="K221" i="5"/>
  <c r="O221" i="5"/>
  <c r="H221" i="5"/>
  <c r="L221" i="5"/>
  <c r="P221" i="5"/>
  <c r="E221" i="5"/>
  <c r="I221" i="5"/>
  <c r="M221" i="5"/>
  <c r="G197" i="5"/>
  <c r="H281" i="5"/>
  <c r="L281" i="5"/>
  <c r="P281" i="5"/>
  <c r="E281" i="5"/>
  <c r="I281" i="5"/>
  <c r="M281" i="5"/>
  <c r="F281" i="5"/>
  <c r="J281" i="5"/>
  <c r="N281" i="5"/>
  <c r="E293" i="5"/>
  <c r="I293" i="5"/>
  <c r="M293" i="5"/>
  <c r="G293" i="5"/>
  <c r="K293" i="5"/>
  <c r="O293" i="5"/>
  <c r="G269" i="5"/>
  <c r="K269" i="5"/>
  <c r="O269" i="5"/>
  <c r="H269" i="5"/>
  <c r="L269" i="5"/>
  <c r="P269" i="5"/>
  <c r="E269" i="5"/>
  <c r="I269" i="5"/>
  <c r="M269" i="5"/>
  <c r="P293" i="5"/>
  <c r="H293" i="5"/>
  <c r="O281" i="5"/>
  <c r="P245" i="5"/>
  <c r="H233" i="5"/>
  <c r="L233" i="5"/>
  <c r="P233" i="5"/>
  <c r="E233" i="5"/>
  <c r="I233" i="5"/>
  <c r="M233" i="5"/>
  <c r="F233" i="5"/>
  <c r="J233" i="5"/>
  <c r="N233" i="5"/>
  <c r="P197" i="5"/>
  <c r="G185" i="5"/>
  <c r="K185" i="5"/>
  <c r="O185" i="5"/>
  <c r="H185" i="5"/>
  <c r="L185" i="5"/>
  <c r="P185" i="5"/>
  <c r="E185" i="5"/>
  <c r="I185" i="5"/>
  <c r="M185" i="5"/>
  <c r="H137" i="5"/>
  <c r="L137" i="5"/>
  <c r="P137" i="5"/>
  <c r="E137" i="5"/>
  <c r="I137" i="5"/>
  <c r="M137" i="5"/>
  <c r="F137" i="5"/>
  <c r="J137" i="5"/>
  <c r="N137" i="5"/>
  <c r="G137" i="5"/>
  <c r="K137" i="5"/>
  <c r="O137" i="5"/>
  <c r="G125" i="5"/>
  <c r="K125" i="5"/>
  <c r="O125" i="5"/>
  <c r="H125" i="5"/>
  <c r="L125" i="5"/>
  <c r="P125" i="5"/>
  <c r="E125" i="5"/>
  <c r="I125" i="5"/>
  <c r="M125" i="5"/>
  <c r="H89" i="5"/>
  <c r="L89" i="5"/>
  <c r="P89" i="5"/>
  <c r="E89" i="5"/>
  <c r="I89" i="5"/>
  <c r="M89" i="5"/>
  <c r="G77" i="5"/>
  <c r="K77" i="5"/>
  <c r="O77" i="5"/>
  <c r="H77" i="5"/>
  <c r="L77" i="5"/>
  <c r="P77" i="5"/>
  <c r="E77" i="5"/>
  <c r="I77" i="5"/>
  <c r="M77" i="5"/>
  <c r="E50" i="5"/>
  <c r="B62" i="5"/>
  <c r="F14" i="5"/>
  <c r="G14" i="5" s="1"/>
  <c r="H14" i="5" s="1"/>
  <c r="E21" i="5"/>
  <c r="D21" i="5" s="1"/>
  <c r="Q16" i="5"/>
  <c r="M29" i="5"/>
  <c r="I29" i="5"/>
  <c r="E29" i="5"/>
  <c r="O17" i="5"/>
  <c r="K17" i="5"/>
  <c r="G17" i="5"/>
  <c r="P29" i="5"/>
  <c r="L29" i="5"/>
  <c r="H29" i="5"/>
  <c r="N17" i="5"/>
  <c r="J17" i="5"/>
  <c r="F17" i="5"/>
  <c r="O29" i="5"/>
  <c r="K29" i="5"/>
  <c r="G29" i="5"/>
  <c r="M17" i="5"/>
  <c r="I17" i="5"/>
  <c r="E17" i="5"/>
  <c r="N29" i="5"/>
  <c r="J29" i="5"/>
  <c r="F29" i="5"/>
  <c r="P17" i="5"/>
  <c r="L17" i="5"/>
  <c r="H17" i="5"/>
  <c r="D31" i="5"/>
  <c r="D43" i="5" s="1"/>
  <c r="E26" i="5"/>
  <c r="Y24" i="1"/>
  <c r="W25" i="1"/>
  <c r="W48" i="1"/>
  <c r="Y47" i="1"/>
  <c r="W59" i="1"/>
  <c r="W38" i="1"/>
  <c r="Y37" i="1"/>
  <c r="Y35" i="1"/>
  <c r="Y36" i="1"/>
  <c r="W25" i="2"/>
  <c r="W26" i="2" s="1"/>
  <c r="Y26" i="2" s="1"/>
  <c r="Y24" i="2"/>
  <c r="W48" i="2"/>
  <c r="P8" i="2"/>
  <c r="Y35" i="2"/>
  <c r="E221" i="4"/>
  <c r="O257" i="4"/>
  <c r="I257" i="4"/>
  <c r="G173" i="4"/>
  <c r="E185" i="4"/>
  <c r="K149" i="4"/>
  <c r="P149" i="4"/>
  <c r="J149" i="4"/>
  <c r="H149" i="4"/>
  <c r="J161" i="4"/>
  <c r="K161" i="4"/>
  <c r="E161" i="4"/>
  <c r="O161" i="4"/>
  <c r="E281" i="4"/>
  <c r="I281" i="4"/>
  <c r="L353" i="4"/>
  <c r="K353" i="4"/>
  <c r="K137" i="4"/>
  <c r="P137" i="4"/>
  <c r="I353" i="4"/>
  <c r="J137" i="4"/>
  <c r="M353" i="4"/>
  <c r="G353" i="4"/>
  <c r="F137" i="4"/>
  <c r="E353" i="4"/>
  <c r="O353" i="4"/>
  <c r="F353" i="4"/>
  <c r="J221" i="4"/>
  <c r="E137" i="4"/>
  <c r="E113" i="4"/>
  <c r="M113" i="4"/>
  <c r="N113" i="4"/>
  <c r="G113" i="4"/>
  <c r="P113" i="4"/>
  <c r="H113" i="4"/>
  <c r="L113" i="4"/>
  <c r="J113" i="4"/>
  <c r="E341" i="4"/>
  <c r="O341" i="4"/>
  <c r="G341" i="4"/>
  <c r="P341" i="4"/>
  <c r="H341" i="4"/>
  <c r="I341" i="4"/>
  <c r="K341" i="4"/>
  <c r="N341" i="4"/>
  <c r="N317" i="4"/>
  <c r="M317" i="4"/>
  <c r="O101" i="4"/>
  <c r="N281" i="4"/>
  <c r="F101" i="4"/>
  <c r="M281" i="4"/>
  <c r="L125" i="4"/>
  <c r="J305" i="4"/>
  <c r="M185" i="4"/>
  <c r="I161" i="4"/>
  <c r="O149" i="4"/>
  <c r="G125" i="4"/>
  <c r="N377" i="4"/>
  <c r="I377" i="4"/>
  <c r="L377" i="4"/>
  <c r="O377" i="4"/>
  <c r="F377" i="4"/>
  <c r="H377" i="4"/>
  <c r="O197" i="4"/>
  <c r="E197" i="4"/>
  <c r="I197" i="4"/>
  <c r="J197" i="4"/>
  <c r="K197" i="4"/>
  <c r="N197" i="4"/>
  <c r="J233" i="4"/>
  <c r="K233" i="4"/>
  <c r="L209" i="4"/>
  <c r="M209" i="4"/>
  <c r="E269" i="4"/>
  <c r="O269" i="4"/>
  <c r="G269" i="4"/>
  <c r="P269" i="4"/>
  <c r="I269" i="4"/>
  <c r="J269" i="4"/>
  <c r="K269" i="4"/>
  <c r="M269" i="4"/>
  <c r="E77" i="4"/>
  <c r="K77" i="4"/>
  <c r="F77" i="4"/>
  <c r="L77" i="4"/>
  <c r="G77" i="4"/>
  <c r="M77" i="4"/>
  <c r="H77" i="4"/>
  <c r="N77" i="4"/>
  <c r="I77" i="4"/>
  <c r="O77" i="4"/>
  <c r="J77" i="4"/>
  <c r="P77" i="4"/>
  <c r="N65" i="4"/>
  <c r="O65" i="4"/>
  <c r="H65" i="4"/>
  <c r="I65" i="4"/>
  <c r="M53" i="4"/>
  <c r="G53" i="4"/>
  <c r="N353" i="4"/>
  <c r="H353" i="4"/>
  <c r="J341" i="4"/>
  <c r="K317" i="4"/>
  <c r="I305" i="4"/>
  <c r="N257" i="4"/>
  <c r="H257" i="4"/>
  <c r="P221" i="4"/>
  <c r="N161" i="4"/>
  <c r="H161" i="4"/>
  <c r="E149" i="4"/>
  <c r="H125" i="4"/>
  <c r="O113" i="4"/>
  <c r="I113" i="4"/>
  <c r="L53" i="4"/>
  <c r="F53" i="4"/>
  <c r="G317" i="4"/>
  <c r="P305" i="4"/>
  <c r="G305" i="4"/>
  <c r="M257" i="4"/>
  <c r="G257" i="4"/>
  <c r="M221" i="4"/>
  <c r="M161" i="4"/>
  <c r="G161" i="4"/>
  <c r="K53" i="4"/>
  <c r="E53" i="4"/>
  <c r="F317" i="4"/>
  <c r="O305" i="4"/>
  <c r="E305" i="4"/>
  <c r="L257" i="4"/>
  <c r="F257" i="4"/>
  <c r="L221" i="4"/>
  <c r="P185" i="4"/>
  <c r="L161" i="4"/>
  <c r="F161" i="4"/>
  <c r="P53" i="4"/>
  <c r="J53" i="4"/>
  <c r="M305" i="4"/>
  <c r="K257" i="4"/>
  <c r="F113" i="4"/>
  <c r="I101" i="4"/>
  <c r="O53" i="4"/>
  <c r="I53" i="4"/>
  <c r="E257" i="4"/>
  <c r="P353" i="4"/>
  <c r="M341" i="4"/>
  <c r="P257" i="4"/>
  <c r="F221" i="4"/>
  <c r="P161" i="4"/>
  <c r="I149" i="4"/>
  <c r="M125" i="4"/>
  <c r="K113" i="4"/>
  <c r="H101" i="4"/>
  <c r="N53" i="4"/>
  <c r="B50" i="4"/>
  <c r="F365" i="4"/>
  <c r="L365" i="4"/>
  <c r="G365" i="4"/>
  <c r="M365" i="4"/>
  <c r="I365" i="4"/>
  <c r="O365" i="4"/>
  <c r="P365" i="4"/>
  <c r="E365" i="4"/>
  <c r="H365" i="4"/>
  <c r="N365" i="4"/>
  <c r="J365" i="4"/>
  <c r="K365" i="4"/>
  <c r="H293" i="4"/>
  <c r="N293" i="4"/>
  <c r="J293" i="4"/>
  <c r="P293" i="4"/>
  <c r="F293" i="4"/>
  <c r="O293" i="4"/>
  <c r="G293" i="4"/>
  <c r="I293" i="4"/>
  <c r="K293" i="4"/>
  <c r="L293" i="4"/>
  <c r="H329" i="4"/>
  <c r="N329" i="4"/>
  <c r="K329" i="4"/>
  <c r="E329" i="4"/>
  <c r="L329" i="4"/>
  <c r="F329" i="4"/>
  <c r="M329" i="4"/>
  <c r="G329" i="4"/>
  <c r="O329" i="4"/>
  <c r="I329" i="4"/>
  <c r="P329" i="4"/>
  <c r="E293" i="4"/>
  <c r="J377" i="4"/>
  <c r="P377" i="4"/>
  <c r="E377" i="4"/>
  <c r="K377" i="4"/>
  <c r="G377" i="4"/>
  <c r="M377" i="4"/>
  <c r="J317" i="4"/>
  <c r="P317" i="4"/>
  <c r="J281" i="4"/>
  <c r="P281" i="4"/>
  <c r="F281" i="4"/>
  <c r="L281" i="4"/>
  <c r="J245" i="4"/>
  <c r="P245" i="4"/>
  <c r="E245" i="4"/>
  <c r="K245" i="4"/>
  <c r="M245" i="4"/>
  <c r="F245" i="4"/>
  <c r="N245" i="4"/>
  <c r="G245" i="4"/>
  <c r="O245" i="4"/>
  <c r="H245" i="4"/>
  <c r="F341" i="4"/>
  <c r="L341" i="4"/>
  <c r="L317" i="4"/>
  <c r="E317" i="4"/>
  <c r="K281" i="4"/>
  <c r="I317" i="4"/>
  <c r="H281" i="4"/>
  <c r="L245" i="4"/>
  <c r="O317" i="4"/>
  <c r="H317" i="4"/>
  <c r="F305" i="4"/>
  <c r="L305" i="4"/>
  <c r="H305" i="4"/>
  <c r="N305" i="4"/>
  <c r="O281" i="4"/>
  <c r="G281" i="4"/>
  <c r="F269" i="4"/>
  <c r="L269" i="4"/>
  <c r="H269" i="4"/>
  <c r="N269" i="4"/>
  <c r="I245" i="4"/>
  <c r="F233" i="4"/>
  <c r="L233" i="4"/>
  <c r="G233" i="4"/>
  <c r="M233" i="4"/>
  <c r="N233" i="4"/>
  <c r="E233" i="4"/>
  <c r="O233" i="4"/>
  <c r="H233" i="4"/>
  <c r="P233" i="4"/>
  <c r="I233" i="4"/>
  <c r="J209" i="4"/>
  <c r="P209" i="4"/>
  <c r="E209" i="4"/>
  <c r="K209" i="4"/>
  <c r="H185" i="4"/>
  <c r="N185" i="4"/>
  <c r="I185" i="4"/>
  <c r="O185" i="4"/>
  <c r="I173" i="4"/>
  <c r="O173" i="4"/>
  <c r="J173" i="4"/>
  <c r="P173" i="4"/>
  <c r="E173" i="4"/>
  <c r="K173" i="4"/>
  <c r="K221" i="4"/>
  <c r="I209" i="4"/>
  <c r="L185" i="4"/>
  <c r="F197" i="4"/>
  <c r="L197" i="4"/>
  <c r="G197" i="4"/>
  <c r="M197" i="4"/>
  <c r="N173" i="4"/>
  <c r="H209" i="4"/>
  <c r="K185" i="4"/>
  <c r="M173" i="4"/>
  <c r="O209" i="4"/>
  <c r="G209" i="4"/>
  <c r="P197" i="4"/>
  <c r="H197" i="4"/>
  <c r="J185" i="4"/>
  <c r="L173" i="4"/>
  <c r="N209" i="4"/>
  <c r="F209" i="4"/>
  <c r="H221" i="4"/>
  <c r="N221" i="4"/>
  <c r="I221" i="4"/>
  <c r="O221" i="4"/>
  <c r="G185" i="4"/>
  <c r="H173" i="4"/>
  <c r="N149" i="4"/>
  <c r="F125" i="4"/>
  <c r="G137" i="4"/>
  <c r="M137" i="4"/>
  <c r="H137" i="4"/>
  <c r="N137" i="4"/>
  <c r="I137" i="4"/>
  <c r="O137" i="4"/>
  <c r="D67" i="4"/>
  <c r="F149" i="4"/>
  <c r="L149" i="4"/>
  <c r="G149" i="4"/>
  <c r="M149" i="4"/>
  <c r="I125" i="4"/>
  <c r="O125" i="4"/>
  <c r="J125" i="4"/>
  <c r="P125" i="4"/>
  <c r="E125" i="4"/>
  <c r="K125" i="4"/>
  <c r="F89" i="4"/>
  <c r="L89" i="4"/>
  <c r="G89" i="4"/>
  <c r="M89" i="4"/>
  <c r="I89" i="4"/>
  <c r="O89" i="4"/>
  <c r="E89" i="4"/>
  <c r="H89" i="4"/>
  <c r="J89" i="4"/>
  <c r="K89" i="4"/>
  <c r="N101" i="4"/>
  <c r="J65" i="4"/>
  <c r="P65" i="4"/>
  <c r="E65" i="4"/>
  <c r="K65" i="4"/>
  <c r="F65" i="4"/>
  <c r="L65" i="4"/>
  <c r="G65" i="4"/>
  <c r="M65" i="4"/>
  <c r="J101" i="4"/>
  <c r="P101" i="4"/>
  <c r="E101" i="4"/>
  <c r="K101" i="4"/>
  <c r="G101" i="4"/>
  <c r="M101" i="4"/>
  <c r="Q52" i="4"/>
  <c r="E33" i="4"/>
  <c r="D33" i="4" s="1"/>
  <c r="E41" i="4"/>
  <c r="K41" i="4"/>
  <c r="E29" i="4"/>
  <c r="K29" i="4"/>
  <c r="N41" i="4"/>
  <c r="H41" i="4"/>
  <c r="N29" i="4"/>
  <c r="H29" i="4"/>
  <c r="M41" i="4"/>
  <c r="G41" i="4"/>
  <c r="M29" i="4"/>
  <c r="G29" i="4"/>
  <c r="P41" i="4"/>
  <c r="J41" i="4"/>
  <c r="P29" i="4"/>
  <c r="J29" i="4"/>
  <c r="O41" i="4"/>
  <c r="I41" i="4"/>
  <c r="O29" i="4"/>
  <c r="I29" i="4"/>
  <c r="L41" i="4"/>
  <c r="F41" i="4"/>
  <c r="L29" i="4"/>
  <c r="D32" i="4"/>
  <c r="F26" i="4"/>
  <c r="G26" i="4" s="1"/>
  <c r="H26" i="4" s="1"/>
  <c r="I26" i="4" s="1"/>
  <c r="G38" i="4"/>
  <c r="F39" i="4"/>
  <c r="E39" i="4"/>
  <c r="E45" i="4" s="1"/>
  <c r="U17" i="1"/>
  <c r="U39" i="2"/>
  <c r="U51" i="2" s="1"/>
  <c r="U63" i="2" s="1"/>
  <c r="U75" i="2" s="1"/>
  <c r="U87" i="2" s="1"/>
  <c r="U99" i="2" s="1"/>
  <c r="U111" i="2" s="1"/>
  <c r="U123" i="2" s="1"/>
  <c r="U135" i="2" s="1"/>
  <c r="U147" i="2" s="1"/>
  <c r="U159" i="2" s="1"/>
  <c r="U171" i="2" s="1"/>
  <c r="U183" i="2" s="1"/>
  <c r="U195" i="2" s="1"/>
  <c r="U207" i="2" s="1"/>
  <c r="E52" i="2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F9" i="2"/>
  <c r="U29" i="2"/>
  <c r="AC22" i="2" s="1"/>
  <c r="U24" i="2"/>
  <c r="M8" i="2"/>
  <c r="M9" i="2" s="1"/>
  <c r="Q14" i="2" s="1"/>
  <c r="U21" i="2"/>
  <c r="U17" i="2"/>
  <c r="AD22" i="2" s="1"/>
  <c r="W27" i="2"/>
  <c r="C11" i="2"/>
  <c r="M7" i="2" s="1"/>
  <c r="M4" i="2" s="1"/>
  <c r="C10" i="2"/>
  <c r="Y25" i="2"/>
  <c r="W71" i="2"/>
  <c r="Y59" i="2"/>
  <c r="C5" i="2"/>
  <c r="W60" i="2"/>
  <c r="U72" i="2"/>
  <c r="U48" i="2"/>
  <c r="U108" i="2"/>
  <c r="U120" i="2"/>
  <c r="W36" i="2"/>
  <c r="U180" i="2"/>
  <c r="U63" i="1"/>
  <c r="U53" i="1"/>
  <c r="U41" i="1"/>
  <c r="U204" i="1"/>
  <c r="U72" i="1"/>
  <c r="U84" i="1"/>
  <c r="U29" i="1"/>
  <c r="AC22" i="1" s="1"/>
  <c r="Z23" i="1" s="1"/>
  <c r="AC23" i="1" s="1"/>
  <c r="Z24" i="1" s="1"/>
  <c r="U21" i="1"/>
  <c r="AD22" i="1"/>
  <c r="P7" i="1"/>
  <c r="P6" i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5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F5" i="1"/>
  <c r="F4" i="1" s="1"/>
  <c r="F15" i="5" l="1"/>
  <c r="F19" i="5" s="1"/>
  <c r="E39" i="5"/>
  <c r="F39" i="5"/>
  <c r="D55" i="5"/>
  <c r="D44" i="5"/>
  <c r="F43" i="5" s="1"/>
  <c r="F50" i="5"/>
  <c r="E51" i="5"/>
  <c r="E45" i="5"/>
  <c r="H38" i="5"/>
  <c r="G39" i="5"/>
  <c r="E62" i="5"/>
  <c r="B74" i="5"/>
  <c r="D32" i="5"/>
  <c r="G15" i="5"/>
  <c r="G19" i="5" s="1"/>
  <c r="E20" i="5"/>
  <c r="F20" i="5" s="1"/>
  <c r="G20" i="5" s="1"/>
  <c r="H20" i="5" s="1"/>
  <c r="I20" i="5" s="1"/>
  <c r="Q17" i="5"/>
  <c r="F26" i="5"/>
  <c r="E27" i="5"/>
  <c r="E33" i="5" s="1"/>
  <c r="D33" i="5" s="1"/>
  <c r="H15" i="5"/>
  <c r="H19" i="5" s="1"/>
  <c r="I14" i="5"/>
  <c r="Y48" i="2"/>
  <c r="W49" i="2"/>
  <c r="W49" i="1"/>
  <c r="Y48" i="1"/>
  <c r="W39" i="1"/>
  <c r="Y38" i="1"/>
  <c r="W26" i="1"/>
  <c r="Y25" i="1"/>
  <c r="AD23" i="1"/>
  <c r="AD24" i="1" s="1"/>
  <c r="AD25" i="1" s="1"/>
  <c r="AD26" i="1" s="1"/>
  <c r="AD27" i="1" s="1"/>
  <c r="AD28" i="1" s="1"/>
  <c r="U53" i="2"/>
  <c r="W60" i="1"/>
  <c r="W71" i="1"/>
  <c r="Y59" i="1"/>
  <c r="E50" i="4"/>
  <c r="B62" i="4"/>
  <c r="Q53" i="4"/>
  <c r="D79" i="4"/>
  <c r="D45" i="4"/>
  <c r="H27" i="4"/>
  <c r="F31" i="4"/>
  <c r="L31" i="4"/>
  <c r="I31" i="4"/>
  <c r="J31" i="4"/>
  <c r="P31" i="4"/>
  <c r="G31" i="4"/>
  <c r="M31" i="4"/>
  <c r="K31" i="4"/>
  <c r="H31" i="4"/>
  <c r="N31" i="4"/>
  <c r="O31" i="4"/>
  <c r="E31" i="4"/>
  <c r="D44" i="4"/>
  <c r="D56" i="4" s="1"/>
  <c r="N55" i="4" s="1"/>
  <c r="J26" i="4"/>
  <c r="I27" i="4"/>
  <c r="G27" i="4"/>
  <c r="F27" i="4"/>
  <c r="H38" i="4"/>
  <c r="G39" i="4"/>
  <c r="AA24" i="1"/>
  <c r="AB24" i="1" s="1"/>
  <c r="AA23" i="1"/>
  <c r="AB23" i="1" s="1"/>
  <c r="AD23" i="2"/>
  <c r="AD24" i="2" s="1"/>
  <c r="AD25" i="2" s="1"/>
  <c r="AD26" i="2" s="1"/>
  <c r="AD27" i="2" s="1"/>
  <c r="AD28" i="2" s="1"/>
  <c r="U65" i="2"/>
  <c r="U41" i="2"/>
  <c r="U113" i="2"/>
  <c r="U89" i="2"/>
  <c r="M2" i="2"/>
  <c r="M3" i="2" s="1"/>
  <c r="U125" i="2"/>
  <c r="U77" i="2"/>
  <c r="Y71" i="2"/>
  <c r="W83" i="2"/>
  <c r="W72" i="2"/>
  <c r="AA23" i="2"/>
  <c r="Z23" i="2"/>
  <c r="W37" i="2"/>
  <c r="Y36" i="2"/>
  <c r="U149" i="2"/>
  <c r="Q15" i="2"/>
  <c r="O15" i="2"/>
  <c r="N15" i="2"/>
  <c r="P15" i="2" s="1"/>
  <c r="F2" i="2"/>
  <c r="F3" i="2" s="1"/>
  <c r="J14" i="2"/>
  <c r="U137" i="2"/>
  <c r="U101" i="2"/>
  <c r="Y60" i="2"/>
  <c r="W61" i="2"/>
  <c r="Y27" i="2"/>
  <c r="W28" i="2"/>
  <c r="U75" i="1"/>
  <c r="U65" i="1"/>
  <c r="AC24" i="1"/>
  <c r="F9" i="1"/>
  <c r="F2" i="1" s="1"/>
  <c r="F3" i="1" s="1"/>
  <c r="P8" i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G43" i="5" l="1"/>
  <c r="D56" i="5"/>
  <c r="E55" i="5" s="1"/>
  <c r="D67" i="5"/>
  <c r="E31" i="5"/>
  <c r="E43" i="5"/>
  <c r="I38" i="5"/>
  <c r="H39" i="5"/>
  <c r="H43" i="5" s="1"/>
  <c r="B86" i="5"/>
  <c r="E74" i="5"/>
  <c r="E57" i="5"/>
  <c r="D57" i="5" s="1"/>
  <c r="F62" i="5"/>
  <c r="E63" i="5"/>
  <c r="D45" i="5"/>
  <c r="F51" i="5"/>
  <c r="G50" i="5"/>
  <c r="F27" i="5"/>
  <c r="F31" i="5" s="1"/>
  <c r="G26" i="5"/>
  <c r="Q18" i="5"/>
  <c r="I15" i="5"/>
  <c r="I19" i="5" s="1"/>
  <c r="J14" i="5"/>
  <c r="R17" i="5" s="1"/>
  <c r="W61" i="1"/>
  <c r="Y60" i="1"/>
  <c r="W27" i="1"/>
  <c r="Y26" i="1"/>
  <c r="W50" i="1"/>
  <c r="Y49" i="1"/>
  <c r="J14" i="1"/>
  <c r="H15" i="1" s="1"/>
  <c r="Y49" i="2"/>
  <c r="W50" i="2"/>
  <c r="W72" i="1"/>
  <c r="Y71" i="1"/>
  <c r="W83" i="1"/>
  <c r="AA25" i="1"/>
  <c r="W40" i="1"/>
  <c r="Y39" i="1"/>
  <c r="E62" i="4"/>
  <c r="B74" i="4"/>
  <c r="F50" i="4"/>
  <c r="E51" i="4"/>
  <c r="E57" i="4" s="1"/>
  <c r="D57" i="4" s="1"/>
  <c r="D68" i="4"/>
  <c r="J67" i="4" s="1"/>
  <c r="J55" i="4"/>
  <c r="E55" i="4"/>
  <c r="O55" i="4"/>
  <c r="H55" i="4"/>
  <c r="M55" i="4"/>
  <c r="K55" i="4"/>
  <c r="G55" i="4"/>
  <c r="L55" i="4"/>
  <c r="I55" i="4"/>
  <c r="F55" i="4"/>
  <c r="P55" i="4"/>
  <c r="D91" i="4"/>
  <c r="Q54" i="4"/>
  <c r="E32" i="4"/>
  <c r="R26" i="4" s="1"/>
  <c r="F43" i="4"/>
  <c r="L43" i="4"/>
  <c r="K43" i="4"/>
  <c r="G43" i="4"/>
  <c r="M43" i="4"/>
  <c r="O43" i="4"/>
  <c r="P43" i="4"/>
  <c r="H43" i="4"/>
  <c r="N43" i="4"/>
  <c r="I43" i="4"/>
  <c r="J43" i="4"/>
  <c r="E43" i="4"/>
  <c r="K26" i="4"/>
  <c r="J27" i="4"/>
  <c r="J33" i="4" s="1"/>
  <c r="H39" i="4"/>
  <c r="I38" i="4"/>
  <c r="AB23" i="2"/>
  <c r="U161" i="2"/>
  <c r="H15" i="2"/>
  <c r="G15" i="2"/>
  <c r="I15" i="2" s="1"/>
  <c r="W62" i="2"/>
  <c r="Y61" i="2"/>
  <c r="Y37" i="2"/>
  <c r="W38" i="2"/>
  <c r="Y72" i="2"/>
  <c r="W73" i="2"/>
  <c r="O16" i="2"/>
  <c r="N16" i="2"/>
  <c r="P16" i="2" s="1"/>
  <c r="W29" i="2"/>
  <c r="Y28" i="2"/>
  <c r="AC23" i="2"/>
  <c r="W84" i="2"/>
  <c r="W95" i="2"/>
  <c r="Y83" i="2"/>
  <c r="U87" i="1"/>
  <c r="U77" i="1"/>
  <c r="Z25" i="1"/>
  <c r="AB25" i="1" s="1"/>
  <c r="G15" i="1"/>
  <c r="F55" i="5" l="1"/>
  <c r="D68" i="5"/>
  <c r="E67" i="5" s="1"/>
  <c r="D79" i="5"/>
  <c r="H50" i="5"/>
  <c r="G51" i="5"/>
  <c r="G55" i="5" s="1"/>
  <c r="F74" i="5"/>
  <c r="E75" i="5"/>
  <c r="E69" i="5"/>
  <c r="D69" i="5" s="1"/>
  <c r="G62" i="5"/>
  <c r="F63" i="5"/>
  <c r="E86" i="5"/>
  <c r="B98" i="5"/>
  <c r="I39" i="5"/>
  <c r="I43" i="5" s="1"/>
  <c r="J38" i="5"/>
  <c r="G27" i="5"/>
  <c r="G31" i="5" s="1"/>
  <c r="H26" i="5"/>
  <c r="J15" i="5"/>
  <c r="K14" i="5"/>
  <c r="R14" i="5"/>
  <c r="R15" i="5"/>
  <c r="R16" i="5"/>
  <c r="Q19" i="5"/>
  <c r="R18" i="5"/>
  <c r="W84" i="1"/>
  <c r="Y83" i="1"/>
  <c r="W95" i="1"/>
  <c r="W28" i="1"/>
  <c r="Y27" i="1"/>
  <c r="W41" i="1"/>
  <c r="Y40" i="1"/>
  <c r="W73" i="1"/>
  <c r="Y72" i="1"/>
  <c r="Y50" i="2"/>
  <c r="W51" i="2"/>
  <c r="W51" i="1"/>
  <c r="Y50" i="1"/>
  <c r="W62" i="1"/>
  <c r="Y61" i="1"/>
  <c r="E74" i="4"/>
  <c r="B86" i="4"/>
  <c r="F51" i="4"/>
  <c r="G50" i="4"/>
  <c r="E63" i="4"/>
  <c r="E69" i="4" s="1"/>
  <c r="D69" i="4" s="1"/>
  <c r="F62" i="4"/>
  <c r="M67" i="4"/>
  <c r="D80" i="4"/>
  <c r="D92" i="4" s="1"/>
  <c r="O67" i="4"/>
  <c r="L67" i="4"/>
  <c r="N67" i="4"/>
  <c r="F67" i="4"/>
  <c r="I67" i="4"/>
  <c r="K67" i="4"/>
  <c r="H67" i="4"/>
  <c r="E67" i="4"/>
  <c r="G67" i="4"/>
  <c r="P67" i="4"/>
  <c r="Q55" i="4"/>
  <c r="D103" i="4"/>
  <c r="F32" i="4"/>
  <c r="R27" i="4" s="1"/>
  <c r="D34" i="4"/>
  <c r="D35" i="4" s="1"/>
  <c r="L26" i="4"/>
  <c r="K27" i="4"/>
  <c r="J38" i="4"/>
  <c r="I39" i="4"/>
  <c r="W30" i="2"/>
  <c r="Y29" i="2"/>
  <c r="AD29" i="2"/>
  <c r="AD30" i="2" s="1"/>
  <c r="AD31" i="2" s="1"/>
  <c r="AD32" i="2" s="1"/>
  <c r="AD33" i="2" s="1"/>
  <c r="AD34" i="2" s="1"/>
  <c r="Y38" i="2"/>
  <c r="W39" i="2"/>
  <c r="W85" i="2"/>
  <c r="Y84" i="2"/>
  <c r="Q16" i="2"/>
  <c r="W63" i="2"/>
  <c r="Y62" i="2"/>
  <c r="W107" i="2"/>
  <c r="W96" i="2"/>
  <c r="Y95" i="2"/>
  <c r="AA24" i="2"/>
  <c r="Z24" i="2"/>
  <c r="AC24" i="2" s="1"/>
  <c r="W74" i="2"/>
  <c r="Y73" i="2"/>
  <c r="J15" i="2"/>
  <c r="U173" i="2"/>
  <c r="U99" i="1"/>
  <c r="U89" i="1"/>
  <c r="AC25" i="1"/>
  <c r="Z26" i="1" s="1"/>
  <c r="J15" i="1"/>
  <c r="I15" i="1"/>
  <c r="F67" i="5" l="1"/>
  <c r="J21" i="5"/>
  <c r="D22" i="5" s="1"/>
  <c r="D23" i="5" s="1"/>
  <c r="J22" i="5"/>
  <c r="J19" i="5"/>
  <c r="D80" i="5"/>
  <c r="E79" i="5" s="1"/>
  <c r="D91" i="5"/>
  <c r="G63" i="5"/>
  <c r="G67" i="5" s="1"/>
  <c r="H62" i="5"/>
  <c r="B110" i="5"/>
  <c r="E98" i="5"/>
  <c r="G74" i="5"/>
  <c r="F75" i="5"/>
  <c r="E81" i="5"/>
  <c r="D81" i="5" s="1"/>
  <c r="F86" i="5"/>
  <c r="E87" i="5"/>
  <c r="K38" i="5"/>
  <c r="J39" i="5"/>
  <c r="I50" i="5"/>
  <c r="H51" i="5"/>
  <c r="H55" i="5" s="1"/>
  <c r="Q20" i="5"/>
  <c r="L14" i="5"/>
  <c r="K15" i="5"/>
  <c r="K19" i="5" s="1"/>
  <c r="I26" i="5"/>
  <c r="H27" i="5"/>
  <c r="H31" i="5" s="1"/>
  <c r="W63" i="1"/>
  <c r="Y62" i="1"/>
  <c r="W42" i="1"/>
  <c r="Y41" i="1"/>
  <c r="W52" i="1"/>
  <c r="Y51" i="1"/>
  <c r="W74" i="1"/>
  <c r="Y73" i="1"/>
  <c r="W29" i="1"/>
  <c r="Y28" i="1"/>
  <c r="Y51" i="2"/>
  <c r="W52" i="2"/>
  <c r="W96" i="1"/>
  <c r="Y95" i="1"/>
  <c r="W107" i="1"/>
  <c r="W85" i="1"/>
  <c r="Y84" i="1"/>
  <c r="G79" i="4"/>
  <c r="J79" i="4"/>
  <c r="I79" i="4"/>
  <c r="N79" i="4"/>
  <c r="P79" i="4"/>
  <c r="M79" i="4"/>
  <c r="H79" i="4"/>
  <c r="F79" i="4"/>
  <c r="K79" i="4"/>
  <c r="E79" i="4"/>
  <c r="G51" i="4"/>
  <c r="H50" i="4"/>
  <c r="G62" i="4"/>
  <c r="F63" i="4"/>
  <c r="E86" i="4"/>
  <c r="B98" i="4"/>
  <c r="F74" i="4"/>
  <c r="E75" i="4"/>
  <c r="E81" i="4" s="1"/>
  <c r="D81" i="4" s="1"/>
  <c r="L79" i="4"/>
  <c r="O79" i="4"/>
  <c r="Q56" i="4"/>
  <c r="F91" i="4"/>
  <c r="L91" i="4"/>
  <c r="G91" i="4"/>
  <c r="M91" i="4"/>
  <c r="I91" i="4"/>
  <c r="O91" i="4"/>
  <c r="K91" i="4"/>
  <c r="N91" i="4"/>
  <c r="P91" i="4"/>
  <c r="E91" i="4"/>
  <c r="H91" i="4"/>
  <c r="J91" i="4"/>
  <c r="D104" i="4"/>
  <c r="D115" i="4"/>
  <c r="G32" i="4"/>
  <c r="R28" i="4" s="1"/>
  <c r="M26" i="4"/>
  <c r="L27" i="4"/>
  <c r="K38" i="4"/>
  <c r="J39" i="4"/>
  <c r="J45" i="4" s="1"/>
  <c r="AB24" i="2"/>
  <c r="U185" i="2"/>
  <c r="N17" i="2"/>
  <c r="Q17" i="2" s="1"/>
  <c r="O17" i="2"/>
  <c r="Z25" i="2"/>
  <c r="AC25" i="2" s="1"/>
  <c r="AA25" i="2"/>
  <c r="H16" i="2"/>
  <c r="G16" i="2"/>
  <c r="I16" i="2" s="1"/>
  <c r="W86" i="2"/>
  <c r="Y85" i="2"/>
  <c r="W64" i="2"/>
  <c r="Y63" i="2"/>
  <c r="W97" i="2"/>
  <c r="Y96" i="2"/>
  <c r="W75" i="2"/>
  <c r="Y74" i="2"/>
  <c r="W119" i="2"/>
  <c r="Y107" i="2"/>
  <c r="W108" i="2"/>
  <c r="Y39" i="2"/>
  <c r="W40" i="2"/>
  <c r="W31" i="2"/>
  <c r="Y30" i="2"/>
  <c r="U111" i="1"/>
  <c r="U101" i="1"/>
  <c r="AA26" i="1"/>
  <c r="AB26" i="1" s="1"/>
  <c r="AC26" i="1"/>
  <c r="AA27" i="1" s="1"/>
  <c r="G16" i="1"/>
  <c r="J16" i="1" s="1"/>
  <c r="H16" i="1"/>
  <c r="F79" i="5" l="1"/>
  <c r="J20" i="5"/>
  <c r="K20" i="5" s="1"/>
  <c r="L20" i="5" s="1"/>
  <c r="M20" i="5" s="1"/>
  <c r="N20" i="5" s="1"/>
  <c r="O20" i="5" s="1"/>
  <c r="P20" i="5" s="1"/>
  <c r="D24" i="5" s="1"/>
  <c r="E32" i="5" s="1"/>
  <c r="F32" i="5" s="1"/>
  <c r="G32" i="5" s="1"/>
  <c r="H32" i="5" s="1"/>
  <c r="I32" i="5" s="1"/>
  <c r="D92" i="5"/>
  <c r="E91" i="5" s="1"/>
  <c r="D103" i="5"/>
  <c r="J50" i="5"/>
  <c r="I51" i="5"/>
  <c r="I55" i="5" s="1"/>
  <c r="G86" i="5"/>
  <c r="F87" i="5"/>
  <c r="J43" i="5"/>
  <c r="J46" i="5"/>
  <c r="J45" i="5"/>
  <c r="E110" i="5"/>
  <c r="B122" i="5"/>
  <c r="F98" i="5"/>
  <c r="E99" i="5"/>
  <c r="L38" i="5"/>
  <c r="K39" i="5"/>
  <c r="K43" i="5" s="1"/>
  <c r="H74" i="5"/>
  <c r="G75" i="5"/>
  <c r="G79" i="5" s="1"/>
  <c r="I62" i="5"/>
  <c r="H63" i="5"/>
  <c r="H67" i="5" s="1"/>
  <c r="E93" i="5"/>
  <c r="D93" i="5" s="1"/>
  <c r="L15" i="5"/>
  <c r="L19" i="5" s="1"/>
  <c r="M14" i="5"/>
  <c r="Q21" i="5"/>
  <c r="J26" i="5"/>
  <c r="I27" i="5"/>
  <c r="I31" i="5" s="1"/>
  <c r="W86" i="1"/>
  <c r="Y85" i="1"/>
  <c r="W108" i="1"/>
  <c r="W119" i="1"/>
  <c r="Y107" i="1"/>
  <c r="W75" i="1"/>
  <c r="Y74" i="1"/>
  <c r="W43" i="1"/>
  <c r="Y42" i="1"/>
  <c r="J16" i="2"/>
  <c r="Y52" i="2"/>
  <c r="W53" i="2"/>
  <c r="W97" i="1"/>
  <c r="Y96" i="1"/>
  <c r="W30" i="1"/>
  <c r="Y29" i="1"/>
  <c r="AD29" i="1"/>
  <c r="AD30" i="1" s="1"/>
  <c r="AD31" i="1" s="1"/>
  <c r="AD32" i="1" s="1"/>
  <c r="AD33" i="1" s="1"/>
  <c r="AD34" i="1" s="1"/>
  <c r="W53" i="1"/>
  <c r="Y52" i="1"/>
  <c r="W64" i="1"/>
  <c r="Y63" i="1"/>
  <c r="E98" i="4"/>
  <c r="B110" i="4"/>
  <c r="F86" i="4"/>
  <c r="E87" i="4"/>
  <c r="E93" i="4" s="1"/>
  <c r="D93" i="4" s="1"/>
  <c r="G63" i="4"/>
  <c r="H62" i="4"/>
  <c r="H51" i="4"/>
  <c r="I50" i="4"/>
  <c r="G74" i="4"/>
  <c r="F75" i="4"/>
  <c r="J103" i="4"/>
  <c r="P103" i="4"/>
  <c r="E103" i="4"/>
  <c r="K103" i="4"/>
  <c r="G103" i="4"/>
  <c r="M103" i="4"/>
  <c r="O103" i="4"/>
  <c r="F103" i="4"/>
  <c r="H103" i="4"/>
  <c r="I103" i="4"/>
  <c r="L103" i="4"/>
  <c r="N103" i="4"/>
  <c r="Q57" i="4"/>
  <c r="D127" i="4"/>
  <c r="D116" i="4"/>
  <c r="H32" i="4"/>
  <c r="R29" i="4" s="1"/>
  <c r="D46" i="4"/>
  <c r="D47" i="4" s="1"/>
  <c r="N26" i="4"/>
  <c r="M27" i="4"/>
  <c r="L38" i="4"/>
  <c r="K39" i="4"/>
  <c r="AA26" i="2"/>
  <c r="Z26" i="2"/>
  <c r="AC26" i="2" s="1"/>
  <c r="O18" i="2"/>
  <c r="N18" i="2"/>
  <c r="P18" i="2" s="1"/>
  <c r="W120" i="2"/>
  <c r="Y119" i="2"/>
  <c r="W131" i="2"/>
  <c r="Y40" i="2"/>
  <c r="W41" i="2"/>
  <c r="Y75" i="2"/>
  <c r="W76" i="2"/>
  <c r="Y86" i="2"/>
  <c r="W87" i="2"/>
  <c r="P17" i="2"/>
  <c r="J17" i="2"/>
  <c r="H17" i="2"/>
  <c r="G17" i="2"/>
  <c r="W65" i="2"/>
  <c r="Y64" i="2"/>
  <c r="W32" i="2"/>
  <c r="Y31" i="2"/>
  <c r="Y108" i="2"/>
  <c r="W109" i="2"/>
  <c r="W98" i="2"/>
  <c r="Y97" i="2"/>
  <c r="AB25" i="2"/>
  <c r="U209" i="2"/>
  <c r="U197" i="2"/>
  <c r="U123" i="1"/>
  <c r="U113" i="1"/>
  <c r="Z27" i="1"/>
  <c r="AB27" i="1" s="1"/>
  <c r="G17" i="1"/>
  <c r="J17" i="1" s="1"/>
  <c r="H17" i="1"/>
  <c r="I16" i="1"/>
  <c r="R19" i="5" l="1"/>
  <c r="R20" i="5"/>
  <c r="F91" i="5"/>
  <c r="D115" i="5"/>
  <c r="D104" i="5"/>
  <c r="I74" i="5"/>
  <c r="H75" i="5"/>
  <c r="H79" i="5" s="1"/>
  <c r="G98" i="5"/>
  <c r="F99" i="5"/>
  <c r="B134" i="5"/>
  <c r="E122" i="5"/>
  <c r="D46" i="5"/>
  <c r="D47" i="5" s="1"/>
  <c r="H86" i="5"/>
  <c r="G87" i="5"/>
  <c r="G91" i="5" s="1"/>
  <c r="J62" i="5"/>
  <c r="I63" i="5"/>
  <c r="I67" i="5" s="1"/>
  <c r="M38" i="5"/>
  <c r="L39" i="5"/>
  <c r="L43" i="5" s="1"/>
  <c r="F110" i="5"/>
  <c r="E111" i="5"/>
  <c r="E105" i="5"/>
  <c r="D105" i="5" s="1"/>
  <c r="K50" i="5"/>
  <c r="J51" i="5"/>
  <c r="Q22" i="5"/>
  <c r="R21" i="5"/>
  <c r="M15" i="5"/>
  <c r="M19" i="5" s="1"/>
  <c r="N14" i="5"/>
  <c r="J27" i="5"/>
  <c r="K26" i="5"/>
  <c r="W65" i="1"/>
  <c r="Y64" i="1"/>
  <c r="W44" i="1"/>
  <c r="Y43" i="1"/>
  <c r="W31" i="1"/>
  <c r="Y30" i="1"/>
  <c r="W109" i="1"/>
  <c r="Y108" i="1"/>
  <c r="W54" i="1"/>
  <c r="Y53" i="1"/>
  <c r="W76" i="1"/>
  <c r="Y75" i="1"/>
  <c r="W54" i="2"/>
  <c r="Y53" i="2"/>
  <c r="W120" i="1"/>
  <c r="W131" i="1"/>
  <c r="Y119" i="1"/>
  <c r="Q18" i="2"/>
  <c r="W98" i="1"/>
  <c r="Y97" i="1"/>
  <c r="W87" i="1"/>
  <c r="Y86" i="1"/>
  <c r="I62" i="4"/>
  <c r="H63" i="4"/>
  <c r="H74" i="4"/>
  <c r="G75" i="4"/>
  <c r="F87" i="4"/>
  <c r="G86" i="4"/>
  <c r="J50" i="4"/>
  <c r="I51" i="4"/>
  <c r="E110" i="4"/>
  <c r="B122" i="4"/>
  <c r="E99" i="4"/>
  <c r="E105" i="4" s="1"/>
  <c r="D105" i="4" s="1"/>
  <c r="F98" i="4"/>
  <c r="D128" i="4"/>
  <c r="D139" i="4"/>
  <c r="Q58" i="4"/>
  <c r="H115" i="4"/>
  <c r="N115" i="4"/>
  <c r="I115" i="4"/>
  <c r="O115" i="4"/>
  <c r="E115" i="4"/>
  <c r="K115" i="4"/>
  <c r="M115" i="4"/>
  <c r="P115" i="4"/>
  <c r="F115" i="4"/>
  <c r="L115" i="4"/>
  <c r="G115" i="4"/>
  <c r="J115" i="4"/>
  <c r="I32" i="4"/>
  <c r="R30" i="4" s="1"/>
  <c r="O26" i="4"/>
  <c r="N27" i="4"/>
  <c r="M38" i="4"/>
  <c r="L39" i="4"/>
  <c r="AA27" i="2"/>
  <c r="Z27" i="2"/>
  <c r="G18" i="2"/>
  <c r="H18" i="2"/>
  <c r="Y41" i="2"/>
  <c r="W42" i="2"/>
  <c r="W99" i="2"/>
  <c r="Y98" i="2"/>
  <c r="O19" i="2"/>
  <c r="N19" i="2"/>
  <c r="Y109" i="2"/>
  <c r="W110" i="2"/>
  <c r="W88" i="2"/>
  <c r="Y87" i="2"/>
  <c r="W143" i="2"/>
  <c r="W132" i="2"/>
  <c r="Y131" i="2"/>
  <c r="W33" i="2"/>
  <c r="Y32" i="2"/>
  <c r="W66" i="2"/>
  <c r="Y65" i="2"/>
  <c r="AB26" i="2"/>
  <c r="I17" i="2"/>
  <c r="Y76" i="2"/>
  <c r="W77" i="2"/>
  <c r="Y120" i="2"/>
  <c r="W121" i="2"/>
  <c r="U125" i="1"/>
  <c r="U135" i="1"/>
  <c r="AC27" i="1"/>
  <c r="I17" i="1"/>
  <c r="G18" i="1"/>
  <c r="J18" i="1" s="1"/>
  <c r="H18" i="1"/>
  <c r="J33" i="5" l="1"/>
  <c r="J34" i="5"/>
  <c r="J31" i="5"/>
  <c r="D116" i="5"/>
  <c r="D127" i="5"/>
  <c r="I86" i="5"/>
  <c r="H87" i="5"/>
  <c r="H91" i="5" s="1"/>
  <c r="H98" i="5"/>
  <c r="G99" i="5"/>
  <c r="G103" i="5" s="1"/>
  <c r="J57" i="5"/>
  <c r="D58" i="5" s="1"/>
  <c r="D59" i="5" s="1"/>
  <c r="J58" i="5"/>
  <c r="J55" i="5"/>
  <c r="E117" i="5"/>
  <c r="D117" i="5" s="1"/>
  <c r="L50" i="5"/>
  <c r="K51" i="5"/>
  <c r="K55" i="5" s="1"/>
  <c r="G110" i="5"/>
  <c r="F111" i="5"/>
  <c r="K62" i="5"/>
  <c r="J63" i="5"/>
  <c r="J74" i="5"/>
  <c r="I75" i="5"/>
  <c r="I79" i="5" s="1"/>
  <c r="N38" i="5"/>
  <c r="M39" i="5"/>
  <c r="M43" i="5" s="1"/>
  <c r="E134" i="5"/>
  <c r="B146" i="5"/>
  <c r="E103" i="5"/>
  <c r="F122" i="5"/>
  <c r="E123" i="5"/>
  <c r="F103" i="5"/>
  <c r="N15" i="5"/>
  <c r="N19" i="5" s="1"/>
  <c r="O14" i="5"/>
  <c r="D34" i="5"/>
  <c r="D35" i="5" s="1"/>
  <c r="R22" i="5"/>
  <c r="Q23" i="5"/>
  <c r="K27" i="5"/>
  <c r="K31" i="5" s="1"/>
  <c r="L26" i="5"/>
  <c r="I18" i="2"/>
  <c r="W99" i="1"/>
  <c r="Y98" i="1"/>
  <c r="W121" i="1"/>
  <c r="Y120" i="1"/>
  <c r="W110" i="1"/>
  <c r="Y109" i="1"/>
  <c r="W45" i="1"/>
  <c r="Y44" i="1"/>
  <c r="P19" i="2"/>
  <c r="W132" i="1"/>
  <c r="Y131" i="1"/>
  <c r="W143" i="1"/>
  <c r="W77" i="1"/>
  <c r="Y76" i="1"/>
  <c r="W88" i="1"/>
  <c r="Y87" i="1"/>
  <c r="Y54" i="2"/>
  <c r="W55" i="2"/>
  <c r="W55" i="1"/>
  <c r="Y54" i="1"/>
  <c r="W32" i="1"/>
  <c r="Y31" i="1"/>
  <c r="W66" i="1"/>
  <c r="Y65" i="1"/>
  <c r="G98" i="4"/>
  <c r="F99" i="4"/>
  <c r="G87" i="4"/>
  <c r="H86" i="4"/>
  <c r="E122" i="4"/>
  <c r="B134" i="4"/>
  <c r="F110" i="4"/>
  <c r="E111" i="4"/>
  <c r="E117" i="4" s="1"/>
  <c r="D117" i="4" s="1"/>
  <c r="H75" i="4"/>
  <c r="I74" i="4"/>
  <c r="K50" i="4"/>
  <c r="J51" i="4"/>
  <c r="J57" i="4" s="1"/>
  <c r="D58" i="4" s="1"/>
  <c r="D59" i="4" s="1"/>
  <c r="J62" i="4"/>
  <c r="I63" i="4"/>
  <c r="D151" i="4"/>
  <c r="D140" i="4"/>
  <c r="I127" i="4"/>
  <c r="O127" i="4"/>
  <c r="J127" i="4"/>
  <c r="P127" i="4"/>
  <c r="E127" i="4"/>
  <c r="K127" i="4"/>
  <c r="G127" i="4"/>
  <c r="H127" i="4"/>
  <c r="L127" i="4"/>
  <c r="M127" i="4"/>
  <c r="N127" i="4"/>
  <c r="F127" i="4"/>
  <c r="Q59" i="4"/>
  <c r="J32" i="4"/>
  <c r="R31" i="4" s="1"/>
  <c r="P26" i="4"/>
  <c r="P27" i="4" s="1"/>
  <c r="O27" i="4"/>
  <c r="N38" i="4"/>
  <c r="M39" i="4"/>
  <c r="AB27" i="2"/>
  <c r="Y77" i="2"/>
  <c r="W78" i="2"/>
  <c r="W89" i="2"/>
  <c r="Y88" i="2"/>
  <c r="W34" i="2"/>
  <c r="Y34" i="2" s="1"/>
  <c r="Y33" i="2"/>
  <c r="Y99" i="2"/>
  <c r="W100" i="2"/>
  <c r="Y42" i="2"/>
  <c r="W43" i="2"/>
  <c r="Y132" i="2"/>
  <c r="W133" i="2"/>
  <c r="AC27" i="2"/>
  <c r="W111" i="2"/>
  <c r="Y110" i="2"/>
  <c r="Y121" i="2"/>
  <c r="W122" i="2"/>
  <c r="W155" i="2"/>
  <c r="W144" i="2"/>
  <c r="Y143" i="2"/>
  <c r="Y66" i="2"/>
  <c r="W67" i="2"/>
  <c r="Q19" i="2"/>
  <c r="J18" i="2"/>
  <c r="U147" i="1"/>
  <c r="U137" i="1"/>
  <c r="Z28" i="1"/>
  <c r="AA28" i="1"/>
  <c r="G19" i="1"/>
  <c r="H19" i="1"/>
  <c r="I18" i="1"/>
  <c r="F115" i="5" l="1"/>
  <c r="J32" i="5"/>
  <c r="K32" i="5" s="1"/>
  <c r="L32" i="5" s="1"/>
  <c r="M32" i="5" s="1"/>
  <c r="N32" i="5" s="1"/>
  <c r="O32" i="5" s="1"/>
  <c r="P32" i="5" s="1"/>
  <c r="D36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D48" i="5" s="1"/>
  <c r="E56" i="5" s="1"/>
  <c r="F56" i="5" s="1"/>
  <c r="G56" i="5" s="1"/>
  <c r="H56" i="5" s="1"/>
  <c r="I56" i="5" s="1"/>
  <c r="J56" i="5" s="1"/>
  <c r="K56" i="5" s="1"/>
  <c r="L56" i="5" s="1"/>
  <c r="M56" i="5" s="1"/>
  <c r="N56" i="5" s="1"/>
  <c r="O56" i="5" s="1"/>
  <c r="P56" i="5" s="1"/>
  <c r="D60" i="5" s="1"/>
  <c r="E68" i="5" s="1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D72" i="5" s="1"/>
  <c r="E80" i="5" s="1"/>
  <c r="F80" i="5" s="1"/>
  <c r="G80" i="5" s="1"/>
  <c r="H80" i="5" s="1"/>
  <c r="I80" i="5" s="1"/>
  <c r="D128" i="5"/>
  <c r="D139" i="5"/>
  <c r="E135" i="5"/>
  <c r="F134" i="5"/>
  <c r="L62" i="5"/>
  <c r="K63" i="5"/>
  <c r="K67" i="5" s="1"/>
  <c r="M50" i="5"/>
  <c r="L51" i="5"/>
  <c r="L55" i="5" s="1"/>
  <c r="G122" i="5"/>
  <c r="F123" i="5"/>
  <c r="I87" i="5"/>
  <c r="I91" i="5" s="1"/>
  <c r="J86" i="5"/>
  <c r="G111" i="5"/>
  <c r="G115" i="5" s="1"/>
  <c r="H110" i="5"/>
  <c r="E115" i="5"/>
  <c r="E129" i="5"/>
  <c r="D129" i="5" s="1"/>
  <c r="K74" i="5"/>
  <c r="J75" i="5"/>
  <c r="O38" i="5"/>
  <c r="N39" i="5"/>
  <c r="N43" i="5" s="1"/>
  <c r="E146" i="5"/>
  <c r="B158" i="5"/>
  <c r="J69" i="5"/>
  <c r="D70" i="5" s="1"/>
  <c r="D71" i="5" s="1"/>
  <c r="J67" i="5"/>
  <c r="J70" i="5"/>
  <c r="I98" i="5"/>
  <c r="H99" i="5"/>
  <c r="H103" i="5" s="1"/>
  <c r="O15" i="5"/>
  <c r="O19" i="5" s="1"/>
  <c r="P14" i="5"/>
  <c r="P15" i="5" s="1"/>
  <c r="P19" i="5" s="1"/>
  <c r="R23" i="5"/>
  <c r="Q24" i="5"/>
  <c r="M26" i="5"/>
  <c r="L27" i="5"/>
  <c r="L31" i="5" s="1"/>
  <c r="W56" i="2"/>
  <c r="Y55" i="2"/>
  <c r="W133" i="1"/>
  <c r="Y132" i="1"/>
  <c r="W33" i="1"/>
  <c r="Y32" i="1"/>
  <c r="W78" i="1"/>
  <c r="Y77" i="1"/>
  <c r="W111" i="1"/>
  <c r="Y110" i="1"/>
  <c r="W100" i="1"/>
  <c r="Y99" i="1"/>
  <c r="W67" i="1"/>
  <c r="Y66" i="1"/>
  <c r="W56" i="1"/>
  <c r="Y55" i="1"/>
  <c r="W89" i="1"/>
  <c r="Y88" i="1"/>
  <c r="W46" i="1"/>
  <c r="Y46" i="1" s="1"/>
  <c r="Y45" i="1"/>
  <c r="W122" i="1"/>
  <c r="Y121" i="1"/>
  <c r="W144" i="1"/>
  <c r="Y143" i="1"/>
  <c r="W155" i="1"/>
  <c r="B146" i="4"/>
  <c r="E134" i="4"/>
  <c r="L50" i="4"/>
  <c r="K51" i="4"/>
  <c r="E123" i="4"/>
  <c r="E129" i="4" s="1"/>
  <c r="D129" i="4" s="1"/>
  <c r="F122" i="4"/>
  <c r="I75" i="4"/>
  <c r="J74" i="4"/>
  <c r="H87" i="4"/>
  <c r="I86" i="4"/>
  <c r="J63" i="4"/>
  <c r="J69" i="4" s="1"/>
  <c r="D70" i="4" s="1"/>
  <c r="D71" i="4" s="1"/>
  <c r="K62" i="4"/>
  <c r="G110" i="4"/>
  <c r="F111" i="4"/>
  <c r="G99" i="4"/>
  <c r="H98" i="4"/>
  <c r="G139" i="4"/>
  <c r="H139" i="4"/>
  <c r="N139" i="4"/>
  <c r="I139" i="4"/>
  <c r="O139" i="4"/>
  <c r="L139" i="4"/>
  <c r="M139" i="4"/>
  <c r="E139" i="4"/>
  <c r="P139" i="4"/>
  <c r="K139" i="4"/>
  <c r="F139" i="4"/>
  <c r="J139" i="4"/>
  <c r="D152" i="4"/>
  <c r="D163" i="4"/>
  <c r="Q60" i="4"/>
  <c r="K32" i="4"/>
  <c r="R32" i="4" s="1"/>
  <c r="O38" i="4"/>
  <c r="N39" i="4"/>
  <c r="W112" i="2"/>
  <c r="Y111" i="2"/>
  <c r="AA28" i="2"/>
  <c r="Z28" i="2"/>
  <c r="W90" i="2"/>
  <c r="Y89" i="2"/>
  <c r="Y43" i="2"/>
  <c r="W44" i="2"/>
  <c r="H19" i="2"/>
  <c r="G19" i="2"/>
  <c r="J19" i="2"/>
  <c r="W167" i="2"/>
  <c r="Y155" i="2"/>
  <c r="W156" i="2"/>
  <c r="W134" i="2"/>
  <c r="Y133" i="2"/>
  <c r="W101" i="2"/>
  <c r="Y100" i="2"/>
  <c r="W79" i="2"/>
  <c r="Y78" i="2"/>
  <c r="Y67" i="2"/>
  <c r="W68" i="2"/>
  <c r="W145" i="2"/>
  <c r="Y144" i="2"/>
  <c r="O20" i="2"/>
  <c r="N20" i="2"/>
  <c r="P20" i="2" s="1"/>
  <c r="W123" i="2"/>
  <c r="Y122" i="2"/>
  <c r="U159" i="1"/>
  <c r="U149" i="1"/>
  <c r="AB28" i="1"/>
  <c r="AC28" i="1"/>
  <c r="J19" i="1"/>
  <c r="I19" i="1"/>
  <c r="E127" i="5" l="1"/>
  <c r="D140" i="5"/>
  <c r="D151" i="5"/>
  <c r="I99" i="5"/>
  <c r="I103" i="5" s="1"/>
  <c r="J98" i="5"/>
  <c r="E158" i="5"/>
  <c r="B170" i="5"/>
  <c r="F146" i="5"/>
  <c r="E147" i="5"/>
  <c r="K86" i="5"/>
  <c r="J87" i="5"/>
  <c r="H122" i="5"/>
  <c r="G123" i="5"/>
  <c r="G127" i="5" s="1"/>
  <c r="M62" i="5"/>
  <c r="L63" i="5"/>
  <c r="L67" i="5" s="1"/>
  <c r="J79" i="5"/>
  <c r="J82" i="5"/>
  <c r="J81" i="5"/>
  <c r="D82" i="5" s="1"/>
  <c r="D83" i="5" s="1"/>
  <c r="G134" i="5"/>
  <c r="F135" i="5"/>
  <c r="F127" i="5"/>
  <c r="P38" i="5"/>
  <c r="P39" i="5" s="1"/>
  <c r="P43" i="5" s="1"/>
  <c r="O39" i="5"/>
  <c r="O43" i="5" s="1"/>
  <c r="L74" i="5"/>
  <c r="K75" i="5"/>
  <c r="K79" i="5" s="1"/>
  <c r="I110" i="5"/>
  <c r="H111" i="5"/>
  <c r="H115" i="5" s="1"/>
  <c r="N50" i="5"/>
  <c r="M51" i="5"/>
  <c r="M55" i="5" s="1"/>
  <c r="E141" i="5"/>
  <c r="D141" i="5" s="1"/>
  <c r="E139" i="5" s="1"/>
  <c r="Q25" i="5"/>
  <c r="R24" i="5"/>
  <c r="N26" i="5"/>
  <c r="M27" i="5"/>
  <c r="M31" i="5" s="1"/>
  <c r="W145" i="1"/>
  <c r="Y144" i="1"/>
  <c r="W57" i="1"/>
  <c r="Y56" i="1"/>
  <c r="W101" i="1"/>
  <c r="Y100" i="1"/>
  <c r="W79" i="1"/>
  <c r="Y78" i="1"/>
  <c r="W134" i="1"/>
  <c r="Y133" i="1"/>
  <c r="W156" i="1"/>
  <c r="W167" i="1"/>
  <c r="Y155" i="1"/>
  <c r="W123" i="1"/>
  <c r="Y122" i="1"/>
  <c r="W90" i="1"/>
  <c r="Y89" i="1"/>
  <c r="W68" i="1"/>
  <c r="Y67" i="1"/>
  <c r="W112" i="1"/>
  <c r="Y111" i="1"/>
  <c r="W34" i="1"/>
  <c r="Y34" i="1" s="1"/>
  <c r="Y33" i="1"/>
  <c r="W57" i="2"/>
  <c r="Y56" i="2"/>
  <c r="K63" i="4"/>
  <c r="L62" i="4"/>
  <c r="G122" i="4"/>
  <c r="F123" i="4"/>
  <c r="H99" i="4"/>
  <c r="I98" i="4"/>
  <c r="J86" i="4"/>
  <c r="I87" i="4"/>
  <c r="K74" i="4"/>
  <c r="J75" i="4"/>
  <c r="J81" i="4" s="1"/>
  <c r="D82" i="4" s="1"/>
  <c r="D83" i="4" s="1"/>
  <c r="F134" i="4"/>
  <c r="E135" i="4"/>
  <c r="E141" i="4" s="1"/>
  <c r="D141" i="4" s="1"/>
  <c r="L51" i="4"/>
  <c r="M50" i="4"/>
  <c r="H110" i="4"/>
  <c r="G111" i="4"/>
  <c r="E146" i="4"/>
  <c r="B158" i="4"/>
  <c r="D175" i="4"/>
  <c r="D164" i="4"/>
  <c r="F151" i="4"/>
  <c r="L151" i="4"/>
  <c r="G151" i="4"/>
  <c r="M151" i="4"/>
  <c r="J151" i="4"/>
  <c r="K151" i="4"/>
  <c r="N151" i="4"/>
  <c r="H151" i="4"/>
  <c r="I151" i="4"/>
  <c r="O151" i="4"/>
  <c r="P151" i="4"/>
  <c r="E151" i="4"/>
  <c r="Q61" i="4"/>
  <c r="L32" i="4"/>
  <c r="R33" i="4" s="1"/>
  <c r="P38" i="4"/>
  <c r="P39" i="4" s="1"/>
  <c r="O39" i="4"/>
  <c r="AB28" i="2"/>
  <c r="W157" i="2"/>
  <c r="Y156" i="2"/>
  <c r="Y44" i="2"/>
  <c r="W45" i="2"/>
  <c r="Q20" i="2"/>
  <c r="W80" i="2"/>
  <c r="Y79" i="2"/>
  <c r="Y145" i="2"/>
  <c r="W146" i="2"/>
  <c r="W102" i="2"/>
  <c r="Y101" i="2"/>
  <c r="H20" i="2"/>
  <c r="G20" i="2"/>
  <c r="I20" i="2" s="1"/>
  <c r="W91" i="2"/>
  <c r="Y90" i="2"/>
  <c r="W135" i="2"/>
  <c r="Y134" i="2"/>
  <c r="W179" i="2"/>
  <c r="W168" i="2"/>
  <c r="Y167" i="2"/>
  <c r="W124" i="2"/>
  <c r="Y123" i="2"/>
  <c r="Y68" i="2"/>
  <c r="W69" i="2"/>
  <c r="I19" i="2"/>
  <c r="AC28" i="2"/>
  <c r="W113" i="2"/>
  <c r="Y112" i="2"/>
  <c r="U161" i="1"/>
  <c r="U171" i="1"/>
  <c r="Z29" i="1"/>
  <c r="AA29" i="1"/>
  <c r="G20" i="1"/>
  <c r="H20" i="1"/>
  <c r="F139" i="5" l="1"/>
  <c r="D163" i="5"/>
  <c r="D152" i="5"/>
  <c r="E153" i="5"/>
  <c r="D153" i="5" s="1"/>
  <c r="E170" i="5"/>
  <c r="B182" i="5"/>
  <c r="J110" i="5"/>
  <c r="I111" i="5"/>
  <c r="I115" i="5" s="1"/>
  <c r="H134" i="5"/>
  <c r="G135" i="5"/>
  <c r="G139" i="5" s="1"/>
  <c r="J80" i="5"/>
  <c r="K80" i="5" s="1"/>
  <c r="L80" i="5" s="1"/>
  <c r="M80" i="5" s="1"/>
  <c r="N80" i="5" s="1"/>
  <c r="O80" i="5" s="1"/>
  <c r="P80" i="5" s="1"/>
  <c r="D84" i="5" s="1"/>
  <c r="E92" i="5" s="1"/>
  <c r="F92" i="5" s="1"/>
  <c r="G92" i="5" s="1"/>
  <c r="H92" i="5" s="1"/>
  <c r="I92" i="5" s="1"/>
  <c r="H123" i="5"/>
  <c r="H127" i="5" s="1"/>
  <c r="I122" i="5"/>
  <c r="G146" i="5"/>
  <c r="F147" i="5"/>
  <c r="F158" i="5"/>
  <c r="E159" i="5"/>
  <c r="J94" i="5"/>
  <c r="J93" i="5"/>
  <c r="D94" i="5" s="1"/>
  <c r="D95" i="5" s="1"/>
  <c r="K98" i="5"/>
  <c r="J99" i="5"/>
  <c r="O50" i="5"/>
  <c r="N51" i="5"/>
  <c r="N55" i="5" s="1"/>
  <c r="L75" i="5"/>
  <c r="L79" i="5" s="1"/>
  <c r="M74" i="5"/>
  <c r="N62" i="5"/>
  <c r="M63" i="5"/>
  <c r="M67" i="5" s="1"/>
  <c r="L86" i="5"/>
  <c r="K87" i="5"/>
  <c r="N27" i="5"/>
  <c r="N31" i="5" s="1"/>
  <c r="O26" i="5"/>
  <c r="R25" i="5"/>
  <c r="Q26" i="5"/>
  <c r="W157" i="1"/>
  <c r="Y156" i="1"/>
  <c r="W80" i="1"/>
  <c r="Y79" i="1"/>
  <c r="W58" i="1"/>
  <c r="Y58" i="1" s="1"/>
  <c r="Y57" i="1"/>
  <c r="W58" i="2"/>
  <c r="Y58" i="2" s="1"/>
  <c r="Y57" i="2"/>
  <c r="W113" i="1"/>
  <c r="Y112" i="1"/>
  <c r="W91" i="1"/>
  <c r="Y90" i="1"/>
  <c r="W168" i="1"/>
  <c r="Y167" i="1"/>
  <c r="W179" i="1"/>
  <c r="J20" i="2"/>
  <c r="G21" i="2" s="1"/>
  <c r="I21" i="2" s="1"/>
  <c r="W69" i="1"/>
  <c r="Y68" i="1"/>
  <c r="W124" i="1"/>
  <c r="Y123" i="1"/>
  <c r="W135" i="1"/>
  <c r="Y134" i="1"/>
  <c r="W102" i="1"/>
  <c r="Y101" i="1"/>
  <c r="W146" i="1"/>
  <c r="Y145" i="1"/>
  <c r="E158" i="4"/>
  <c r="B170" i="4"/>
  <c r="I99" i="4"/>
  <c r="J98" i="4"/>
  <c r="F146" i="4"/>
  <c r="E147" i="4"/>
  <c r="E153" i="4" s="1"/>
  <c r="D153" i="4" s="1"/>
  <c r="F135" i="4"/>
  <c r="G134" i="4"/>
  <c r="I110" i="4"/>
  <c r="H111" i="4"/>
  <c r="L74" i="4"/>
  <c r="K75" i="4"/>
  <c r="G123" i="4"/>
  <c r="H122" i="4"/>
  <c r="M51" i="4"/>
  <c r="N50" i="4"/>
  <c r="M62" i="4"/>
  <c r="L63" i="4"/>
  <c r="K86" i="4"/>
  <c r="J87" i="4"/>
  <c r="J93" i="4" s="1"/>
  <c r="D94" i="4" s="1"/>
  <c r="D95" i="4" s="1"/>
  <c r="Q62" i="4"/>
  <c r="D176" i="4"/>
  <c r="D187" i="4"/>
  <c r="E163" i="4"/>
  <c r="K163" i="4"/>
  <c r="F163" i="4"/>
  <c r="L163" i="4"/>
  <c r="G163" i="4"/>
  <c r="M163" i="4"/>
  <c r="H163" i="4"/>
  <c r="I163" i="4"/>
  <c r="J163" i="4"/>
  <c r="N163" i="4"/>
  <c r="O163" i="4"/>
  <c r="P163" i="4"/>
  <c r="M32" i="4"/>
  <c r="R34" i="4" s="1"/>
  <c r="W136" i="2"/>
  <c r="Y135" i="2"/>
  <c r="N21" i="2"/>
  <c r="Q21" i="2"/>
  <c r="O21" i="2"/>
  <c r="W103" i="2"/>
  <c r="Y102" i="2"/>
  <c r="W46" i="2"/>
  <c r="Y46" i="2" s="1"/>
  <c r="Y45" i="2"/>
  <c r="H21" i="2"/>
  <c r="W92" i="2"/>
  <c r="Y91" i="2"/>
  <c r="Y146" i="2"/>
  <c r="W147" i="2"/>
  <c r="W169" i="2"/>
  <c r="Y168" i="2"/>
  <c r="W81" i="2"/>
  <c r="Y80" i="2"/>
  <c r="W114" i="2"/>
  <c r="Y113" i="2"/>
  <c r="W125" i="2"/>
  <c r="Y124" i="2"/>
  <c r="AA29" i="2"/>
  <c r="Z29" i="2"/>
  <c r="Y69" i="2"/>
  <c r="W70" i="2"/>
  <c r="Y70" i="2" s="1"/>
  <c r="W180" i="2"/>
  <c r="Y179" i="2"/>
  <c r="W191" i="2"/>
  <c r="W158" i="2"/>
  <c r="Y157" i="2"/>
  <c r="U183" i="1"/>
  <c r="U173" i="1"/>
  <c r="AC29" i="1"/>
  <c r="AB29" i="1"/>
  <c r="I20" i="1"/>
  <c r="J20" i="1"/>
  <c r="J92" i="5" l="1"/>
  <c r="K92" i="5" s="1"/>
  <c r="L92" i="5" s="1"/>
  <c r="M92" i="5" s="1"/>
  <c r="N92" i="5" s="1"/>
  <c r="O92" i="5" s="1"/>
  <c r="P92" i="5" s="1"/>
  <c r="D96" i="5" s="1"/>
  <c r="E104" i="5" s="1"/>
  <c r="F104" i="5" s="1"/>
  <c r="G104" i="5" s="1"/>
  <c r="H104" i="5" s="1"/>
  <c r="I104" i="5" s="1"/>
  <c r="F151" i="5"/>
  <c r="K91" i="5"/>
  <c r="E151" i="5"/>
  <c r="D175" i="5"/>
  <c r="D164" i="5"/>
  <c r="M86" i="5"/>
  <c r="L87" i="5"/>
  <c r="L91" i="5" s="1"/>
  <c r="L98" i="5"/>
  <c r="K99" i="5"/>
  <c r="E165" i="5"/>
  <c r="D165" i="5" s="1"/>
  <c r="J122" i="5"/>
  <c r="I123" i="5"/>
  <c r="I127" i="5" s="1"/>
  <c r="I134" i="5"/>
  <c r="H135" i="5"/>
  <c r="H139" i="5" s="1"/>
  <c r="B194" i="5"/>
  <c r="E182" i="5"/>
  <c r="G158" i="5"/>
  <c r="F159" i="5"/>
  <c r="F170" i="5"/>
  <c r="E171" i="5"/>
  <c r="K110" i="5"/>
  <c r="J111" i="5"/>
  <c r="O62" i="5"/>
  <c r="N63" i="5"/>
  <c r="N67" i="5" s="1"/>
  <c r="P50" i="5"/>
  <c r="P51" i="5" s="1"/>
  <c r="P55" i="5" s="1"/>
  <c r="O51" i="5"/>
  <c r="O55" i="5" s="1"/>
  <c r="N74" i="5"/>
  <c r="M75" i="5"/>
  <c r="M79" i="5" s="1"/>
  <c r="J105" i="5"/>
  <c r="D106" i="5" s="1"/>
  <c r="D107" i="5" s="1"/>
  <c r="J106" i="5"/>
  <c r="J91" i="5"/>
  <c r="H146" i="5"/>
  <c r="G147" i="5"/>
  <c r="G151" i="5" s="1"/>
  <c r="R26" i="5"/>
  <c r="Q27" i="5"/>
  <c r="O27" i="5"/>
  <c r="O31" i="5" s="1"/>
  <c r="P26" i="5"/>
  <c r="P27" i="5" s="1"/>
  <c r="P31" i="5" s="1"/>
  <c r="W103" i="1"/>
  <c r="Y102" i="1"/>
  <c r="W125" i="1"/>
  <c r="Y124" i="1"/>
  <c r="W180" i="1"/>
  <c r="Y179" i="1"/>
  <c r="W191" i="1"/>
  <c r="W92" i="1"/>
  <c r="Y91" i="1"/>
  <c r="W81" i="1"/>
  <c r="Y80" i="1"/>
  <c r="W147" i="1"/>
  <c r="Y146" i="1"/>
  <c r="W136" i="1"/>
  <c r="Y135" i="1"/>
  <c r="W70" i="1"/>
  <c r="Y70" i="1" s="1"/>
  <c r="Y69" i="1"/>
  <c r="W169" i="1"/>
  <c r="Y168" i="1"/>
  <c r="W114" i="1"/>
  <c r="Y113" i="1"/>
  <c r="W158" i="1"/>
  <c r="Y157" i="1"/>
  <c r="N62" i="4"/>
  <c r="M63" i="4"/>
  <c r="M74" i="4"/>
  <c r="L75" i="4"/>
  <c r="F147" i="4"/>
  <c r="G146" i="4"/>
  <c r="O50" i="4"/>
  <c r="N51" i="4"/>
  <c r="J99" i="4"/>
  <c r="D107" i="4" s="1"/>
  <c r="K98" i="4"/>
  <c r="I111" i="4"/>
  <c r="J110" i="4"/>
  <c r="H123" i="4"/>
  <c r="I122" i="4"/>
  <c r="G135" i="4"/>
  <c r="H134" i="4"/>
  <c r="E170" i="4"/>
  <c r="B182" i="4"/>
  <c r="L86" i="4"/>
  <c r="K87" i="4"/>
  <c r="E159" i="4"/>
  <c r="E165" i="4" s="1"/>
  <c r="D165" i="4" s="1"/>
  <c r="F158" i="4"/>
  <c r="D188" i="4"/>
  <c r="D199" i="4"/>
  <c r="Q63" i="4"/>
  <c r="I175" i="4"/>
  <c r="O175" i="4"/>
  <c r="J175" i="4"/>
  <c r="P175" i="4"/>
  <c r="E175" i="4"/>
  <c r="K175" i="4"/>
  <c r="N175" i="4"/>
  <c r="F175" i="4"/>
  <c r="G175" i="4"/>
  <c r="H175" i="4"/>
  <c r="L175" i="4"/>
  <c r="M175" i="4"/>
  <c r="N32" i="4"/>
  <c r="R35" i="4" s="1"/>
  <c r="AB29" i="2"/>
  <c r="Y125" i="2"/>
  <c r="W126" i="2"/>
  <c r="W170" i="2"/>
  <c r="Y169" i="2"/>
  <c r="J21" i="2"/>
  <c r="W148" i="2"/>
  <c r="Y147" i="2"/>
  <c r="O22" i="2"/>
  <c r="N22" i="2"/>
  <c r="P22" i="2" s="1"/>
  <c r="P21" i="2"/>
  <c r="Y180" i="2"/>
  <c r="W181" i="2"/>
  <c r="W192" i="2"/>
  <c r="Y191" i="2"/>
  <c r="W203" i="2"/>
  <c r="W104" i="2"/>
  <c r="Y103" i="2"/>
  <c r="W159" i="2"/>
  <c r="Y158" i="2"/>
  <c r="W115" i="2"/>
  <c r="Y114" i="2"/>
  <c r="AC29" i="2"/>
  <c r="Y81" i="2"/>
  <c r="W82" i="2"/>
  <c r="Y82" i="2" s="1"/>
  <c r="W93" i="2"/>
  <c r="Y92" i="2"/>
  <c r="Y136" i="2"/>
  <c r="W137" i="2"/>
  <c r="U185" i="1"/>
  <c r="U195" i="1"/>
  <c r="Z30" i="1"/>
  <c r="AA30" i="1"/>
  <c r="G21" i="1"/>
  <c r="H21" i="1"/>
  <c r="F163" i="5" l="1"/>
  <c r="E163" i="5"/>
  <c r="D176" i="5"/>
  <c r="D187" i="5"/>
  <c r="K111" i="5"/>
  <c r="L110" i="5"/>
  <c r="F182" i="5"/>
  <c r="E183" i="5"/>
  <c r="K103" i="5"/>
  <c r="J104" i="5"/>
  <c r="K104" i="5" s="1"/>
  <c r="L104" i="5" s="1"/>
  <c r="M104" i="5" s="1"/>
  <c r="N104" i="5" s="1"/>
  <c r="O104" i="5" s="1"/>
  <c r="P104" i="5" s="1"/>
  <c r="D108" i="5" s="1"/>
  <c r="E116" i="5" s="1"/>
  <c r="F116" i="5" s="1"/>
  <c r="G116" i="5" s="1"/>
  <c r="H116" i="5" s="1"/>
  <c r="I116" i="5" s="1"/>
  <c r="H158" i="5"/>
  <c r="G159" i="5"/>
  <c r="G163" i="5" s="1"/>
  <c r="E194" i="5"/>
  <c r="B206" i="5"/>
  <c r="K122" i="5"/>
  <c r="J123" i="5"/>
  <c r="M98" i="5"/>
  <c r="L99" i="5"/>
  <c r="L103" i="5" s="1"/>
  <c r="I146" i="5"/>
  <c r="H147" i="5"/>
  <c r="H151" i="5" s="1"/>
  <c r="J103" i="5"/>
  <c r="O74" i="5"/>
  <c r="N75" i="5"/>
  <c r="N79" i="5" s="1"/>
  <c r="O63" i="5"/>
  <c r="O67" i="5" s="1"/>
  <c r="P62" i="5"/>
  <c r="P63" i="5" s="1"/>
  <c r="P67" i="5" s="1"/>
  <c r="E177" i="5"/>
  <c r="D177" i="5" s="1"/>
  <c r="J117" i="5"/>
  <c r="D118" i="5" s="1"/>
  <c r="D119" i="5" s="1"/>
  <c r="J118" i="5"/>
  <c r="G170" i="5"/>
  <c r="F171" i="5"/>
  <c r="J134" i="5"/>
  <c r="I135" i="5"/>
  <c r="I139" i="5" s="1"/>
  <c r="N86" i="5"/>
  <c r="M87" i="5"/>
  <c r="M91" i="5" s="1"/>
  <c r="R27" i="5"/>
  <c r="Q28" i="5"/>
  <c r="Q22" i="2"/>
  <c r="W115" i="1"/>
  <c r="Y114" i="1"/>
  <c r="W148" i="1"/>
  <c r="Y147" i="1"/>
  <c r="W93" i="1"/>
  <c r="Y92" i="1"/>
  <c r="W192" i="1"/>
  <c r="W203" i="1"/>
  <c r="Y191" i="1"/>
  <c r="W126" i="1"/>
  <c r="Y125" i="1"/>
  <c r="W159" i="1"/>
  <c r="Y158" i="1"/>
  <c r="W170" i="1"/>
  <c r="Y169" i="1"/>
  <c r="W137" i="1"/>
  <c r="Y136" i="1"/>
  <c r="W82" i="1"/>
  <c r="Y82" i="1" s="1"/>
  <c r="Y81" i="1"/>
  <c r="W181" i="1"/>
  <c r="Y180" i="1"/>
  <c r="W104" i="1"/>
  <c r="Y103" i="1"/>
  <c r="E182" i="4"/>
  <c r="B194" i="4"/>
  <c r="K110" i="4"/>
  <c r="J111" i="4"/>
  <c r="J117" i="4" s="1"/>
  <c r="D118" i="4" s="1"/>
  <c r="D119" i="4" s="1"/>
  <c r="H146" i="4"/>
  <c r="G147" i="4"/>
  <c r="F170" i="4"/>
  <c r="E171" i="4"/>
  <c r="E177" i="4" s="1"/>
  <c r="D177" i="4" s="1"/>
  <c r="F159" i="4"/>
  <c r="G158" i="4"/>
  <c r="H135" i="4"/>
  <c r="I134" i="4"/>
  <c r="K99" i="4"/>
  <c r="L98" i="4"/>
  <c r="N74" i="4"/>
  <c r="M75" i="4"/>
  <c r="I123" i="4"/>
  <c r="J122" i="4"/>
  <c r="L87" i="4"/>
  <c r="M86" i="4"/>
  <c r="O51" i="4"/>
  <c r="P50" i="4"/>
  <c r="P51" i="4" s="1"/>
  <c r="O62" i="4"/>
  <c r="N63" i="4"/>
  <c r="Q64" i="4"/>
  <c r="D211" i="4"/>
  <c r="D200" i="4"/>
  <c r="H187" i="4"/>
  <c r="N187" i="4"/>
  <c r="I187" i="4"/>
  <c r="O187" i="4"/>
  <c r="G187" i="4"/>
  <c r="J187" i="4"/>
  <c r="K187" i="4"/>
  <c r="L187" i="4"/>
  <c r="E187" i="4"/>
  <c r="M187" i="4"/>
  <c r="F187" i="4"/>
  <c r="P187" i="4"/>
  <c r="O32" i="4"/>
  <c r="R36" i="4" s="1"/>
  <c r="W149" i="2"/>
  <c r="Y148" i="2"/>
  <c r="O23" i="2"/>
  <c r="N23" i="2"/>
  <c r="Q23" i="2" s="1"/>
  <c r="W138" i="2"/>
  <c r="Y137" i="2"/>
  <c r="W193" i="2"/>
  <c r="Y192" i="2"/>
  <c r="W127" i="2"/>
  <c r="Y126" i="2"/>
  <c r="AA30" i="2"/>
  <c r="Z30" i="2"/>
  <c r="W105" i="2"/>
  <c r="Y104" i="2"/>
  <c r="G22" i="2"/>
  <c r="I22" i="2" s="1"/>
  <c r="H22" i="2"/>
  <c r="W204" i="2"/>
  <c r="Y203" i="2"/>
  <c r="Y115" i="2"/>
  <c r="W116" i="2"/>
  <c r="W171" i="2"/>
  <c r="Y170" i="2"/>
  <c r="Y93" i="2"/>
  <c r="W94" i="2"/>
  <c r="Y94" i="2" s="1"/>
  <c r="Y159" i="2"/>
  <c r="W160" i="2"/>
  <c r="Y181" i="2"/>
  <c r="W182" i="2"/>
  <c r="U197" i="1"/>
  <c r="U207" i="1"/>
  <c r="U209" i="1" s="1"/>
  <c r="AC30" i="1"/>
  <c r="AB30" i="1"/>
  <c r="I21" i="1"/>
  <c r="J21" i="1"/>
  <c r="J116" i="5" l="1"/>
  <c r="K116" i="5" s="1"/>
  <c r="L116" i="5" s="1"/>
  <c r="M116" i="5" s="1"/>
  <c r="N116" i="5" s="1"/>
  <c r="O116" i="5" s="1"/>
  <c r="P116" i="5" s="1"/>
  <c r="D120" i="5" s="1"/>
  <c r="E128" i="5" s="1"/>
  <c r="F128" i="5" s="1"/>
  <c r="G128" i="5" s="1"/>
  <c r="H128" i="5" s="1"/>
  <c r="I128" i="5" s="1"/>
  <c r="E175" i="5"/>
  <c r="F175" i="5"/>
  <c r="D188" i="5"/>
  <c r="D199" i="5"/>
  <c r="J130" i="5"/>
  <c r="J129" i="5"/>
  <c r="D130" i="5" s="1"/>
  <c r="D131" i="5" s="1"/>
  <c r="E189" i="5"/>
  <c r="D189" i="5" s="1"/>
  <c r="K134" i="5"/>
  <c r="J135" i="5"/>
  <c r="J115" i="5"/>
  <c r="J146" i="5"/>
  <c r="I147" i="5"/>
  <c r="I151" i="5" s="1"/>
  <c r="L122" i="5"/>
  <c r="K123" i="5"/>
  <c r="I158" i="5"/>
  <c r="H159" i="5"/>
  <c r="H163" i="5" s="1"/>
  <c r="G182" i="5"/>
  <c r="F183" i="5"/>
  <c r="M110" i="5"/>
  <c r="L111" i="5"/>
  <c r="L115" i="5" s="1"/>
  <c r="O86" i="5"/>
  <c r="N87" i="5"/>
  <c r="N91" i="5" s="1"/>
  <c r="P74" i="5"/>
  <c r="P75" i="5" s="1"/>
  <c r="P79" i="5" s="1"/>
  <c r="O75" i="5"/>
  <c r="O79" i="5" s="1"/>
  <c r="E206" i="5"/>
  <c r="B218" i="5"/>
  <c r="G171" i="5"/>
  <c r="G175" i="5" s="1"/>
  <c r="H170" i="5"/>
  <c r="N98" i="5"/>
  <c r="M99" i="5"/>
  <c r="M103" i="5" s="1"/>
  <c r="F194" i="5"/>
  <c r="E195" i="5"/>
  <c r="K115" i="5"/>
  <c r="Q29" i="5"/>
  <c r="R28" i="5"/>
  <c r="W149" i="1"/>
  <c r="Y148" i="1"/>
  <c r="W105" i="1"/>
  <c r="Y104" i="1"/>
  <c r="W171" i="1"/>
  <c r="Y170" i="1"/>
  <c r="W127" i="1"/>
  <c r="Y126" i="1"/>
  <c r="W94" i="1"/>
  <c r="Y94" i="1" s="1"/>
  <c r="Y93" i="1"/>
  <c r="W116" i="1"/>
  <c r="Y115" i="1"/>
  <c r="W193" i="1"/>
  <c r="Y192" i="1"/>
  <c r="J22" i="2"/>
  <c r="W182" i="1"/>
  <c r="Y181" i="1"/>
  <c r="W138" i="1"/>
  <c r="Y137" i="1"/>
  <c r="W160" i="1"/>
  <c r="Y159" i="1"/>
  <c r="W204" i="1"/>
  <c r="Y203" i="1"/>
  <c r="J123" i="4"/>
  <c r="J129" i="4" s="1"/>
  <c r="D130" i="4" s="1"/>
  <c r="D131" i="4" s="1"/>
  <c r="K122" i="4"/>
  <c r="J134" i="4"/>
  <c r="I135" i="4"/>
  <c r="P62" i="4"/>
  <c r="P63" i="4" s="1"/>
  <c r="O63" i="4"/>
  <c r="I146" i="4"/>
  <c r="H147" i="4"/>
  <c r="G159" i="4"/>
  <c r="H158" i="4"/>
  <c r="N75" i="4"/>
  <c r="O74" i="4"/>
  <c r="K111" i="4"/>
  <c r="L110" i="4"/>
  <c r="M87" i="4"/>
  <c r="N86" i="4"/>
  <c r="M98" i="4"/>
  <c r="L99" i="4"/>
  <c r="B206" i="4"/>
  <c r="E194" i="4"/>
  <c r="F171" i="4"/>
  <c r="G170" i="4"/>
  <c r="E183" i="4"/>
  <c r="E189" i="4" s="1"/>
  <c r="D189" i="4" s="1"/>
  <c r="F182" i="4"/>
  <c r="Q65" i="4"/>
  <c r="F199" i="4"/>
  <c r="L199" i="4"/>
  <c r="G199" i="4"/>
  <c r="M199" i="4"/>
  <c r="E199" i="4"/>
  <c r="O199" i="4"/>
  <c r="H199" i="4"/>
  <c r="P199" i="4"/>
  <c r="I199" i="4"/>
  <c r="J199" i="4"/>
  <c r="K199" i="4"/>
  <c r="N199" i="4"/>
  <c r="D212" i="4"/>
  <c r="D223" i="4"/>
  <c r="P32" i="4"/>
  <c r="R37" i="4" s="1"/>
  <c r="AB30" i="2"/>
  <c r="AC30" i="2"/>
  <c r="Z31" i="2" s="1"/>
  <c r="G23" i="2"/>
  <c r="J23" i="2" s="1"/>
  <c r="H23" i="2"/>
  <c r="W128" i="2"/>
  <c r="Y127" i="2"/>
  <c r="P23" i="2"/>
  <c r="W161" i="2"/>
  <c r="Y160" i="2"/>
  <c r="Y116" i="2"/>
  <c r="W117" i="2"/>
  <c r="O24" i="2"/>
  <c r="N24" i="2"/>
  <c r="W205" i="2"/>
  <c r="Y204" i="2"/>
  <c r="W194" i="2"/>
  <c r="Y193" i="2"/>
  <c r="W172" i="2"/>
  <c r="Y171" i="2"/>
  <c r="W139" i="2"/>
  <c r="Y138" i="2"/>
  <c r="W106" i="2"/>
  <c r="Y106" i="2" s="1"/>
  <c r="Y105" i="2"/>
  <c r="W183" i="2"/>
  <c r="Y182" i="2"/>
  <c r="Y149" i="2"/>
  <c r="W150" i="2"/>
  <c r="AA31" i="1"/>
  <c r="Z31" i="1"/>
  <c r="H22" i="1"/>
  <c r="G22" i="1"/>
  <c r="J22" i="1" s="1"/>
  <c r="E187" i="5" l="1"/>
  <c r="F187" i="5"/>
  <c r="J128" i="5"/>
  <c r="K128" i="5" s="1"/>
  <c r="L128" i="5" s="1"/>
  <c r="M128" i="5" s="1"/>
  <c r="N128" i="5" s="1"/>
  <c r="O128" i="5" s="1"/>
  <c r="P128" i="5" s="1"/>
  <c r="D132" i="5" s="1"/>
  <c r="E140" i="5" s="1"/>
  <c r="F140" i="5" s="1"/>
  <c r="G140" i="5" s="1"/>
  <c r="H140" i="5" s="1"/>
  <c r="I140" i="5" s="1"/>
  <c r="K127" i="5"/>
  <c r="D211" i="5"/>
  <c r="D200" i="5"/>
  <c r="L134" i="5"/>
  <c r="K135" i="5"/>
  <c r="N99" i="5"/>
  <c r="N103" i="5" s="1"/>
  <c r="O98" i="5"/>
  <c r="F206" i="5"/>
  <c r="E207" i="5"/>
  <c r="P86" i="5"/>
  <c r="P87" i="5" s="1"/>
  <c r="P91" i="5" s="1"/>
  <c r="O87" i="5"/>
  <c r="O91" i="5" s="1"/>
  <c r="J127" i="5"/>
  <c r="B230" i="5"/>
  <c r="E218" i="5"/>
  <c r="J158" i="5"/>
  <c r="I159" i="5"/>
  <c r="I163" i="5" s="1"/>
  <c r="K146" i="5"/>
  <c r="J147" i="5"/>
  <c r="E201" i="5"/>
  <c r="D201" i="5" s="1"/>
  <c r="I170" i="5"/>
  <c r="H171" i="5"/>
  <c r="H175" i="5" s="1"/>
  <c r="H182" i="5"/>
  <c r="G183" i="5"/>
  <c r="G187" i="5" s="1"/>
  <c r="L123" i="5"/>
  <c r="L127" i="5" s="1"/>
  <c r="M122" i="5"/>
  <c r="G194" i="5"/>
  <c r="F195" i="5"/>
  <c r="N110" i="5"/>
  <c r="M111" i="5"/>
  <c r="M115" i="5" s="1"/>
  <c r="J141" i="5"/>
  <c r="D142" i="5" s="1"/>
  <c r="D143" i="5" s="1"/>
  <c r="J142" i="5"/>
  <c r="Q30" i="5"/>
  <c r="R29" i="5"/>
  <c r="W161" i="1"/>
  <c r="Y160" i="1"/>
  <c r="W117" i="1"/>
  <c r="Y116" i="1"/>
  <c r="W128" i="1"/>
  <c r="Y127" i="1"/>
  <c r="W106" i="1"/>
  <c r="Y106" i="1" s="1"/>
  <c r="Y105" i="1"/>
  <c r="W183" i="1"/>
  <c r="Y182" i="1"/>
  <c r="W205" i="1"/>
  <c r="Y204" i="1"/>
  <c r="W139" i="1"/>
  <c r="Y138" i="1"/>
  <c r="P24" i="2"/>
  <c r="W194" i="1"/>
  <c r="Y193" i="1"/>
  <c r="W172" i="1"/>
  <c r="Y171" i="1"/>
  <c r="W150" i="1"/>
  <c r="Y149" i="1"/>
  <c r="F183" i="4"/>
  <c r="G182" i="4"/>
  <c r="O75" i="4"/>
  <c r="P74" i="4"/>
  <c r="P75" i="4" s="1"/>
  <c r="N98" i="4"/>
  <c r="M99" i="4"/>
  <c r="H170" i="4"/>
  <c r="G171" i="4"/>
  <c r="O86" i="4"/>
  <c r="N87" i="4"/>
  <c r="I158" i="4"/>
  <c r="H159" i="4"/>
  <c r="K134" i="4"/>
  <c r="J135" i="4"/>
  <c r="J141" i="4" s="1"/>
  <c r="D142" i="4" s="1"/>
  <c r="D143" i="4" s="1"/>
  <c r="F194" i="4"/>
  <c r="E195" i="4"/>
  <c r="E201" i="4" s="1"/>
  <c r="D201" i="4" s="1"/>
  <c r="L111" i="4"/>
  <c r="M110" i="4"/>
  <c r="L122" i="4"/>
  <c r="K123" i="4"/>
  <c r="B218" i="4"/>
  <c r="E206" i="4"/>
  <c r="I147" i="4"/>
  <c r="J146" i="4"/>
  <c r="J211" i="4"/>
  <c r="P211" i="4"/>
  <c r="E211" i="4"/>
  <c r="K211" i="4"/>
  <c r="F211" i="4"/>
  <c r="N211" i="4"/>
  <c r="G211" i="4"/>
  <c r="O211" i="4"/>
  <c r="H211" i="4"/>
  <c r="I211" i="4"/>
  <c r="M211" i="4"/>
  <c r="L211" i="4"/>
  <c r="Q66" i="4"/>
  <c r="D235" i="4"/>
  <c r="D224" i="4"/>
  <c r="D36" i="4"/>
  <c r="AA31" i="2"/>
  <c r="AB31" i="2" s="1"/>
  <c r="Y150" i="2"/>
  <c r="W151" i="2"/>
  <c r="W140" i="2"/>
  <c r="Y139" i="2"/>
  <c r="W206" i="2"/>
  <c r="Y205" i="2"/>
  <c r="Q24" i="2"/>
  <c r="W162" i="2"/>
  <c r="Y161" i="2"/>
  <c r="W129" i="2"/>
  <c r="Y128" i="2"/>
  <c r="W184" i="2"/>
  <c r="Y183" i="2"/>
  <c r="H24" i="2"/>
  <c r="G24" i="2"/>
  <c r="J24" i="2" s="1"/>
  <c r="W173" i="2"/>
  <c r="Y172" i="2"/>
  <c r="Y194" i="2"/>
  <c r="W195" i="2"/>
  <c r="Y117" i="2"/>
  <c r="W118" i="2"/>
  <c r="Y118" i="2" s="1"/>
  <c r="AC31" i="2"/>
  <c r="I23" i="2"/>
  <c r="AB31" i="1"/>
  <c r="AC31" i="1"/>
  <c r="G23" i="1"/>
  <c r="J23" i="1" s="1"/>
  <c r="H23" i="1"/>
  <c r="I22" i="1"/>
  <c r="J139" i="5" l="1"/>
  <c r="E199" i="5"/>
  <c r="D212" i="5"/>
  <c r="D223" i="5"/>
  <c r="L146" i="5"/>
  <c r="K147" i="5"/>
  <c r="F199" i="5"/>
  <c r="E213" i="5"/>
  <c r="D213" i="5" s="1"/>
  <c r="K139" i="5"/>
  <c r="J170" i="5"/>
  <c r="I171" i="5"/>
  <c r="I175" i="5" s="1"/>
  <c r="H183" i="5"/>
  <c r="H187" i="5" s="1"/>
  <c r="I182" i="5"/>
  <c r="K158" i="5"/>
  <c r="J159" i="5"/>
  <c r="G206" i="5"/>
  <c r="F207" i="5"/>
  <c r="M134" i="5"/>
  <c r="L135" i="5"/>
  <c r="L139" i="5" s="1"/>
  <c r="O110" i="5"/>
  <c r="N111" i="5"/>
  <c r="N115" i="5" s="1"/>
  <c r="E230" i="5"/>
  <c r="B242" i="5"/>
  <c r="H194" i="5"/>
  <c r="G195" i="5"/>
  <c r="G199" i="5" s="1"/>
  <c r="N122" i="5"/>
  <c r="M123" i="5"/>
  <c r="M127" i="5" s="1"/>
  <c r="J154" i="5"/>
  <c r="J153" i="5"/>
  <c r="D154" i="5" s="1"/>
  <c r="D155" i="5" s="1"/>
  <c r="F218" i="5"/>
  <c r="E219" i="5"/>
  <c r="P98" i="5"/>
  <c r="P99" i="5" s="1"/>
  <c r="P103" i="5" s="1"/>
  <c r="O99" i="5"/>
  <c r="O103" i="5" s="1"/>
  <c r="J140" i="5"/>
  <c r="K140" i="5" s="1"/>
  <c r="L140" i="5" s="1"/>
  <c r="M140" i="5" s="1"/>
  <c r="N140" i="5" s="1"/>
  <c r="O140" i="5" s="1"/>
  <c r="P140" i="5" s="1"/>
  <c r="D144" i="5" s="1"/>
  <c r="E152" i="5" s="1"/>
  <c r="F152" i="5" s="1"/>
  <c r="G152" i="5" s="1"/>
  <c r="H152" i="5" s="1"/>
  <c r="I152" i="5" s="1"/>
  <c r="J152" i="5" s="1"/>
  <c r="K152" i="5" s="1"/>
  <c r="L152" i="5" s="1"/>
  <c r="M152" i="5" s="1"/>
  <c r="N152" i="5" s="1"/>
  <c r="O152" i="5" s="1"/>
  <c r="P152" i="5" s="1"/>
  <c r="D156" i="5" s="1"/>
  <c r="E164" i="5" s="1"/>
  <c r="F164" i="5" s="1"/>
  <c r="G164" i="5" s="1"/>
  <c r="H164" i="5" s="1"/>
  <c r="I164" i="5" s="1"/>
  <c r="R30" i="5"/>
  <c r="Q31" i="5"/>
  <c r="W206" i="1"/>
  <c r="Y205" i="1"/>
  <c r="W118" i="1"/>
  <c r="Y118" i="1" s="1"/>
  <c r="Y117" i="1"/>
  <c r="W173" i="1"/>
  <c r="Y172" i="1"/>
  <c r="W151" i="1"/>
  <c r="Y150" i="1"/>
  <c r="W195" i="1"/>
  <c r="Y194" i="1"/>
  <c r="I24" i="2"/>
  <c r="W140" i="1"/>
  <c r="Y139" i="1"/>
  <c r="W184" i="1"/>
  <c r="Y183" i="1"/>
  <c r="W129" i="1"/>
  <c r="Y128" i="1"/>
  <c r="W162" i="1"/>
  <c r="Y161" i="1"/>
  <c r="K146" i="4"/>
  <c r="J147" i="4"/>
  <c r="J153" i="4" s="1"/>
  <c r="D154" i="4" s="1"/>
  <c r="D155" i="4" s="1"/>
  <c r="N110" i="4"/>
  <c r="M111" i="4"/>
  <c r="J158" i="4"/>
  <c r="I159" i="4"/>
  <c r="N99" i="4"/>
  <c r="O98" i="4"/>
  <c r="E207" i="4"/>
  <c r="E213" i="4" s="1"/>
  <c r="D213" i="4" s="1"/>
  <c r="F206" i="4"/>
  <c r="E218" i="4"/>
  <c r="B230" i="4"/>
  <c r="G194" i="4"/>
  <c r="F195" i="4"/>
  <c r="O87" i="4"/>
  <c r="P86" i="4"/>
  <c r="P87" i="4" s="1"/>
  <c r="G183" i="4"/>
  <c r="H182" i="4"/>
  <c r="M122" i="4"/>
  <c r="L123" i="4"/>
  <c r="L134" i="4"/>
  <c r="K135" i="4"/>
  <c r="H171" i="4"/>
  <c r="I170" i="4"/>
  <c r="E44" i="4"/>
  <c r="R38" i="4" s="1"/>
  <c r="Q67" i="4"/>
  <c r="H223" i="4"/>
  <c r="N223" i="4"/>
  <c r="I223" i="4"/>
  <c r="O223" i="4"/>
  <c r="F223" i="4"/>
  <c r="P223" i="4"/>
  <c r="G223" i="4"/>
  <c r="J223" i="4"/>
  <c r="K223" i="4"/>
  <c r="E223" i="4"/>
  <c r="L223" i="4"/>
  <c r="M223" i="4"/>
  <c r="D247" i="4"/>
  <c r="D236" i="4"/>
  <c r="Y206" i="2"/>
  <c r="W207" i="2"/>
  <c r="AA32" i="2"/>
  <c r="Z32" i="2"/>
  <c r="Y184" i="2"/>
  <c r="W185" i="2"/>
  <c r="Y140" i="2"/>
  <c r="W141" i="2"/>
  <c r="W174" i="2"/>
  <c r="Y173" i="2"/>
  <c r="H25" i="2"/>
  <c r="G25" i="2"/>
  <c r="I25" i="2" s="1"/>
  <c r="Y129" i="2"/>
  <c r="W130" i="2"/>
  <c r="Y130" i="2" s="1"/>
  <c r="Y195" i="2"/>
  <c r="W196" i="2"/>
  <c r="Y162" i="2"/>
  <c r="W163" i="2"/>
  <c r="W152" i="2"/>
  <c r="Y151" i="2"/>
  <c r="O25" i="2"/>
  <c r="N25" i="2"/>
  <c r="AA32" i="1"/>
  <c r="Z32" i="1"/>
  <c r="AB32" i="1" s="1"/>
  <c r="G24" i="1"/>
  <c r="J24" i="1" s="1"/>
  <c r="H24" i="1"/>
  <c r="I23" i="1"/>
  <c r="J151" i="5" l="1"/>
  <c r="E211" i="5"/>
  <c r="D235" i="5"/>
  <c r="D224" i="5"/>
  <c r="G218" i="5"/>
  <c r="F219" i="5"/>
  <c r="F211" i="5"/>
  <c r="K170" i="5"/>
  <c r="J171" i="5"/>
  <c r="E225" i="5"/>
  <c r="D225" i="5" s="1"/>
  <c r="I194" i="5"/>
  <c r="H195" i="5"/>
  <c r="H199" i="5" s="1"/>
  <c r="O122" i="5"/>
  <c r="N123" i="5"/>
  <c r="N127" i="5" s="1"/>
  <c r="P110" i="5"/>
  <c r="P111" i="5" s="1"/>
  <c r="P115" i="5" s="1"/>
  <c r="O111" i="5"/>
  <c r="O115" i="5" s="1"/>
  <c r="H206" i="5"/>
  <c r="G207" i="5"/>
  <c r="G211" i="5" s="1"/>
  <c r="J182" i="5"/>
  <c r="I183" i="5"/>
  <c r="I187" i="5" s="1"/>
  <c r="K151" i="5"/>
  <c r="E231" i="5"/>
  <c r="F230" i="5"/>
  <c r="N134" i="5"/>
  <c r="M135" i="5"/>
  <c r="M139" i="5" s="1"/>
  <c r="L158" i="5"/>
  <c r="K159" i="5"/>
  <c r="E242" i="5"/>
  <c r="B254" i="5"/>
  <c r="J165" i="5"/>
  <c r="D166" i="5" s="1"/>
  <c r="D167" i="5" s="1"/>
  <c r="J166" i="5"/>
  <c r="M146" i="5"/>
  <c r="L147" i="5"/>
  <c r="L151" i="5" s="1"/>
  <c r="R31" i="5"/>
  <c r="Q32" i="5"/>
  <c r="W141" i="1"/>
  <c r="Y140" i="1"/>
  <c r="W152" i="1"/>
  <c r="Y151" i="1"/>
  <c r="W163" i="1"/>
  <c r="Y162" i="1"/>
  <c r="W185" i="1"/>
  <c r="Y184" i="1"/>
  <c r="W130" i="1"/>
  <c r="Y130" i="1" s="1"/>
  <c r="Y129" i="1"/>
  <c r="P25" i="2"/>
  <c r="W196" i="1"/>
  <c r="Y195" i="1"/>
  <c r="W174" i="1"/>
  <c r="Y173" i="1"/>
  <c r="W207" i="1"/>
  <c r="Y206" i="1"/>
  <c r="F44" i="4"/>
  <c r="R39" i="4" s="1"/>
  <c r="I171" i="4"/>
  <c r="J170" i="4"/>
  <c r="I182" i="4"/>
  <c r="H183" i="4"/>
  <c r="B242" i="4"/>
  <c r="E230" i="4"/>
  <c r="F218" i="4"/>
  <c r="E219" i="4"/>
  <c r="E225" i="4" s="1"/>
  <c r="D225" i="4" s="1"/>
  <c r="K158" i="4"/>
  <c r="J159" i="4"/>
  <c r="J165" i="4" s="1"/>
  <c r="D166" i="4" s="1"/>
  <c r="D167" i="4" s="1"/>
  <c r="F207" i="4"/>
  <c r="G206" i="4"/>
  <c r="O99" i="4"/>
  <c r="P98" i="4"/>
  <c r="P99" i="4" s="1"/>
  <c r="M134" i="4"/>
  <c r="L135" i="4"/>
  <c r="N111" i="4"/>
  <c r="O110" i="4"/>
  <c r="N122" i="4"/>
  <c r="M123" i="4"/>
  <c r="H194" i="4"/>
  <c r="G195" i="4"/>
  <c r="L146" i="4"/>
  <c r="K147" i="4"/>
  <c r="AB32" i="2"/>
  <c r="F235" i="4"/>
  <c r="L235" i="4"/>
  <c r="G235" i="4"/>
  <c r="M235" i="4"/>
  <c r="N235" i="4"/>
  <c r="E235" i="4"/>
  <c r="O235" i="4"/>
  <c r="H235" i="4"/>
  <c r="P235" i="4"/>
  <c r="I235" i="4"/>
  <c r="J235" i="4"/>
  <c r="K235" i="4"/>
  <c r="Q68" i="4"/>
  <c r="D259" i="4"/>
  <c r="D248" i="4"/>
  <c r="Q25" i="2"/>
  <c r="W197" i="2"/>
  <c r="Y196" i="2"/>
  <c r="AC32" i="2"/>
  <c r="W175" i="2"/>
  <c r="Y174" i="2"/>
  <c r="W153" i="2"/>
  <c r="Y152" i="2"/>
  <c r="W142" i="2"/>
  <c r="Y142" i="2" s="1"/>
  <c r="Y141" i="2"/>
  <c r="W164" i="2"/>
  <c r="Y163" i="2"/>
  <c r="J25" i="2"/>
  <c r="W208" i="2"/>
  <c r="Y207" i="2"/>
  <c r="W186" i="2"/>
  <c r="Y185" i="2"/>
  <c r="AC32" i="1"/>
  <c r="G25" i="1"/>
  <c r="J25" i="1" s="1"/>
  <c r="H25" i="1"/>
  <c r="I24" i="1"/>
  <c r="J163" i="5" l="1"/>
  <c r="D247" i="5"/>
  <c r="D236" i="5"/>
  <c r="F242" i="5"/>
  <c r="E243" i="5"/>
  <c r="J177" i="5"/>
  <c r="D178" i="5" s="1"/>
  <c r="D179" i="5" s="1"/>
  <c r="J178" i="5"/>
  <c r="K163" i="5"/>
  <c r="G230" i="5"/>
  <c r="F231" i="5"/>
  <c r="K182" i="5"/>
  <c r="J183" i="5"/>
  <c r="J194" i="5"/>
  <c r="I195" i="5"/>
  <c r="I199" i="5" s="1"/>
  <c r="K171" i="5"/>
  <c r="L170" i="5"/>
  <c r="F223" i="5"/>
  <c r="N146" i="5"/>
  <c r="M147" i="5"/>
  <c r="M151" i="5" s="1"/>
  <c r="H218" i="5"/>
  <c r="G219" i="5"/>
  <c r="G223" i="5" s="1"/>
  <c r="O134" i="5"/>
  <c r="N135" i="5"/>
  <c r="N139" i="5" s="1"/>
  <c r="M158" i="5"/>
  <c r="L159" i="5"/>
  <c r="L163" i="5" s="1"/>
  <c r="E237" i="5"/>
  <c r="D237" i="5" s="1"/>
  <c r="E254" i="5"/>
  <c r="B266" i="5"/>
  <c r="I206" i="5"/>
  <c r="H207" i="5"/>
  <c r="H211" i="5" s="1"/>
  <c r="P122" i="5"/>
  <c r="P123" i="5" s="1"/>
  <c r="P127" i="5" s="1"/>
  <c r="O123" i="5"/>
  <c r="O127" i="5" s="1"/>
  <c r="E223" i="5"/>
  <c r="J164" i="5"/>
  <c r="K164" i="5" s="1"/>
  <c r="L164" i="5" s="1"/>
  <c r="M164" i="5" s="1"/>
  <c r="N164" i="5" s="1"/>
  <c r="O164" i="5" s="1"/>
  <c r="P164" i="5" s="1"/>
  <c r="D168" i="5" s="1"/>
  <c r="E176" i="5" s="1"/>
  <c r="F176" i="5" s="1"/>
  <c r="G176" i="5" s="1"/>
  <c r="H176" i="5" s="1"/>
  <c r="I176" i="5" s="1"/>
  <c r="Q33" i="5"/>
  <c r="R32" i="5"/>
  <c r="G44" i="4"/>
  <c r="R40" i="4" s="1"/>
  <c r="W186" i="1"/>
  <c r="Y185" i="1"/>
  <c r="W153" i="1"/>
  <c r="Y152" i="1"/>
  <c r="W208" i="1"/>
  <c r="Y207" i="1"/>
  <c r="W197" i="1"/>
  <c r="Y196" i="1"/>
  <c r="W175" i="1"/>
  <c r="Y174" i="1"/>
  <c r="W164" i="1"/>
  <c r="Y163" i="1"/>
  <c r="W142" i="1"/>
  <c r="Y142" i="1" s="1"/>
  <c r="Y141" i="1"/>
  <c r="O111" i="4"/>
  <c r="P110" i="4"/>
  <c r="P111" i="4" s="1"/>
  <c r="H206" i="4"/>
  <c r="G207" i="4"/>
  <c r="E231" i="4"/>
  <c r="E237" i="4" s="1"/>
  <c r="D237" i="4" s="1"/>
  <c r="F230" i="4"/>
  <c r="L147" i="4"/>
  <c r="M146" i="4"/>
  <c r="B254" i="4"/>
  <c r="E242" i="4"/>
  <c r="I194" i="4"/>
  <c r="H195" i="4"/>
  <c r="M135" i="4"/>
  <c r="N134" i="4"/>
  <c r="L158" i="4"/>
  <c r="K159" i="4"/>
  <c r="J182" i="4"/>
  <c r="I183" i="4"/>
  <c r="J171" i="4"/>
  <c r="J177" i="4" s="1"/>
  <c r="D178" i="4" s="1"/>
  <c r="D179" i="4" s="1"/>
  <c r="K170" i="4"/>
  <c r="N123" i="4"/>
  <c r="O122" i="4"/>
  <c r="F219" i="4"/>
  <c r="G218" i="4"/>
  <c r="Q69" i="4"/>
  <c r="J247" i="4"/>
  <c r="P247" i="4"/>
  <c r="E247" i="4"/>
  <c r="K247" i="4"/>
  <c r="M247" i="4"/>
  <c r="F247" i="4"/>
  <c r="N247" i="4"/>
  <c r="G247" i="4"/>
  <c r="O247" i="4"/>
  <c r="H247" i="4"/>
  <c r="I247" i="4"/>
  <c r="L247" i="4"/>
  <c r="D260" i="4"/>
  <c r="D271" i="4"/>
  <c r="G26" i="2"/>
  <c r="J26" i="2"/>
  <c r="H26" i="2"/>
  <c r="Y153" i="2"/>
  <c r="W154" i="2"/>
  <c r="Y154" i="2" s="1"/>
  <c r="O26" i="2"/>
  <c r="N26" i="2"/>
  <c r="Y164" i="2"/>
  <c r="W165" i="2"/>
  <c r="W176" i="2"/>
  <c r="Y175" i="2"/>
  <c r="Y186" i="2"/>
  <c r="W187" i="2"/>
  <c r="Z33" i="2"/>
  <c r="AA33" i="2"/>
  <c r="W209" i="2"/>
  <c r="Y208" i="2"/>
  <c r="W198" i="2"/>
  <c r="Y197" i="2"/>
  <c r="Z33" i="1"/>
  <c r="AC33" i="1" s="1"/>
  <c r="AA33" i="1"/>
  <c r="H26" i="1"/>
  <c r="G26" i="1"/>
  <c r="I25" i="1"/>
  <c r="J176" i="5" l="1"/>
  <c r="K176" i="5" s="1"/>
  <c r="L176" i="5" s="1"/>
  <c r="M176" i="5" s="1"/>
  <c r="N176" i="5" s="1"/>
  <c r="O176" i="5" s="1"/>
  <c r="P176" i="5" s="1"/>
  <c r="D180" i="5" s="1"/>
  <c r="E188" i="5" s="1"/>
  <c r="F188" i="5" s="1"/>
  <c r="G188" i="5" s="1"/>
  <c r="H188" i="5" s="1"/>
  <c r="I188" i="5" s="1"/>
  <c r="E235" i="5"/>
  <c r="F235" i="5"/>
  <c r="J175" i="5"/>
  <c r="D259" i="5"/>
  <c r="D248" i="5"/>
  <c r="B278" i="5"/>
  <c r="E266" i="5"/>
  <c r="O146" i="5"/>
  <c r="N147" i="5"/>
  <c r="N151" i="5" s="1"/>
  <c r="F254" i="5"/>
  <c r="E255" i="5"/>
  <c r="N158" i="5"/>
  <c r="M159" i="5"/>
  <c r="M163" i="5" s="1"/>
  <c r="H219" i="5"/>
  <c r="H223" i="5" s="1"/>
  <c r="I218" i="5"/>
  <c r="K194" i="5"/>
  <c r="J195" i="5"/>
  <c r="H230" i="5"/>
  <c r="G231" i="5"/>
  <c r="G235" i="5" s="1"/>
  <c r="M170" i="5"/>
  <c r="L171" i="5"/>
  <c r="L175" i="5" s="1"/>
  <c r="J190" i="5"/>
  <c r="J189" i="5"/>
  <c r="D190" i="5" s="1"/>
  <c r="D191" i="5" s="1"/>
  <c r="E249" i="5"/>
  <c r="D249" i="5" s="1"/>
  <c r="J206" i="5"/>
  <c r="I207" i="5"/>
  <c r="I211" i="5" s="1"/>
  <c r="P134" i="5"/>
  <c r="P135" i="5" s="1"/>
  <c r="P139" i="5" s="1"/>
  <c r="O135" i="5"/>
  <c r="O139" i="5" s="1"/>
  <c r="K175" i="5"/>
  <c r="L182" i="5"/>
  <c r="K183" i="5"/>
  <c r="G242" i="5"/>
  <c r="F243" i="5"/>
  <c r="R33" i="5"/>
  <c r="Q34" i="5"/>
  <c r="H44" i="4"/>
  <c r="R41" i="4" s="1"/>
  <c r="W165" i="1"/>
  <c r="Y164" i="1"/>
  <c r="W198" i="1"/>
  <c r="Y197" i="1"/>
  <c r="W154" i="1"/>
  <c r="Y154" i="1" s="1"/>
  <c r="Y153" i="1"/>
  <c r="W176" i="1"/>
  <c r="Y175" i="1"/>
  <c r="W209" i="1"/>
  <c r="Y208" i="1"/>
  <c r="W187" i="1"/>
  <c r="Y186" i="1"/>
  <c r="G219" i="4"/>
  <c r="H218" i="4"/>
  <c r="F231" i="4"/>
  <c r="G230" i="4"/>
  <c r="K182" i="4"/>
  <c r="J183" i="4"/>
  <c r="J189" i="4" s="1"/>
  <c r="D190" i="4" s="1"/>
  <c r="D191" i="4" s="1"/>
  <c r="I195" i="4"/>
  <c r="J194" i="4"/>
  <c r="O123" i="4"/>
  <c r="P122" i="4"/>
  <c r="P123" i="4" s="1"/>
  <c r="E243" i="4"/>
  <c r="E249" i="4" s="1"/>
  <c r="D249" i="4" s="1"/>
  <c r="F242" i="4"/>
  <c r="E254" i="4"/>
  <c r="B266" i="4"/>
  <c r="H207" i="4"/>
  <c r="I206" i="4"/>
  <c r="M158" i="4"/>
  <c r="L159" i="4"/>
  <c r="L170" i="4"/>
  <c r="K171" i="4"/>
  <c r="N135" i="4"/>
  <c r="O134" i="4"/>
  <c r="M147" i="4"/>
  <c r="N146" i="4"/>
  <c r="D283" i="4"/>
  <c r="D272" i="4"/>
  <c r="G259" i="4"/>
  <c r="M259" i="4"/>
  <c r="H259" i="4"/>
  <c r="N259" i="4"/>
  <c r="I259" i="4"/>
  <c r="O259" i="4"/>
  <c r="J259" i="4"/>
  <c r="P259" i="4"/>
  <c r="K259" i="4"/>
  <c r="L259" i="4"/>
  <c r="E259" i="4"/>
  <c r="F259" i="4"/>
  <c r="Q70" i="4"/>
  <c r="I44" i="4"/>
  <c r="R42" i="4" s="1"/>
  <c r="AB33" i="2"/>
  <c r="W177" i="2"/>
  <c r="Y176" i="2"/>
  <c r="W210" i="2"/>
  <c r="Y209" i="2"/>
  <c r="AC33" i="2"/>
  <c r="Y198" i="2"/>
  <c r="W199" i="2"/>
  <c r="W188" i="2"/>
  <c r="Y187" i="2"/>
  <c r="P26" i="2"/>
  <c r="H27" i="2"/>
  <c r="G27" i="2"/>
  <c r="Y165" i="2"/>
  <c r="W166" i="2"/>
  <c r="Y166" i="2" s="1"/>
  <c r="Q26" i="2"/>
  <c r="I26" i="2"/>
  <c r="AA34" i="1"/>
  <c r="Z34" i="1"/>
  <c r="AB34" i="1" s="1"/>
  <c r="AB33" i="1"/>
  <c r="I26" i="1"/>
  <c r="J26" i="1"/>
  <c r="K187" i="5" l="1"/>
  <c r="E247" i="5"/>
  <c r="J187" i="5"/>
  <c r="D271" i="5"/>
  <c r="D260" i="5"/>
  <c r="J201" i="5"/>
  <c r="D202" i="5" s="1"/>
  <c r="D203" i="5" s="1"/>
  <c r="J202" i="5"/>
  <c r="F266" i="5"/>
  <c r="E267" i="5"/>
  <c r="P146" i="5"/>
  <c r="P147" i="5" s="1"/>
  <c r="P151" i="5" s="1"/>
  <c r="O147" i="5"/>
  <c r="O151" i="5" s="1"/>
  <c r="L183" i="5"/>
  <c r="L187" i="5" s="1"/>
  <c r="M182" i="5"/>
  <c r="F247" i="5"/>
  <c r="N170" i="5"/>
  <c r="M171" i="5"/>
  <c r="M175" i="5" s="1"/>
  <c r="L194" i="5"/>
  <c r="K195" i="5"/>
  <c r="O158" i="5"/>
  <c r="N159" i="5"/>
  <c r="N163" i="5" s="1"/>
  <c r="E278" i="5"/>
  <c r="B290" i="5"/>
  <c r="I230" i="5"/>
  <c r="H231" i="5"/>
  <c r="H235" i="5" s="1"/>
  <c r="G254" i="5"/>
  <c r="F255" i="5"/>
  <c r="H242" i="5"/>
  <c r="G243" i="5"/>
  <c r="G247" i="5" s="1"/>
  <c r="K206" i="5"/>
  <c r="J207" i="5"/>
  <c r="J218" i="5"/>
  <c r="I219" i="5"/>
  <c r="I223" i="5" s="1"/>
  <c r="E261" i="5"/>
  <c r="D261" i="5" s="1"/>
  <c r="J188" i="5"/>
  <c r="K188" i="5" s="1"/>
  <c r="L188" i="5" s="1"/>
  <c r="M188" i="5" s="1"/>
  <c r="N188" i="5" s="1"/>
  <c r="O188" i="5" s="1"/>
  <c r="P188" i="5" s="1"/>
  <c r="D192" i="5" s="1"/>
  <c r="E200" i="5" s="1"/>
  <c r="F200" i="5" s="1"/>
  <c r="G200" i="5" s="1"/>
  <c r="H200" i="5" s="1"/>
  <c r="I200" i="5" s="1"/>
  <c r="Q35" i="5"/>
  <c r="R34" i="5"/>
  <c r="W177" i="1"/>
  <c r="Y176" i="1"/>
  <c r="W188" i="1"/>
  <c r="Y187" i="1"/>
  <c r="W199" i="1"/>
  <c r="Y198" i="1"/>
  <c r="I27" i="2"/>
  <c r="W210" i="1"/>
  <c r="Y209" i="1"/>
  <c r="W166" i="1"/>
  <c r="Y166" i="1" s="1"/>
  <c r="Y165" i="1"/>
  <c r="O146" i="4"/>
  <c r="N147" i="4"/>
  <c r="G242" i="4"/>
  <c r="F243" i="4"/>
  <c r="N158" i="4"/>
  <c r="M159" i="4"/>
  <c r="L182" i="4"/>
  <c r="K183" i="4"/>
  <c r="I207" i="4"/>
  <c r="J206" i="4"/>
  <c r="G231" i="4"/>
  <c r="H230" i="4"/>
  <c r="E266" i="4"/>
  <c r="B278" i="4"/>
  <c r="K194" i="4"/>
  <c r="J195" i="4"/>
  <c r="J201" i="4" s="1"/>
  <c r="D202" i="4" s="1"/>
  <c r="D203" i="4" s="1"/>
  <c r="I218" i="4"/>
  <c r="H219" i="4"/>
  <c r="O135" i="4"/>
  <c r="P134" i="4"/>
  <c r="P135" i="4" s="1"/>
  <c r="M170" i="4"/>
  <c r="L171" i="4"/>
  <c r="F254" i="4"/>
  <c r="E255" i="4"/>
  <c r="E261" i="4" s="1"/>
  <c r="D261" i="4" s="1"/>
  <c r="Q71" i="4"/>
  <c r="F271" i="4"/>
  <c r="L271" i="4"/>
  <c r="H271" i="4"/>
  <c r="N271" i="4"/>
  <c r="G271" i="4"/>
  <c r="P271" i="4"/>
  <c r="I271" i="4"/>
  <c r="J271" i="4"/>
  <c r="K271" i="4"/>
  <c r="M271" i="4"/>
  <c r="E271" i="4"/>
  <c r="O271" i="4"/>
  <c r="D295" i="4"/>
  <c r="D284" i="4"/>
  <c r="J44" i="4"/>
  <c r="R43" i="4" s="1"/>
  <c r="AA34" i="2"/>
  <c r="Z34" i="2"/>
  <c r="O27" i="2"/>
  <c r="N27" i="2"/>
  <c r="P27" i="2" s="1"/>
  <c r="Y210" i="2"/>
  <c r="W211" i="2"/>
  <c r="W189" i="2"/>
  <c r="Y188" i="2"/>
  <c r="J27" i="2"/>
  <c r="W200" i="2"/>
  <c r="Y199" i="2"/>
  <c r="W178" i="2"/>
  <c r="Y178" i="2" s="1"/>
  <c r="Y177" i="2"/>
  <c r="AC34" i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G27" i="1"/>
  <c r="H27" i="1"/>
  <c r="J200" i="5" l="1"/>
  <c r="K200" i="5" s="1"/>
  <c r="L200" i="5" s="1"/>
  <c r="M200" i="5" s="1"/>
  <c r="N200" i="5" s="1"/>
  <c r="O200" i="5" s="1"/>
  <c r="P200" i="5" s="1"/>
  <c r="D204" i="5" s="1"/>
  <c r="E212" i="5" s="1"/>
  <c r="F212" i="5" s="1"/>
  <c r="G212" i="5" s="1"/>
  <c r="H212" i="5" s="1"/>
  <c r="I212" i="5" s="1"/>
  <c r="E259" i="5"/>
  <c r="J199" i="5"/>
  <c r="D283" i="5"/>
  <c r="D272" i="5"/>
  <c r="G255" i="5"/>
  <c r="G259" i="5" s="1"/>
  <c r="H254" i="5"/>
  <c r="P158" i="5"/>
  <c r="P159" i="5" s="1"/>
  <c r="P163" i="5" s="1"/>
  <c r="O159" i="5"/>
  <c r="O163" i="5" s="1"/>
  <c r="K199" i="5"/>
  <c r="K218" i="5"/>
  <c r="J219" i="5"/>
  <c r="I242" i="5"/>
  <c r="H243" i="5"/>
  <c r="H247" i="5" s="1"/>
  <c r="J230" i="5"/>
  <c r="I231" i="5"/>
  <c r="I235" i="5" s="1"/>
  <c r="M194" i="5"/>
  <c r="L195" i="5"/>
  <c r="L199" i="5" s="1"/>
  <c r="N182" i="5"/>
  <c r="M183" i="5"/>
  <c r="M187" i="5" s="1"/>
  <c r="E273" i="5"/>
  <c r="D273" i="5" s="1"/>
  <c r="L206" i="5"/>
  <c r="K207" i="5"/>
  <c r="E279" i="5"/>
  <c r="F278" i="5"/>
  <c r="O170" i="5"/>
  <c r="N171" i="5"/>
  <c r="N175" i="5" s="1"/>
  <c r="J213" i="5"/>
  <c r="D214" i="5" s="1"/>
  <c r="D215" i="5" s="1"/>
  <c r="J214" i="5"/>
  <c r="F259" i="5"/>
  <c r="E290" i="5"/>
  <c r="B302" i="5"/>
  <c r="G266" i="5"/>
  <c r="F267" i="5"/>
  <c r="Q36" i="5"/>
  <c r="R35" i="5"/>
  <c r="W189" i="1"/>
  <c r="Y188" i="1"/>
  <c r="W211" i="1"/>
  <c r="Y210" i="1"/>
  <c r="W200" i="1"/>
  <c r="Y199" i="1"/>
  <c r="W178" i="1"/>
  <c r="Y178" i="1" s="1"/>
  <c r="Y177" i="1"/>
  <c r="H231" i="4"/>
  <c r="I230" i="4"/>
  <c r="G254" i="4"/>
  <c r="F255" i="4"/>
  <c r="I219" i="4"/>
  <c r="J218" i="4"/>
  <c r="O158" i="4"/>
  <c r="N159" i="4"/>
  <c r="J207" i="4"/>
  <c r="J213" i="4" s="1"/>
  <c r="D214" i="4" s="1"/>
  <c r="D215" i="4" s="1"/>
  <c r="K206" i="4"/>
  <c r="M171" i="4"/>
  <c r="N170" i="4"/>
  <c r="H242" i="4"/>
  <c r="G243" i="4"/>
  <c r="E278" i="4"/>
  <c r="B290" i="4"/>
  <c r="K195" i="4"/>
  <c r="L194" i="4"/>
  <c r="F266" i="4"/>
  <c r="E267" i="4"/>
  <c r="E273" i="4" s="1"/>
  <c r="D273" i="4" s="1"/>
  <c r="M182" i="4"/>
  <c r="L183" i="4"/>
  <c r="P146" i="4"/>
  <c r="P147" i="4" s="1"/>
  <c r="O147" i="4"/>
  <c r="J283" i="4"/>
  <c r="P283" i="4"/>
  <c r="F283" i="4"/>
  <c r="L283" i="4"/>
  <c r="G283" i="4"/>
  <c r="O283" i="4"/>
  <c r="H283" i="4"/>
  <c r="I283" i="4"/>
  <c r="K283" i="4"/>
  <c r="M283" i="4"/>
  <c r="N283" i="4"/>
  <c r="E283" i="4"/>
  <c r="Q72" i="4"/>
  <c r="D296" i="4"/>
  <c r="D307" i="4"/>
  <c r="K44" i="4"/>
  <c r="R44" i="4" s="1"/>
  <c r="AB34" i="2"/>
  <c r="Y200" i="2"/>
  <c r="W201" i="2"/>
  <c r="H28" i="2"/>
  <c r="G28" i="2"/>
  <c r="Q27" i="2"/>
  <c r="Y189" i="2"/>
  <c r="W190" i="2"/>
  <c r="Y190" i="2" s="1"/>
  <c r="AC34" i="2"/>
  <c r="W212" i="2"/>
  <c r="Y211" i="2"/>
  <c r="Z35" i="1"/>
  <c r="AA35" i="1"/>
  <c r="I27" i="1"/>
  <c r="J27" i="1"/>
  <c r="D284" i="5" l="1"/>
  <c r="D295" i="5"/>
  <c r="J226" i="5"/>
  <c r="J225" i="5"/>
  <c r="D226" i="5" s="1"/>
  <c r="D227" i="5" s="1"/>
  <c r="F271" i="5"/>
  <c r="E285" i="5"/>
  <c r="D285" i="5" s="1"/>
  <c r="E271" i="5"/>
  <c r="N194" i="5"/>
  <c r="M195" i="5"/>
  <c r="M199" i="5" s="1"/>
  <c r="K230" i="5"/>
  <c r="J231" i="5"/>
  <c r="L218" i="5"/>
  <c r="K219" i="5"/>
  <c r="F290" i="5"/>
  <c r="E291" i="5"/>
  <c r="K211" i="5"/>
  <c r="J212" i="5"/>
  <c r="K212" i="5" s="1"/>
  <c r="L212" i="5" s="1"/>
  <c r="M212" i="5" s="1"/>
  <c r="N212" i="5" s="1"/>
  <c r="O212" i="5" s="1"/>
  <c r="P212" i="5" s="1"/>
  <c r="D216" i="5" s="1"/>
  <c r="E224" i="5" s="1"/>
  <c r="F224" i="5" s="1"/>
  <c r="G224" i="5" s="1"/>
  <c r="H224" i="5" s="1"/>
  <c r="I224" i="5" s="1"/>
  <c r="I254" i="5"/>
  <c r="H255" i="5"/>
  <c r="H259" i="5" s="1"/>
  <c r="G278" i="5"/>
  <c r="F279" i="5"/>
  <c r="H266" i="5"/>
  <c r="G267" i="5"/>
  <c r="G271" i="5" s="1"/>
  <c r="E302" i="5"/>
  <c r="B314" i="5"/>
  <c r="J211" i="5"/>
  <c r="P170" i="5"/>
  <c r="P171" i="5" s="1"/>
  <c r="P175" i="5" s="1"/>
  <c r="O171" i="5"/>
  <c r="O175" i="5" s="1"/>
  <c r="M206" i="5"/>
  <c r="L207" i="5"/>
  <c r="L211" i="5" s="1"/>
  <c r="O182" i="5"/>
  <c r="N183" i="5"/>
  <c r="N187" i="5" s="1"/>
  <c r="J242" i="5"/>
  <c r="I243" i="5"/>
  <c r="I247" i="5" s="1"/>
  <c r="R36" i="5"/>
  <c r="Q37" i="5"/>
  <c r="W212" i="1"/>
  <c r="Y211" i="1"/>
  <c r="W201" i="1"/>
  <c r="Y200" i="1"/>
  <c r="W190" i="1"/>
  <c r="Y190" i="1" s="1"/>
  <c r="Y189" i="1"/>
  <c r="L195" i="4"/>
  <c r="M194" i="4"/>
  <c r="O170" i="4"/>
  <c r="N171" i="4"/>
  <c r="K218" i="4"/>
  <c r="J219" i="4"/>
  <c r="J225" i="4" s="1"/>
  <c r="D226" i="4" s="1"/>
  <c r="D227" i="4" s="1"/>
  <c r="B302" i="4"/>
  <c r="E290" i="4"/>
  <c r="K207" i="4"/>
  <c r="L206" i="4"/>
  <c r="J230" i="4"/>
  <c r="I231" i="4"/>
  <c r="N182" i="4"/>
  <c r="M183" i="4"/>
  <c r="E279" i="4"/>
  <c r="E285" i="4" s="1"/>
  <c r="D285" i="4" s="1"/>
  <c r="F278" i="4"/>
  <c r="G255" i="4"/>
  <c r="H254" i="4"/>
  <c r="F267" i="4"/>
  <c r="G266" i="4"/>
  <c r="H243" i="4"/>
  <c r="I242" i="4"/>
  <c r="P158" i="4"/>
  <c r="P159" i="4" s="1"/>
  <c r="O159" i="4"/>
  <c r="D319" i="4"/>
  <c r="D308" i="4"/>
  <c r="H295" i="4"/>
  <c r="N295" i="4"/>
  <c r="J295" i="4"/>
  <c r="P295" i="4"/>
  <c r="F295" i="4"/>
  <c r="O295" i="4"/>
  <c r="G295" i="4"/>
  <c r="I295" i="4"/>
  <c r="K295" i="4"/>
  <c r="L295" i="4"/>
  <c r="E295" i="4"/>
  <c r="M295" i="4"/>
  <c r="Q73" i="4"/>
  <c r="L44" i="4"/>
  <c r="R45" i="4" s="1"/>
  <c r="N28" i="2"/>
  <c r="Q28" i="2"/>
  <c r="O28" i="2"/>
  <c r="I28" i="2"/>
  <c r="W213" i="2"/>
  <c r="Y212" i="2"/>
  <c r="J28" i="2"/>
  <c r="AA35" i="2"/>
  <c r="Z35" i="2"/>
  <c r="AD35" i="2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Y201" i="2"/>
  <c r="W202" i="2"/>
  <c r="Y202" i="2" s="1"/>
  <c r="AC35" i="1"/>
  <c r="AB35" i="1"/>
  <c r="H28" i="1"/>
  <c r="G28" i="1"/>
  <c r="J28" i="1" s="1"/>
  <c r="F283" i="5" l="1"/>
  <c r="J224" i="5"/>
  <c r="K224" i="5" s="1"/>
  <c r="L224" i="5" s="1"/>
  <c r="M224" i="5" s="1"/>
  <c r="N224" i="5" s="1"/>
  <c r="O224" i="5" s="1"/>
  <c r="P224" i="5" s="1"/>
  <c r="D228" i="5" s="1"/>
  <c r="E236" i="5" s="1"/>
  <c r="F236" i="5" s="1"/>
  <c r="G236" i="5" s="1"/>
  <c r="H236" i="5" s="1"/>
  <c r="I236" i="5" s="1"/>
  <c r="E283" i="5"/>
  <c r="D307" i="5"/>
  <c r="D296" i="5"/>
  <c r="K242" i="5"/>
  <c r="J243" i="5"/>
  <c r="N206" i="5"/>
  <c r="M207" i="5"/>
  <c r="M211" i="5" s="1"/>
  <c r="E314" i="5"/>
  <c r="B326" i="5"/>
  <c r="E303" i="5"/>
  <c r="F302" i="5"/>
  <c r="H278" i="5"/>
  <c r="G279" i="5"/>
  <c r="G283" i="5" s="1"/>
  <c r="G290" i="5"/>
  <c r="F291" i="5"/>
  <c r="L230" i="5"/>
  <c r="K231" i="5"/>
  <c r="P182" i="5"/>
  <c r="P183" i="5" s="1"/>
  <c r="P187" i="5" s="1"/>
  <c r="O183" i="5"/>
  <c r="O187" i="5" s="1"/>
  <c r="J223" i="5"/>
  <c r="E297" i="5"/>
  <c r="D297" i="5" s="1"/>
  <c r="J238" i="5"/>
  <c r="J237" i="5"/>
  <c r="D238" i="5" s="1"/>
  <c r="D239" i="5" s="1"/>
  <c r="K223" i="5"/>
  <c r="H267" i="5"/>
  <c r="H271" i="5" s="1"/>
  <c r="I266" i="5"/>
  <c r="J254" i="5"/>
  <c r="I255" i="5"/>
  <c r="I259" i="5" s="1"/>
  <c r="L219" i="5"/>
  <c r="L223" i="5" s="1"/>
  <c r="M218" i="5"/>
  <c r="O194" i="5"/>
  <c r="N195" i="5"/>
  <c r="N199" i="5" s="1"/>
  <c r="R37" i="5"/>
  <c r="Q38" i="5"/>
  <c r="W202" i="1"/>
  <c r="Y202" i="1" s="1"/>
  <c r="Y201" i="1"/>
  <c r="W213" i="1"/>
  <c r="Y212" i="1"/>
  <c r="I254" i="4"/>
  <c r="H255" i="4"/>
  <c r="K230" i="4"/>
  <c r="J231" i="4"/>
  <c r="J237" i="4" s="1"/>
  <c r="D238" i="4" s="1"/>
  <c r="D239" i="4" s="1"/>
  <c r="L218" i="4"/>
  <c r="K219" i="4"/>
  <c r="J242" i="4"/>
  <c r="I243" i="4"/>
  <c r="G278" i="4"/>
  <c r="F279" i="4"/>
  <c r="M206" i="4"/>
  <c r="L207" i="4"/>
  <c r="G267" i="4"/>
  <c r="H266" i="4"/>
  <c r="E291" i="4"/>
  <c r="E297" i="4" s="1"/>
  <c r="D297" i="4" s="1"/>
  <c r="F290" i="4"/>
  <c r="N194" i="4"/>
  <c r="M195" i="4"/>
  <c r="O171" i="4"/>
  <c r="P170" i="4"/>
  <c r="P171" i="4" s="1"/>
  <c r="O182" i="4"/>
  <c r="N183" i="4"/>
  <c r="E302" i="4"/>
  <c r="B314" i="4"/>
  <c r="Q74" i="4"/>
  <c r="F307" i="4"/>
  <c r="L307" i="4"/>
  <c r="H307" i="4"/>
  <c r="N307" i="4"/>
  <c r="G307" i="4"/>
  <c r="P307" i="4"/>
  <c r="I307" i="4"/>
  <c r="J307" i="4"/>
  <c r="K307" i="4"/>
  <c r="M307" i="4"/>
  <c r="O307" i="4"/>
  <c r="E307" i="4"/>
  <c r="D320" i="4"/>
  <c r="D331" i="4"/>
  <c r="M44" i="4"/>
  <c r="R46" i="4" s="1"/>
  <c r="AB35" i="2"/>
  <c r="W214" i="2"/>
  <c r="Y214" i="2" s="1"/>
  <c r="Y213" i="2"/>
  <c r="AC35" i="2"/>
  <c r="N29" i="2"/>
  <c r="O29" i="2"/>
  <c r="H29" i="2"/>
  <c r="G29" i="2"/>
  <c r="I29" i="2" s="1"/>
  <c r="P28" i="2"/>
  <c r="AA36" i="1"/>
  <c r="Z36" i="1"/>
  <c r="I28" i="1"/>
  <c r="H29" i="1"/>
  <c r="G29" i="1"/>
  <c r="I29" i="1" s="1"/>
  <c r="E295" i="5" l="1"/>
  <c r="J235" i="5"/>
  <c r="K235" i="5"/>
  <c r="D319" i="5"/>
  <c r="D308" i="5"/>
  <c r="G302" i="5"/>
  <c r="F303" i="5"/>
  <c r="M230" i="5"/>
  <c r="L231" i="5"/>
  <c r="L235" i="5" s="1"/>
  <c r="E309" i="5"/>
  <c r="D309" i="5" s="1"/>
  <c r="O206" i="5"/>
  <c r="N207" i="5"/>
  <c r="N211" i="5" s="1"/>
  <c r="F295" i="5"/>
  <c r="E326" i="5"/>
  <c r="B338" i="5"/>
  <c r="J249" i="5"/>
  <c r="D250" i="5" s="1"/>
  <c r="D251" i="5" s="1"/>
  <c r="J250" i="5"/>
  <c r="P194" i="5"/>
  <c r="P195" i="5" s="1"/>
  <c r="P199" i="5" s="1"/>
  <c r="O195" i="5"/>
  <c r="O199" i="5" s="1"/>
  <c r="K254" i="5"/>
  <c r="J255" i="5"/>
  <c r="N218" i="5"/>
  <c r="M219" i="5"/>
  <c r="M223" i="5" s="1"/>
  <c r="J266" i="5"/>
  <c r="I267" i="5"/>
  <c r="I271" i="5" s="1"/>
  <c r="J236" i="5"/>
  <c r="K236" i="5" s="1"/>
  <c r="L236" i="5" s="1"/>
  <c r="M236" i="5" s="1"/>
  <c r="N236" i="5" s="1"/>
  <c r="O236" i="5" s="1"/>
  <c r="P236" i="5" s="1"/>
  <c r="D240" i="5" s="1"/>
  <c r="E248" i="5" s="1"/>
  <c r="F248" i="5" s="1"/>
  <c r="G248" i="5" s="1"/>
  <c r="H248" i="5" s="1"/>
  <c r="I248" i="5" s="1"/>
  <c r="H290" i="5"/>
  <c r="G291" i="5"/>
  <c r="G295" i="5" s="1"/>
  <c r="I278" i="5"/>
  <c r="H279" i="5"/>
  <c r="H283" i="5" s="1"/>
  <c r="F314" i="5"/>
  <c r="E315" i="5"/>
  <c r="L242" i="5"/>
  <c r="K243" i="5"/>
  <c r="Q39" i="5"/>
  <c r="R38" i="5"/>
  <c r="W214" i="1"/>
  <c r="Y214" i="1" s="1"/>
  <c r="Y213" i="1"/>
  <c r="J29" i="2"/>
  <c r="P29" i="2"/>
  <c r="B326" i="4"/>
  <c r="E314" i="4"/>
  <c r="F302" i="4"/>
  <c r="E303" i="4"/>
  <c r="E309" i="4" s="1"/>
  <c r="D309" i="4" s="1"/>
  <c r="O194" i="4"/>
  <c r="N195" i="4"/>
  <c r="N206" i="4"/>
  <c r="M207" i="4"/>
  <c r="M218" i="4"/>
  <c r="L219" i="4"/>
  <c r="G279" i="4"/>
  <c r="H278" i="4"/>
  <c r="L230" i="4"/>
  <c r="K231" i="4"/>
  <c r="I266" i="4"/>
  <c r="H267" i="4"/>
  <c r="G290" i="4"/>
  <c r="F291" i="4"/>
  <c r="O183" i="4"/>
  <c r="P182" i="4"/>
  <c r="P183" i="4" s="1"/>
  <c r="J243" i="4"/>
  <c r="J249" i="4" s="1"/>
  <c r="D250" i="4" s="1"/>
  <c r="D251" i="4" s="1"/>
  <c r="K242" i="4"/>
  <c r="I255" i="4"/>
  <c r="J254" i="4"/>
  <c r="J319" i="4"/>
  <c r="P319" i="4"/>
  <c r="E319" i="4"/>
  <c r="L319" i="4"/>
  <c r="F319" i="4"/>
  <c r="M319" i="4"/>
  <c r="G319" i="4"/>
  <c r="N319" i="4"/>
  <c r="H319" i="4"/>
  <c r="O319" i="4"/>
  <c r="I319" i="4"/>
  <c r="K319" i="4"/>
  <c r="D343" i="4"/>
  <c r="D332" i="4"/>
  <c r="Q75" i="4"/>
  <c r="N44" i="4"/>
  <c r="R47" i="4" s="1"/>
  <c r="Q29" i="2"/>
  <c r="AA36" i="2"/>
  <c r="Z36" i="2"/>
  <c r="H30" i="2"/>
  <c r="J30" i="2"/>
  <c r="G30" i="2"/>
  <c r="AB36" i="1"/>
  <c r="AC36" i="1"/>
  <c r="J29" i="1"/>
  <c r="H30" i="1" s="1"/>
  <c r="J248" i="5" l="1"/>
  <c r="K248" i="5" s="1"/>
  <c r="L248" i="5" s="1"/>
  <c r="M248" i="5" s="1"/>
  <c r="N248" i="5" s="1"/>
  <c r="O248" i="5" s="1"/>
  <c r="P248" i="5" s="1"/>
  <c r="D252" i="5" s="1"/>
  <c r="E260" i="5" s="1"/>
  <c r="F260" i="5" s="1"/>
  <c r="G260" i="5" s="1"/>
  <c r="H260" i="5" s="1"/>
  <c r="I260" i="5" s="1"/>
  <c r="K247" i="5"/>
  <c r="E307" i="5"/>
  <c r="D320" i="5"/>
  <c r="D331" i="5"/>
  <c r="B350" i="5"/>
  <c r="E338" i="5"/>
  <c r="O207" i="5"/>
  <c r="O211" i="5" s="1"/>
  <c r="P206" i="5"/>
  <c r="P207" i="5" s="1"/>
  <c r="P211" i="5" s="1"/>
  <c r="M231" i="5"/>
  <c r="M235" i="5" s="1"/>
  <c r="N230" i="5"/>
  <c r="O218" i="5"/>
  <c r="N219" i="5"/>
  <c r="N223" i="5" s="1"/>
  <c r="M242" i="5"/>
  <c r="L243" i="5"/>
  <c r="L247" i="5" s="1"/>
  <c r="J278" i="5"/>
  <c r="I279" i="5"/>
  <c r="I283" i="5" s="1"/>
  <c r="J261" i="5"/>
  <c r="D262" i="5" s="1"/>
  <c r="D263" i="5" s="1"/>
  <c r="J262" i="5"/>
  <c r="J247" i="5"/>
  <c r="F326" i="5"/>
  <c r="E327" i="5"/>
  <c r="K255" i="5"/>
  <c r="L254" i="5"/>
  <c r="F307" i="5"/>
  <c r="E321" i="5"/>
  <c r="D321" i="5" s="1"/>
  <c r="K266" i="5"/>
  <c r="J267" i="5"/>
  <c r="G314" i="5"/>
  <c r="F315" i="5"/>
  <c r="H291" i="5"/>
  <c r="H295" i="5" s="1"/>
  <c r="I290" i="5"/>
  <c r="H302" i="5"/>
  <c r="G303" i="5"/>
  <c r="G307" i="5" s="1"/>
  <c r="Q40" i="5"/>
  <c r="R39" i="5"/>
  <c r="K254" i="4"/>
  <c r="J255" i="4"/>
  <c r="J261" i="4" s="1"/>
  <c r="D262" i="4" s="1"/>
  <c r="D263" i="4" s="1"/>
  <c r="I278" i="4"/>
  <c r="H279" i="4"/>
  <c r="G291" i="4"/>
  <c r="H290" i="4"/>
  <c r="P194" i="4"/>
  <c r="P195" i="4" s="1"/>
  <c r="O195" i="4"/>
  <c r="K243" i="4"/>
  <c r="L242" i="4"/>
  <c r="N218" i="4"/>
  <c r="M219" i="4"/>
  <c r="F303" i="4"/>
  <c r="G302" i="4"/>
  <c r="I267" i="4"/>
  <c r="J266" i="4"/>
  <c r="F314" i="4"/>
  <c r="E315" i="4"/>
  <c r="E321" i="4" s="1"/>
  <c r="D321" i="4" s="1"/>
  <c r="L231" i="4"/>
  <c r="M230" i="4"/>
  <c r="O206" i="4"/>
  <c r="N207" i="4"/>
  <c r="E326" i="4"/>
  <c r="B338" i="4"/>
  <c r="Q76" i="4"/>
  <c r="H331" i="4"/>
  <c r="N331" i="4"/>
  <c r="G331" i="4"/>
  <c r="O331" i="4"/>
  <c r="I331" i="4"/>
  <c r="P331" i="4"/>
  <c r="J331" i="4"/>
  <c r="K331" i="4"/>
  <c r="E331" i="4"/>
  <c r="L331" i="4"/>
  <c r="M331" i="4"/>
  <c r="F331" i="4"/>
  <c r="D344" i="4"/>
  <c r="D355" i="4"/>
  <c r="O44" i="4"/>
  <c r="R48" i="4" s="1"/>
  <c r="AB36" i="2"/>
  <c r="H31" i="2"/>
  <c r="G31" i="2"/>
  <c r="AC36" i="2"/>
  <c r="I30" i="2"/>
  <c r="O30" i="2"/>
  <c r="N30" i="2"/>
  <c r="P30" i="2" s="1"/>
  <c r="AA37" i="1"/>
  <c r="Z37" i="1"/>
  <c r="G30" i="1"/>
  <c r="I30" i="1" s="1"/>
  <c r="J259" i="5" l="1"/>
  <c r="K259" i="5"/>
  <c r="D332" i="5"/>
  <c r="D343" i="5"/>
  <c r="K278" i="5"/>
  <c r="J279" i="5"/>
  <c r="P218" i="5"/>
  <c r="P219" i="5" s="1"/>
  <c r="P223" i="5" s="1"/>
  <c r="O219" i="5"/>
  <c r="O223" i="5" s="1"/>
  <c r="H314" i="5"/>
  <c r="G315" i="5"/>
  <c r="G319" i="5" s="1"/>
  <c r="J290" i="5"/>
  <c r="I291" i="5"/>
  <c r="I295" i="5" s="1"/>
  <c r="J274" i="5"/>
  <c r="J273" i="5"/>
  <c r="D274" i="5" s="1"/>
  <c r="D275" i="5" s="1"/>
  <c r="E333" i="5"/>
  <c r="D333" i="5" s="1"/>
  <c r="J260" i="5"/>
  <c r="K260" i="5" s="1"/>
  <c r="L260" i="5" s="1"/>
  <c r="M260" i="5" s="1"/>
  <c r="N260" i="5" s="1"/>
  <c r="O260" i="5" s="1"/>
  <c r="P260" i="5" s="1"/>
  <c r="D264" i="5" s="1"/>
  <c r="E272" i="5" s="1"/>
  <c r="F272" i="5" s="1"/>
  <c r="G272" i="5" s="1"/>
  <c r="H272" i="5" s="1"/>
  <c r="I272" i="5" s="1"/>
  <c r="I302" i="5"/>
  <c r="H303" i="5"/>
  <c r="H307" i="5" s="1"/>
  <c r="L266" i="5"/>
  <c r="K267" i="5"/>
  <c r="G326" i="5"/>
  <c r="F327" i="5"/>
  <c r="N242" i="5"/>
  <c r="M243" i="5"/>
  <c r="M247" i="5" s="1"/>
  <c r="O230" i="5"/>
  <c r="N231" i="5"/>
  <c r="N235" i="5" s="1"/>
  <c r="F338" i="5"/>
  <c r="E339" i="5"/>
  <c r="F319" i="5"/>
  <c r="E319" i="5"/>
  <c r="M254" i="5"/>
  <c r="L255" i="5"/>
  <c r="L259" i="5" s="1"/>
  <c r="E350" i="5"/>
  <c r="B362" i="5"/>
  <c r="E362" i="5" s="1"/>
  <c r="R40" i="5"/>
  <c r="Q41" i="5"/>
  <c r="I31" i="2"/>
  <c r="Q30" i="2"/>
  <c r="B350" i="4"/>
  <c r="E338" i="4"/>
  <c r="H291" i="4"/>
  <c r="I290" i="4"/>
  <c r="F326" i="4"/>
  <c r="E327" i="4"/>
  <c r="E333" i="4" s="1"/>
  <c r="D333" i="4" s="1"/>
  <c r="F315" i="4"/>
  <c r="G314" i="4"/>
  <c r="O218" i="4"/>
  <c r="N219" i="4"/>
  <c r="K266" i="4"/>
  <c r="J267" i="4"/>
  <c r="J273" i="4" s="1"/>
  <c r="D274" i="4" s="1"/>
  <c r="D275" i="4" s="1"/>
  <c r="M242" i="4"/>
  <c r="L243" i="4"/>
  <c r="P206" i="4"/>
  <c r="P207" i="4" s="1"/>
  <c r="O207" i="4"/>
  <c r="I279" i="4"/>
  <c r="J278" i="4"/>
  <c r="N230" i="4"/>
  <c r="M231" i="4"/>
  <c r="G303" i="4"/>
  <c r="H302" i="4"/>
  <c r="L254" i="4"/>
  <c r="K255" i="4"/>
  <c r="F343" i="4"/>
  <c r="J343" i="4"/>
  <c r="P343" i="4"/>
  <c r="K343" i="4"/>
  <c r="G343" i="4"/>
  <c r="M343" i="4"/>
  <c r="E343" i="4"/>
  <c r="H343" i="4"/>
  <c r="O343" i="4"/>
  <c r="I343" i="4"/>
  <c r="L343" i="4"/>
  <c r="N343" i="4"/>
  <c r="D356" i="4"/>
  <c r="D367" i="4"/>
  <c r="Q77" i="4"/>
  <c r="P44" i="4"/>
  <c r="R49" i="4" s="1"/>
  <c r="O31" i="2"/>
  <c r="N31" i="2"/>
  <c r="P31" i="2" s="1"/>
  <c r="AA37" i="2"/>
  <c r="Z37" i="2"/>
  <c r="J31" i="2"/>
  <c r="AB37" i="1"/>
  <c r="AC37" i="1"/>
  <c r="J30" i="1"/>
  <c r="G31" i="1" s="1"/>
  <c r="K271" i="5" l="1"/>
  <c r="J272" i="5"/>
  <c r="K272" i="5" s="1"/>
  <c r="L272" i="5" s="1"/>
  <c r="M272" i="5" s="1"/>
  <c r="N272" i="5" s="1"/>
  <c r="O272" i="5" s="1"/>
  <c r="P272" i="5" s="1"/>
  <c r="D276" i="5" s="1"/>
  <c r="E284" i="5" s="1"/>
  <c r="F284" i="5" s="1"/>
  <c r="G284" i="5" s="1"/>
  <c r="H284" i="5" s="1"/>
  <c r="I284" i="5" s="1"/>
  <c r="D344" i="5"/>
  <c r="D355" i="5"/>
  <c r="E351" i="5"/>
  <c r="F350" i="5"/>
  <c r="P230" i="5"/>
  <c r="P231" i="5" s="1"/>
  <c r="P235" i="5" s="1"/>
  <c r="O231" i="5"/>
  <c r="O235" i="5" s="1"/>
  <c r="G327" i="5"/>
  <c r="G331" i="5" s="1"/>
  <c r="H326" i="5"/>
  <c r="J302" i="5"/>
  <c r="I303" i="5"/>
  <c r="I307" i="5" s="1"/>
  <c r="J291" i="5"/>
  <c r="K290" i="5"/>
  <c r="J286" i="5"/>
  <c r="J285" i="5"/>
  <c r="D286" i="5" s="1"/>
  <c r="D287" i="5" s="1"/>
  <c r="E345" i="5"/>
  <c r="D345" i="5" s="1"/>
  <c r="N254" i="5"/>
  <c r="M255" i="5"/>
  <c r="M259" i="5" s="1"/>
  <c r="G338" i="5"/>
  <c r="F339" i="5"/>
  <c r="O242" i="5"/>
  <c r="N243" i="5"/>
  <c r="N247" i="5" s="1"/>
  <c r="L267" i="5"/>
  <c r="L271" i="5" s="1"/>
  <c r="M266" i="5"/>
  <c r="J271" i="5"/>
  <c r="I314" i="5"/>
  <c r="H315" i="5"/>
  <c r="H319" i="5" s="1"/>
  <c r="L278" i="5"/>
  <c r="K279" i="5"/>
  <c r="F362" i="5"/>
  <c r="E363" i="5"/>
  <c r="F331" i="5"/>
  <c r="E331" i="5"/>
  <c r="R41" i="5"/>
  <c r="Q42" i="5"/>
  <c r="M254" i="4"/>
  <c r="L255" i="4"/>
  <c r="K267" i="4"/>
  <c r="L266" i="4"/>
  <c r="G326" i="4"/>
  <c r="F327" i="4"/>
  <c r="I302" i="4"/>
  <c r="H303" i="4"/>
  <c r="I291" i="4"/>
  <c r="J290" i="4"/>
  <c r="J279" i="4"/>
  <c r="J285" i="4" s="1"/>
  <c r="D286" i="4" s="1"/>
  <c r="D287" i="4" s="1"/>
  <c r="K278" i="4"/>
  <c r="G315" i="4"/>
  <c r="H314" i="4"/>
  <c r="F338" i="4"/>
  <c r="E339" i="4"/>
  <c r="E345" i="4" s="1"/>
  <c r="D345" i="4" s="1"/>
  <c r="O219" i="4"/>
  <c r="P218" i="4"/>
  <c r="P219" i="4" s="1"/>
  <c r="N231" i="4"/>
  <c r="O230" i="4"/>
  <c r="N242" i="4"/>
  <c r="M243" i="4"/>
  <c r="E350" i="4"/>
  <c r="B362" i="4"/>
  <c r="AB37" i="2"/>
  <c r="H355" i="4"/>
  <c r="N355" i="4"/>
  <c r="I355" i="4"/>
  <c r="O355" i="4"/>
  <c r="E355" i="4"/>
  <c r="K355" i="4"/>
  <c r="P355" i="4"/>
  <c r="F355" i="4"/>
  <c r="M355" i="4"/>
  <c r="G355" i="4"/>
  <c r="J355" i="4"/>
  <c r="L355" i="4"/>
  <c r="Q78" i="4"/>
  <c r="D379" i="4"/>
  <c r="D368" i="4"/>
  <c r="D48" i="4"/>
  <c r="E56" i="4" s="1"/>
  <c r="AC37" i="2"/>
  <c r="H32" i="2"/>
  <c r="G32" i="2"/>
  <c r="I32" i="2" s="1"/>
  <c r="Q31" i="2"/>
  <c r="AA38" i="1"/>
  <c r="Z38" i="1"/>
  <c r="AB38" i="1" s="1"/>
  <c r="H31" i="1"/>
  <c r="I31" i="1" s="1"/>
  <c r="J31" i="1"/>
  <c r="F343" i="5" l="1"/>
  <c r="K283" i="5"/>
  <c r="J284" i="5"/>
  <c r="K284" i="5" s="1"/>
  <c r="L284" i="5" s="1"/>
  <c r="M284" i="5" s="1"/>
  <c r="N284" i="5" s="1"/>
  <c r="O284" i="5" s="1"/>
  <c r="P284" i="5" s="1"/>
  <c r="D288" i="5" s="1"/>
  <c r="E296" i="5" s="1"/>
  <c r="F296" i="5" s="1"/>
  <c r="G296" i="5" s="1"/>
  <c r="H296" i="5" s="1"/>
  <c r="I296" i="5" s="1"/>
  <c r="D367" i="5"/>
  <c r="D368" i="5" s="1"/>
  <c r="D356" i="5"/>
  <c r="E369" i="5"/>
  <c r="D369" i="5" s="1"/>
  <c r="N266" i="5"/>
  <c r="M267" i="5"/>
  <c r="M271" i="5" s="1"/>
  <c r="J283" i="5"/>
  <c r="G362" i="5"/>
  <c r="F363" i="5"/>
  <c r="J314" i="5"/>
  <c r="I315" i="5"/>
  <c r="I319" i="5" s="1"/>
  <c r="H338" i="5"/>
  <c r="G339" i="5"/>
  <c r="G343" i="5" s="1"/>
  <c r="E343" i="5"/>
  <c r="K302" i="5"/>
  <c r="J303" i="5"/>
  <c r="L290" i="5"/>
  <c r="K291" i="5"/>
  <c r="I326" i="5"/>
  <c r="H327" i="5"/>
  <c r="H331" i="5" s="1"/>
  <c r="G350" i="5"/>
  <c r="F351" i="5"/>
  <c r="M278" i="5"/>
  <c r="L279" i="5"/>
  <c r="L283" i="5" s="1"/>
  <c r="P242" i="5"/>
  <c r="P243" i="5" s="1"/>
  <c r="P247" i="5" s="1"/>
  <c r="O243" i="5"/>
  <c r="O247" i="5" s="1"/>
  <c r="O254" i="5"/>
  <c r="N255" i="5"/>
  <c r="N259" i="5" s="1"/>
  <c r="J298" i="5"/>
  <c r="J297" i="5"/>
  <c r="D298" i="5" s="1"/>
  <c r="D299" i="5" s="1"/>
  <c r="E357" i="5"/>
  <c r="D357" i="5" s="1"/>
  <c r="Q43" i="5"/>
  <c r="R42" i="5"/>
  <c r="B374" i="4"/>
  <c r="E374" i="4" s="1"/>
  <c r="E362" i="4"/>
  <c r="K279" i="4"/>
  <c r="L278" i="4"/>
  <c r="F350" i="4"/>
  <c r="E351" i="4"/>
  <c r="E357" i="4" s="1"/>
  <c r="D357" i="4" s="1"/>
  <c r="G327" i="4"/>
  <c r="H326" i="4"/>
  <c r="K290" i="4"/>
  <c r="J291" i="4"/>
  <c r="J297" i="4" s="1"/>
  <c r="D298" i="4" s="1"/>
  <c r="D299" i="4" s="1"/>
  <c r="L267" i="4"/>
  <c r="M266" i="4"/>
  <c r="N243" i="4"/>
  <c r="O242" i="4"/>
  <c r="F339" i="4"/>
  <c r="G338" i="4"/>
  <c r="O231" i="4"/>
  <c r="P230" i="4"/>
  <c r="P231" i="4" s="1"/>
  <c r="I314" i="4"/>
  <c r="H315" i="4"/>
  <c r="I303" i="4"/>
  <c r="J302" i="4"/>
  <c r="M255" i="4"/>
  <c r="N254" i="4"/>
  <c r="F56" i="4"/>
  <c r="R50" i="4"/>
  <c r="D380" i="4"/>
  <c r="J379" i="4" s="1"/>
  <c r="F367" i="4"/>
  <c r="L367" i="4"/>
  <c r="G367" i="4"/>
  <c r="M367" i="4"/>
  <c r="I367" i="4"/>
  <c r="O367" i="4"/>
  <c r="J367" i="4"/>
  <c r="K367" i="4"/>
  <c r="N367" i="4"/>
  <c r="H367" i="4"/>
  <c r="P367" i="4"/>
  <c r="E367" i="4"/>
  <c r="Q79" i="4"/>
  <c r="O32" i="2"/>
  <c r="N32" i="2"/>
  <c r="P32" i="2" s="1"/>
  <c r="J32" i="2"/>
  <c r="AA38" i="2"/>
  <c r="Z38" i="2"/>
  <c r="AC38" i="1"/>
  <c r="G32" i="1"/>
  <c r="H32" i="1"/>
  <c r="E367" i="5" l="1"/>
  <c r="F355" i="5"/>
  <c r="J310" i="5"/>
  <c r="J309" i="5"/>
  <c r="D310" i="5" s="1"/>
  <c r="D311" i="5" s="1"/>
  <c r="I338" i="5"/>
  <c r="H339" i="5"/>
  <c r="H343" i="5" s="1"/>
  <c r="H362" i="5"/>
  <c r="G363" i="5"/>
  <c r="G367" i="5" s="1"/>
  <c r="O266" i="5"/>
  <c r="N267" i="5"/>
  <c r="N271" i="5" s="1"/>
  <c r="P254" i="5"/>
  <c r="P255" i="5" s="1"/>
  <c r="P259" i="5" s="1"/>
  <c r="O255" i="5"/>
  <c r="O259" i="5" s="1"/>
  <c r="N278" i="5"/>
  <c r="M279" i="5"/>
  <c r="M283" i="5" s="1"/>
  <c r="J326" i="5"/>
  <c r="I327" i="5"/>
  <c r="I331" i="5" s="1"/>
  <c r="L302" i="5"/>
  <c r="K303" i="5"/>
  <c r="K295" i="5"/>
  <c r="K314" i="5"/>
  <c r="J315" i="5"/>
  <c r="E355" i="5"/>
  <c r="J295" i="5"/>
  <c r="H350" i="5"/>
  <c r="G351" i="5"/>
  <c r="G355" i="5" s="1"/>
  <c r="M290" i="5"/>
  <c r="L291" i="5"/>
  <c r="L295" i="5" s="1"/>
  <c r="F367" i="5"/>
  <c r="J296" i="5"/>
  <c r="K296" i="5" s="1"/>
  <c r="L296" i="5" s="1"/>
  <c r="M296" i="5" s="1"/>
  <c r="N296" i="5" s="1"/>
  <c r="O296" i="5" s="1"/>
  <c r="P296" i="5" s="1"/>
  <c r="D300" i="5" s="1"/>
  <c r="E308" i="5" s="1"/>
  <c r="F308" i="5" s="1"/>
  <c r="G308" i="5" s="1"/>
  <c r="H308" i="5" s="1"/>
  <c r="I308" i="5" s="1"/>
  <c r="Q44" i="5"/>
  <c r="R43" i="5"/>
  <c r="Q32" i="2"/>
  <c r="N379" i="4"/>
  <c r="N255" i="4"/>
  <c r="O254" i="4"/>
  <c r="N266" i="4"/>
  <c r="M267" i="4"/>
  <c r="G350" i="4"/>
  <c r="F351" i="4"/>
  <c r="J303" i="4"/>
  <c r="J309" i="4" s="1"/>
  <c r="D310" i="4" s="1"/>
  <c r="D311" i="4" s="1"/>
  <c r="K302" i="4"/>
  <c r="G339" i="4"/>
  <c r="H338" i="4"/>
  <c r="M278" i="4"/>
  <c r="L279" i="4"/>
  <c r="O243" i="4"/>
  <c r="P242" i="4"/>
  <c r="P243" i="4" s="1"/>
  <c r="I326" i="4"/>
  <c r="H327" i="4"/>
  <c r="E363" i="4"/>
  <c r="E369" i="4" s="1"/>
  <c r="D369" i="4" s="1"/>
  <c r="F362" i="4"/>
  <c r="K291" i="4"/>
  <c r="L290" i="4"/>
  <c r="J314" i="4"/>
  <c r="I315" i="4"/>
  <c r="E375" i="4"/>
  <c r="E381" i="4" s="1"/>
  <c r="D381" i="4" s="1"/>
  <c r="F374" i="4"/>
  <c r="P379" i="4"/>
  <c r="F379" i="4"/>
  <c r="O379" i="4"/>
  <c r="I379" i="4"/>
  <c r="G379" i="4"/>
  <c r="H379" i="4"/>
  <c r="E379" i="4"/>
  <c r="M379" i="4"/>
  <c r="K379" i="4"/>
  <c r="L379" i="4"/>
  <c r="G56" i="4"/>
  <c r="R51" i="4"/>
  <c r="Q80" i="4"/>
  <c r="AB38" i="2"/>
  <c r="H33" i="2"/>
  <c r="G33" i="2"/>
  <c r="N33" i="2"/>
  <c r="Q33" i="2"/>
  <c r="O33" i="2"/>
  <c r="AC38" i="2"/>
  <c r="AA39" i="1"/>
  <c r="Z39" i="1"/>
  <c r="I32" i="1"/>
  <c r="J32" i="1"/>
  <c r="J308" i="5" l="1"/>
  <c r="K308" i="5" s="1"/>
  <c r="L308" i="5" s="1"/>
  <c r="M308" i="5" s="1"/>
  <c r="N308" i="5" s="1"/>
  <c r="O308" i="5" s="1"/>
  <c r="P308" i="5" s="1"/>
  <c r="D312" i="5" s="1"/>
  <c r="E320" i="5" s="1"/>
  <c r="F320" i="5" s="1"/>
  <c r="G320" i="5" s="1"/>
  <c r="H320" i="5" s="1"/>
  <c r="I320" i="5" s="1"/>
  <c r="K307" i="5"/>
  <c r="L314" i="5"/>
  <c r="K315" i="5"/>
  <c r="N290" i="5"/>
  <c r="M291" i="5"/>
  <c r="M295" i="5" s="1"/>
  <c r="I362" i="5"/>
  <c r="H363" i="5"/>
  <c r="H367" i="5" s="1"/>
  <c r="J307" i="5"/>
  <c r="K326" i="5"/>
  <c r="J327" i="5"/>
  <c r="I350" i="5"/>
  <c r="H351" i="5"/>
  <c r="H355" i="5" s="1"/>
  <c r="J321" i="5"/>
  <c r="D322" i="5" s="1"/>
  <c r="D323" i="5" s="1"/>
  <c r="J322" i="5"/>
  <c r="M302" i="5"/>
  <c r="L303" i="5"/>
  <c r="L307" i="5" s="1"/>
  <c r="O278" i="5"/>
  <c r="N279" i="5"/>
  <c r="N283" i="5" s="1"/>
  <c r="P266" i="5"/>
  <c r="P267" i="5" s="1"/>
  <c r="P271" i="5" s="1"/>
  <c r="O267" i="5"/>
  <c r="O271" i="5" s="1"/>
  <c r="J338" i="5"/>
  <c r="I339" i="5"/>
  <c r="I343" i="5" s="1"/>
  <c r="Q45" i="5"/>
  <c r="R44" i="5"/>
  <c r="I33" i="2"/>
  <c r="F375" i="4"/>
  <c r="G374" i="4"/>
  <c r="G362" i="4"/>
  <c r="F363" i="4"/>
  <c r="N278" i="4"/>
  <c r="M279" i="4"/>
  <c r="G351" i="4"/>
  <c r="H350" i="4"/>
  <c r="I338" i="4"/>
  <c r="H339" i="4"/>
  <c r="O266" i="4"/>
  <c r="N267" i="4"/>
  <c r="I327" i="4"/>
  <c r="J326" i="4"/>
  <c r="L291" i="4"/>
  <c r="M290" i="4"/>
  <c r="K303" i="4"/>
  <c r="L302" i="4"/>
  <c r="P254" i="4"/>
  <c r="P255" i="4" s="1"/>
  <c r="O255" i="4"/>
  <c r="J315" i="4"/>
  <c r="J321" i="4" s="1"/>
  <c r="D322" i="4" s="1"/>
  <c r="D323" i="4" s="1"/>
  <c r="K314" i="4"/>
  <c r="H56" i="4"/>
  <c r="R52" i="4"/>
  <c r="Q81" i="4"/>
  <c r="O34" i="2"/>
  <c r="N34" i="2"/>
  <c r="P34" i="2" s="1"/>
  <c r="P33" i="2"/>
  <c r="AA39" i="2"/>
  <c r="Z39" i="2"/>
  <c r="J33" i="2"/>
  <c r="AC39" i="1"/>
  <c r="AB39" i="1"/>
  <c r="H33" i="1"/>
  <c r="G33" i="1"/>
  <c r="J320" i="5" l="1"/>
  <c r="K320" i="5" s="1"/>
  <c r="L320" i="5" s="1"/>
  <c r="M320" i="5" s="1"/>
  <c r="N320" i="5" s="1"/>
  <c r="O320" i="5" s="1"/>
  <c r="P320" i="5" s="1"/>
  <c r="D324" i="5" s="1"/>
  <c r="E332" i="5" s="1"/>
  <c r="F332" i="5" s="1"/>
  <c r="G332" i="5" s="1"/>
  <c r="H332" i="5" s="1"/>
  <c r="I332" i="5" s="1"/>
  <c r="J319" i="5"/>
  <c r="N302" i="5"/>
  <c r="M303" i="5"/>
  <c r="M307" i="5" s="1"/>
  <c r="I351" i="5"/>
  <c r="I355" i="5" s="1"/>
  <c r="J350" i="5"/>
  <c r="O290" i="5"/>
  <c r="N291" i="5"/>
  <c r="N295" i="5" s="1"/>
  <c r="K338" i="5"/>
  <c r="J339" i="5"/>
  <c r="P278" i="5"/>
  <c r="P279" i="5" s="1"/>
  <c r="P283" i="5" s="1"/>
  <c r="O279" i="5"/>
  <c r="O283" i="5" s="1"/>
  <c r="J333" i="5"/>
  <c r="D334" i="5" s="1"/>
  <c r="D335" i="5" s="1"/>
  <c r="J334" i="5"/>
  <c r="K319" i="5"/>
  <c r="K327" i="5"/>
  <c r="L326" i="5"/>
  <c r="J362" i="5"/>
  <c r="I363" i="5"/>
  <c r="I367" i="5" s="1"/>
  <c r="M314" i="5"/>
  <c r="L315" i="5"/>
  <c r="L319" i="5" s="1"/>
  <c r="Q46" i="5"/>
  <c r="R45" i="5"/>
  <c r="M302" i="4"/>
  <c r="L303" i="4"/>
  <c r="P266" i="4"/>
  <c r="P267" i="4" s="1"/>
  <c r="O267" i="4"/>
  <c r="N279" i="4"/>
  <c r="O278" i="4"/>
  <c r="L314" i="4"/>
  <c r="K315" i="4"/>
  <c r="N290" i="4"/>
  <c r="M291" i="4"/>
  <c r="I339" i="4"/>
  <c r="J338" i="4"/>
  <c r="H362" i="4"/>
  <c r="G363" i="4"/>
  <c r="K326" i="4"/>
  <c r="J327" i="4"/>
  <c r="J333" i="4" s="1"/>
  <c r="D334" i="4" s="1"/>
  <c r="D335" i="4" s="1"/>
  <c r="I350" i="4"/>
  <c r="H351" i="4"/>
  <c r="H374" i="4"/>
  <c r="G375" i="4"/>
  <c r="I56" i="4"/>
  <c r="R53" i="4"/>
  <c r="Q82" i="4"/>
  <c r="AB39" i="2"/>
  <c r="H34" i="2"/>
  <c r="G34" i="2"/>
  <c r="I34" i="2" s="1"/>
  <c r="AC39" i="2"/>
  <c r="Q34" i="2"/>
  <c r="AA40" i="1"/>
  <c r="Z40" i="1"/>
  <c r="I33" i="1"/>
  <c r="J33" i="1"/>
  <c r="K331" i="5" l="1"/>
  <c r="L338" i="5"/>
  <c r="K339" i="5"/>
  <c r="P290" i="5"/>
  <c r="P291" i="5" s="1"/>
  <c r="P295" i="5" s="1"/>
  <c r="O291" i="5"/>
  <c r="O295" i="5" s="1"/>
  <c r="O302" i="5"/>
  <c r="N303" i="5"/>
  <c r="N307" i="5" s="1"/>
  <c r="N314" i="5"/>
  <c r="M315" i="5"/>
  <c r="M319" i="5" s="1"/>
  <c r="K362" i="5"/>
  <c r="J363" i="5"/>
  <c r="M326" i="5"/>
  <c r="L327" i="5"/>
  <c r="L331" i="5" s="1"/>
  <c r="J331" i="5"/>
  <c r="J346" i="5"/>
  <c r="J345" i="5"/>
  <c r="D346" i="5" s="1"/>
  <c r="D347" i="5" s="1"/>
  <c r="K350" i="5"/>
  <c r="J351" i="5"/>
  <c r="J332" i="5"/>
  <c r="K332" i="5" s="1"/>
  <c r="L332" i="5" s="1"/>
  <c r="M332" i="5" s="1"/>
  <c r="N332" i="5" s="1"/>
  <c r="O332" i="5" s="1"/>
  <c r="P332" i="5" s="1"/>
  <c r="D336" i="5" s="1"/>
  <c r="E344" i="5" s="1"/>
  <c r="F344" i="5" s="1"/>
  <c r="G344" i="5" s="1"/>
  <c r="H344" i="5" s="1"/>
  <c r="I344" i="5" s="1"/>
  <c r="R46" i="5"/>
  <c r="Q47" i="5"/>
  <c r="K338" i="4"/>
  <c r="J339" i="4"/>
  <c r="J345" i="4" s="1"/>
  <c r="D346" i="4" s="1"/>
  <c r="D347" i="4" s="1"/>
  <c r="P278" i="4"/>
  <c r="P279" i="4" s="1"/>
  <c r="O279" i="4"/>
  <c r="I351" i="4"/>
  <c r="J350" i="4"/>
  <c r="L326" i="4"/>
  <c r="K327" i="4"/>
  <c r="O290" i="4"/>
  <c r="N291" i="4"/>
  <c r="I374" i="4"/>
  <c r="H375" i="4"/>
  <c r="H363" i="4"/>
  <c r="I362" i="4"/>
  <c r="M314" i="4"/>
  <c r="L315" i="4"/>
  <c r="M303" i="4"/>
  <c r="N302" i="4"/>
  <c r="R54" i="4"/>
  <c r="J56" i="4"/>
  <c r="Q83" i="4"/>
  <c r="N35" i="2"/>
  <c r="Q35" i="2" s="1"/>
  <c r="O35" i="2"/>
  <c r="AA40" i="2"/>
  <c r="Z40" i="2"/>
  <c r="J34" i="2"/>
  <c r="AB40" i="1"/>
  <c r="AC40" i="1"/>
  <c r="G34" i="1"/>
  <c r="H34" i="1"/>
  <c r="J344" i="5" l="1"/>
  <c r="K344" i="5" s="1"/>
  <c r="L344" i="5" s="1"/>
  <c r="M344" i="5" s="1"/>
  <c r="N344" i="5" s="1"/>
  <c r="O344" i="5" s="1"/>
  <c r="P344" i="5" s="1"/>
  <c r="D348" i="5" s="1"/>
  <c r="E356" i="5" s="1"/>
  <c r="F356" i="5" s="1"/>
  <c r="G356" i="5" s="1"/>
  <c r="H356" i="5" s="1"/>
  <c r="I356" i="5" s="1"/>
  <c r="N326" i="5"/>
  <c r="M327" i="5"/>
  <c r="M331" i="5" s="1"/>
  <c r="N315" i="5"/>
  <c r="N319" i="5" s="1"/>
  <c r="O314" i="5"/>
  <c r="J343" i="5"/>
  <c r="J369" i="5"/>
  <c r="D370" i="5" s="1"/>
  <c r="D371" i="5" s="1"/>
  <c r="J370" i="5"/>
  <c r="K343" i="5"/>
  <c r="J358" i="5"/>
  <c r="J357" i="5"/>
  <c r="D358" i="5" s="1"/>
  <c r="D359" i="5" s="1"/>
  <c r="L350" i="5"/>
  <c r="K351" i="5"/>
  <c r="L362" i="5"/>
  <c r="K363" i="5"/>
  <c r="P302" i="5"/>
  <c r="P303" i="5" s="1"/>
  <c r="P307" i="5" s="1"/>
  <c r="O303" i="5"/>
  <c r="O307" i="5" s="1"/>
  <c r="L339" i="5"/>
  <c r="L343" i="5" s="1"/>
  <c r="M338" i="5"/>
  <c r="R47" i="5"/>
  <c r="Q48" i="5"/>
  <c r="K350" i="4"/>
  <c r="J351" i="4"/>
  <c r="J357" i="4" s="1"/>
  <c r="D358" i="4" s="1"/>
  <c r="D359" i="4" s="1"/>
  <c r="J374" i="4"/>
  <c r="I375" i="4"/>
  <c r="M315" i="4"/>
  <c r="N314" i="4"/>
  <c r="P290" i="4"/>
  <c r="P291" i="4" s="1"/>
  <c r="O291" i="4"/>
  <c r="J362" i="4"/>
  <c r="I363" i="4"/>
  <c r="O302" i="4"/>
  <c r="N303" i="4"/>
  <c r="M326" i="4"/>
  <c r="L327" i="4"/>
  <c r="K339" i="4"/>
  <c r="L338" i="4"/>
  <c r="K56" i="4"/>
  <c r="R55" i="4"/>
  <c r="Q84" i="4"/>
  <c r="AB40" i="2"/>
  <c r="AC40" i="2"/>
  <c r="O36" i="2"/>
  <c r="N36" i="2"/>
  <c r="J35" i="2"/>
  <c r="H35" i="2"/>
  <c r="G35" i="2"/>
  <c r="P35" i="2"/>
  <c r="Z41" i="1"/>
  <c r="AC41" i="1" s="1"/>
  <c r="AA41" i="1"/>
  <c r="I34" i="1"/>
  <c r="J34" i="1"/>
  <c r="K355" i="5" l="1"/>
  <c r="J355" i="5"/>
  <c r="M350" i="5"/>
  <c r="L351" i="5"/>
  <c r="L355" i="5" s="1"/>
  <c r="O326" i="5"/>
  <c r="N327" i="5"/>
  <c r="N331" i="5" s="1"/>
  <c r="N338" i="5"/>
  <c r="M339" i="5"/>
  <c r="M343" i="5" s="1"/>
  <c r="K367" i="5"/>
  <c r="P314" i="5"/>
  <c r="P315" i="5" s="1"/>
  <c r="P319" i="5" s="1"/>
  <c r="O315" i="5"/>
  <c r="O319" i="5" s="1"/>
  <c r="J356" i="5"/>
  <c r="K356" i="5" s="1"/>
  <c r="L356" i="5" s="1"/>
  <c r="M356" i="5" s="1"/>
  <c r="N356" i="5" s="1"/>
  <c r="O356" i="5" s="1"/>
  <c r="P356" i="5" s="1"/>
  <c r="D360" i="5" s="1"/>
  <c r="E368" i="5" s="1"/>
  <c r="F368" i="5" s="1"/>
  <c r="G368" i="5" s="1"/>
  <c r="H368" i="5" s="1"/>
  <c r="I368" i="5" s="1"/>
  <c r="J368" i="5" s="1"/>
  <c r="K368" i="5" s="1"/>
  <c r="L368" i="5" s="1"/>
  <c r="M368" i="5" s="1"/>
  <c r="N368" i="5" s="1"/>
  <c r="O368" i="5" s="1"/>
  <c r="P368" i="5" s="1"/>
  <c r="D372" i="5" s="1"/>
  <c r="M362" i="5"/>
  <c r="L363" i="5"/>
  <c r="L367" i="5" s="1"/>
  <c r="J367" i="5"/>
  <c r="Q49" i="5"/>
  <c r="R48" i="5"/>
  <c r="P36" i="2"/>
  <c r="O314" i="4"/>
  <c r="N315" i="4"/>
  <c r="J363" i="4"/>
  <c r="J369" i="4" s="1"/>
  <c r="D370" i="4" s="1"/>
  <c r="D371" i="4" s="1"/>
  <c r="K362" i="4"/>
  <c r="J375" i="4"/>
  <c r="J381" i="4" s="1"/>
  <c r="D382" i="4" s="1"/>
  <c r="D383" i="4" s="1"/>
  <c r="K374" i="4"/>
  <c r="O303" i="4"/>
  <c r="P302" i="4"/>
  <c r="P303" i="4" s="1"/>
  <c r="L339" i="4"/>
  <c r="M338" i="4"/>
  <c r="M327" i="4"/>
  <c r="N326" i="4"/>
  <c r="K351" i="4"/>
  <c r="L350" i="4"/>
  <c r="L56" i="4"/>
  <c r="R56" i="4"/>
  <c r="Q85" i="4"/>
  <c r="Q36" i="2"/>
  <c r="G36" i="2"/>
  <c r="H36" i="2"/>
  <c r="I35" i="2"/>
  <c r="Z41" i="2"/>
  <c r="AA41" i="2"/>
  <c r="AA42" i="1"/>
  <c r="Z42" i="1"/>
  <c r="AB41" i="1"/>
  <c r="G35" i="1"/>
  <c r="H35" i="1"/>
  <c r="N362" i="5" l="1"/>
  <c r="M363" i="5"/>
  <c r="M367" i="5" s="1"/>
  <c r="P326" i="5"/>
  <c r="P327" i="5" s="1"/>
  <c r="P331" i="5" s="1"/>
  <c r="O327" i="5"/>
  <c r="O331" i="5" s="1"/>
  <c r="O338" i="5"/>
  <c r="N339" i="5"/>
  <c r="N343" i="5" s="1"/>
  <c r="N350" i="5"/>
  <c r="M351" i="5"/>
  <c r="M355" i="5" s="1"/>
  <c r="R49" i="5"/>
  <c r="Q50" i="5"/>
  <c r="L374" i="4"/>
  <c r="K375" i="4"/>
  <c r="M339" i="4"/>
  <c r="N338" i="4"/>
  <c r="L362" i="4"/>
  <c r="K363" i="4"/>
  <c r="M350" i="4"/>
  <c r="L351" i="4"/>
  <c r="O326" i="4"/>
  <c r="N327" i="4"/>
  <c r="O315" i="4"/>
  <c r="P314" i="4"/>
  <c r="P315" i="4" s="1"/>
  <c r="M56" i="4"/>
  <c r="R57" i="4"/>
  <c r="Q86" i="4"/>
  <c r="AB41" i="2"/>
  <c r="I36" i="2"/>
  <c r="J36" i="2"/>
  <c r="AC41" i="2"/>
  <c r="O37" i="2"/>
  <c r="N37" i="2"/>
  <c r="AB42" i="1"/>
  <c r="AC42" i="1"/>
  <c r="I35" i="1"/>
  <c r="J35" i="1"/>
  <c r="O350" i="5" l="1"/>
  <c r="N351" i="5"/>
  <c r="N355" i="5" s="1"/>
  <c r="P338" i="5"/>
  <c r="P339" i="5" s="1"/>
  <c r="P343" i="5" s="1"/>
  <c r="O339" i="5"/>
  <c r="O343" i="5" s="1"/>
  <c r="O362" i="5"/>
  <c r="N363" i="5"/>
  <c r="N367" i="5" s="1"/>
  <c r="R50" i="5"/>
  <c r="Q51" i="5"/>
  <c r="P37" i="2"/>
  <c r="L363" i="4"/>
  <c r="M362" i="4"/>
  <c r="O327" i="4"/>
  <c r="P326" i="4"/>
  <c r="P327" i="4" s="1"/>
  <c r="O338" i="4"/>
  <c r="N339" i="4"/>
  <c r="N350" i="4"/>
  <c r="M351" i="4"/>
  <c r="M374" i="4"/>
  <c r="L375" i="4"/>
  <c r="N56" i="4"/>
  <c r="R58" i="4"/>
  <c r="Q87" i="4"/>
  <c r="Q37" i="2"/>
  <c r="Z42" i="2"/>
  <c r="AA42" i="2"/>
  <c r="H37" i="2"/>
  <c r="G37" i="2"/>
  <c r="J37" i="2" s="1"/>
  <c r="AA43" i="1"/>
  <c r="Z43" i="1"/>
  <c r="H36" i="1"/>
  <c r="G36" i="1"/>
  <c r="P362" i="5" l="1"/>
  <c r="P363" i="5" s="1"/>
  <c r="P367" i="5" s="1"/>
  <c r="O363" i="5"/>
  <c r="O367" i="5" s="1"/>
  <c r="P350" i="5"/>
  <c r="P351" i="5" s="1"/>
  <c r="P355" i="5" s="1"/>
  <c r="O351" i="5"/>
  <c r="O355" i="5" s="1"/>
  <c r="R51" i="5"/>
  <c r="Q52" i="5"/>
  <c r="N374" i="4"/>
  <c r="M375" i="4"/>
  <c r="O339" i="4"/>
  <c r="P338" i="4"/>
  <c r="P339" i="4" s="1"/>
  <c r="M363" i="4"/>
  <c r="N362" i="4"/>
  <c r="O350" i="4"/>
  <c r="N351" i="4"/>
  <c r="O56" i="4"/>
  <c r="R59" i="4"/>
  <c r="Q88" i="4"/>
  <c r="AB42" i="2"/>
  <c r="H38" i="2"/>
  <c r="G38" i="2"/>
  <c r="I38" i="2" s="1"/>
  <c r="AC42" i="2"/>
  <c r="I37" i="2"/>
  <c r="O38" i="2"/>
  <c r="N38" i="2"/>
  <c r="AB43" i="1"/>
  <c r="AC43" i="1"/>
  <c r="I36" i="1"/>
  <c r="J36" i="1"/>
  <c r="Q53" i="5" l="1"/>
  <c r="R52" i="5"/>
  <c r="P38" i="2"/>
  <c r="Q38" i="2"/>
  <c r="N363" i="4"/>
  <c r="O362" i="4"/>
  <c r="O351" i="4"/>
  <c r="P350" i="4"/>
  <c r="P351" i="4" s="1"/>
  <c r="N375" i="4"/>
  <c r="O374" i="4"/>
  <c r="P56" i="4"/>
  <c r="R60" i="4"/>
  <c r="Q89" i="4"/>
  <c r="O39" i="2"/>
  <c r="N39" i="2"/>
  <c r="AA43" i="2"/>
  <c r="Z43" i="2"/>
  <c r="J38" i="2"/>
  <c r="Z44" i="1"/>
  <c r="AC44" i="1" s="1"/>
  <c r="AA44" i="1"/>
  <c r="H37" i="1"/>
  <c r="G37" i="1"/>
  <c r="J37" i="1" s="1"/>
  <c r="Q54" i="5" l="1"/>
  <c r="R53" i="5"/>
  <c r="P39" i="2"/>
  <c r="P362" i="4"/>
  <c r="P363" i="4" s="1"/>
  <c r="O363" i="4"/>
  <c r="P374" i="4"/>
  <c r="P375" i="4" s="1"/>
  <c r="O375" i="4"/>
  <c r="AB43" i="2"/>
  <c r="D60" i="4"/>
  <c r="E68" i="4" s="1"/>
  <c r="R61" i="4"/>
  <c r="Q90" i="4"/>
  <c r="AC43" i="2"/>
  <c r="H39" i="2"/>
  <c r="G39" i="2"/>
  <c r="I39" i="2" s="1"/>
  <c r="Q39" i="2"/>
  <c r="AB44" i="1"/>
  <c r="Z45" i="1"/>
  <c r="AA45" i="1"/>
  <c r="I37" i="1"/>
  <c r="G38" i="1"/>
  <c r="J38" i="1" s="1"/>
  <c r="H38" i="1"/>
  <c r="R54" i="5" l="1"/>
  <c r="Q55" i="5"/>
  <c r="J39" i="2"/>
  <c r="F68" i="4"/>
  <c r="R62" i="4"/>
  <c r="Q91" i="4"/>
  <c r="H40" i="2"/>
  <c r="G40" i="2"/>
  <c r="J40" i="2" s="1"/>
  <c r="O40" i="2"/>
  <c r="N40" i="2"/>
  <c r="Q40" i="2"/>
  <c r="AA44" i="2"/>
  <c r="Z44" i="2"/>
  <c r="AC45" i="1"/>
  <c r="AB45" i="1"/>
  <c r="G39" i="1"/>
  <c r="J39" i="1" s="1"/>
  <c r="H39" i="1"/>
  <c r="I38" i="1"/>
  <c r="R55" i="5" l="1"/>
  <c r="Q56" i="5"/>
  <c r="P40" i="2"/>
  <c r="G68" i="4"/>
  <c r="R63" i="4"/>
  <c r="Q92" i="4"/>
  <c r="AB44" i="2"/>
  <c r="AC44" i="2"/>
  <c r="Z45" i="2" s="1"/>
  <c r="O41" i="2"/>
  <c r="N41" i="2"/>
  <c r="P41" i="2" s="1"/>
  <c r="H41" i="2"/>
  <c r="G41" i="2"/>
  <c r="I40" i="2"/>
  <c r="Z46" i="1"/>
  <c r="AC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A46" i="1"/>
  <c r="G40" i="1"/>
  <c r="J40" i="1" s="1"/>
  <c r="H40" i="1"/>
  <c r="I39" i="1"/>
  <c r="Q57" i="5" l="1"/>
  <c r="R56" i="5"/>
  <c r="I41" i="2"/>
  <c r="Q41" i="2"/>
  <c r="H68" i="4"/>
  <c r="R64" i="4"/>
  <c r="Q93" i="4"/>
  <c r="AA45" i="2"/>
  <c r="AB45" i="2" s="1"/>
  <c r="J41" i="2"/>
  <c r="AC45" i="2"/>
  <c r="O42" i="2"/>
  <c r="N42" i="2"/>
  <c r="P42" i="2" s="1"/>
  <c r="Q42" i="2"/>
  <c r="Z47" i="1"/>
  <c r="AA47" i="1"/>
  <c r="AB46" i="1"/>
  <c r="G41" i="1"/>
  <c r="J41" i="1" s="1"/>
  <c r="H41" i="1"/>
  <c r="I40" i="1"/>
  <c r="R57" i="5" l="1"/>
  <c r="Q58" i="5"/>
  <c r="I68" i="4"/>
  <c r="R65" i="4"/>
  <c r="Q94" i="4"/>
  <c r="O43" i="2"/>
  <c r="N43" i="2"/>
  <c r="Q43" i="2"/>
  <c r="AA46" i="2"/>
  <c r="Z46" i="2"/>
  <c r="G42" i="2"/>
  <c r="J42" i="2" s="1"/>
  <c r="H42" i="2"/>
  <c r="AC47" i="1"/>
  <c r="AB47" i="1"/>
  <c r="G42" i="1"/>
  <c r="J42" i="1" s="1"/>
  <c r="H42" i="1"/>
  <c r="I41" i="1"/>
  <c r="Q59" i="5" l="1"/>
  <c r="R58" i="5"/>
  <c r="P43" i="2"/>
  <c r="J68" i="4"/>
  <c r="R66" i="4"/>
  <c r="Q95" i="4"/>
  <c r="AB46" i="2"/>
  <c r="G43" i="2"/>
  <c r="J43" i="2" s="1"/>
  <c r="H43" i="2"/>
  <c r="AC46" i="2"/>
  <c r="N44" i="2"/>
  <c r="Q44" i="2" s="1"/>
  <c r="O44" i="2"/>
  <c r="I42" i="2"/>
  <c r="Z48" i="1"/>
  <c r="AC48" i="1" s="1"/>
  <c r="AA48" i="1"/>
  <c r="G43" i="1"/>
  <c r="H43" i="1"/>
  <c r="I42" i="1"/>
  <c r="Q60" i="5" l="1"/>
  <c r="R59" i="5"/>
  <c r="P44" i="2"/>
  <c r="K68" i="4"/>
  <c r="R67" i="4"/>
  <c r="Q96" i="4"/>
  <c r="AA47" i="2"/>
  <c r="Z47" i="2"/>
  <c r="AD47" i="2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J44" i="2"/>
  <c r="H44" i="2"/>
  <c r="G44" i="2"/>
  <c r="N45" i="2"/>
  <c r="Q45" i="2"/>
  <c r="O45" i="2"/>
  <c r="I43" i="2"/>
  <c r="Z49" i="1"/>
  <c r="AA49" i="1"/>
  <c r="AB48" i="1"/>
  <c r="I43" i="1"/>
  <c r="J43" i="1"/>
  <c r="R60" i="5" l="1"/>
  <c r="Q61" i="5"/>
  <c r="L68" i="4"/>
  <c r="R68" i="4"/>
  <c r="Q97" i="4"/>
  <c r="AB47" i="2"/>
  <c r="O46" i="2"/>
  <c r="N46" i="2"/>
  <c r="P46" i="2" s="1"/>
  <c r="H45" i="2"/>
  <c r="G45" i="2"/>
  <c r="J45" i="2" s="1"/>
  <c r="P45" i="2"/>
  <c r="I44" i="2"/>
  <c r="AC47" i="2"/>
  <c r="AB49" i="1"/>
  <c r="AC49" i="1"/>
  <c r="H44" i="1"/>
  <c r="G44" i="1"/>
  <c r="R61" i="5" l="1"/>
  <c r="Q62" i="5"/>
  <c r="M68" i="4"/>
  <c r="R69" i="4"/>
  <c r="Q98" i="4"/>
  <c r="AA48" i="2"/>
  <c r="Z48" i="2"/>
  <c r="Q46" i="2"/>
  <c r="H46" i="2"/>
  <c r="G46" i="2"/>
  <c r="J46" i="2" s="1"/>
  <c r="I45" i="2"/>
  <c r="Z50" i="1"/>
  <c r="AC50" i="1" s="1"/>
  <c r="AA50" i="1"/>
  <c r="I44" i="1"/>
  <c r="J44" i="1"/>
  <c r="G45" i="1" s="1"/>
  <c r="Q63" i="5" l="1"/>
  <c r="R62" i="5"/>
  <c r="N68" i="4"/>
  <c r="R70" i="4"/>
  <c r="Q99" i="4"/>
  <c r="AB48" i="2"/>
  <c r="H47" i="2"/>
  <c r="G47" i="2"/>
  <c r="I47" i="2" s="1"/>
  <c r="O47" i="2"/>
  <c r="N47" i="2"/>
  <c r="P47" i="2" s="1"/>
  <c r="AC48" i="2"/>
  <c r="I46" i="2"/>
  <c r="Z51" i="1"/>
  <c r="AA51" i="1"/>
  <c r="AB50" i="1"/>
  <c r="H45" i="1"/>
  <c r="I45" i="1" s="1"/>
  <c r="J45" i="1"/>
  <c r="G46" i="1" s="1"/>
  <c r="Q64" i="5" l="1"/>
  <c r="R63" i="5"/>
  <c r="O68" i="4"/>
  <c r="R71" i="4"/>
  <c r="Q100" i="4"/>
  <c r="Q47" i="2"/>
  <c r="AA49" i="2"/>
  <c r="Z49" i="2"/>
  <c r="J47" i="2"/>
  <c r="AB51" i="1"/>
  <c r="AC51" i="1"/>
  <c r="H46" i="1"/>
  <c r="I46" i="1" s="1"/>
  <c r="J46" i="1"/>
  <c r="R64" i="5" l="1"/>
  <c r="Q65" i="5"/>
  <c r="P68" i="4"/>
  <c r="R72" i="4"/>
  <c r="Q101" i="4"/>
  <c r="AB49" i="2"/>
  <c r="H48" i="2"/>
  <c r="G48" i="2"/>
  <c r="I48" i="2" s="1"/>
  <c r="AC49" i="2"/>
  <c r="Q48" i="2"/>
  <c r="O48" i="2"/>
  <c r="N48" i="2"/>
  <c r="Z52" i="1"/>
  <c r="AA52" i="1"/>
  <c r="H47" i="1"/>
  <c r="G47" i="1"/>
  <c r="J47" i="1" s="1"/>
  <c r="R65" i="5" l="1"/>
  <c r="Q66" i="5"/>
  <c r="D72" i="4"/>
  <c r="E80" i="4" s="1"/>
  <c r="R73" i="4"/>
  <c r="Q102" i="4"/>
  <c r="AA50" i="2"/>
  <c r="Z50" i="2"/>
  <c r="O49" i="2"/>
  <c r="N49" i="2"/>
  <c r="P48" i="2"/>
  <c r="J48" i="2"/>
  <c r="AB52" i="1"/>
  <c r="AC52" i="1"/>
  <c r="I47" i="1"/>
  <c r="G48" i="1"/>
  <c r="J48" i="1" s="1"/>
  <c r="H48" i="1"/>
  <c r="Q67" i="5" l="1"/>
  <c r="R66" i="5"/>
  <c r="P49" i="2"/>
  <c r="F80" i="4"/>
  <c r="R74" i="4"/>
  <c r="Q103" i="4"/>
  <c r="AB50" i="2"/>
  <c r="Q49" i="2"/>
  <c r="AC50" i="2"/>
  <c r="H49" i="2"/>
  <c r="G49" i="2"/>
  <c r="J49" i="2"/>
  <c r="Z53" i="1"/>
  <c r="AC53" i="1" s="1"/>
  <c r="AA53" i="1"/>
  <c r="G49" i="1"/>
  <c r="J49" i="1" s="1"/>
  <c r="H49" i="1"/>
  <c r="I48" i="1"/>
  <c r="Q68" i="5" l="1"/>
  <c r="R67" i="5"/>
  <c r="I49" i="2"/>
  <c r="G80" i="4"/>
  <c r="R75" i="4"/>
  <c r="Q104" i="4"/>
  <c r="H50" i="2"/>
  <c r="G50" i="2"/>
  <c r="I50" i="2" s="1"/>
  <c r="J50" i="2"/>
  <c r="Z51" i="2"/>
  <c r="AA51" i="2"/>
  <c r="O50" i="2"/>
  <c r="N50" i="2"/>
  <c r="P50" i="2" s="1"/>
  <c r="AA54" i="1"/>
  <c r="Z54" i="1"/>
  <c r="AB53" i="1"/>
  <c r="H50" i="1"/>
  <c r="G50" i="1"/>
  <c r="J50" i="1" s="1"/>
  <c r="I49" i="1"/>
  <c r="Q69" i="5" l="1"/>
  <c r="R68" i="5"/>
  <c r="AB54" i="1"/>
  <c r="H80" i="4"/>
  <c r="R76" i="4"/>
  <c r="Q105" i="4"/>
  <c r="AB51" i="2"/>
  <c r="AC51" i="2"/>
  <c r="Q50" i="2"/>
  <c r="H51" i="2"/>
  <c r="G51" i="2"/>
  <c r="J51" i="2"/>
  <c r="AC54" i="1"/>
  <c r="Z55" i="1" s="1"/>
  <c r="I50" i="1"/>
  <c r="H51" i="1"/>
  <c r="G51" i="1"/>
  <c r="Q70" i="5" l="1"/>
  <c r="R69" i="5"/>
  <c r="I51" i="2"/>
  <c r="I80" i="4"/>
  <c r="R77" i="4"/>
  <c r="Q106" i="4"/>
  <c r="AA55" i="1"/>
  <c r="AB55" i="1" s="1"/>
  <c r="Z52" i="2"/>
  <c r="AA52" i="2"/>
  <c r="G52" i="2"/>
  <c r="J52" i="2" s="1"/>
  <c r="H52" i="2"/>
  <c r="O51" i="2"/>
  <c r="N51" i="2"/>
  <c r="Q51" i="2" s="1"/>
  <c r="AC55" i="1"/>
  <c r="I51" i="1"/>
  <c r="J51" i="1"/>
  <c r="R70" i="5" l="1"/>
  <c r="Q71" i="5"/>
  <c r="J80" i="4"/>
  <c r="R78" i="4"/>
  <c r="Q107" i="4"/>
  <c r="AB52" i="2"/>
  <c r="G53" i="2"/>
  <c r="I53" i="2" s="1"/>
  <c r="H53" i="2"/>
  <c r="I52" i="2"/>
  <c r="O52" i="2"/>
  <c r="N52" i="2"/>
  <c r="Q52" i="2" s="1"/>
  <c r="P51" i="2"/>
  <c r="AC52" i="2"/>
  <c r="Z56" i="1"/>
  <c r="AA56" i="1"/>
  <c r="G52" i="1"/>
  <c r="H52" i="1"/>
  <c r="R71" i="5" l="1"/>
  <c r="Q72" i="5"/>
  <c r="P52" i="2"/>
  <c r="K80" i="4"/>
  <c r="R79" i="4"/>
  <c r="Q108" i="4"/>
  <c r="O53" i="2"/>
  <c r="N53" i="2"/>
  <c r="Q53" i="2"/>
  <c r="AA53" i="2"/>
  <c r="Z53" i="2"/>
  <c r="J53" i="2"/>
  <c r="AB56" i="1"/>
  <c r="AC56" i="1"/>
  <c r="I52" i="1"/>
  <c r="J52" i="1"/>
  <c r="Q73" i="5" l="1"/>
  <c r="R72" i="5"/>
  <c r="AB53" i="2"/>
  <c r="L80" i="4"/>
  <c r="R80" i="4"/>
  <c r="Q109" i="4"/>
  <c r="H54" i="2"/>
  <c r="G54" i="2"/>
  <c r="I54" i="2" s="1"/>
  <c r="AC53" i="2"/>
  <c r="N54" i="2"/>
  <c r="P54" i="2" s="1"/>
  <c r="O54" i="2"/>
  <c r="P53" i="2"/>
  <c r="Z57" i="1"/>
  <c r="AA57" i="1"/>
  <c r="G53" i="1"/>
  <c r="J53" i="1" s="1"/>
  <c r="H53" i="1"/>
  <c r="R73" i="5" l="1"/>
  <c r="Q74" i="5"/>
  <c r="Q54" i="2"/>
  <c r="M80" i="4"/>
  <c r="R81" i="4"/>
  <c r="Q110" i="4"/>
  <c r="N55" i="2"/>
  <c r="Q55" i="2" s="1"/>
  <c r="O55" i="2"/>
  <c r="AA54" i="2"/>
  <c r="Z54" i="2"/>
  <c r="J54" i="2"/>
  <c r="AB57" i="1"/>
  <c r="AC57" i="1"/>
  <c r="G54" i="1"/>
  <c r="J54" i="1" s="1"/>
  <c r="H54" i="1"/>
  <c r="I53" i="1"/>
  <c r="R74" i="5" l="1"/>
  <c r="Q75" i="5"/>
  <c r="N80" i="4"/>
  <c r="R82" i="4"/>
  <c r="Q111" i="4"/>
  <c r="AB54" i="2"/>
  <c r="AC54" i="2"/>
  <c r="O56" i="2"/>
  <c r="N56" i="2"/>
  <c r="P56" i="2" s="1"/>
  <c r="J55" i="2"/>
  <c r="H55" i="2"/>
  <c r="G55" i="2"/>
  <c r="P55" i="2"/>
  <c r="Z58" i="1"/>
  <c r="AC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A58" i="1"/>
  <c r="I54" i="1"/>
  <c r="G55" i="1"/>
  <c r="J55" i="1" s="1"/>
  <c r="H55" i="1"/>
  <c r="R75" i="5" l="1"/>
  <c r="Q76" i="5"/>
  <c r="O80" i="4"/>
  <c r="R83" i="4"/>
  <c r="Q112" i="4"/>
  <c r="H56" i="2"/>
  <c r="G56" i="2"/>
  <c r="Q56" i="2"/>
  <c r="I55" i="2"/>
  <c r="AA55" i="2"/>
  <c r="Z55" i="2"/>
  <c r="Z59" i="1"/>
  <c r="AA59" i="1"/>
  <c r="AB58" i="1"/>
  <c r="G56" i="1"/>
  <c r="J56" i="1" s="1"/>
  <c r="H56" i="1"/>
  <c r="I55" i="1"/>
  <c r="Q77" i="5" l="1"/>
  <c r="R76" i="5"/>
  <c r="I56" i="2"/>
  <c r="P80" i="4"/>
  <c r="R84" i="4"/>
  <c r="Q113" i="4"/>
  <c r="AB55" i="2"/>
  <c r="AC55" i="2"/>
  <c r="AA56" i="2" s="1"/>
  <c r="O57" i="2"/>
  <c r="N57" i="2"/>
  <c r="P57" i="2" s="1"/>
  <c r="J56" i="2"/>
  <c r="AB59" i="1"/>
  <c r="AC59" i="1"/>
  <c r="H57" i="1"/>
  <c r="G57" i="1"/>
  <c r="I56" i="1"/>
  <c r="Q78" i="5" l="1"/>
  <c r="R77" i="5"/>
  <c r="D84" i="4"/>
  <c r="E92" i="4" s="1"/>
  <c r="R85" i="4"/>
  <c r="Q114" i="4"/>
  <c r="Z56" i="2"/>
  <c r="AB56" i="2" s="1"/>
  <c r="Q57" i="2"/>
  <c r="H57" i="2"/>
  <c r="G57" i="2"/>
  <c r="I57" i="2" s="1"/>
  <c r="AA60" i="1"/>
  <c r="Z60" i="1"/>
  <c r="I57" i="1"/>
  <c r="J57" i="1"/>
  <c r="R78" i="5" l="1"/>
  <c r="Q79" i="5"/>
  <c r="AB60" i="1"/>
  <c r="F92" i="4"/>
  <c r="R86" i="4"/>
  <c r="Q115" i="4"/>
  <c r="AC56" i="2"/>
  <c r="AA57" i="2" s="1"/>
  <c r="J57" i="2"/>
  <c r="Q58" i="2"/>
  <c r="O58" i="2"/>
  <c r="N58" i="2"/>
  <c r="AC60" i="1"/>
  <c r="Z61" i="1" s="1"/>
  <c r="H58" i="1"/>
  <c r="G58" i="1"/>
  <c r="R79" i="5" l="1"/>
  <c r="Q80" i="5"/>
  <c r="G92" i="4"/>
  <c r="R87" i="4"/>
  <c r="Q116" i="4"/>
  <c r="Z57" i="2"/>
  <c r="AB57" i="2" s="1"/>
  <c r="O59" i="2"/>
  <c r="N59" i="2"/>
  <c r="P59" i="2" s="1"/>
  <c r="H58" i="2"/>
  <c r="G58" i="2"/>
  <c r="I58" i="2" s="1"/>
  <c r="P58" i="2"/>
  <c r="AA61" i="1"/>
  <c r="AB61" i="1"/>
  <c r="AC61" i="1"/>
  <c r="I58" i="1"/>
  <c r="J58" i="1"/>
  <c r="Q81" i="5" l="1"/>
  <c r="R80" i="5"/>
  <c r="H92" i="4"/>
  <c r="R88" i="4"/>
  <c r="Q117" i="4"/>
  <c r="AC57" i="2"/>
  <c r="AA58" i="2" s="1"/>
  <c r="J58" i="2"/>
  <c r="Q59" i="2"/>
  <c r="Z62" i="1"/>
  <c r="AA62" i="1"/>
  <c r="G59" i="1"/>
  <c r="J59" i="1" s="1"/>
  <c r="H59" i="1"/>
  <c r="R81" i="5" l="1"/>
  <c r="Q82" i="5"/>
  <c r="I92" i="4"/>
  <c r="R89" i="4"/>
  <c r="Q118" i="4"/>
  <c r="AB62" i="1"/>
  <c r="Z58" i="2"/>
  <c r="AB58" i="2" s="1"/>
  <c r="O60" i="2"/>
  <c r="N60" i="2"/>
  <c r="P60" i="2" s="1"/>
  <c r="J59" i="2"/>
  <c r="H59" i="2"/>
  <c r="G59" i="2"/>
  <c r="AC62" i="1"/>
  <c r="Z63" i="1" s="1"/>
  <c r="I59" i="1"/>
  <c r="G60" i="1"/>
  <c r="J60" i="1" s="1"/>
  <c r="H60" i="1"/>
  <c r="Q83" i="5" l="1"/>
  <c r="R82" i="5"/>
  <c r="J92" i="4"/>
  <c r="R90" i="4"/>
  <c r="Q119" i="4"/>
  <c r="AC58" i="2"/>
  <c r="AA59" i="2" s="1"/>
  <c r="H60" i="2"/>
  <c r="G60" i="2"/>
  <c r="I60" i="2" s="1"/>
  <c r="I59" i="2"/>
  <c r="Q60" i="2"/>
  <c r="AA63" i="1"/>
  <c r="AB63" i="1" s="1"/>
  <c r="AC63" i="1"/>
  <c r="G61" i="1"/>
  <c r="J61" i="1" s="1"/>
  <c r="H61" i="1"/>
  <c r="I60" i="1"/>
  <c r="Q84" i="5" l="1"/>
  <c r="R83" i="5"/>
  <c r="K92" i="4"/>
  <c r="R91" i="4"/>
  <c r="Q120" i="4"/>
  <c r="AD59" i="2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Z59" i="2"/>
  <c r="AB59" i="2" s="1"/>
  <c r="O61" i="2"/>
  <c r="N61" i="2"/>
  <c r="P61" i="2" s="1"/>
  <c r="Q61" i="2"/>
  <c r="J60" i="2"/>
  <c r="Z64" i="1"/>
  <c r="AA64" i="1"/>
  <c r="G62" i="1"/>
  <c r="J62" i="1" s="1"/>
  <c r="H62" i="1"/>
  <c r="I61" i="1"/>
  <c r="R84" i="5" l="1"/>
  <c r="Q85" i="5"/>
  <c r="L92" i="4"/>
  <c r="R92" i="4"/>
  <c r="Q121" i="4"/>
  <c r="AC59" i="2"/>
  <c r="AA60" i="2" s="1"/>
  <c r="H61" i="2"/>
  <c r="G61" i="2"/>
  <c r="I61" i="2" s="1"/>
  <c r="O62" i="2"/>
  <c r="N62" i="2"/>
  <c r="P62" i="2" s="1"/>
  <c r="AB64" i="1"/>
  <c r="AC64" i="1"/>
  <c r="H63" i="1"/>
  <c r="G63" i="1"/>
  <c r="I62" i="1"/>
  <c r="R85" i="5" l="1"/>
  <c r="Q86" i="5"/>
  <c r="M92" i="4"/>
  <c r="R93" i="4"/>
  <c r="Q122" i="4"/>
  <c r="Z60" i="2"/>
  <c r="AC60" i="2" s="1"/>
  <c r="AA61" i="2" s="1"/>
  <c r="J61" i="2"/>
  <c r="Q62" i="2"/>
  <c r="Z65" i="1"/>
  <c r="AA65" i="1"/>
  <c r="I63" i="1"/>
  <c r="J63" i="1"/>
  <c r="Q87" i="5" l="1"/>
  <c r="R86" i="5"/>
  <c r="N92" i="4"/>
  <c r="R94" i="4"/>
  <c r="Q123" i="4"/>
  <c r="Z61" i="2"/>
  <c r="AB61" i="2" s="1"/>
  <c r="AB60" i="2"/>
  <c r="O63" i="2"/>
  <c r="N63" i="2"/>
  <c r="Q63" i="2"/>
  <c r="H62" i="2"/>
  <c r="G62" i="2"/>
  <c r="I62" i="2" s="1"/>
  <c r="J62" i="2"/>
  <c r="AB65" i="1"/>
  <c r="AC65" i="1"/>
  <c r="G64" i="1"/>
  <c r="H64" i="1"/>
  <c r="Q88" i="5" l="1"/>
  <c r="R87" i="5"/>
  <c r="P63" i="2"/>
  <c r="O92" i="4"/>
  <c r="R95" i="4"/>
  <c r="Q124" i="4"/>
  <c r="AC61" i="2"/>
  <c r="AA62" i="2" s="1"/>
  <c r="G63" i="2"/>
  <c r="H63" i="2"/>
  <c r="Q64" i="2"/>
  <c r="O64" i="2"/>
  <c r="N64" i="2"/>
  <c r="AA66" i="1"/>
  <c r="Z66" i="1"/>
  <c r="AB66" i="1" s="1"/>
  <c r="I64" i="1"/>
  <c r="J64" i="1"/>
  <c r="R88" i="5" l="1"/>
  <c r="Q89" i="5"/>
  <c r="P92" i="4"/>
  <c r="R96" i="4"/>
  <c r="Q125" i="4"/>
  <c r="Z62" i="2"/>
  <c r="AB62" i="2" s="1"/>
  <c r="O65" i="2"/>
  <c r="N65" i="2"/>
  <c r="P65" i="2" s="1"/>
  <c r="I63" i="2"/>
  <c r="J63" i="2"/>
  <c r="P64" i="2"/>
  <c r="AC66" i="1"/>
  <c r="Z67" i="1" s="1"/>
  <c r="H65" i="1"/>
  <c r="G65" i="1"/>
  <c r="R89" i="5" l="1"/>
  <c r="Q90" i="5"/>
  <c r="D96" i="4"/>
  <c r="E104" i="4" s="1"/>
  <c r="R97" i="4"/>
  <c r="Q126" i="4"/>
  <c r="AC62" i="2"/>
  <c r="AA63" i="2" s="1"/>
  <c r="H64" i="2"/>
  <c r="G64" i="2"/>
  <c r="I64" i="2" s="1"/>
  <c r="Q65" i="2"/>
  <c r="AA67" i="1"/>
  <c r="AB67" i="1" s="1"/>
  <c r="AC67" i="1"/>
  <c r="I65" i="1"/>
  <c r="J65" i="1"/>
  <c r="Q91" i="5" l="1"/>
  <c r="R90" i="5"/>
  <c r="F104" i="4"/>
  <c r="R98" i="4"/>
  <c r="Q127" i="4"/>
  <c r="Z63" i="2"/>
  <c r="AB63" i="2" s="1"/>
  <c r="O66" i="2"/>
  <c r="N66" i="2"/>
  <c r="P66" i="2" s="1"/>
  <c r="J64" i="2"/>
  <c r="Z68" i="1"/>
  <c r="AA68" i="1"/>
  <c r="G66" i="1"/>
  <c r="H66" i="1"/>
  <c r="Q92" i="5" l="1"/>
  <c r="R91" i="5"/>
  <c r="G104" i="4"/>
  <c r="R99" i="4"/>
  <c r="Q128" i="4"/>
  <c r="AC63" i="2"/>
  <c r="AA64" i="2" s="1"/>
  <c r="AB68" i="1"/>
  <c r="G65" i="2"/>
  <c r="H65" i="2"/>
  <c r="Q66" i="2"/>
  <c r="AC68" i="1"/>
  <c r="I66" i="1"/>
  <c r="J66" i="1"/>
  <c r="Q93" i="5" l="1"/>
  <c r="R92" i="5"/>
  <c r="H104" i="4"/>
  <c r="R100" i="4"/>
  <c r="Q129" i="4"/>
  <c r="Z64" i="2"/>
  <c r="AB64" i="2" s="1"/>
  <c r="O67" i="2"/>
  <c r="N67" i="2"/>
  <c r="P67" i="2" s="1"/>
  <c r="I65" i="2"/>
  <c r="J65" i="2"/>
  <c r="Z69" i="1"/>
  <c r="AA69" i="1"/>
  <c r="H67" i="1"/>
  <c r="G67" i="1"/>
  <c r="Q94" i="5" l="1"/>
  <c r="R93" i="5"/>
  <c r="AB69" i="1"/>
  <c r="I104" i="4"/>
  <c r="R101" i="4"/>
  <c r="Q130" i="4"/>
  <c r="AC64" i="2"/>
  <c r="AA65" i="2" s="1"/>
  <c r="H66" i="2"/>
  <c r="G66" i="2"/>
  <c r="I66" i="2" s="1"/>
  <c r="Q67" i="2"/>
  <c r="AC69" i="1"/>
  <c r="I67" i="1"/>
  <c r="J67" i="1"/>
  <c r="H68" i="1" s="1"/>
  <c r="G68" i="1"/>
  <c r="R94" i="5" l="1"/>
  <c r="Q95" i="5"/>
  <c r="J104" i="4"/>
  <c r="R102" i="4"/>
  <c r="Q131" i="4"/>
  <c r="Z65" i="2"/>
  <c r="AC65" i="2" s="1"/>
  <c r="AA66" i="2" s="1"/>
  <c r="J66" i="2"/>
  <c r="O68" i="2"/>
  <c r="N68" i="2"/>
  <c r="P68" i="2" s="1"/>
  <c r="Z70" i="1"/>
  <c r="AA70" i="1"/>
  <c r="J68" i="1"/>
  <c r="H69" i="1" s="1"/>
  <c r="I68" i="1"/>
  <c r="R95" i="5" l="1"/>
  <c r="Q96" i="5"/>
  <c r="K104" i="4"/>
  <c r="R103" i="4"/>
  <c r="Q132" i="4"/>
  <c r="AB65" i="2"/>
  <c r="Z66" i="2"/>
  <c r="AB66" i="2" s="1"/>
  <c r="Q68" i="2"/>
  <c r="G67" i="2"/>
  <c r="H67" i="2"/>
  <c r="AC70" i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B70" i="1"/>
  <c r="G69" i="1"/>
  <c r="I69" i="1" s="1"/>
  <c r="Q97" i="5" l="1"/>
  <c r="R96" i="5"/>
  <c r="I67" i="2"/>
  <c r="L104" i="4"/>
  <c r="R104" i="4"/>
  <c r="Q133" i="4"/>
  <c r="AC66" i="2"/>
  <c r="AA67" i="2" s="1"/>
  <c r="J67" i="2"/>
  <c r="O69" i="2"/>
  <c r="N69" i="2"/>
  <c r="P69" i="2" s="1"/>
  <c r="Z71" i="1"/>
  <c r="AC71" i="1" s="1"/>
  <c r="AA71" i="1"/>
  <c r="J69" i="1"/>
  <c r="H70" i="1" s="1"/>
  <c r="G70" i="1"/>
  <c r="I70" i="1" s="1"/>
  <c r="R97" i="5" l="1"/>
  <c r="Q98" i="5"/>
  <c r="M104" i="4"/>
  <c r="R105" i="4"/>
  <c r="Q134" i="4"/>
  <c r="Z67" i="2"/>
  <c r="AB67" i="2" s="1"/>
  <c r="Q69" i="2"/>
  <c r="H68" i="2"/>
  <c r="G68" i="2"/>
  <c r="J68" i="2" s="1"/>
  <c r="AA72" i="1"/>
  <c r="Z72" i="1"/>
  <c r="AB71" i="1"/>
  <c r="J70" i="1"/>
  <c r="H71" i="1" s="1"/>
  <c r="R98" i="5" l="1"/>
  <c r="Q99" i="5"/>
  <c r="N104" i="4"/>
  <c r="R106" i="4"/>
  <c r="Q135" i="4"/>
  <c r="AC67" i="2"/>
  <c r="AA68" i="2" s="1"/>
  <c r="AB72" i="1"/>
  <c r="H69" i="2"/>
  <c r="G69" i="2"/>
  <c r="I69" i="2" s="1"/>
  <c r="O70" i="2"/>
  <c r="N70" i="2"/>
  <c r="I68" i="2"/>
  <c r="AC72" i="1"/>
  <c r="AA73" i="1" s="1"/>
  <c r="Z73" i="1"/>
  <c r="G71" i="1"/>
  <c r="J71" i="1" s="1"/>
  <c r="H72" i="1"/>
  <c r="G72" i="1"/>
  <c r="R99" i="5" l="1"/>
  <c r="Q100" i="5"/>
  <c r="I71" i="1"/>
  <c r="P70" i="2"/>
  <c r="O104" i="4"/>
  <c r="R107" i="4"/>
  <c r="Q136" i="4"/>
  <c r="Z68" i="2"/>
  <c r="AB68" i="2" s="1"/>
  <c r="AB73" i="1"/>
  <c r="Q70" i="2"/>
  <c r="J69" i="2"/>
  <c r="AC73" i="1"/>
  <c r="Z74" i="1" s="1"/>
  <c r="I72" i="1"/>
  <c r="J72" i="1"/>
  <c r="G73" i="1" s="1"/>
  <c r="Q101" i="5" l="1"/>
  <c r="R100" i="5"/>
  <c r="H73" i="1"/>
  <c r="P104" i="4"/>
  <c r="R108" i="4"/>
  <c r="Q137" i="4"/>
  <c r="AC68" i="2"/>
  <c r="AA69" i="2" s="1"/>
  <c r="H70" i="2"/>
  <c r="G70" i="2"/>
  <c r="I70" i="2" s="1"/>
  <c r="O71" i="2"/>
  <c r="N71" i="2"/>
  <c r="AA74" i="1"/>
  <c r="AB74" i="1" s="1"/>
  <c r="AC74" i="1"/>
  <c r="Z75" i="1" s="1"/>
  <c r="AA75" i="1"/>
  <c r="J73" i="1"/>
  <c r="I73" i="1"/>
  <c r="R101" i="5" l="1"/>
  <c r="Q102" i="5"/>
  <c r="P71" i="2"/>
  <c r="D108" i="4"/>
  <c r="E116" i="4" s="1"/>
  <c r="R109" i="4"/>
  <c r="Q138" i="4"/>
  <c r="Z69" i="2"/>
  <c r="AB69" i="2" s="1"/>
  <c r="J70" i="2"/>
  <c r="Q71" i="2"/>
  <c r="AB75" i="1"/>
  <c r="AC75" i="1"/>
  <c r="Z76" i="1" s="1"/>
  <c r="AC76" i="1" s="1"/>
  <c r="H74" i="1"/>
  <c r="G74" i="1"/>
  <c r="R102" i="5" l="1"/>
  <c r="Q103" i="5"/>
  <c r="F116" i="4"/>
  <c r="R110" i="4"/>
  <c r="Q139" i="4"/>
  <c r="AC69" i="2"/>
  <c r="AA70" i="2" s="1"/>
  <c r="O72" i="2"/>
  <c r="N72" i="2"/>
  <c r="H71" i="2"/>
  <c r="G71" i="2"/>
  <c r="I71" i="2" s="1"/>
  <c r="J71" i="2"/>
  <c r="AA76" i="1"/>
  <c r="AA77" i="1"/>
  <c r="Z77" i="1"/>
  <c r="AB77" i="1" s="1"/>
  <c r="AB76" i="1"/>
  <c r="I74" i="1"/>
  <c r="J74" i="1"/>
  <c r="Q104" i="5" l="1"/>
  <c r="R103" i="5"/>
  <c r="P72" i="2"/>
  <c r="G116" i="4"/>
  <c r="R111" i="4"/>
  <c r="Q140" i="4"/>
  <c r="Z70" i="2"/>
  <c r="AB70" i="2" s="1"/>
  <c r="G72" i="2"/>
  <c r="H72" i="2"/>
  <c r="J72" i="2"/>
  <c r="Q72" i="2"/>
  <c r="AC77" i="1"/>
  <c r="Q105" i="5" l="1"/>
  <c r="R104" i="5"/>
  <c r="H116" i="4"/>
  <c r="R112" i="4"/>
  <c r="Q141" i="4"/>
  <c r="AC70" i="2"/>
  <c r="Z71" i="2" s="1"/>
  <c r="N73" i="2"/>
  <c r="Q73" i="2" s="1"/>
  <c r="O73" i="2"/>
  <c r="G73" i="2"/>
  <c r="J73" i="2" s="1"/>
  <c r="H73" i="2"/>
  <c r="I72" i="2"/>
  <c r="AA78" i="1"/>
  <c r="Z78" i="1"/>
  <c r="Q106" i="5" l="1"/>
  <c r="R105" i="5"/>
  <c r="AB78" i="1"/>
  <c r="I116" i="4"/>
  <c r="R113" i="4"/>
  <c r="Q142" i="4"/>
  <c r="AC71" i="2"/>
  <c r="AA72" i="2" s="1"/>
  <c r="AA71" i="2"/>
  <c r="AB71" i="2" s="1"/>
  <c r="AD71" i="2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G74" i="2"/>
  <c r="H74" i="2"/>
  <c r="N74" i="2"/>
  <c r="Q74" i="2"/>
  <c r="O74" i="2"/>
  <c r="I73" i="2"/>
  <c r="P73" i="2"/>
  <c r="AC78" i="1"/>
  <c r="Q107" i="5" l="1"/>
  <c r="R106" i="5"/>
  <c r="P74" i="2"/>
  <c r="J116" i="4"/>
  <c r="R114" i="4"/>
  <c r="Q143" i="4"/>
  <c r="Z72" i="2"/>
  <c r="AB72" i="2" s="1"/>
  <c r="O75" i="2"/>
  <c r="N75" i="2"/>
  <c r="P75" i="2" s="1"/>
  <c r="I74" i="2"/>
  <c r="J74" i="2"/>
  <c r="Z79" i="1"/>
  <c r="AA79" i="1"/>
  <c r="R107" i="5" l="1"/>
  <c r="Q108" i="5"/>
  <c r="K116" i="4"/>
  <c r="R115" i="4"/>
  <c r="Q144" i="4"/>
  <c r="AC72" i="2"/>
  <c r="AA73" i="2" s="1"/>
  <c r="AB79" i="1"/>
  <c r="Q75" i="2"/>
  <c r="AC79" i="1"/>
  <c r="Q109" i="5" l="1"/>
  <c r="R108" i="5"/>
  <c r="L116" i="4"/>
  <c r="R116" i="4"/>
  <c r="Q145" i="4"/>
  <c r="Z73" i="2"/>
  <c r="AC73" i="2" s="1"/>
  <c r="AA74" i="2" s="1"/>
  <c r="O76" i="2"/>
  <c r="N76" i="2"/>
  <c r="P76" i="2" s="1"/>
  <c r="Z80" i="1"/>
  <c r="AA80" i="1"/>
  <c r="Q110" i="5" l="1"/>
  <c r="R109" i="5"/>
  <c r="M116" i="4"/>
  <c r="R117" i="4"/>
  <c r="Q146" i="4"/>
  <c r="AB73" i="2"/>
  <c r="Z74" i="2"/>
  <c r="AB74" i="2" s="1"/>
  <c r="Q76" i="2"/>
  <c r="AB80" i="1"/>
  <c r="AC80" i="1"/>
  <c r="AA81" i="1" s="1"/>
  <c r="Q111" i="5" l="1"/>
  <c r="R110" i="5"/>
  <c r="N116" i="4"/>
  <c r="R118" i="4"/>
  <c r="Q147" i="4"/>
  <c r="AC74" i="2"/>
  <c r="AA75" i="2" s="1"/>
  <c r="Z81" i="1"/>
  <c r="AC81" i="1" s="1"/>
  <c r="O77" i="2"/>
  <c r="N77" i="2"/>
  <c r="P77" i="2" s="1"/>
  <c r="Q77" i="2"/>
  <c r="AB81" i="1"/>
  <c r="R111" i="5" l="1"/>
  <c r="Q112" i="5"/>
  <c r="O116" i="4"/>
  <c r="R119" i="4"/>
  <c r="Q148" i="4"/>
  <c r="Z75" i="2"/>
  <c r="AB75" i="2" s="1"/>
  <c r="N78" i="2"/>
  <c r="Q78" i="2" s="1"/>
  <c r="O78" i="2"/>
  <c r="Z82" i="1"/>
  <c r="AC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A82" i="1"/>
  <c r="R112" i="5" l="1"/>
  <c r="Q113" i="5"/>
  <c r="P116" i="4"/>
  <c r="R120" i="4"/>
  <c r="Q149" i="4"/>
  <c r="AC75" i="2"/>
  <c r="AA76" i="2" s="1"/>
  <c r="O79" i="2"/>
  <c r="N79" i="2"/>
  <c r="P79" i="2" s="1"/>
  <c r="P78" i="2"/>
  <c r="Z83" i="1"/>
  <c r="AA83" i="1"/>
  <c r="AB82" i="1"/>
  <c r="Q114" i="5" l="1"/>
  <c r="R113" i="5"/>
  <c r="Z76" i="2"/>
  <c r="AB76" i="2" s="1"/>
  <c r="D120" i="4"/>
  <c r="E128" i="4" s="1"/>
  <c r="R121" i="4"/>
  <c r="Q150" i="4"/>
  <c r="Q79" i="2"/>
  <c r="AB83" i="1"/>
  <c r="AC83" i="1"/>
  <c r="Q115" i="5" l="1"/>
  <c r="R114" i="5"/>
  <c r="AC76" i="2"/>
  <c r="F128" i="4"/>
  <c r="R122" i="4"/>
  <c r="Q151" i="4"/>
  <c r="Z77" i="2"/>
  <c r="AA77" i="2"/>
  <c r="O80" i="2"/>
  <c r="N80" i="2"/>
  <c r="P80" i="2" s="1"/>
  <c r="AA84" i="1"/>
  <c r="Z84" i="1"/>
  <c r="R115" i="5" l="1"/>
  <c r="Q116" i="5"/>
  <c r="Q80" i="2"/>
  <c r="G128" i="4"/>
  <c r="R123" i="4"/>
  <c r="Q152" i="4"/>
  <c r="AB84" i="1"/>
  <c r="AB77" i="2"/>
  <c r="AC77" i="2"/>
  <c r="O81" i="2"/>
  <c r="N81" i="2"/>
  <c r="Q81" i="2"/>
  <c r="AC84" i="1"/>
  <c r="Z85" i="1" s="1"/>
  <c r="AC85" i="1" s="1"/>
  <c r="Q117" i="5" l="1"/>
  <c r="R116" i="5"/>
  <c r="P81" i="2"/>
  <c r="H128" i="4"/>
  <c r="R124" i="4"/>
  <c r="Q153" i="4"/>
  <c r="AA78" i="2"/>
  <c r="Z78" i="2"/>
  <c r="O82" i="2"/>
  <c r="N82" i="2"/>
  <c r="P82" i="2" s="1"/>
  <c r="AA85" i="1"/>
  <c r="AB85" i="1" s="1"/>
  <c r="AA86" i="1"/>
  <c r="Z86" i="1"/>
  <c r="R117" i="5" l="1"/>
  <c r="Q118" i="5"/>
  <c r="I128" i="4"/>
  <c r="R125" i="4"/>
  <c r="Q154" i="4"/>
  <c r="AB86" i="1"/>
  <c r="AB78" i="2"/>
  <c r="AC78" i="2"/>
  <c r="Q82" i="2"/>
  <c r="AC86" i="1"/>
  <c r="R118" i="5" l="1"/>
  <c r="Q119" i="5"/>
  <c r="J128" i="4"/>
  <c r="R126" i="4"/>
  <c r="Q155" i="4"/>
  <c r="AA79" i="2"/>
  <c r="Z79" i="2"/>
  <c r="O83" i="2"/>
  <c r="N83" i="2"/>
  <c r="P83" i="2" s="1"/>
  <c r="AA87" i="1"/>
  <c r="Z87" i="1"/>
  <c r="AB87" i="1" s="1"/>
  <c r="Q120" i="5" l="1"/>
  <c r="R119" i="5"/>
  <c r="K128" i="4"/>
  <c r="R127" i="4"/>
  <c r="Q156" i="4"/>
  <c r="AB79" i="2"/>
  <c r="AC79" i="2"/>
  <c r="Q83" i="2"/>
  <c r="AC87" i="1"/>
  <c r="Q121" i="5" l="1"/>
  <c r="R120" i="5"/>
  <c r="L128" i="4"/>
  <c r="R128" i="4"/>
  <c r="Q157" i="4"/>
  <c r="AA80" i="2"/>
  <c r="Z80" i="2"/>
  <c r="O84" i="2"/>
  <c r="N84" i="2"/>
  <c r="P84" i="2" s="1"/>
  <c r="AA88" i="1"/>
  <c r="Z88" i="1"/>
  <c r="R121" i="5" l="1"/>
  <c r="Q122" i="5"/>
  <c r="M128" i="4"/>
  <c r="R129" i="4"/>
  <c r="Q158" i="4"/>
  <c r="AB80" i="2"/>
  <c r="AC80" i="2"/>
  <c r="Q84" i="2"/>
  <c r="AC88" i="1"/>
  <c r="AB88" i="1"/>
  <c r="R122" i="5" l="1"/>
  <c r="Q123" i="5"/>
  <c r="N128" i="4"/>
  <c r="R130" i="4"/>
  <c r="Q159" i="4"/>
  <c r="AA81" i="2"/>
  <c r="Z81" i="2"/>
  <c r="AB81" i="2" s="1"/>
  <c r="N85" i="2"/>
  <c r="Q85" i="2"/>
  <c r="O85" i="2"/>
  <c r="Z89" i="1"/>
  <c r="AB89" i="1" s="1"/>
  <c r="AA89" i="1"/>
  <c r="Q124" i="5" l="1"/>
  <c r="R123" i="5"/>
  <c r="O128" i="4"/>
  <c r="R131" i="4"/>
  <c r="Q160" i="4"/>
  <c r="AC81" i="2"/>
  <c r="O86" i="2"/>
  <c r="N86" i="2"/>
  <c r="P86" i="2" s="1"/>
  <c r="P85" i="2"/>
  <c r="AC89" i="1"/>
  <c r="Q125" i="5" l="1"/>
  <c r="R124" i="5"/>
  <c r="P128" i="4"/>
  <c r="R132" i="4"/>
  <c r="Q161" i="4"/>
  <c r="AA82" i="2"/>
  <c r="Z82" i="2"/>
  <c r="Q86" i="2"/>
  <c r="AA90" i="1"/>
  <c r="Z90" i="1"/>
  <c r="AB90" i="1" s="1"/>
  <c r="R125" i="5" l="1"/>
  <c r="Q126" i="5"/>
  <c r="D132" i="4"/>
  <c r="E140" i="4" s="1"/>
  <c r="R133" i="4"/>
  <c r="Q162" i="4"/>
  <c r="AB82" i="2"/>
  <c r="AC82" i="2"/>
  <c r="N87" i="2"/>
  <c r="O87" i="2"/>
  <c r="AC90" i="1"/>
  <c r="R126" i="5" l="1"/>
  <c r="Q127" i="5"/>
  <c r="F140" i="4"/>
  <c r="R134" i="4"/>
  <c r="Q163" i="4"/>
  <c r="Z83" i="2"/>
  <c r="AC83" i="2" s="1"/>
  <c r="AD83" i="2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A83" i="2"/>
  <c r="P87" i="2"/>
  <c r="Q87" i="2"/>
  <c r="Z91" i="1"/>
  <c r="AC91" i="1" s="1"/>
  <c r="AA91" i="1"/>
  <c r="Q128" i="5" l="1"/>
  <c r="R127" i="5"/>
  <c r="G140" i="4"/>
  <c r="R135" i="4"/>
  <c r="Q164" i="4"/>
  <c r="AA84" i="2"/>
  <c r="Z84" i="2"/>
  <c r="AB83" i="2"/>
  <c r="O88" i="2"/>
  <c r="N88" i="2"/>
  <c r="P88" i="2" s="1"/>
  <c r="Z92" i="1"/>
  <c r="AB92" i="1" s="1"/>
  <c r="AA92" i="1"/>
  <c r="AB91" i="1"/>
  <c r="Q129" i="5" l="1"/>
  <c r="R128" i="5"/>
  <c r="H140" i="4"/>
  <c r="R136" i="4"/>
  <c r="Q165" i="4"/>
  <c r="AB84" i="2"/>
  <c r="AC84" i="2"/>
  <c r="Q88" i="2"/>
  <c r="AC92" i="1"/>
  <c r="Q130" i="5" l="1"/>
  <c r="R129" i="5"/>
  <c r="I140" i="4"/>
  <c r="R137" i="4"/>
  <c r="Q166" i="4"/>
  <c r="AA85" i="2"/>
  <c r="Z85" i="2"/>
  <c r="N89" i="2"/>
  <c r="Q89" i="2" s="1"/>
  <c r="O89" i="2"/>
  <c r="Z93" i="1"/>
  <c r="AA93" i="1"/>
  <c r="Q131" i="5" l="1"/>
  <c r="R130" i="5"/>
  <c r="J140" i="4"/>
  <c r="R138" i="4"/>
  <c r="Q167" i="4"/>
  <c r="AB85" i="2"/>
  <c r="AC85" i="2"/>
  <c r="Z86" i="2" s="1"/>
  <c r="O90" i="2"/>
  <c r="N90" i="2"/>
  <c r="P89" i="2"/>
  <c r="AB93" i="1"/>
  <c r="AC93" i="1"/>
  <c r="R131" i="5" l="1"/>
  <c r="Q132" i="5"/>
  <c r="P90" i="2"/>
  <c r="K140" i="4"/>
  <c r="R139" i="4"/>
  <c r="Q168" i="4"/>
  <c r="AA86" i="2"/>
  <c r="AB86" i="2" s="1"/>
  <c r="AC86" i="2"/>
  <c r="Q90" i="2"/>
  <c r="Z94" i="1"/>
  <c r="AC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A94" i="1"/>
  <c r="Q133" i="5" l="1"/>
  <c r="R132" i="5"/>
  <c r="L140" i="4"/>
  <c r="R140" i="4"/>
  <c r="Q169" i="4"/>
  <c r="AA87" i="2"/>
  <c r="Z87" i="2"/>
  <c r="N91" i="2"/>
  <c r="O91" i="2"/>
  <c r="AB94" i="1"/>
  <c r="AA95" i="1"/>
  <c r="Z95" i="1"/>
  <c r="Q134" i="5" l="1"/>
  <c r="R133" i="5"/>
  <c r="M140" i="4"/>
  <c r="R141" i="4"/>
  <c r="Q170" i="4"/>
  <c r="AB87" i="2"/>
  <c r="AB95" i="1"/>
  <c r="AC87" i="2"/>
  <c r="P91" i="2"/>
  <c r="Q91" i="2"/>
  <c r="AC95" i="1"/>
  <c r="Q135" i="5" l="1"/>
  <c r="R134" i="5"/>
  <c r="N140" i="4"/>
  <c r="R142" i="4"/>
  <c r="Q171" i="4"/>
  <c r="Z88" i="2"/>
  <c r="AA88" i="2"/>
  <c r="O92" i="2"/>
  <c r="N92" i="2"/>
  <c r="P92" i="2" s="1"/>
  <c r="AA96" i="1"/>
  <c r="Z96" i="1"/>
  <c r="R135" i="5" l="1"/>
  <c r="Q136" i="5"/>
  <c r="O140" i="4"/>
  <c r="R143" i="4"/>
  <c r="Q172" i="4"/>
  <c r="AB88" i="2"/>
  <c r="AC88" i="2"/>
  <c r="Q92" i="2"/>
  <c r="AB96" i="1"/>
  <c r="AC96" i="1"/>
  <c r="R136" i="5" l="1"/>
  <c r="Q137" i="5"/>
  <c r="P140" i="4"/>
  <c r="R144" i="4"/>
  <c r="Q173" i="4"/>
  <c r="AA89" i="2"/>
  <c r="Z89" i="2"/>
  <c r="O93" i="2"/>
  <c r="N93" i="2"/>
  <c r="P93" i="2" s="1"/>
  <c r="Q93" i="2"/>
  <c r="Z97" i="1"/>
  <c r="AB97" i="1" s="1"/>
  <c r="AA97" i="1"/>
  <c r="Q138" i="5" l="1"/>
  <c r="R137" i="5"/>
  <c r="D144" i="4"/>
  <c r="E152" i="4" s="1"/>
  <c r="R145" i="4"/>
  <c r="Q174" i="4"/>
  <c r="AB89" i="2"/>
  <c r="AC89" i="2"/>
  <c r="N94" i="2"/>
  <c r="O94" i="2"/>
  <c r="AC97" i="1"/>
  <c r="Q139" i="5" l="1"/>
  <c r="R138" i="5"/>
  <c r="P94" i="2"/>
  <c r="F152" i="4"/>
  <c r="R146" i="4"/>
  <c r="Q175" i="4"/>
  <c r="AA90" i="2"/>
  <c r="Z90" i="2"/>
  <c r="Q94" i="2"/>
  <c r="Z98" i="1"/>
  <c r="AC98" i="1" s="1"/>
  <c r="AA98" i="1"/>
  <c r="R139" i="5" l="1"/>
  <c r="Q140" i="5"/>
  <c r="G152" i="4"/>
  <c r="R147" i="4"/>
  <c r="Q176" i="4"/>
  <c r="AB90" i="2"/>
  <c r="AC90" i="2"/>
  <c r="O95" i="2"/>
  <c r="N95" i="2"/>
  <c r="Q95" i="2" s="1"/>
  <c r="AA99" i="1"/>
  <c r="Z99" i="1"/>
  <c r="AB98" i="1"/>
  <c r="Q141" i="5" l="1"/>
  <c r="R140" i="5"/>
  <c r="H152" i="4"/>
  <c r="R148" i="4"/>
  <c r="Q177" i="4"/>
  <c r="AA91" i="2"/>
  <c r="Z91" i="2"/>
  <c r="O96" i="2"/>
  <c r="N96" i="2"/>
  <c r="P96" i="2" s="1"/>
  <c r="Q96" i="2"/>
  <c r="P95" i="2"/>
  <c r="AB99" i="1"/>
  <c r="AC99" i="1"/>
  <c r="R141" i="5" l="1"/>
  <c r="Q142" i="5"/>
  <c r="I152" i="4"/>
  <c r="R149" i="4"/>
  <c r="Q178" i="4"/>
  <c r="AB91" i="2"/>
  <c r="AC91" i="2"/>
  <c r="N97" i="2"/>
  <c r="Q97" i="2"/>
  <c r="O97" i="2"/>
  <c r="AA100" i="1"/>
  <c r="Z100" i="1"/>
  <c r="R142" i="5" l="1"/>
  <c r="Q143" i="5"/>
  <c r="J152" i="4"/>
  <c r="R150" i="4"/>
  <c r="Q179" i="4"/>
  <c r="AB100" i="1"/>
  <c r="AA92" i="2"/>
  <c r="Z92" i="2"/>
  <c r="AB92" i="2" s="1"/>
  <c r="N98" i="2"/>
  <c r="O98" i="2"/>
  <c r="P97" i="2"/>
  <c r="AC100" i="1"/>
  <c r="Q144" i="5" l="1"/>
  <c r="R143" i="5"/>
  <c r="K152" i="4"/>
  <c r="R151" i="4"/>
  <c r="Q180" i="4"/>
  <c r="AC92" i="2"/>
  <c r="P98" i="2"/>
  <c r="Q98" i="2"/>
  <c r="Z101" i="1"/>
  <c r="AC101" i="1" s="1"/>
  <c r="AA101" i="1"/>
  <c r="Q145" i="5" l="1"/>
  <c r="R144" i="5"/>
  <c r="L152" i="4"/>
  <c r="R152" i="4"/>
  <c r="Q181" i="4"/>
  <c r="AA93" i="2"/>
  <c r="Z93" i="2"/>
  <c r="O99" i="2"/>
  <c r="N99" i="2"/>
  <c r="P99" i="2" s="1"/>
  <c r="AA102" i="1"/>
  <c r="Z102" i="1"/>
  <c r="AB102" i="1" s="1"/>
  <c r="AB101" i="1"/>
  <c r="R145" i="5" l="1"/>
  <c r="Q146" i="5"/>
  <c r="M152" i="4"/>
  <c r="R153" i="4"/>
  <c r="Q182" i="4"/>
  <c r="AB93" i="2"/>
  <c r="AC93" i="2"/>
  <c r="Z94" i="2" s="1"/>
  <c r="Q99" i="2"/>
  <c r="AC102" i="1"/>
  <c r="R146" i="5" l="1"/>
  <c r="Q147" i="5"/>
  <c r="N152" i="4"/>
  <c r="R154" i="4"/>
  <c r="Q183" i="4"/>
  <c r="AA94" i="2"/>
  <c r="AB94" i="2" s="1"/>
  <c r="AC94" i="2"/>
  <c r="O100" i="2"/>
  <c r="N100" i="2"/>
  <c r="P100" i="2" s="1"/>
  <c r="Q100" i="2"/>
  <c r="Z103" i="1"/>
  <c r="AB103" i="1" s="1"/>
  <c r="AA103" i="1"/>
  <c r="Q148" i="5" l="1"/>
  <c r="R147" i="5"/>
  <c r="O152" i="4"/>
  <c r="R155" i="4"/>
  <c r="Q184" i="4"/>
  <c r="AA95" i="2"/>
  <c r="Z95" i="2"/>
  <c r="AD95" i="2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N101" i="2"/>
  <c r="Q101" i="2" s="1"/>
  <c r="O101" i="2"/>
  <c r="AC103" i="1"/>
  <c r="Q149" i="5" l="1"/>
  <c r="R148" i="5"/>
  <c r="P152" i="4"/>
  <c r="R156" i="4"/>
  <c r="Q185" i="4"/>
  <c r="AB95" i="2"/>
  <c r="AC95" i="2"/>
  <c r="N102" i="2"/>
  <c r="O102" i="2"/>
  <c r="P101" i="2"/>
  <c r="Z104" i="1"/>
  <c r="AC104" i="1" s="1"/>
  <c r="AA104" i="1"/>
  <c r="R149" i="5" l="1"/>
  <c r="Q150" i="5"/>
  <c r="D156" i="4"/>
  <c r="E164" i="4" s="1"/>
  <c r="R157" i="4"/>
  <c r="Q186" i="4"/>
  <c r="AA96" i="2"/>
  <c r="Z96" i="2"/>
  <c r="AB96" i="2" s="1"/>
  <c r="P102" i="2"/>
  <c r="Q102" i="2"/>
  <c r="AA105" i="1"/>
  <c r="Z105" i="1"/>
  <c r="AB105" i="1" s="1"/>
  <c r="AB104" i="1"/>
  <c r="R150" i="5" l="1"/>
  <c r="Q151" i="5"/>
  <c r="F164" i="4"/>
  <c r="R158" i="4"/>
  <c r="Q187" i="4"/>
  <c r="AC96" i="2"/>
  <c r="N103" i="2"/>
  <c r="Q103" i="2" s="1"/>
  <c r="O103" i="2"/>
  <c r="AC105" i="1"/>
  <c r="Q152" i="5" l="1"/>
  <c r="R151" i="5"/>
  <c r="G164" i="4"/>
  <c r="R159" i="4"/>
  <c r="Q188" i="4"/>
  <c r="Z97" i="2"/>
  <c r="AA97" i="2"/>
  <c r="O104" i="2"/>
  <c r="N104" i="2"/>
  <c r="P104" i="2" s="1"/>
  <c r="P103" i="2"/>
  <c r="Z106" i="1"/>
  <c r="AC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A106" i="1"/>
  <c r="Q153" i="5" l="1"/>
  <c r="R152" i="5"/>
  <c r="H164" i="4"/>
  <c r="R160" i="4"/>
  <c r="Q189" i="4"/>
  <c r="AB97" i="2"/>
  <c r="AC97" i="2"/>
  <c r="Q104" i="2"/>
  <c r="Z107" i="1"/>
  <c r="AC107" i="1" s="1"/>
  <c r="AA107" i="1"/>
  <c r="AB106" i="1"/>
  <c r="Q154" i="5" l="1"/>
  <c r="R153" i="5"/>
  <c r="I164" i="4"/>
  <c r="R161" i="4"/>
  <c r="Q190" i="4"/>
  <c r="Z98" i="2"/>
  <c r="AC98" i="2" s="1"/>
  <c r="AA98" i="2"/>
  <c r="N105" i="2"/>
  <c r="O105" i="2"/>
  <c r="Z108" i="1"/>
  <c r="AC108" i="1" s="1"/>
  <c r="AA108" i="1"/>
  <c r="AB107" i="1"/>
  <c r="Q155" i="5" l="1"/>
  <c r="R154" i="5"/>
  <c r="J164" i="4"/>
  <c r="R162" i="4"/>
  <c r="Q191" i="4"/>
  <c r="Z99" i="2"/>
  <c r="AA99" i="2"/>
  <c r="AB98" i="2"/>
  <c r="P105" i="2"/>
  <c r="Q105" i="2"/>
  <c r="Z109" i="1"/>
  <c r="AA109" i="1"/>
  <c r="AB108" i="1"/>
  <c r="R155" i="5" l="1"/>
  <c r="Q156" i="5"/>
  <c r="K164" i="4"/>
  <c r="R163" i="4"/>
  <c r="Q192" i="4"/>
  <c r="AB99" i="2"/>
  <c r="AC99" i="2"/>
  <c r="O106" i="2"/>
  <c r="N106" i="2"/>
  <c r="P106" i="2" s="1"/>
  <c r="AB109" i="1"/>
  <c r="AC109" i="1"/>
  <c r="Z110" i="1" s="1"/>
  <c r="Q157" i="5" l="1"/>
  <c r="R156" i="5"/>
  <c r="L164" i="4"/>
  <c r="R164" i="4"/>
  <c r="Q193" i="4"/>
  <c r="AA110" i="1"/>
  <c r="AB110" i="1" s="1"/>
  <c r="AA100" i="2"/>
  <c r="Z100" i="2"/>
  <c r="Q106" i="2"/>
  <c r="AC110" i="1"/>
  <c r="Q158" i="5" l="1"/>
  <c r="R157" i="5"/>
  <c r="M164" i="4"/>
  <c r="R165" i="4"/>
  <c r="Q194" i="4"/>
  <c r="AB100" i="2"/>
  <c r="AC100" i="2"/>
  <c r="N107" i="2"/>
  <c r="O107" i="2"/>
  <c r="Z111" i="1"/>
  <c r="AC111" i="1" s="1"/>
  <c r="AA111" i="1"/>
  <c r="Q159" i="5" l="1"/>
  <c r="R158" i="5"/>
  <c r="P107" i="2"/>
  <c r="N164" i="4"/>
  <c r="R166" i="4"/>
  <c r="Q195" i="4"/>
  <c r="Z101" i="2"/>
  <c r="AA101" i="2"/>
  <c r="Q107" i="2"/>
  <c r="AA112" i="1"/>
  <c r="Z112" i="1"/>
  <c r="AC112" i="1" s="1"/>
  <c r="AB111" i="1"/>
  <c r="R159" i="5" l="1"/>
  <c r="Q160" i="5"/>
  <c r="O164" i="4"/>
  <c r="R167" i="4"/>
  <c r="Q196" i="4"/>
  <c r="AB101" i="2"/>
  <c r="AC101" i="2"/>
  <c r="O108" i="2"/>
  <c r="N108" i="2"/>
  <c r="P108" i="2" s="1"/>
  <c r="Q108" i="2"/>
  <c r="AB112" i="1"/>
  <c r="Z113" i="1"/>
  <c r="AA113" i="1"/>
  <c r="R160" i="5" l="1"/>
  <c r="Q161" i="5"/>
  <c r="P164" i="4"/>
  <c r="R168" i="4"/>
  <c r="Q197" i="4"/>
  <c r="AA102" i="2"/>
  <c r="Z102" i="2"/>
  <c r="O109" i="2"/>
  <c r="N109" i="2"/>
  <c r="P109" i="2" s="1"/>
  <c r="Q109" i="2"/>
  <c r="AB113" i="1"/>
  <c r="AC113" i="1"/>
  <c r="Z114" i="1" s="1"/>
  <c r="AC114" i="1" s="1"/>
  <c r="Q162" i="5" l="1"/>
  <c r="R161" i="5"/>
  <c r="D168" i="4"/>
  <c r="E176" i="4" s="1"/>
  <c r="R169" i="4"/>
  <c r="Q198" i="4"/>
  <c r="AB102" i="2"/>
  <c r="AA114" i="1"/>
  <c r="AC102" i="2"/>
  <c r="N110" i="2"/>
  <c r="Q110" i="2" s="1"/>
  <c r="O110" i="2"/>
  <c r="AA115" i="1"/>
  <c r="Z115" i="1"/>
  <c r="AB114" i="1"/>
  <c r="Q163" i="5" l="1"/>
  <c r="R162" i="5"/>
  <c r="F176" i="4"/>
  <c r="R170" i="4"/>
  <c r="Q199" i="4"/>
  <c r="AB115" i="1"/>
  <c r="AA103" i="2"/>
  <c r="Z103" i="2"/>
  <c r="AC103" i="2" s="1"/>
  <c r="O111" i="2"/>
  <c r="N111" i="2"/>
  <c r="P111" i="2" s="1"/>
  <c r="P110" i="2"/>
  <c r="AC115" i="1"/>
  <c r="R163" i="5" l="1"/>
  <c r="Q164" i="5"/>
  <c r="G176" i="4"/>
  <c r="R171" i="4"/>
  <c r="Q200" i="4"/>
  <c r="Z104" i="2"/>
  <c r="AA104" i="2"/>
  <c r="AB103" i="2"/>
  <c r="Q111" i="2"/>
  <c r="AA116" i="1"/>
  <c r="Z116" i="1"/>
  <c r="Q165" i="5" l="1"/>
  <c r="R164" i="5"/>
  <c r="AB116" i="1"/>
  <c r="H176" i="4"/>
  <c r="R172" i="4"/>
  <c r="Q201" i="4"/>
  <c r="AB104" i="2"/>
  <c r="AC104" i="2"/>
  <c r="O112" i="2"/>
  <c r="N112" i="2"/>
  <c r="AC116" i="1"/>
  <c r="R165" i="5" l="1"/>
  <c r="Q166" i="5"/>
  <c r="P112" i="2"/>
  <c r="I176" i="4"/>
  <c r="R173" i="4"/>
  <c r="Q202" i="4"/>
  <c r="Z105" i="2"/>
  <c r="AA105" i="2"/>
  <c r="Q112" i="2"/>
  <c r="AA117" i="1"/>
  <c r="Z117" i="1"/>
  <c r="AB117" i="1" s="1"/>
  <c r="R166" i="5" l="1"/>
  <c r="Q167" i="5"/>
  <c r="J176" i="4"/>
  <c r="R174" i="4"/>
  <c r="Q203" i="4"/>
  <c r="AB105" i="2"/>
  <c r="AC105" i="2"/>
  <c r="O113" i="2"/>
  <c r="N113" i="2"/>
  <c r="P113" i="2" s="1"/>
  <c r="AC117" i="1"/>
  <c r="Q168" i="5" l="1"/>
  <c r="R167" i="5"/>
  <c r="K176" i="4"/>
  <c r="R175" i="4"/>
  <c r="Q204" i="4"/>
  <c r="Z106" i="2"/>
  <c r="AA106" i="2"/>
  <c r="Q113" i="2"/>
  <c r="Z118" i="1"/>
  <c r="AA118" i="1"/>
  <c r="Q169" i="5" l="1"/>
  <c r="R168" i="5"/>
  <c r="L176" i="4"/>
  <c r="R176" i="4"/>
  <c r="Q205" i="4"/>
  <c r="AB106" i="2"/>
  <c r="AC106" i="2"/>
  <c r="N114" i="2"/>
  <c r="O114" i="2"/>
  <c r="AB118" i="1"/>
  <c r="AC118" i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R169" i="5" l="1"/>
  <c r="Q170" i="5"/>
  <c r="M176" i="4"/>
  <c r="R177" i="4"/>
  <c r="Q206" i="4"/>
  <c r="AA107" i="2"/>
  <c r="AD107" i="2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Z107" i="2"/>
  <c r="P114" i="2"/>
  <c r="Q114" i="2"/>
  <c r="Z119" i="1"/>
  <c r="AC119" i="1" s="1"/>
  <c r="AA119" i="1"/>
  <c r="R170" i="5" l="1"/>
  <c r="Q171" i="5"/>
  <c r="AB107" i="2"/>
  <c r="N176" i="4"/>
  <c r="R178" i="4"/>
  <c r="Q207" i="4"/>
  <c r="AB119" i="1"/>
  <c r="AC107" i="2"/>
  <c r="Z108" i="2" s="1"/>
  <c r="O115" i="2"/>
  <c r="N115" i="2"/>
  <c r="P115" i="2" s="1"/>
  <c r="Z120" i="1"/>
  <c r="AA120" i="1"/>
  <c r="Q172" i="5" l="1"/>
  <c r="R171" i="5"/>
  <c r="Q115" i="2"/>
  <c r="O176" i="4"/>
  <c r="R179" i="4"/>
  <c r="Q208" i="4"/>
  <c r="AA108" i="2"/>
  <c r="AB108" i="2" s="1"/>
  <c r="AC108" i="2"/>
  <c r="O116" i="2"/>
  <c r="N116" i="2"/>
  <c r="P116" i="2" s="1"/>
  <c r="AB120" i="1"/>
  <c r="AC120" i="1"/>
  <c r="Q173" i="5" l="1"/>
  <c r="R172" i="5"/>
  <c r="P176" i="4"/>
  <c r="R180" i="4"/>
  <c r="Q209" i="4"/>
  <c r="Z109" i="2"/>
  <c r="AA109" i="2"/>
  <c r="Q116" i="2"/>
  <c r="Z121" i="1"/>
  <c r="AA121" i="1"/>
  <c r="R173" i="5" l="1"/>
  <c r="Q174" i="5"/>
  <c r="D180" i="4"/>
  <c r="E188" i="4" s="1"/>
  <c r="R181" i="4"/>
  <c r="Q210" i="4"/>
  <c r="AB109" i="2"/>
  <c r="AC109" i="2"/>
  <c r="O117" i="2"/>
  <c r="N117" i="2"/>
  <c r="P117" i="2" s="1"/>
  <c r="AB121" i="1"/>
  <c r="AC121" i="1"/>
  <c r="Q175" i="5" l="1"/>
  <c r="R174" i="5"/>
  <c r="F188" i="4"/>
  <c r="R182" i="4"/>
  <c r="Q211" i="4"/>
  <c r="AA110" i="2"/>
  <c r="Z110" i="2"/>
  <c r="Q117" i="2"/>
  <c r="AA122" i="1"/>
  <c r="Z122" i="1"/>
  <c r="AB122" i="1" s="1"/>
  <c r="R175" i="5" l="1"/>
  <c r="Q176" i="5"/>
  <c r="G188" i="4"/>
  <c r="R183" i="4"/>
  <c r="Q212" i="4"/>
  <c r="AB110" i="2"/>
  <c r="AC110" i="2"/>
  <c r="N118" i="2"/>
  <c r="Q118" i="2"/>
  <c r="O118" i="2"/>
  <c r="AC122" i="1"/>
  <c r="R176" i="5" l="1"/>
  <c r="Q177" i="5"/>
  <c r="H188" i="4"/>
  <c r="R184" i="4"/>
  <c r="Q213" i="4"/>
  <c r="AA111" i="2"/>
  <c r="Z111" i="2"/>
  <c r="O119" i="2"/>
  <c r="N119" i="2"/>
  <c r="P119" i="2" s="1"/>
  <c r="P118" i="2"/>
  <c r="AA123" i="1"/>
  <c r="Z123" i="1"/>
  <c r="R177" i="5" l="1"/>
  <c r="Q178" i="5"/>
  <c r="I188" i="4"/>
  <c r="R185" i="4"/>
  <c r="Q214" i="4"/>
  <c r="AB111" i="2"/>
  <c r="AB123" i="1"/>
  <c r="AC111" i="2"/>
  <c r="Z112" i="2" s="1"/>
  <c r="Q119" i="2"/>
  <c r="AC123" i="1"/>
  <c r="AA124" i="1" s="1"/>
  <c r="R178" i="5" l="1"/>
  <c r="Q179" i="5"/>
  <c r="J188" i="4"/>
  <c r="R186" i="4"/>
  <c r="Q215" i="4"/>
  <c r="AA112" i="2"/>
  <c r="AB112" i="2" s="1"/>
  <c r="AC112" i="2"/>
  <c r="O120" i="2"/>
  <c r="N120" i="2"/>
  <c r="P120" i="2" s="1"/>
  <c r="Z124" i="1"/>
  <c r="AB124" i="1" s="1"/>
  <c r="Q180" i="5" l="1"/>
  <c r="R179" i="5"/>
  <c r="K188" i="4"/>
  <c r="R187" i="4"/>
  <c r="Q216" i="4"/>
  <c r="AA113" i="2"/>
  <c r="Z113" i="2"/>
  <c r="Q120" i="2"/>
  <c r="AC124" i="1"/>
  <c r="Z125" i="1" s="1"/>
  <c r="AA125" i="1"/>
  <c r="Q181" i="5" l="1"/>
  <c r="R180" i="5"/>
  <c r="L188" i="4"/>
  <c r="R188" i="4"/>
  <c r="Q217" i="4"/>
  <c r="AB113" i="2"/>
  <c r="AC113" i="2"/>
  <c r="O121" i="2"/>
  <c r="N121" i="2"/>
  <c r="P121" i="2" s="1"/>
  <c r="AB125" i="1"/>
  <c r="AC125" i="1"/>
  <c r="Q182" i="5" l="1"/>
  <c r="R181" i="5"/>
  <c r="M188" i="4"/>
  <c r="R189" i="4"/>
  <c r="Q218" i="4"/>
  <c r="AA114" i="2"/>
  <c r="Z114" i="2"/>
  <c r="Q121" i="2"/>
  <c r="AA126" i="1"/>
  <c r="Z126" i="1"/>
  <c r="R182" i="5" l="1"/>
  <c r="Q183" i="5"/>
  <c r="N188" i="4"/>
  <c r="R190" i="4"/>
  <c r="Q219" i="4"/>
  <c r="AB114" i="2"/>
  <c r="AC114" i="2"/>
  <c r="O122" i="2"/>
  <c r="N122" i="2"/>
  <c r="Q122" i="2" s="1"/>
  <c r="AB126" i="1"/>
  <c r="AC126" i="1"/>
  <c r="Q184" i="5" l="1"/>
  <c r="R183" i="5"/>
  <c r="O188" i="4"/>
  <c r="R191" i="4"/>
  <c r="Q220" i="4"/>
  <c r="Z115" i="2"/>
  <c r="AA115" i="2"/>
  <c r="N123" i="2"/>
  <c r="Q123" i="2"/>
  <c r="O123" i="2"/>
  <c r="P122" i="2"/>
  <c r="AA127" i="1"/>
  <c r="Z127" i="1"/>
  <c r="AB127" i="1" s="1"/>
  <c r="Q185" i="5" l="1"/>
  <c r="R184" i="5"/>
  <c r="P188" i="4"/>
  <c r="R192" i="4"/>
  <c r="Q221" i="4"/>
  <c r="AB115" i="2"/>
  <c r="AC115" i="2"/>
  <c r="O124" i="2"/>
  <c r="N124" i="2"/>
  <c r="P124" i="2" s="1"/>
  <c r="Q124" i="2"/>
  <c r="P123" i="2"/>
  <c r="AC127" i="1"/>
  <c r="Z128" i="1" s="1"/>
  <c r="R185" i="5" l="1"/>
  <c r="Q186" i="5"/>
  <c r="D192" i="4"/>
  <c r="E200" i="4" s="1"/>
  <c r="R193" i="4"/>
  <c r="Q222" i="4"/>
  <c r="AA116" i="2"/>
  <c r="Z116" i="2"/>
  <c r="O125" i="2"/>
  <c r="N125" i="2"/>
  <c r="P125" i="2" s="1"/>
  <c r="AA128" i="1"/>
  <c r="AB128" i="1" s="1"/>
  <c r="AC128" i="1"/>
  <c r="R186" i="5" l="1"/>
  <c r="Q187" i="5"/>
  <c r="F200" i="4"/>
  <c r="R194" i="4"/>
  <c r="Q223" i="4"/>
  <c r="AB116" i="2"/>
  <c r="AC116" i="2"/>
  <c r="Q125" i="2"/>
  <c r="Z129" i="1"/>
  <c r="AA129" i="1"/>
  <c r="Q188" i="5" l="1"/>
  <c r="R187" i="5"/>
  <c r="G200" i="4"/>
  <c r="R195" i="4"/>
  <c r="Q224" i="4"/>
  <c r="AA117" i="2"/>
  <c r="Z117" i="2"/>
  <c r="O126" i="2"/>
  <c r="N126" i="2"/>
  <c r="P126" i="2" s="1"/>
  <c r="AB129" i="1"/>
  <c r="AC129" i="1"/>
  <c r="Q189" i="5" l="1"/>
  <c r="R188" i="5"/>
  <c r="H200" i="4"/>
  <c r="R196" i="4"/>
  <c r="Q225" i="4"/>
  <c r="AB117" i="2"/>
  <c r="AC117" i="2"/>
  <c r="Q126" i="2"/>
  <c r="Z130" i="1"/>
  <c r="AA130" i="1"/>
  <c r="Q190" i="5" l="1"/>
  <c r="R189" i="5"/>
  <c r="I200" i="4"/>
  <c r="R197" i="4"/>
  <c r="Q226" i="4"/>
  <c r="AA118" i="2"/>
  <c r="Z118" i="2"/>
  <c r="N127" i="2"/>
  <c r="Q127" i="2"/>
  <c r="O127" i="2"/>
  <c r="AB130" i="1"/>
  <c r="AC130" i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Q191" i="5" l="1"/>
  <c r="R190" i="5"/>
  <c r="AB118" i="2"/>
  <c r="J200" i="4"/>
  <c r="R198" i="4"/>
  <c r="Q227" i="4"/>
  <c r="AC118" i="2"/>
  <c r="N128" i="2"/>
  <c r="Q128" i="2" s="1"/>
  <c r="O128" i="2"/>
  <c r="P127" i="2"/>
  <c r="AA131" i="1"/>
  <c r="Z131" i="1"/>
  <c r="AB131" i="1" s="1"/>
  <c r="R191" i="5" l="1"/>
  <c r="Q192" i="5"/>
  <c r="K200" i="4"/>
  <c r="R199" i="4"/>
  <c r="Q228" i="4"/>
  <c r="Z119" i="2"/>
  <c r="AC119" i="2" s="1"/>
  <c r="AA119" i="2"/>
  <c r="AD119" i="2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O129" i="2"/>
  <c r="N129" i="2"/>
  <c r="P128" i="2"/>
  <c r="AC131" i="1"/>
  <c r="Q193" i="5" l="1"/>
  <c r="R192" i="5"/>
  <c r="L200" i="4"/>
  <c r="R200" i="4"/>
  <c r="Q229" i="4"/>
  <c r="AB119" i="2"/>
  <c r="AA120" i="2"/>
  <c r="Z120" i="2"/>
  <c r="AB120" i="2" s="1"/>
  <c r="P129" i="2"/>
  <c r="Q129" i="2"/>
  <c r="Z132" i="1"/>
  <c r="AA132" i="1"/>
  <c r="Q194" i="5" l="1"/>
  <c r="R193" i="5"/>
  <c r="M200" i="4"/>
  <c r="R201" i="4"/>
  <c r="Q230" i="4"/>
  <c r="AC120" i="2"/>
  <c r="AA121" i="2" s="1"/>
  <c r="O130" i="2"/>
  <c r="N130" i="2"/>
  <c r="P130" i="2" s="1"/>
  <c r="AB132" i="1"/>
  <c r="AC132" i="1"/>
  <c r="Q195" i="5" l="1"/>
  <c r="R194" i="5"/>
  <c r="N200" i="4"/>
  <c r="R202" i="4"/>
  <c r="Q231" i="4"/>
  <c r="Z121" i="2"/>
  <c r="AB121" i="2" s="1"/>
  <c r="Q130" i="2"/>
  <c r="Z133" i="1"/>
  <c r="AC133" i="1" s="1"/>
  <c r="AA133" i="1"/>
  <c r="R195" i="5" l="1"/>
  <c r="Q196" i="5"/>
  <c r="O200" i="4"/>
  <c r="R203" i="4"/>
  <c r="Q232" i="4"/>
  <c r="AC121" i="2"/>
  <c r="AA122" i="2" s="1"/>
  <c r="N131" i="2"/>
  <c r="O131" i="2"/>
  <c r="AA134" i="1"/>
  <c r="Z134" i="1"/>
  <c r="AB133" i="1"/>
  <c r="R196" i="5" l="1"/>
  <c r="Q197" i="5"/>
  <c r="P200" i="4"/>
  <c r="R204" i="4"/>
  <c r="Q233" i="4"/>
  <c r="Z122" i="2"/>
  <c r="AB122" i="2" s="1"/>
  <c r="P131" i="2"/>
  <c r="Q131" i="2"/>
  <c r="AB134" i="1"/>
  <c r="AC134" i="1"/>
  <c r="Q198" i="5" l="1"/>
  <c r="R197" i="5"/>
  <c r="D204" i="4"/>
  <c r="E212" i="4" s="1"/>
  <c r="R205" i="4"/>
  <c r="Q234" i="4"/>
  <c r="AC122" i="2"/>
  <c r="Z123" i="2" s="1"/>
  <c r="N132" i="2"/>
  <c r="Q132" i="2"/>
  <c r="O132" i="2"/>
  <c r="AA135" i="1"/>
  <c r="Z135" i="1"/>
  <c r="Q199" i="5" l="1"/>
  <c r="R198" i="5"/>
  <c r="AB135" i="1"/>
  <c r="F212" i="4"/>
  <c r="R206" i="4"/>
  <c r="Q235" i="4"/>
  <c r="AA123" i="2"/>
  <c r="AB123" i="2" s="1"/>
  <c r="AC123" i="2"/>
  <c r="N133" i="2"/>
  <c r="Q133" i="2" s="1"/>
  <c r="O133" i="2"/>
  <c r="P132" i="2"/>
  <c r="AC135" i="1"/>
  <c r="R199" i="5" l="1"/>
  <c r="Q200" i="5"/>
  <c r="G212" i="4"/>
  <c r="R207" i="4"/>
  <c r="Q236" i="4"/>
  <c r="AA124" i="2"/>
  <c r="Z124" i="2"/>
  <c r="N134" i="2"/>
  <c r="Q134" i="2"/>
  <c r="O134" i="2"/>
  <c r="P133" i="2"/>
  <c r="AA136" i="1"/>
  <c r="Z136" i="1"/>
  <c r="AB136" i="1" s="1"/>
  <c r="Q201" i="5" l="1"/>
  <c r="R200" i="5"/>
  <c r="H212" i="4"/>
  <c r="R208" i="4"/>
  <c r="Q237" i="4"/>
  <c r="AB124" i="2"/>
  <c r="AC124" i="2"/>
  <c r="O135" i="2"/>
  <c r="N135" i="2"/>
  <c r="P135" i="2" s="1"/>
  <c r="P134" i="2"/>
  <c r="AC136" i="1"/>
  <c r="R201" i="5" l="1"/>
  <c r="Q202" i="5"/>
  <c r="I212" i="4"/>
  <c r="R209" i="4"/>
  <c r="Q238" i="4"/>
  <c r="Z125" i="2"/>
  <c r="AA125" i="2"/>
  <c r="Q135" i="2"/>
  <c r="Z137" i="1"/>
  <c r="AA137" i="1"/>
  <c r="R202" i="5" l="1"/>
  <c r="Q203" i="5"/>
  <c r="J212" i="4"/>
  <c r="R210" i="4"/>
  <c r="Q239" i="4"/>
  <c r="AB125" i="2"/>
  <c r="AC125" i="2"/>
  <c r="O136" i="2"/>
  <c r="N136" i="2"/>
  <c r="P136" i="2" s="1"/>
  <c r="AB137" i="1"/>
  <c r="AC137" i="1"/>
  <c r="Q204" i="5" l="1"/>
  <c r="R203" i="5"/>
  <c r="K212" i="4"/>
  <c r="R211" i="4"/>
  <c r="Q240" i="4"/>
  <c r="AA126" i="2"/>
  <c r="Z126" i="2"/>
  <c r="Q136" i="2"/>
  <c r="Z138" i="1"/>
  <c r="AA138" i="1"/>
  <c r="Q205" i="5" l="1"/>
  <c r="R204" i="5"/>
  <c r="L212" i="4"/>
  <c r="R212" i="4"/>
  <c r="Q241" i="4"/>
  <c r="AB138" i="1"/>
  <c r="AB126" i="2"/>
  <c r="AC126" i="2"/>
  <c r="N137" i="2"/>
  <c r="O137" i="2"/>
  <c r="AC138" i="1"/>
  <c r="R205" i="5" l="1"/>
  <c r="Q206" i="5"/>
  <c r="P137" i="2"/>
  <c r="M212" i="4"/>
  <c r="R213" i="4"/>
  <c r="Q242" i="4"/>
  <c r="AA127" i="2"/>
  <c r="Z127" i="2"/>
  <c r="Q137" i="2"/>
  <c r="Z139" i="1"/>
  <c r="AA139" i="1"/>
  <c r="R206" i="5" l="1"/>
  <c r="Q207" i="5"/>
  <c r="N212" i="4"/>
  <c r="R214" i="4"/>
  <c r="Q243" i="4"/>
  <c r="AB127" i="2"/>
  <c r="AC127" i="2"/>
  <c r="N138" i="2"/>
  <c r="Q138" i="2"/>
  <c r="O138" i="2"/>
  <c r="AB139" i="1"/>
  <c r="AC139" i="1"/>
  <c r="Q208" i="5" l="1"/>
  <c r="R207" i="5"/>
  <c r="O212" i="4"/>
  <c r="R215" i="4"/>
  <c r="Q244" i="4"/>
  <c r="AA128" i="2"/>
  <c r="Z128" i="2"/>
  <c r="O139" i="2"/>
  <c r="N139" i="2"/>
  <c r="P139" i="2" s="1"/>
  <c r="P138" i="2"/>
  <c r="Z140" i="1"/>
  <c r="AA140" i="1"/>
  <c r="Q209" i="5" l="1"/>
  <c r="R208" i="5"/>
  <c r="AB128" i="2"/>
  <c r="P212" i="4"/>
  <c r="R216" i="4"/>
  <c r="Q245" i="4"/>
  <c r="AC128" i="2"/>
  <c r="Q139" i="2"/>
  <c r="AB140" i="1"/>
  <c r="AC140" i="1"/>
  <c r="R209" i="5" l="1"/>
  <c r="Q210" i="5"/>
  <c r="D216" i="4"/>
  <c r="E224" i="4" s="1"/>
  <c r="R217" i="4"/>
  <c r="Q246" i="4"/>
  <c r="Z129" i="2"/>
  <c r="AC129" i="2" s="1"/>
  <c r="AA129" i="2"/>
  <c r="O140" i="2"/>
  <c r="N140" i="2"/>
  <c r="P140" i="2" s="1"/>
  <c r="AA141" i="1"/>
  <c r="Z141" i="1"/>
  <c r="R210" i="5" l="1"/>
  <c r="Q211" i="5"/>
  <c r="AB141" i="1"/>
  <c r="F224" i="4"/>
  <c r="R218" i="4"/>
  <c r="Q247" i="4"/>
  <c r="Z130" i="2"/>
  <c r="AC130" i="2" s="1"/>
  <c r="AA130" i="2"/>
  <c r="AB129" i="2"/>
  <c r="Q140" i="2"/>
  <c r="AC141" i="1"/>
  <c r="Q212" i="5" l="1"/>
  <c r="R211" i="5"/>
  <c r="G224" i="4"/>
  <c r="R219" i="4"/>
  <c r="Q248" i="4"/>
  <c r="Z131" i="2"/>
  <c r="AC131" i="2" s="1"/>
  <c r="AD131" i="2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A131" i="2"/>
  <c r="AB130" i="2"/>
  <c r="N141" i="2"/>
  <c r="Q141" i="2"/>
  <c r="O141" i="2"/>
  <c r="Z142" i="1"/>
  <c r="AA142" i="1"/>
  <c r="Q213" i="5" l="1"/>
  <c r="R212" i="5"/>
  <c r="H224" i="4"/>
  <c r="R220" i="4"/>
  <c r="Q249" i="4"/>
  <c r="Z132" i="2"/>
  <c r="AA132" i="2"/>
  <c r="AB131" i="2"/>
  <c r="P141" i="2"/>
  <c r="N142" i="2"/>
  <c r="Q142" i="2" s="1"/>
  <c r="O142" i="2"/>
  <c r="AB142" i="1"/>
  <c r="AC142" i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Q214" i="5" l="1"/>
  <c r="R213" i="5"/>
  <c r="I224" i="4"/>
  <c r="R221" i="4"/>
  <c r="Q250" i="4"/>
  <c r="AB132" i="2"/>
  <c r="AC132" i="2"/>
  <c r="O143" i="2"/>
  <c r="N143" i="2"/>
  <c r="P142" i="2"/>
  <c r="Z143" i="1"/>
  <c r="AA143" i="1"/>
  <c r="Q215" i="5" l="1"/>
  <c r="R214" i="5"/>
  <c r="P143" i="2"/>
  <c r="J224" i="4"/>
  <c r="R222" i="4"/>
  <c r="Q251" i="4"/>
  <c r="Z133" i="2"/>
  <c r="AA133" i="2"/>
  <c r="Q143" i="2"/>
  <c r="AB143" i="1"/>
  <c r="AC143" i="1"/>
  <c r="AA144" i="1" s="1"/>
  <c r="Q216" i="5" l="1"/>
  <c r="R215" i="5"/>
  <c r="K224" i="4"/>
  <c r="R223" i="4"/>
  <c r="Q252" i="4"/>
  <c r="AB133" i="2"/>
  <c r="AC133" i="2"/>
  <c r="O144" i="2"/>
  <c r="N144" i="2"/>
  <c r="P144" i="2" s="1"/>
  <c r="Z144" i="1"/>
  <c r="AB144" i="1" s="1"/>
  <c r="R216" i="5" l="1"/>
  <c r="Q217" i="5"/>
  <c r="L224" i="4"/>
  <c r="R224" i="4"/>
  <c r="Q253" i="4"/>
  <c r="Z134" i="2"/>
  <c r="AA134" i="2"/>
  <c r="Q144" i="2"/>
  <c r="AC144" i="1"/>
  <c r="Z145" i="1" s="1"/>
  <c r="AB145" i="1" s="1"/>
  <c r="AA145" i="1"/>
  <c r="Q218" i="5" l="1"/>
  <c r="R217" i="5"/>
  <c r="M224" i="4"/>
  <c r="R225" i="4"/>
  <c r="Q254" i="4"/>
  <c r="AB134" i="2"/>
  <c r="AC134" i="2"/>
  <c r="O145" i="2"/>
  <c r="N145" i="2"/>
  <c r="Q145" i="2"/>
  <c r="AC145" i="1"/>
  <c r="Q219" i="5" l="1"/>
  <c r="R218" i="5"/>
  <c r="P145" i="2"/>
  <c r="N224" i="4"/>
  <c r="R226" i="4"/>
  <c r="Q255" i="4"/>
  <c r="AA135" i="2"/>
  <c r="Z135" i="2"/>
  <c r="O146" i="2"/>
  <c r="N146" i="2"/>
  <c r="P146" i="2" s="1"/>
  <c r="AA146" i="1"/>
  <c r="Z146" i="1"/>
  <c r="Q220" i="5" l="1"/>
  <c r="R219" i="5"/>
  <c r="O224" i="4"/>
  <c r="R227" i="4"/>
  <c r="Q256" i="4"/>
  <c r="AB135" i="2"/>
  <c r="AC135" i="2"/>
  <c r="Q146" i="2"/>
  <c r="AB146" i="1"/>
  <c r="AC146" i="1"/>
  <c r="R220" i="5" l="1"/>
  <c r="Q221" i="5"/>
  <c r="P224" i="4"/>
  <c r="R228" i="4"/>
  <c r="Q257" i="4"/>
  <c r="Z136" i="2"/>
  <c r="AC136" i="2" s="1"/>
  <c r="AA136" i="2"/>
  <c r="O147" i="2"/>
  <c r="N147" i="2"/>
  <c r="Q147" i="2"/>
  <c r="AA147" i="1"/>
  <c r="Z147" i="1"/>
  <c r="AB147" i="1" s="1"/>
  <c r="Q222" i="5" l="1"/>
  <c r="R221" i="5"/>
  <c r="P147" i="2"/>
  <c r="D228" i="4"/>
  <c r="E236" i="4" s="1"/>
  <c r="R229" i="4"/>
  <c r="Q258" i="4"/>
  <c r="AA137" i="2"/>
  <c r="Z137" i="2"/>
  <c r="AB136" i="2"/>
  <c r="N148" i="2"/>
  <c r="P148" i="2" s="1"/>
  <c r="O148" i="2"/>
  <c r="AC147" i="1"/>
  <c r="Q223" i="5" l="1"/>
  <c r="R222" i="5"/>
  <c r="Q148" i="2"/>
  <c r="F236" i="4"/>
  <c r="R230" i="4"/>
  <c r="Q259" i="4"/>
  <c r="AB137" i="2"/>
  <c r="AC137" i="2"/>
  <c r="O149" i="2"/>
  <c r="N149" i="2"/>
  <c r="P149" i="2" s="1"/>
  <c r="Z148" i="1"/>
  <c r="AA148" i="1"/>
  <c r="R223" i="5" l="1"/>
  <c r="Q224" i="5"/>
  <c r="G236" i="4"/>
  <c r="R231" i="4"/>
  <c r="Q260" i="4"/>
  <c r="AA138" i="2"/>
  <c r="Z138" i="2"/>
  <c r="Q149" i="2"/>
  <c r="AC148" i="1"/>
  <c r="AB148" i="1"/>
  <c r="Q225" i="5" l="1"/>
  <c r="R224" i="5"/>
  <c r="H236" i="4"/>
  <c r="R232" i="4"/>
  <c r="Q261" i="4"/>
  <c r="AB138" i="2"/>
  <c r="AC138" i="2"/>
  <c r="O150" i="2"/>
  <c r="N150" i="2"/>
  <c r="P150" i="2" s="1"/>
  <c r="AA149" i="1"/>
  <c r="Z149" i="1"/>
  <c r="R225" i="5" l="1"/>
  <c r="Q226" i="5"/>
  <c r="AB149" i="1"/>
  <c r="I236" i="4"/>
  <c r="R233" i="4"/>
  <c r="Q262" i="4"/>
  <c r="AA139" i="2"/>
  <c r="Z139" i="2"/>
  <c r="Q150" i="2"/>
  <c r="AC149" i="1"/>
  <c r="R226" i="5" l="1"/>
  <c r="Q227" i="5"/>
  <c r="J236" i="4"/>
  <c r="R234" i="4"/>
  <c r="Q263" i="4"/>
  <c r="AB139" i="2"/>
  <c r="AC139" i="2"/>
  <c r="O151" i="2"/>
  <c r="N151" i="2"/>
  <c r="AA150" i="1"/>
  <c r="Z150" i="1"/>
  <c r="R227" i="5" l="1"/>
  <c r="Q228" i="5"/>
  <c r="P151" i="2"/>
  <c r="K236" i="4"/>
  <c r="R235" i="4"/>
  <c r="Q264" i="4"/>
  <c r="AA140" i="2"/>
  <c r="Z140" i="2"/>
  <c r="Q151" i="2"/>
  <c r="AB150" i="1"/>
  <c r="AC150" i="1"/>
  <c r="AA151" i="1" s="1"/>
  <c r="Z151" i="1"/>
  <c r="AC151" i="1" s="1"/>
  <c r="Q229" i="5" l="1"/>
  <c r="R228" i="5"/>
  <c r="L236" i="4"/>
  <c r="R236" i="4"/>
  <c r="Q265" i="4"/>
  <c r="AB140" i="2"/>
  <c r="AC140" i="2"/>
  <c r="N152" i="2"/>
  <c r="P152" i="2" s="1"/>
  <c r="O152" i="2"/>
  <c r="Z152" i="1"/>
  <c r="AA152" i="1"/>
  <c r="AB151" i="1"/>
  <c r="R229" i="5" l="1"/>
  <c r="Q230" i="5"/>
  <c r="M236" i="4"/>
  <c r="R237" i="4"/>
  <c r="Q266" i="4"/>
  <c r="Z141" i="2"/>
  <c r="AA141" i="2"/>
  <c r="Q152" i="2"/>
  <c r="AB152" i="1"/>
  <c r="AC152" i="1"/>
  <c r="R230" i="5" l="1"/>
  <c r="Q231" i="5"/>
  <c r="N236" i="4"/>
  <c r="R238" i="4"/>
  <c r="Q267" i="4"/>
  <c r="AB141" i="2"/>
  <c r="AC141" i="2"/>
  <c r="O153" i="2"/>
  <c r="N153" i="2"/>
  <c r="P153" i="2" s="1"/>
  <c r="Q153" i="2"/>
  <c r="AA153" i="1"/>
  <c r="Z153" i="1"/>
  <c r="R231" i="5" l="1"/>
  <c r="Q232" i="5"/>
  <c r="O236" i="4"/>
  <c r="R239" i="4"/>
  <c r="Q268" i="4"/>
  <c r="Z142" i="2"/>
  <c r="AA142" i="2"/>
  <c r="O154" i="2"/>
  <c r="N154" i="2"/>
  <c r="AB153" i="1"/>
  <c r="AC153" i="1"/>
  <c r="Q233" i="5" l="1"/>
  <c r="R232" i="5"/>
  <c r="P154" i="2"/>
  <c r="P236" i="4"/>
  <c r="R240" i="4"/>
  <c r="Q269" i="4"/>
  <c r="AB142" i="2"/>
  <c r="AC142" i="2"/>
  <c r="Q154" i="2"/>
  <c r="Z154" i="1"/>
  <c r="AA154" i="1"/>
  <c r="Q234" i="5" l="1"/>
  <c r="R233" i="5"/>
  <c r="D240" i="4"/>
  <c r="E248" i="4" s="1"/>
  <c r="R241" i="4"/>
  <c r="Q270" i="4"/>
  <c r="AD143" i="2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Z143" i="2"/>
  <c r="AA143" i="2"/>
  <c r="O155" i="2"/>
  <c r="N155" i="2"/>
  <c r="P155" i="2" s="1"/>
  <c r="AB154" i="1"/>
  <c r="AC154" i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R234" i="5" l="1"/>
  <c r="Q235" i="5"/>
  <c r="F248" i="4"/>
  <c r="R242" i="4"/>
  <c r="Q271" i="4"/>
  <c r="AB143" i="2"/>
  <c r="AC143" i="2"/>
  <c r="Q155" i="2"/>
  <c r="AA155" i="1"/>
  <c r="Z155" i="1"/>
  <c r="AB155" i="1" s="1"/>
  <c r="R235" i="5" l="1"/>
  <c r="Q236" i="5"/>
  <c r="G248" i="4"/>
  <c r="R243" i="4"/>
  <c r="Q272" i="4"/>
  <c r="AA144" i="2"/>
  <c r="Z144" i="2"/>
  <c r="O156" i="2"/>
  <c r="N156" i="2"/>
  <c r="Q156" i="2"/>
  <c r="AC155" i="1"/>
  <c r="R236" i="5" l="1"/>
  <c r="Q237" i="5"/>
  <c r="P156" i="2"/>
  <c r="H248" i="4"/>
  <c r="R244" i="4"/>
  <c r="Q273" i="4"/>
  <c r="AB144" i="2"/>
  <c r="AC144" i="2"/>
  <c r="N157" i="2"/>
  <c r="Q157" i="2" s="1"/>
  <c r="O157" i="2"/>
  <c r="Z156" i="1"/>
  <c r="AA156" i="1"/>
  <c r="Q238" i="5" l="1"/>
  <c r="R237" i="5"/>
  <c r="I248" i="4"/>
  <c r="R245" i="4"/>
  <c r="Q274" i="4"/>
  <c r="AA145" i="2"/>
  <c r="Z145" i="2"/>
  <c r="O158" i="2"/>
  <c r="N158" i="2"/>
  <c r="P157" i="2"/>
  <c r="AB156" i="1"/>
  <c r="AC156" i="1"/>
  <c r="Q239" i="5" l="1"/>
  <c r="R238" i="5"/>
  <c r="P158" i="2"/>
  <c r="J248" i="4"/>
  <c r="R246" i="4"/>
  <c r="Q275" i="4"/>
  <c r="AB145" i="2"/>
  <c r="AC145" i="2"/>
  <c r="Q158" i="2"/>
  <c r="Z157" i="1"/>
  <c r="AA157" i="1"/>
  <c r="Q240" i="5" l="1"/>
  <c r="R239" i="5"/>
  <c r="K248" i="4"/>
  <c r="R247" i="4"/>
  <c r="Q276" i="4"/>
  <c r="Z146" i="2"/>
  <c r="AC146" i="2" s="1"/>
  <c r="AA146" i="2"/>
  <c r="O159" i="2"/>
  <c r="N159" i="2"/>
  <c r="AB157" i="1"/>
  <c r="AC157" i="1"/>
  <c r="R240" i="5" l="1"/>
  <c r="Q241" i="5"/>
  <c r="P159" i="2"/>
  <c r="L248" i="4"/>
  <c r="R248" i="4"/>
  <c r="Q277" i="4"/>
  <c r="Z147" i="2"/>
  <c r="AA147" i="2"/>
  <c r="AB146" i="2"/>
  <c r="Q159" i="2"/>
  <c r="Z158" i="1"/>
  <c r="AA158" i="1"/>
  <c r="Q242" i="5" l="1"/>
  <c r="R241" i="5"/>
  <c r="M248" i="4"/>
  <c r="R249" i="4"/>
  <c r="Q278" i="4"/>
  <c r="AB147" i="2"/>
  <c r="AC147" i="2"/>
  <c r="O160" i="2"/>
  <c r="N160" i="2"/>
  <c r="P160" i="2" s="1"/>
  <c r="AB158" i="1"/>
  <c r="AC158" i="1"/>
  <c r="Q243" i="5" l="1"/>
  <c r="R242" i="5"/>
  <c r="Q160" i="2"/>
  <c r="N248" i="4"/>
  <c r="R250" i="4"/>
  <c r="Q279" i="4"/>
  <c r="AA148" i="2"/>
  <c r="Z148" i="2"/>
  <c r="N161" i="2"/>
  <c r="Q161" i="2"/>
  <c r="O161" i="2"/>
  <c r="AA159" i="1"/>
  <c r="Z159" i="1"/>
  <c r="R243" i="5" l="1"/>
  <c r="Q244" i="5"/>
  <c r="O248" i="4"/>
  <c r="R251" i="4"/>
  <c r="Q280" i="4"/>
  <c r="AB159" i="1"/>
  <c r="AB148" i="2"/>
  <c r="AC148" i="2"/>
  <c r="O162" i="2"/>
  <c r="N162" i="2"/>
  <c r="P162" i="2" s="1"/>
  <c r="P161" i="2"/>
  <c r="AC159" i="1"/>
  <c r="R244" i="5" l="1"/>
  <c r="Q245" i="5"/>
  <c r="P248" i="4"/>
  <c r="R252" i="4"/>
  <c r="Q281" i="4"/>
  <c r="AA149" i="2"/>
  <c r="Z149" i="2"/>
  <c r="Q162" i="2"/>
  <c r="Z160" i="1"/>
  <c r="AA160" i="1"/>
  <c r="R245" i="5" l="1"/>
  <c r="Q246" i="5"/>
  <c r="D252" i="4"/>
  <c r="E260" i="4" s="1"/>
  <c r="R253" i="4"/>
  <c r="Q282" i="4"/>
  <c r="AB149" i="2"/>
  <c r="AC149" i="2"/>
  <c r="Q163" i="2"/>
  <c r="O163" i="2"/>
  <c r="N163" i="2"/>
  <c r="AB160" i="1"/>
  <c r="AC160" i="1"/>
  <c r="Q247" i="5" l="1"/>
  <c r="R246" i="5"/>
  <c r="F260" i="4"/>
  <c r="R254" i="4"/>
  <c r="Q283" i="4"/>
  <c r="Z150" i="2"/>
  <c r="AA150" i="2"/>
  <c r="O164" i="2"/>
  <c r="N164" i="2"/>
  <c r="P164" i="2" s="1"/>
  <c r="Q164" i="2"/>
  <c r="P163" i="2"/>
  <c r="Z161" i="1"/>
  <c r="AC161" i="1" s="1"/>
  <c r="AA161" i="1"/>
  <c r="Q248" i="5" l="1"/>
  <c r="R247" i="5"/>
  <c r="G260" i="4"/>
  <c r="R255" i="4"/>
  <c r="Q284" i="4"/>
  <c r="AB150" i="2"/>
  <c r="AC150" i="2"/>
  <c r="O165" i="2"/>
  <c r="N165" i="2"/>
  <c r="P165" i="2" s="1"/>
  <c r="AB161" i="1"/>
  <c r="AA162" i="1"/>
  <c r="Z162" i="1"/>
  <c r="Q249" i="5" l="1"/>
  <c r="R248" i="5"/>
  <c r="H260" i="4"/>
  <c r="R256" i="4"/>
  <c r="Q285" i="4"/>
  <c r="AB162" i="1"/>
  <c r="Z151" i="2"/>
  <c r="AA151" i="2"/>
  <c r="Q165" i="2"/>
  <c r="AC162" i="1"/>
  <c r="Q250" i="5" l="1"/>
  <c r="R249" i="5"/>
  <c r="I260" i="4"/>
  <c r="R257" i="4"/>
  <c r="Q286" i="4"/>
  <c r="AB151" i="2"/>
  <c r="AC151" i="2"/>
  <c r="O166" i="2"/>
  <c r="N166" i="2"/>
  <c r="Z163" i="1"/>
  <c r="AA163" i="1"/>
  <c r="R250" i="5" l="1"/>
  <c r="Q251" i="5"/>
  <c r="P166" i="2"/>
  <c r="J260" i="4"/>
  <c r="R258" i="4"/>
  <c r="Q287" i="4"/>
  <c r="AA152" i="2"/>
  <c r="Z152" i="2"/>
  <c r="Q166" i="2"/>
  <c r="AB163" i="1"/>
  <c r="AC163" i="1"/>
  <c r="Q252" i="5" l="1"/>
  <c r="R251" i="5"/>
  <c r="K260" i="4"/>
  <c r="R259" i="4"/>
  <c r="Q288" i="4"/>
  <c r="AB152" i="2"/>
  <c r="AC152" i="2"/>
  <c r="N167" i="2"/>
  <c r="Q167" i="2" s="1"/>
  <c r="O167" i="2"/>
  <c r="Z164" i="1"/>
  <c r="AA164" i="1"/>
  <c r="Q253" i="5" l="1"/>
  <c r="R252" i="5"/>
  <c r="L260" i="4"/>
  <c r="R260" i="4"/>
  <c r="Q289" i="4"/>
  <c r="AA153" i="2"/>
  <c r="Z153" i="2"/>
  <c r="O168" i="2"/>
  <c r="N168" i="2"/>
  <c r="P168" i="2" s="1"/>
  <c r="P167" i="2"/>
  <c r="AB164" i="1"/>
  <c r="AC164" i="1"/>
  <c r="R253" i="5" l="1"/>
  <c r="Q254" i="5"/>
  <c r="M260" i="4"/>
  <c r="R261" i="4"/>
  <c r="Q290" i="4"/>
  <c r="AB153" i="2"/>
  <c r="AC153" i="2"/>
  <c r="Q168" i="2"/>
  <c r="Z165" i="1"/>
  <c r="AC165" i="1" s="1"/>
  <c r="AA165" i="1"/>
  <c r="R254" i="5" l="1"/>
  <c r="Q255" i="5"/>
  <c r="N260" i="4"/>
  <c r="R262" i="4"/>
  <c r="Q291" i="4"/>
  <c r="AA154" i="2"/>
  <c r="Z154" i="2"/>
  <c r="N169" i="2"/>
  <c r="O169" i="2"/>
  <c r="Z166" i="1"/>
  <c r="AC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A166" i="1"/>
  <c r="AB165" i="1"/>
  <c r="Q256" i="5" l="1"/>
  <c r="R255" i="5"/>
  <c r="P169" i="2"/>
  <c r="O260" i="4"/>
  <c r="R263" i="4"/>
  <c r="Q292" i="4"/>
  <c r="AB154" i="2"/>
  <c r="AC154" i="2"/>
  <c r="Q169" i="2"/>
  <c r="Z167" i="1"/>
  <c r="AA167" i="1"/>
  <c r="AB166" i="1"/>
  <c r="Q257" i="5" l="1"/>
  <c r="R256" i="5"/>
  <c r="P260" i="4"/>
  <c r="R264" i="4"/>
  <c r="Q293" i="4"/>
  <c r="AA155" i="2"/>
  <c r="AD155" i="2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Z155" i="2"/>
  <c r="N170" i="2"/>
  <c r="Q170" i="2"/>
  <c r="O170" i="2"/>
  <c r="AB167" i="1"/>
  <c r="AC167" i="1"/>
  <c r="R257" i="5" l="1"/>
  <c r="Q258" i="5"/>
  <c r="D264" i="4"/>
  <c r="E272" i="4" s="1"/>
  <c r="R265" i="4"/>
  <c r="Q294" i="4"/>
  <c r="AB155" i="2"/>
  <c r="AC155" i="2"/>
  <c r="O171" i="2"/>
  <c r="N171" i="2"/>
  <c r="P171" i="2" s="1"/>
  <c r="P170" i="2"/>
  <c r="AA168" i="1"/>
  <c r="Z168" i="1"/>
  <c r="AB168" i="1" s="1"/>
  <c r="R258" i="5" l="1"/>
  <c r="Q259" i="5"/>
  <c r="F272" i="4"/>
  <c r="R266" i="4"/>
  <c r="Q295" i="4"/>
  <c r="Z156" i="2"/>
  <c r="AA156" i="2"/>
  <c r="Q171" i="2"/>
  <c r="AC168" i="1"/>
  <c r="Q260" i="5" l="1"/>
  <c r="R259" i="5"/>
  <c r="G272" i="4"/>
  <c r="R267" i="4"/>
  <c r="Q296" i="4"/>
  <c r="AB156" i="2"/>
  <c r="AC156" i="2"/>
  <c r="O172" i="2"/>
  <c r="N172" i="2"/>
  <c r="P172" i="2" s="1"/>
  <c r="Z169" i="1"/>
  <c r="AC169" i="1" s="1"/>
  <c r="AA169" i="1"/>
  <c r="Q261" i="5" l="1"/>
  <c r="R260" i="5"/>
  <c r="H272" i="4"/>
  <c r="R268" i="4"/>
  <c r="Q297" i="4"/>
  <c r="AA157" i="2"/>
  <c r="Z157" i="2"/>
  <c r="Q172" i="2"/>
  <c r="Z170" i="1"/>
  <c r="AC170" i="1" s="1"/>
  <c r="AA170" i="1"/>
  <c r="AB169" i="1"/>
  <c r="Q262" i="5" l="1"/>
  <c r="R261" i="5"/>
  <c r="I272" i="4"/>
  <c r="R269" i="4"/>
  <c r="Q298" i="4"/>
  <c r="AB157" i="2"/>
  <c r="AC157" i="2"/>
  <c r="N173" i="2"/>
  <c r="O173" i="2"/>
  <c r="Q173" i="2"/>
  <c r="AA171" i="1"/>
  <c r="Z171" i="1"/>
  <c r="AB170" i="1"/>
  <c r="Q263" i="5" l="1"/>
  <c r="R262" i="5"/>
  <c r="J272" i="4"/>
  <c r="R270" i="4"/>
  <c r="Q299" i="4"/>
  <c r="AB171" i="1"/>
  <c r="Z158" i="2"/>
  <c r="AA158" i="2"/>
  <c r="N174" i="2"/>
  <c r="O174" i="2"/>
  <c r="P173" i="2"/>
  <c r="AC171" i="1"/>
  <c r="Q264" i="5" l="1"/>
  <c r="R263" i="5"/>
  <c r="P174" i="2"/>
  <c r="K272" i="4"/>
  <c r="R271" i="4"/>
  <c r="Q300" i="4"/>
  <c r="AB158" i="2"/>
  <c r="AC158" i="2"/>
  <c r="Q174" i="2"/>
  <c r="AA172" i="1"/>
  <c r="Z172" i="1"/>
  <c r="R264" i="5" l="1"/>
  <c r="Q265" i="5"/>
  <c r="AB172" i="1"/>
  <c r="L272" i="4"/>
  <c r="R272" i="4"/>
  <c r="Q301" i="4"/>
  <c r="AA159" i="2"/>
  <c r="Z159" i="2"/>
  <c r="O175" i="2"/>
  <c r="N175" i="2"/>
  <c r="P175" i="2" s="1"/>
  <c r="AC172" i="1"/>
  <c r="Q266" i="5" l="1"/>
  <c r="R265" i="5"/>
  <c r="M272" i="4"/>
  <c r="R273" i="4"/>
  <c r="Q302" i="4"/>
  <c r="AB159" i="2"/>
  <c r="AC159" i="2"/>
  <c r="Q175" i="2"/>
  <c r="AA173" i="1"/>
  <c r="Z173" i="1"/>
  <c r="AB173" i="1" s="1"/>
  <c r="Q267" i="5" l="1"/>
  <c r="R266" i="5"/>
  <c r="N272" i="4"/>
  <c r="R274" i="4"/>
  <c r="Q303" i="4"/>
  <c r="Z160" i="2"/>
  <c r="AC160" i="2" s="1"/>
  <c r="AA160" i="2"/>
  <c r="O176" i="2"/>
  <c r="N176" i="2"/>
  <c r="P176" i="2" s="1"/>
  <c r="AC173" i="1"/>
  <c r="Q268" i="5" l="1"/>
  <c r="R267" i="5"/>
  <c r="O272" i="4"/>
  <c r="R275" i="4"/>
  <c r="Q304" i="4"/>
  <c r="Z161" i="2"/>
  <c r="AA161" i="2"/>
  <c r="AB160" i="2"/>
  <c r="Q176" i="2"/>
  <c r="Z174" i="1"/>
  <c r="AC174" i="1" s="1"/>
  <c r="AA174" i="1"/>
  <c r="Q269" i="5" l="1"/>
  <c r="R268" i="5"/>
  <c r="P272" i="4"/>
  <c r="R276" i="4"/>
  <c r="Q305" i="4"/>
  <c r="AB161" i="2"/>
  <c r="AC161" i="2"/>
  <c r="N177" i="2"/>
  <c r="O177" i="2"/>
  <c r="Q177" i="2"/>
  <c r="Z175" i="1"/>
  <c r="AC175" i="1" s="1"/>
  <c r="AA175" i="1"/>
  <c r="AB174" i="1"/>
  <c r="Q270" i="5" l="1"/>
  <c r="R269" i="5"/>
  <c r="D276" i="4"/>
  <c r="E284" i="4" s="1"/>
  <c r="R277" i="4"/>
  <c r="Q306" i="4"/>
  <c r="AA162" i="2"/>
  <c r="Z162" i="2"/>
  <c r="N178" i="2"/>
  <c r="Q178" i="2"/>
  <c r="O178" i="2"/>
  <c r="P177" i="2"/>
  <c r="Z176" i="1"/>
  <c r="AA176" i="1"/>
  <c r="AB175" i="1"/>
  <c r="R270" i="5" l="1"/>
  <c r="Q271" i="5"/>
  <c r="P178" i="2"/>
  <c r="F284" i="4"/>
  <c r="R278" i="4"/>
  <c r="Q307" i="4"/>
  <c r="AB162" i="2"/>
  <c r="AC162" i="2"/>
  <c r="O179" i="2"/>
  <c r="N179" i="2"/>
  <c r="P179" i="2" s="1"/>
  <c r="AB176" i="1"/>
  <c r="AC176" i="1"/>
  <c r="R271" i="5" l="1"/>
  <c r="Q272" i="5"/>
  <c r="G284" i="4"/>
  <c r="R279" i="4"/>
  <c r="Q308" i="4"/>
  <c r="AA163" i="2"/>
  <c r="Z163" i="2"/>
  <c r="Q179" i="2"/>
  <c r="AA177" i="1"/>
  <c r="Z177" i="1"/>
  <c r="AB177" i="1" s="1"/>
  <c r="R272" i="5" l="1"/>
  <c r="Q273" i="5"/>
  <c r="H284" i="4"/>
  <c r="R280" i="4"/>
  <c r="Q309" i="4"/>
  <c r="AB163" i="2"/>
  <c r="AC163" i="2"/>
  <c r="O180" i="2"/>
  <c r="N180" i="2"/>
  <c r="P180" i="2" s="1"/>
  <c r="AC177" i="1"/>
  <c r="Q274" i="5" l="1"/>
  <c r="R273" i="5"/>
  <c r="I284" i="4"/>
  <c r="R281" i="4"/>
  <c r="Q310" i="4"/>
  <c r="Z164" i="2"/>
  <c r="AA164" i="2"/>
  <c r="Q180" i="2"/>
  <c r="AA178" i="1"/>
  <c r="Z178" i="1"/>
  <c r="AB178" i="1" s="1"/>
  <c r="Q275" i="5" l="1"/>
  <c r="R274" i="5"/>
  <c r="J284" i="4"/>
  <c r="R282" i="4"/>
  <c r="Q311" i="4"/>
  <c r="AB164" i="2"/>
  <c r="AC164" i="2"/>
  <c r="N181" i="2"/>
  <c r="O181" i="2"/>
  <c r="AC178" i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Q276" i="5" l="1"/>
  <c r="R275" i="5"/>
  <c r="K284" i="4"/>
  <c r="R283" i="4"/>
  <c r="Q312" i="4"/>
  <c r="AA165" i="2"/>
  <c r="Z165" i="2"/>
  <c r="P181" i="2"/>
  <c r="Q181" i="2"/>
  <c r="AA179" i="1"/>
  <c r="Z179" i="1"/>
  <c r="R276" i="5" l="1"/>
  <c r="Q277" i="5"/>
  <c r="AB179" i="1"/>
  <c r="L284" i="4"/>
  <c r="R284" i="4"/>
  <c r="Q313" i="4"/>
  <c r="AB165" i="2"/>
  <c r="AC165" i="2"/>
  <c r="O182" i="2"/>
  <c r="N182" i="2"/>
  <c r="P182" i="2" s="1"/>
  <c r="AC179" i="1"/>
  <c r="Z180" i="1" s="1"/>
  <c r="Q278" i="5" l="1"/>
  <c r="R277" i="5"/>
  <c r="AA180" i="1"/>
  <c r="AB180" i="1" s="1"/>
  <c r="M284" i="4"/>
  <c r="R285" i="4"/>
  <c r="Q314" i="4"/>
  <c r="AA166" i="2"/>
  <c r="Z166" i="2"/>
  <c r="Q182" i="2"/>
  <c r="AC180" i="1"/>
  <c r="Q279" i="5" l="1"/>
  <c r="R278" i="5"/>
  <c r="N284" i="4"/>
  <c r="R286" i="4"/>
  <c r="Q315" i="4"/>
  <c r="AB166" i="2"/>
  <c r="AC166" i="2"/>
  <c r="N183" i="2"/>
  <c r="Q183" i="2"/>
  <c r="O183" i="2"/>
  <c r="Z181" i="1"/>
  <c r="AC181" i="1" s="1"/>
  <c r="AA181" i="1"/>
  <c r="Q280" i="5" l="1"/>
  <c r="R279" i="5"/>
  <c r="O284" i="4"/>
  <c r="R287" i="4"/>
  <c r="Q316" i="4"/>
  <c r="Z167" i="2"/>
  <c r="AC167" i="2" s="1"/>
  <c r="AA167" i="2"/>
  <c r="AD167" i="2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O184" i="2"/>
  <c r="N184" i="2"/>
  <c r="P184" i="2" s="1"/>
  <c r="P183" i="2"/>
  <c r="Z182" i="1"/>
  <c r="AA182" i="1"/>
  <c r="AB181" i="1"/>
  <c r="R280" i="5" l="1"/>
  <c r="Q281" i="5"/>
  <c r="P284" i="4"/>
  <c r="R288" i="4"/>
  <c r="Q317" i="4"/>
  <c r="AB167" i="2"/>
  <c r="AA168" i="2"/>
  <c r="Z168" i="2"/>
  <c r="Q184" i="2"/>
  <c r="AB182" i="1"/>
  <c r="AC182" i="1"/>
  <c r="R281" i="5" l="1"/>
  <c r="Q282" i="5"/>
  <c r="D288" i="4"/>
  <c r="E296" i="4" s="1"/>
  <c r="R289" i="4"/>
  <c r="Q318" i="4"/>
  <c r="AB168" i="2"/>
  <c r="AC168" i="2"/>
  <c r="Q185" i="2"/>
  <c r="O185" i="2"/>
  <c r="N185" i="2"/>
  <c r="P185" i="2" s="1"/>
  <c r="AA183" i="1"/>
  <c r="Z183" i="1"/>
  <c r="Q283" i="5" l="1"/>
  <c r="R282" i="5"/>
  <c r="F296" i="4"/>
  <c r="R290" i="4"/>
  <c r="Q319" i="4"/>
  <c r="AB183" i="1"/>
  <c r="Z169" i="2"/>
  <c r="AA169" i="2"/>
  <c r="O186" i="2"/>
  <c r="N186" i="2"/>
  <c r="P186" i="2" s="1"/>
  <c r="AC183" i="1"/>
  <c r="Q284" i="5" l="1"/>
  <c r="R283" i="5"/>
  <c r="G296" i="4"/>
  <c r="R291" i="4"/>
  <c r="Q320" i="4"/>
  <c r="AB169" i="2"/>
  <c r="AC169" i="2"/>
  <c r="Q186" i="2"/>
  <c r="Z184" i="1"/>
  <c r="AC184" i="1" s="1"/>
  <c r="AA184" i="1"/>
  <c r="Q285" i="5" l="1"/>
  <c r="R284" i="5"/>
  <c r="H296" i="4"/>
  <c r="R292" i="4"/>
  <c r="Q321" i="4"/>
  <c r="Z170" i="2"/>
  <c r="AA170" i="2"/>
  <c r="N187" i="2"/>
  <c r="O187" i="2"/>
  <c r="Q187" i="2"/>
  <c r="Z185" i="1"/>
  <c r="AC185" i="1" s="1"/>
  <c r="AA185" i="1"/>
  <c r="AB184" i="1"/>
  <c r="R285" i="5" l="1"/>
  <c r="Q286" i="5"/>
  <c r="P187" i="2"/>
  <c r="I296" i="4"/>
  <c r="R293" i="4"/>
  <c r="Q322" i="4"/>
  <c r="AB170" i="2"/>
  <c r="AC170" i="2"/>
  <c r="N188" i="2"/>
  <c r="O188" i="2"/>
  <c r="AA186" i="1"/>
  <c r="Z186" i="1"/>
  <c r="AB186" i="1" s="1"/>
  <c r="AB185" i="1"/>
  <c r="R286" i="5" l="1"/>
  <c r="Q287" i="5"/>
  <c r="J296" i="4"/>
  <c r="R294" i="4"/>
  <c r="Q323" i="4"/>
  <c r="AA171" i="2"/>
  <c r="Z171" i="2"/>
  <c r="P188" i="2"/>
  <c r="Q188" i="2"/>
  <c r="AC186" i="1"/>
  <c r="R287" i="5" l="1"/>
  <c r="Q288" i="5"/>
  <c r="K296" i="4"/>
  <c r="R295" i="4"/>
  <c r="Q324" i="4"/>
  <c r="AB171" i="2"/>
  <c r="AC171" i="2"/>
  <c r="O189" i="2"/>
  <c r="N189" i="2"/>
  <c r="P189" i="2" s="1"/>
  <c r="Z187" i="1"/>
  <c r="AC187" i="1" s="1"/>
  <c r="AA187" i="1"/>
  <c r="Q289" i="5" l="1"/>
  <c r="R288" i="5"/>
  <c r="L296" i="4"/>
  <c r="R296" i="4"/>
  <c r="Q325" i="4"/>
  <c r="Z172" i="2"/>
  <c r="AA172" i="2"/>
  <c r="Q189" i="2"/>
  <c r="Z188" i="1"/>
  <c r="AC188" i="1" s="1"/>
  <c r="AA188" i="1"/>
  <c r="AB187" i="1"/>
  <c r="R289" i="5" l="1"/>
  <c r="Q290" i="5"/>
  <c r="M296" i="4"/>
  <c r="R297" i="4"/>
  <c r="Q326" i="4"/>
  <c r="AB172" i="2"/>
  <c r="AC172" i="2"/>
  <c r="O190" i="2"/>
  <c r="N190" i="2"/>
  <c r="AA189" i="1"/>
  <c r="Z189" i="1"/>
  <c r="AB188" i="1"/>
  <c r="R290" i="5" l="1"/>
  <c r="Q291" i="5"/>
  <c r="P190" i="2"/>
  <c r="AB189" i="1"/>
  <c r="N296" i="4"/>
  <c r="R298" i="4"/>
  <c r="Q327" i="4"/>
  <c r="AA173" i="2"/>
  <c r="Z173" i="2"/>
  <c r="AC173" i="2" s="1"/>
  <c r="Q190" i="2"/>
  <c r="AC189" i="1"/>
  <c r="R291" i="5" l="1"/>
  <c r="Q292" i="5"/>
  <c r="O296" i="4"/>
  <c r="R299" i="4"/>
  <c r="Q328" i="4"/>
  <c r="AA174" i="2"/>
  <c r="Z174" i="2"/>
  <c r="AB173" i="2"/>
  <c r="N191" i="2"/>
  <c r="Q191" i="2" s="1"/>
  <c r="O191" i="2"/>
  <c r="Z190" i="1"/>
  <c r="AC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A190" i="1"/>
  <c r="Q293" i="5" l="1"/>
  <c r="R292" i="5"/>
  <c r="P296" i="4"/>
  <c r="R300" i="4"/>
  <c r="Q329" i="4"/>
  <c r="AB174" i="2"/>
  <c r="AC174" i="2"/>
  <c r="O192" i="2"/>
  <c r="N192" i="2"/>
  <c r="P192" i="2" s="1"/>
  <c r="P191" i="2"/>
  <c r="AA191" i="1"/>
  <c r="Z191" i="1"/>
  <c r="AB190" i="1"/>
  <c r="Q294" i="5" l="1"/>
  <c r="R293" i="5"/>
  <c r="D300" i="4"/>
  <c r="E308" i="4" s="1"/>
  <c r="R301" i="4"/>
  <c r="Q330" i="4"/>
  <c r="AB191" i="1"/>
  <c r="Z175" i="2"/>
  <c r="AA175" i="2"/>
  <c r="Q192" i="2"/>
  <c r="AC191" i="1"/>
  <c r="R294" i="5" l="1"/>
  <c r="Q295" i="5"/>
  <c r="F308" i="4"/>
  <c r="R302" i="4"/>
  <c r="Q331" i="4"/>
  <c r="AB175" i="2"/>
  <c r="AC175" i="2"/>
  <c r="N193" i="2"/>
  <c r="P193" i="2" s="1"/>
  <c r="O193" i="2"/>
  <c r="AA192" i="1"/>
  <c r="Z192" i="1"/>
  <c r="AB192" i="1" s="1"/>
  <c r="R295" i="5" l="1"/>
  <c r="Q296" i="5"/>
  <c r="G308" i="4"/>
  <c r="R303" i="4"/>
  <c r="Q332" i="4"/>
  <c r="AA176" i="2"/>
  <c r="Z176" i="2"/>
  <c r="Q193" i="2"/>
  <c r="AC192" i="1"/>
  <c r="R296" i="5" l="1"/>
  <c r="Q297" i="5"/>
  <c r="H308" i="4"/>
  <c r="R304" i="4"/>
  <c r="Q333" i="4"/>
  <c r="AB176" i="2"/>
  <c r="AC176" i="2"/>
  <c r="O194" i="2"/>
  <c r="N194" i="2"/>
  <c r="Z193" i="1"/>
  <c r="AC193" i="1" s="1"/>
  <c r="AA193" i="1"/>
  <c r="Q298" i="5" l="1"/>
  <c r="R297" i="5"/>
  <c r="P194" i="2"/>
  <c r="I308" i="4"/>
  <c r="R305" i="4"/>
  <c r="Q334" i="4"/>
  <c r="Z177" i="2"/>
  <c r="AA177" i="2"/>
  <c r="Q194" i="2"/>
  <c r="Z194" i="1"/>
  <c r="AC194" i="1" s="1"/>
  <c r="AA194" i="1"/>
  <c r="AB193" i="1"/>
  <c r="Q299" i="5" l="1"/>
  <c r="R298" i="5"/>
  <c r="J308" i="4"/>
  <c r="R306" i="4"/>
  <c r="Q335" i="4"/>
  <c r="AB177" i="2"/>
  <c r="AC177" i="2"/>
  <c r="N195" i="2"/>
  <c r="P195" i="2" s="1"/>
  <c r="O195" i="2"/>
  <c r="Z195" i="1"/>
  <c r="AC195" i="1" s="1"/>
  <c r="AA195" i="1"/>
  <c r="AB194" i="1"/>
  <c r="R299" i="5" l="1"/>
  <c r="Q300" i="5"/>
  <c r="K308" i="4"/>
  <c r="R307" i="4"/>
  <c r="Q336" i="4"/>
  <c r="AA178" i="2"/>
  <c r="Z178" i="2"/>
  <c r="AC178" i="2" s="1"/>
  <c r="Q195" i="2"/>
  <c r="Z196" i="1"/>
  <c r="AC196" i="1" s="1"/>
  <c r="AA196" i="1"/>
  <c r="AB195" i="1"/>
  <c r="R300" i="5" l="1"/>
  <c r="Q301" i="5"/>
  <c r="L308" i="4"/>
  <c r="R308" i="4"/>
  <c r="Q337" i="4"/>
  <c r="AA179" i="2"/>
  <c r="AD179" i="2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Z179" i="2"/>
  <c r="AB178" i="2"/>
  <c r="O196" i="2"/>
  <c r="N196" i="2"/>
  <c r="P196" i="2" s="1"/>
  <c r="AA197" i="1"/>
  <c r="Z197" i="1"/>
  <c r="AB196" i="1"/>
  <c r="Q302" i="5" l="1"/>
  <c r="R301" i="5"/>
  <c r="AB197" i="1"/>
  <c r="AB179" i="2"/>
  <c r="M308" i="4"/>
  <c r="R309" i="4"/>
  <c r="Q338" i="4"/>
  <c r="AC179" i="2"/>
  <c r="Q196" i="2"/>
  <c r="AC197" i="1"/>
  <c r="Q303" i="5" l="1"/>
  <c r="R302" i="5"/>
  <c r="N308" i="4"/>
  <c r="R310" i="4"/>
  <c r="Q339" i="4"/>
  <c r="AA180" i="2"/>
  <c r="Z180" i="2"/>
  <c r="N197" i="2"/>
  <c r="Q197" i="2" s="1"/>
  <c r="O197" i="2"/>
  <c r="Z198" i="1"/>
  <c r="AC198" i="1" s="1"/>
  <c r="AA198" i="1"/>
  <c r="R303" i="5" l="1"/>
  <c r="Q304" i="5"/>
  <c r="O308" i="4"/>
  <c r="R311" i="4"/>
  <c r="Q340" i="4"/>
  <c r="AB180" i="2"/>
  <c r="AC180" i="2"/>
  <c r="P197" i="2"/>
  <c r="N198" i="2"/>
  <c r="Q198" i="2"/>
  <c r="O198" i="2"/>
  <c r="Z199" i="1"/>
  <c r="AC199" i="1" s="1"/>
  <c r="AA199" i="1"/>
  <c r="AB198" i="1"/>
  <c r="R304" i="5" l="1"/>
  <c r="Q305" i="5"/>
  <c r="P308" i="4"/>
  <c r="R312" i="4"/>
  <c r="Q341" i="4"/>
  <c r="AA181" i="2"/>
  <c r="Z181" i="2"/>
  <c r="O199" i="2"/>
  <c r="N199" i="2"/>
  <c r="P198" i="2"/>
  <c r="Z200" i="1"/>
  <c r="AA200" i="1"/>
  <c r="AB199" i="1"/>
  <c r="Q306" i="5" l="1"/>
  <c r="R305" i="5"/>
  <c r="P199" i="2"/>
  <c r="D312" i="4"/>
  <c r="E320" i="4" s="1"/>
  <c r="R313" i="4"/>
  <c r="Q342" i="4"/>
  <c r="AB181" i="2"/>
  <c r="AC181" i="2"/>
  <c r="Q199" i="2"/>
  <c r="AC200" i="1"/>
  <c r="AB200" i="1"/>
  <c r="Q307" i="5" l="1"/>
  <c r="R306" i="5"/>
  <c r="F320" i="4"/>
  <c r="R314" i="4"/>
  <c r="Q343" i="4"/>
  <c r="Z182" i="2"/>
  <c r="AA182" i="2"/>
  <c r="O200" i="2"/>
  <c r="N200" i="2"/>
  <c r="Q200" i="2"/>
  <c r="AA201" i="1"/>
  <c r="Z201" i="1"/>
  <c r="Q308" i="5" l="1"/>
  <c r="R307" i="5"/>
  <c r="P200" i="2"/>
  <c r="G320" i="4"/>
  <c r="R315" i="4"/>
  <c r="Q344" i="4"/>
  <c r="AB201" i="1"/>
  <c r="AC182" i="2"/>
  <c r="AB182" i="2"/>
  <c r="O201" i="2"/>
  <c r="N201" i="2"/>
  <c r="Q201" i="2"/>
  <c r="AC201" i="1"/>
  <c r="Q309" i="5" l="1"/>
  <c r="R308" i="5"/>
  <c r="H320" i="4"/>
  <c r="R316" i="4"/>
  <c r="Q345" i="4"/>
  <c r="AA183" i="2"/>
  <c r="Z183" i="2"/>
  <c r="O202" i="2"/>
  <c r="N202" i="2"/>
  <c r="P202" i="2" s="1"/>
  <c r="P201" i="2"/>
  <c r="Z202" i="1"/>
  <c r="AC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A202" i="1"/>
  <c r="Q310" i="5" l="1"/>
  <c r="R309" i="5"/>
  <c r="I320" i="4"/>
  <c r="R317" i="4"/>
  <c r="Q346" i="4"/>
  <c r="AB183" i="2"/>
  <c r="AC183" i="2"/>
  <c r="Q202" i="2"/>
  <c r="Z203" i="1"/>
  <c r="AC203" i="1" s="1"/>
  <c r="AA203" i="1"/>
  <c r="AB202" i="1"/>
  <c r="R310" i="5" l="1"/>
  <c r="Q311" i="5"/>
  <c r="J320" i="4"/>
  <c r="R318" i="4"/>
  <c r="Q347" i="4"/>
  <c r="AA184" i="2"/>
  <c r="Z184" i="2"/>
  <c r="N203" i="2"/>
  <c r="Q203" i="2" s="1"/>
  <c r="O203" i="2"/>
  <c r="AA204" i="1"/>
  <c r="Z204" i="1"/>
  <c r="AB203" i="1"/>
  <c r="Q312" i="5" l="1"/>
  <c r="R311" i="5"/>
  <c r="K320" i="4"/>
  <c r="R319" i="4"/>
  <c r="Q348" i="4"/>
  <c r="AB204" i="1"/>
  <c r="AB184" i="2"/>
  <c r="AC184" i="2"/>
  <c r="O204" i="2"/>
  <c r="N204" i="2"/>
  <c r="P204" i="2" s="1"/>
  <c r="P203" i="2"/>
  <c r="AC204" i="1"/>
  <c r="R312" i="5" l="1"/>
  <c r="Q313" i="5"/>
  <c r="L320" i="4"/>
  <c r="R320" i="4"/>
  <c r="Q349" i="4"/>
  <c r="AA185" i="2"/>
  <c r="Z185" i="2"/>
  <c r="Q204" i="2"/>
  <c r="AA205" i="1"/>
  <c r="Z205" i="1"/>
  <c r="R313" i="5" l="1"/>
  <c r="Q314" i="5"/>
  <c r="M320" i="4"/>
  <c r="R321" i="4"/>
  <c r="Q350" i="4"/>
  <c r="AB185" i="2"/>
  <c r="AC185" i="2"/>
  <c r="N205" i="2"/>
  <c r="Q205" i="2" s="1"/>
  <c r="O205" i="2"/>
  <c r="AC205" i="1"/>
  <c r="AB205" i="1"/>
  <c r="R314" i="5" l="1"/>
  <c r="Q315" i="5"/>
  <c r="N320" i="4"/>
  <c r="R322" i="4"/>
  <c r="Q351" i="4"/>
  <c r="Z186" i="2"/>
  <c r="AA186" i="2"/>
  <c r="O206" i="2"/>
  <c r="N206" i="2"/>
  <c r="P206" i="2" s="1"/>
  <c r="P205" i="2"/>
  <c r="Z206" i="1"/>
  <c r="AC206" i="1" s="1"/>
  <c r="AA206" i="1"/>
  <c r="Q316" i="5" l="1"/>
  <c r="R315" i="5"/>
  <c r="O320" i="4"/>
  <c r="R323" i="4"/>
  <c r="Q352" i="4"/>
  <c r="AB186" i="2"/>
  <c r="AC186" i="2"/>
  <c r="Q206" i="2"/>
  <c r="AA207" i="1"/>
  <c r="Z207" i="1"/>
  <c r="AB207" i="1" s="1"/>
  <c r="AB206" i="1"/>
  <c r="Q317" i="5" l="1"/>
  <c r="R316" i="5"/>
  <c r="P320" i="4"/>
  <c r="R324" i="4"/>
  <c r="Q353" i="4"/>
  <c r="Z187" i="2"/>
  <c r="AC187" i="2" s="1"/>
  <c r="AA187" i="2"/>
  <c r="N207" i="2"/>
  <c r="O207" i="2"/>
  <c r="AC207" i="1"/>
  <c r="R317" i="5" l="1"/>
  <c r="Q318" i="5"/>
  <c r="D324" i="4"/>
  <c r="E332" i="4" s="1"/>
  <c r="R325" i="4"/>
  <c r="Q354" i="4"/>
  <c r="AA188" i="2"/>
  <c r="Z188" i="2"/>
  <c r="AC188" i="2" s="1"/>
  <c r="AB187" i="2"/>
  <c r="P207" i="2"/>
  <c r="Q207" i="2"/>
  <c r="Z208" i="1"/>
  <c r="AC208" i="1" s="1"/>
  <c r="AA208" i="1"/>
  <c r="R318" i="5" l="1"/>
  <c r="Q319" i="5"/>
  <c r="F332" i="4"/>
  <c r="R326" i="4"/>
  <c r="Q355" i="4"/>
  <c r="AA189" i="2"/>
  <c r="Z189" i="2"/>
  <c r="AC189" i="2" s="1"/>
  <c r="AB188" i="2"/>
  <c r="O208" i="2"/>
  <c r="N208" i="2"/>
  <c r="P208" i="2" s="1"/>
  <c r="AA209" i="1"/>
  <c r="Z209" i="1"/>
  <c r="AB209" i="1" s="1"/>
  <c r="AB208" i="1"/>
  <c r="Q320" i="5" l="1"/>
  <c r="R319" i="5"/>
  <c r="Q208" i="2"/>
  <c r="G332" i="4"/>
  <c r="R327" i="4"/>
  <c r="Q356" i="4"/>
  <c r="Z190" i="2"/>
  <c r="AA190" i="2"/>
  <c r="AB189" i="2"/>
  <c r="N209" i="2"/>
  <c r="Q209" i="2" s="1"/>
  <c r="O209" i="2"/>
  <c r="AC209" i="1"/>
  <c r="R320" i="5" l="1"/>
  <c r="Q321" i="5"/>
  <c r="H332" i="4"/>
  <c r="R328" i="4"/>
  <c r="Q357" i="4"/>
  <c r="AB190" i="2"/>
  <c r="AC190" i="2"/>
  <c r="O210" i="2"/>
  <c r="N210" i="2"/>
  <c r="P209" i="2"/>
  <c r="Z210" i="1"/>
  <c r="AC210" i="1" s="1"/>
  <c r="AA210" i="1"/>
  <c r="R321" i="5" l="1"/>
  <c r="Q322" i="5"/>
  <c r="P210" i="2"/>
  <c r="I332" i="4"/>
  <c r="R329" i="4"/>
  <c r="Q358" i="4"/>
  <c r="AA191" i="2"/>
  <c r="AD191" i="2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Z191" i="2"/>
  <c r="Q210" i="2"/>
  <c r="Z211" i="1"/>
  <c r="AC211" i="1" s="1"/>
  <c r="AA211" i="1"/>
  <c r="AB210" i="1"/>
  <c r="Q323" i="5" l="1"/>
  <c r="R322" i="5"/>
  <c r="J332" i="4"/>
  <c r="R330" i="4"/>
  <c r="Q359" i="4"/>
  <c r="AB191" i="2"/>
  <c r="AC191" i="2"/>
  <c r="N211" i="2"/>
  <c r="O211" i="2"/>
  <c r="AA212" i="1"/>
  <c r="Z212" i="1"/>
  <c r="AB211" i="1"/>
  <c r="R323" i="5" l="1"/>
  <c r="Q324" i="5"/>
  <c r="K332" i="4"/>
  <c r="R331" i="4"/>
  <c r="Q360" i="4"/>
  <c r="AB212" i="1"/>
  <c r="Z192" i="2"/>
  <c r="AA192" i="2"/>
  <c r="P211" i="2"/>
  <c r="Q211" i="2"/>
  <c r="AC212" i="1"/>
  <c r="R324" i="5" l="1"/>
  <c r="Q325" i="5"/>
  <c r="L332" i="4"/>
  <c r="R332" i="4"/>
  <c r="Q361" i="4"/>
  <c r="AB192" i="2"/>
  <c r="AC192" i="2"/>
  <c r="O212" i="2"/>
  <c r="N212" i="2"/>
  <c r="P212" i="2" s="1"/>
  <c r="Z213" i="1"/>
  <c r="AC213" i="1" s="1"/>
  <c r="AA213" i="1"/>
  <c r="Q326" i="5" l="1"/>
  <c r="R325" i="5"/>
  <c r="M332" i="4"/>
  <c r="R333" i="4"/>
  <c r="Q362" i="4"/>
  <c r="AA193" i="2"/>
  <c r="Z193" i="2"/>
  <c r="Q212" i="2"/>
  <c r="AA214" i="1"/>
  <c r="Z214" i="1"/>
  <c r="AB214" i="1" s="1"/>
  <c r="AB213" i="1"/>
  <c r="Q327" i="5" l="1"/>
  <c r="R326" i="5"/>
  <c r="N332" i="4"/>
  <c r="R334" i="4"/>
  <c r="Q363" i="4"/>
  <c r="AB193" i="2"/>
  <c r="AC193" i="2"/>
  <c r="N213" i="2"/>
  <c r="Q213" i="2" s="1"/>
  <c r="O213" i="2"/>
  <c r="AC214" i="1"/>
  <c r="R327" i="5" l="1"/>
  <c r="Q328" i="5"/>
  <c r="O332" i="4"/>
  <c r="R335" i="4"/>
  <c r="Q364" i="4"/>
  <c r="AA194" i="2"/>
  <c r="Z194" i="2"/>
  <c r="O214" i="2"/>
  <c r="N214" i="2"/>
  <c r="P213" i="2"/>
  <c r="C9" i="1"/>
  <c r="C10" i="1" s="1"/>
  <c r="C6" i="1"/>
  <c r="C7" i="1" s="1"/>
  <c r="C3" i="1"/>
  <c r="C5" i="1" s="1"/>
  <c r="Q329" i="5" l="1"/>
  <c r="R328" i="5"/>
  <c r="P214" i="2"/>
  <c r="P332" i="4"/>
  <c r="R336" i="4"/>
  <c r="Q365" i="4"/>
  <c r="AB194" i="2"/>
  <c r="AC194" i="2"/>
  <c r="Q214" i="2"/>
  <c r="C8" i="1"/>
  <c r="C4" i="1"/>
  <c r="C11" i="1"/>
  <c r="R329" i="5" l="1"/>
  <c r="Q330" i="5"/>
  <c r="D336" i="4"/>
  <c r="E344" i="4" s="1"/>
  <c r="R337" i="4"/>
  <c r="Q366" i="4"/>
  <c r="AA195" i="2"/>
  <c r="Z195" i="2"/>
  <c r="N215" i="2"/>
  <c r="O215" i="2"/>
  <c r="M8" i="1"/>
  <c r="M9" i="1" s="1"/>
  <c r="Q14" i="1" s="1"/>
  <c r="M7" i="1"/>
  <c r="M4" i="1" s="1"/>
  <c r="R330" i="5" l="1"/>
  <c r="Q331" i="5"/>
  <c r="F344" i="4"/>
  <c r="R338" i="4"/>
  <c r="Q367" i="4"/>
  <c r="AB195" i="2"/>
  <c r="AC195" i="2"/>
  <c r="P215" i="2"/>
  <c r="Q215" i="2"/>
  <c r="M2" i="1"/>
  <c r="M3" i="1" s="1"/>
  <c r="N15" i="1"/>
  <c r="Q15" i="1" s="1"/>
  <c r="O15" i="1"/>
  <c r="R331" i="5" l="1"/>
  <c r="Q332" i="5"/>
  <c r="G344" i="4"/>
  <c r="R339" i="4"/>
  <c r="Q368" i="4"/>
  <c r="Z196" i="2"/>
  <c r="AA196" i="2"/>
  <c r="O216" i="2"/>
  <c r="N216" i="2"/>
  <c r="P216" i="2" s="1"/>
  <c r="N16" i="1"/>
  <c r="Q16" i="1" s="1"/>
  <c r="O16" i="1"/>
  <c r="P15" i="1"/>
  <c r="R332" i="5" l="1"/>
  <c r="Q333" i="5"/>
  <c r="H344" i="4"/>
  <c r="R340" i="4"/>
  <c r="Q369" i="4"/>
  <c r="AB196" i="2"/>
  <c r="AC196" i="2"/>
  <c r="Q216" i="2"/>
  <c r="N17" i="1"/>
  <c r="O17" i="1"/>
  <c r="P16" i="1"/>
  <c r="Q334" i="5" l="1"/>
  <c r="R333" i="5"/>
  <c r="I344" i="4"/>
  <c r="R341" i="4"/>
  <c r="Q370" i="4"/>
  <c r="Z197" i="2"/>
  <c r="AA197" i="2"/>
  <c r="N217" i="2"/>
  <c r="O217" i="2"/>
  <c r="Q217" i="2"/>
  <c r="P17" i="1"/>
  <c r="Q17" i="1"/>
  <c r="N18" i="1" s="1"/>
  <c r="Q18" i="1" s="1"/>
  <c r="Q335" i="5" l="1"/>
  <c r="R334" i="5"/>
  <c r="O18" i="1"/>
  <c r="J344" i="4"/>
  <c r="R342" i="4"/>
  <c r="Q371" i="4"/>
  <c r="AB197" i="2"/>
  <c r="AC197" i="2"/>
  <c r="N218" i="2"/>
  <c r="Q218" i="2" s="1"/>
  <c r="O218" i="2"/>
  <c r="P217" i="2"/>
  <c r="N19" i="1"/>
  <c r="Q19" i="1" s="1"/>
  <c r="O19" i="1"/>
  <c r="P18" i="1"/>
  <c r="Q336" i="5" l="1"/>
  <c r="R335" i="5"/>
  <c r="K344" i="4"/>
  <c r="R343" i="4"/>
  <c r="Q372" i="4"/>
  <c r="Z198" i="2"/>
  <c r="AA198" i="2"/>
  <c r="O219" i="2"/>
  <c r="N219" i="2"/>
  <c r="P219" i="2" s="1"/>
  <c r="P218" i="2"/>
  <c r="N20" i="1"/>
  <c r="Q20" i="1" s="1"/>
  <c r="O20" i="1"/>
  <c r="P19" i="1"/>
  <c r="R336" i="5" l="1"/>
  <c r="Q337" i="5"/>
  <c r="L344" i="4"/>
  <c r="R344" i="4"/>
  <c r="Q373" i="4"/>
  <c r="AB198" i="2"/>
  <c r="AC198" i="2"/>
  <c r="Q219" i="2"/>
  <c r="N21" i="1"/>
  <c r="Q21" i="1" s="1"/>
  <c r="O21" i="1"/>
  <c r="P20" i="1"/>
  <c r="R337" i="5" l="1"/>
  <c r="Q338" i="5"/>
  <c r="M344" i="4"/>
  <c r="R345" i="4"/>
  <c r="Q374" i="4"/>
  <c r="AA199" i="2"/>
  <c r="Z199" i="2"/>
  <c r="O220" i="2"/>
  <c r="N220" i="2"/>
  <c r="N22" i="1"/>
  <c r="Q22" i="1" s="1"/>
  <c r="O22" i="1"/>
  <c r="P21" i="1"/>
  <c r="Q339" i="5" l="1"/>
  <c r="R338" i="5"/>
  <c r="P220" i="2"/>
  <c r="N344" i="4"/>
  <c r="R346" i="4"/>
  <c r="Q375" i="4"/>
  <c r="AB199" i="2"/>
  <c r="AC199" i="2"/>
  <c r="Q220" i="2"/>
  <c r="N23" i="1"/>
  <c r="Q23" i="1" s="1"/>
  <c r="O23" i="1"/>
  <c r="P22" i="1"/>
  <c r="Q340" i="5" l="1"/>
  <c r="R339" i="5"/>
  <c r="O344" i="4"/>
  <c r="R347" i="4"/>
  <c r="Q376" i="4"/>
  <c r="AA200" i="2"/>
  <c r="Z200" i="2"/>
  <c r="AC200" i="2" s="1"/>
  <c r="O221" i="2"/>
  <c r="N221" i="2"/>
  <c r="N24" i="1"/>
  <c r="Q24" i="1" s="1"/>
  <c r="O24" i="1"/>
  <c r="P23" i="1"/>
  <c r="R340" i="5" l="1"/>
  <c r="Q341" i="5"/>
  <c r="P221" i="2"/>
  <c r="P344" i="4"/>
  <c r="R348" i="4"/>
  <c r="Q377" i="4"/>
  <c r="AA201" i="2"/>
  <c r="Z201" i="2"/>
  <c r="AB200" i="2"/>
  <c r="Q221" i="2"/>
  <c r="O25" i="1"/>
  <c r="N25" i="1"/>
  <c r="Q25" i="1"/>
  <c r="P24" i="1"/>
  <c r="R341" i="5" l="1"/>
  <c r="Q342" i="5"/>
  <c r="D348" i="4"/>
  <c r="E356" i="4" s="1"/>
  <c r="R349" i="4"/>
  <c r="Q378" i="4"/>
  <c r="AB201" i="2"/>
  <c r="AC201" i="2"/>
  <c r="O222" i="2"/>
  <c r="N222" i="2"/>
  <c r="P222" i="2" s="1"/>
  <c r="P25" i="1"/>
  <c r="O26" i="1"/>
  <c r="N26" i="1"/>
  <c r="P26" i="1" s="1"/>
  <c r="Q343" i="5" l="1"/>
  <c r="R342" i="5"/>
  <c r="Q26" i="1"/>
  <c r="F356" i="4"/>
  <c r="R350" i="4"/>
  <c r="Q379" i="4"/>
  <c r="AA202" i="2"/>
  <c r="Z202" i="2"/>
  <c r="Q222" i="2"/>
  <c r="N27" i="1"/>
  <c r="Q27" i="1" s="1"/>
  <c r="O27" i="1"/>
  <c r="Q344" i="5" l="1"/>
  <c r="R343" i="5"/>
  <c r="G356" i="4"/>
  <c r="R351" i="4"/>
  <c r="Q380" i="4"/>
  <c r="AB202" i="2"/>
  <c r="AC202" i="2"/>
  <c r="N223" i="2"/>
  <c r="P223" i="2" s="1"/>
  <c r="O223" i="2"/>
  <c r="N28" i="1"/>
  <c r="O28" i="1"/>
  <c r="Q28" i="1"/>
  <c r="P27" i="1"/>
  <c r="Q345" i="5" l="1"/>
  <c r="R344" i="5"/>
  <c r="H356" i="4"/>
  <c r="R352" i="4"/>
  <c r="Q381" i="4"/>
  <c r="AA203" i="2"/>
  <c r="Z203" i="2"/>
  <c r="AD203" i="2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Q223" i="2"/>
  <c r="N29" i="1"/>
  <c r="Q29" i="1" s="1"/>
  <c r="O29" i="1"/>
  <c r="P28" i="1"/>
  <c r="R345" i="5" l="1"/>
  <c r="Q346" i="5"/>
  <c r="I356" i="4"/>
  <c r="R353" i="4"/>
  <c r="Q382" i="4"/>
  <c r="AB203" i="2"/>
  <c r="AC203" i="2"/>
  <c r="N224" i="2"/>
  <c r="Q224" i="2" s="1"/>
  <c r="O224" i="2"/>
  <c r="N30" i="1"/>
  <c r="Q30" i="1" s="1"/>
  <c r="O30" i="1"/>
  <c r="P29" i="1"/>
  <c r="R346" i="5" l="1"/>
  <c r="Q347" i="5"/>
  <c r="J356" i="4"/>
  <c r="R354" i="4"/>
  <c r="Q383" i="4"/>
  <c r="AA204" i="2"/>
  <c r="Z204" i="2"/>
  <c r="O225" i="2"/>
  <c r="N225" i="2"/>
  <c r="Q225" i="2"/>
  <c r="P224" i="2"/>
  <c r="O31" i="1"/>
  <c r="N31" i="1"/>
  <c r="P31" i="1" s="1"/>
  <c r="P30" i="1"/>
  <c r="Q348" i="5" l="1"/>
  <c r="R347" i="5"/>
  <c r="P225" i="2"/>
  <c r="K356" i="4"/>
  <c r="R355" i="4"/>
  <c r="Q384" i="4"/>
  <c r="AB204" i="2"/>
  <c r="AC204" i="2"/>
  <c r="O226" i="2"/>
  <c r="N226" i="2"/>
  <c r="P226" i="2" s="1"/>
  <c r="Q31" i="1"/>
  <c r="N32" i="1" s="1"/>
  <c r="Q32" i="1" s="1"/>
  <c r="O32" i="1"/>
  <c r="Q349" i="5" l="1"/>
  <c r="R348" i="5"/>
  <c r="L356" i="4"/>
  <c r="R356" i="4"/>
  <c r="Q385" i="4"/>
  <c r="Z205" i="2"/>
  <c r="AA205" i="2"/>
  <c r="Q226" i="2"/>
  <c r="N33" i="1"/>
  <c r="O33" i="1"/>
  <c r="Q33" i="1"/>
  <c r="P32" i="1"/>
  <c r="R349" i="5" l="1"/>
  <c r="Q350" i="5"/>
  <c r="M356" i="4"/>
  <c r="R357" i="4"/>
  <c r="AB205" i="2"/>
  <c r="AC205" i="2"/>
  <c r="O227" i="2"/>
  <c r="N227" i="2"/>
  <c r="N34" i="1"/>
  <c r="O34" i="1"/>
  <c r="Q34" i="1"/>
  <c r="P33" i="1"/>
  <c r="R350" i="5" l="1"/>
  <c r="Q351" i="5"/>
  <c r="P227" i="2"/>
  <c r="N356" i="4"/>
  <c r="R358" i="4"/>
  <c r="AA206" i="2"/>
  <c r="Z206" i="2"/>
  <c r="Q227" i="2"/>
  <c r="N35" i="1"/>
  <c r="O35" i="1"/>
  <c r="Q35" i="1"/>
  <c r="P34" i="1"/>
  <c r="R351" i="5" l="1"/>
  <c r="Q352" i="5"/>
  <c r="AB206" i="2"/>
  <c r="O356" i="4"/>
  <c r="R359" i="4"/>
  <c r="AC206" i="2"/>
  <c r="O228" i="2"/>
  <c r="N228" i="2"/>
  <c r="P228" i="2" s="1"/>
  <c r="N36" i="1"/>
  <c r="O36" i="1"/>
  <c r="Q36" i="1"/>
  <c r="P35" i="1"/>
  <c r="Q353" i="5" l="1"/>
  <c r="R352" i="5"/>
  <c r="P356" i="4"/>
  <c r="R360" i="4"/>
  <c r="AA207" i="2"/>
  <c r="Z207" i="2"/>
  <c r="Q228" i="2"/>
  <c r="N37" i="1"/>
  <c r="Q37" i="1" s="1"/>
  <c r="O37" i="1"/>
  <c r="P36" i="1"/>
  <c r="Q354" i="5" l="1"/>
  <c r="R353" i="5"/>
  <c r="P37" i="1"/>
  <c r="D360" i="4"/>
  <c r="E368" i="4" s="1"/>
  <c r="R361" i="4"/>
  <c r="AB207" i="2"/>
  <c r="AC207" i="2"/>
  <c r="O229" i="2"/>
  <c r="N229" i="2"/>
  <c r="P229" i="2" s="1"/>
  <c r="Q229" i="2"/>
  <c r="N38" i="1"/>
  <c r="O38" i="1"/>
  <c r="Q38" i="1"/>
  <c r="R354" i="5" l="1"/>
  <c r="Q355" i="5"/>
  <c r="F368" i="4"/>
  <c r="R362" i="4"/>
  <c r="Z208" i="2"/>
  <c r="AC208" i="2" s="1"/>
  <c r="AA208" i="2"/>
  <c r="N230" i="2"/>
  <c r="Q230" i="2"/>
  <c r="O230" i="2"/>
  <c r="N39" i="1"/>
  <c r="Q39" i="1" s="1"/>
  <c r="O39" i="1"/>
  <c r="P38" i="1"/>
  <c r="R355" i="5" l="1"/>
  <c r="Q356" i="5"/>
  <c r="G368" i="4"/>
  <c r="R363" i="4"/>
  <c r="AB208" i="2"/>
  <c r="AA209" i="2"/>
  <c r="Z209" i="2"/>
  <c r="O231" i="2"/>
  <c r="N231" i="2"/>
  <c r="P230" i="2"/>
  <c r="N40" i="1"/>
  <c r="Q40" i="1" s="1"/>
  <c r="O40" i="1"/>
  <c r="P39" i="1"/>
  <c r="Q357" i="5" l="1"/>
  <c r="R356" i="5"/>
  <c r="P231" i="2"/>
  <c r="H368" i="4"/>
  <c r="R364" i="4"/>
  <c r="AB209" i="2"/>
  <c r="AC209" i="2"/>
  <c r="Q231" i="2"/>
  <c r="N41" i="1"/>
  <c r="Q41" i="1" s="1"/>
  <c r="O41" i="1"/>
  <c r="P40" i="1"/>
  <c r="R357" i="5" l="1"/>
  <c r="Q358" i="5"/>
  <c r="I368" i="4"/>
  <c r="R365" i="4"/>
  <c r="AA210" i="2"/>
  <c r="Z210" i="2"/>
  <c r="AC210" i="2" s="1"/>
  <c r="O232" i="2"/>
  <c r="N232" i="2"/>
  <c r="P232" i="2" s="1"/>
  <c r="N42" i="1"/>
  <c r="O42" i="1"/>
  <c r="Q42" i="1"/>
  <c r="P41" i="1"/>
  <c r="Q359" i="5" l="1"/>
  <c r="R358" i="5"/>
  <c r="J368" i="4"/>
  <c r="R366" i="4"/>
  <c r="AA211" i="2"/>
  <c r="Z211" i="2"/>
  <c r="AB211" i="2" s="1"/>
  <c r="AB210" i="2"/>
  <c r="Q232" i="2"/>
  <c r="N43" i="1"/>
  <c r="Q43" i="1" s="1"/>
  <c r="O43" i="1"/>
  <c r="P42" i="1"/>
  <c r="Q360" i="5" l="1"/>
  <c r="R359" i="5"/>
  <c r="K368" i="4"/>
  <c r="R367" i="4"/>
  <c r="AC211" i="2"/>
  <c r="N233" i="2"/>
  <c r="O233" i="2"/>
  <c r="N44" i="1"/>
  <c r="Q44" i="1" s="1"/>
  <c r="O44" i="1"/>
  <c r="P43" i="1"/>
  <c r="R360" i="5" l="1"/>
  <c r="Q361" i="5"/>
  <c r="L368" i="4"/>
  <c r="R368" i="4"/>
  <c r="Z212" i="2"/>
  <c r="AA212" i="2"/>
  <c r="P233" i="2"/>
  <c r="Q233" i="2"/>
  <c r="N45" i="1"/>
  <c r="Q45" i="1" s="1"/>
  <c r="O45" i="1"/>
  <c r="P44" i="1"/>
  <c r="Q362" i="5" l="1"/>
  <c r="R361" i="5"/>
  <c r="M368" i="4"/>
  <c r="R369" i="4"/>
  <c r="AB212" i="2"/>
  <c r="AC212" i="2"/>
  <c r="O234" i="2"/>
  <c r="N234" i="2"/>
  <c r="P234" i="2" s="1"/>
  <c r="N46" i="1"/>
  <c r="O46" i="1"/>
  <c r="Q46" i="1"/>
  <c r="P45" i="1"/>
  <c r="Q363" i="5" l="1"/>
  <c r="R362" i="5"/>
  <c r="N368" i="4"/>
  <c r="R370" i="4"/>
  <c r="AA213" i="2"/>
  <c r="Z213" i="2"/>
  <c r="Q234" i="2"/>
  <c r="N47" i="1"/>
  <c r="Q47" i="1" s="1"/>
  <c r="O47" i="1"/>
  <c r="P46" i="1"/>
  <c r="Q364" i="5" l="1"/>
  <c r="R363" i="5"/>
  <c r="O368" i="4"/>
  <c r="R371" i="4"/>
  <c r="AB213" i="2"/>
  <c r="AC213" i="2"/>
  <c r="N235" i="2"/>
  <c r="Q235" i="2" s="1"/>
  <c r="O235" i="2"/>
  <c r="N48" i="1"/>
  <c r="Q48" i="1" s="1"/>
  <c r="O48" i="1"/>
  <c r="P47" i="1"/>
  <c r="R364" i="5" l="1"/>
  <c r="Q365" i="5"/>
  <c r="P368" i="4"/>
  <c r="R372" i="4"/>
  <c r="Z214" i="2"/>
  <c r="AA214" i="2"/>
  <c r="N236" i="2"/>
  <c r="Q236" i="2" s="1"/>
  <c r="O236" i="2"/>
  <c r="P235" i="2"/>
  <c r="N49" i="1"/>
  <c r="Q49" i="1" s="1"/>
  <c r="O49" i="1"/>
  <c r="P48" i="1"/>
  <c r="R365" i="5" l="1"/>
  <c r="Q366" i="5"/>
  <c r="D372" i="4"/>
  <c r="E380" i="4" s="1"/>
  <c r="R373" i="4"/>
  <c r="AB214" i="2"/>
  <c r="AC214" i="2"/>
  <c r="O237" i="2"/>
  <c r="N237" i="2"/>
  <c r="P237" i="2" s="1"/>
  <c r="P236" i="2"/>
  <c r="N50" i="1"/>
  <c r="Q50" i="1" s="1"/>
  <c r="O50" i="1"/>
  <c r="P49" i="1"/>
  <c r="Q367" i="5" l="1"/>
  <c r="R366" i="5"/>
  <c r="Q237" i="2"/>
  <c r="F380" i="4"/>
  <c r="R374" i="4"/>
  <c r="O238" i="2"/>
  <c r="N238" i="2"/>
  <c r="N51" i="1"/>
  <c r="O51" i="1"/>
  <c r="P50" i="1"/>
  <c r="Q368" i="5" l="1"/>
  <c r="R367" i="5"/>
  <c r="P238" i="2"/>
  <c r="G380" i="4"/>
  <c r="R375" i="4"/>
  <c r="Q238" i="2"/>
  <c r="P51" i="1"/>
  <c r="Q51" i="1"/>
  <c r="Q369" i="5" l="1"/>
  <c r="R368" i="5"/>
  <c r="H380" i="4"/>
  <c r="R376" i="4"/>
  <c r="O239" i="2"/>
  <c r="N239" i="2"/>
  <c r="P239" i="2" s="1"/>
  <c r="N52" i="1"/>
  <c r="Q52" i="1" s="1"/>
  <c r="O52" i="1"/>
  <c r="Q370" i="5" l="1"/>
  <c r="R369" i="5"/>
  <c r="I380" i="4"/>
  <c r="R377" i="4"/>
  <c r="Q239" i="2"/>
  <c r="N53" i="1"/>
  <c r="Q53" i="1" s="1"/>
  <c r="O53" i="1"/>
  <c r="P52" i="1"/>
  <c r="R370" i="5" l="1"/>
  <c r="Q371" i="5"/>
  <c r="J380" i="4"/>
  <c r="R378" i="4"/>
  <c r="O240" i="2"/>
  <c r="N240" i="2"/>
  <c r="P240" i="2" s="1"/>
  <c r="N54" i="1"/>
  <c r="Q54" i="1" s="1"/>
  <c r="O54" i="1"/>
  <c r="P53" i="1"/>
  <c r="R371" i="5" l="1"/>
  <c r="Q372" i="5"/>
  <c r="K380" i="4"/>
  <c r="R379" i="4"/>
  <c r="Q240" i="2"/>
  <c r="N55" i="1"/>
  <c r="Q55" i="1" s="1"/>
  <c r="O55" i="1"/>
  <c r="P54" i="1"/>
  <c r="Q373" i="5" l="1"/>
  <c r="R373" i="5" s="1"/>
  <c r="R372" i="5"/>
  <c r="L380" i="4"/>
  <c r="R380" i="4"/>
  <c r="O241" i="2"/>
  <c r="N241" i="2"/>
  <c r="P241" i="2" s="1"/>
  <c r="N56" i="1"/>
  <c r="Q56" i="1" s="1"/>
  <c r="O56" i="1"/>
  <c r="P55" i="1"/>
  <c r="M380" i="4" l="1"/>
  <c r="R381" i="4"/>
  <c r="Q241" i="2"/>
  <c r="N57" i="1"/>
  <c r="Q57" i="1" s="1"/>
  <c r="O57" i="1"/>
  <c r="P56" i="1"/>
  <c r="N380" i="4" l="1"/>
  <c r="R382" i="4"/>
  <c r="N242" i="2"/>
  <c r="Q242" i="2" s="1"/>
  <c r="O242" i="2"/>
  <c r="P57" i="1"/>
  <c r="O58" i="1"/>
  <c r="N58" i="1"/>
  <c r="P58" i="1" s="1"/>
  <c r="O380" i="4" l="1"/>
  <c r="R383" i="4"/>
  <c r="O243" i="2"/>
  <c r="N243" i="2"/>
  <c r="P243" i="2" s="1"/>
  <c r="Q243" i="2"/>
  <c r="P242" i="2"/>
  <c r="Q58" i="1"/>
  <c r="P380" i="4" l="1"/>
  <c r="R384" i="4"/>
  <c r="O244" i="2"/>
  <c r="N244" i="2"/>
  <c r="P244" i="2" s="1"/>
  <c r="N59" i="1"/>
  <c r="Q59" i="1"/>
  <c r="O59" i="1"/>
  <c r="D384" i="4" l="1"/>
  <c r="R385" i="4"/>
  <c r="Q244" i="2"/>
  <c r="N60" i="1"/>
  <c r="Q60" i="1" s="1"/>
  <c r="O60" i="1"/>
  <c r="P59" i="1"/>
  <c r="O245" i="2" l="1"/>
  <c r="N245" i="2"/>
  <c r="P245" i="2" s="1"/>
  <c r="N61" i="1"/>
  <c r="Q61" i="1" s="1"/>
  <c r="O61" i="1"/>
  <c r="P60" i="1"/>
  <c r="Q245" i="2" l="1"/>
  <c r="N62" i="1"/>
  <c r="Q62" i="1" s="1"/>
  <c r="O62" i="1"/>
  <c r="P61" i="1"/>
  <c r="O246" i="2" l="1"/>
  <c r="N246" i="2"/>
  <c r="P246" i="2" s="1"/>
  <c r="N63" i="1"/>
  <c r="Q63" i="1" s="1"/>
  <c r="O63" i="1"/>
  <c r="P62" i="1"/>
  <c r="Q246" i="2" l="1"/>
  <c r="N64" i="1"/>
  <c r="O64" i="1"/>
  <c r="P63" i="1"/>
  <c r="O247" i="2" l="1"/>
  <c r="N247" i="2"/>
  <c r="P247" i="2" s="1"/>
  <c r="P64" i="1"/>
  <c r="Q64" i="1"/>
  <c r="Q247" i="2" l="1"/>
  <c r="N248" i="2"/>
  <c r="Q248" i="2"/>
  <c r="O248" i="2"/>
  <c r="N65" i="1"/>
  <c r="Q65" i="1" s="1"/>
  <c r="O65" i="1"/>
  <c r="O249" i="2" l="1"/>
  <c r="N249" i="2"/>
  <c r="P249" i="2" s="1"/>
  <c r="Q249" i="2"/>
  <c r="P248" i="2"/>
  <c r="N66" i="1"/>
  <c r="Q66" i="1" s="1"/>
  <c r="O66" i="1"/>
  <c r="P65" i="1"/>
  <c r="O250" i="2" l="1"/>
  <c r="N250" i="2"/>
  <c r="P250" i="2" s="1"/>
  <c r="N67" i="1"/>
  <c r="Q67" i="1" s="1"/>
  <c r="O67" i="1"/>
  <c r="P66" i="1"/>
  <c r="Q250" i="2" l="1"/>
  <c r="N68" i="1"/>
  <c r="Q68" i="1" s="1"/>
  <c r="O68" i="1"/>
  <c r="P67" i="1"/>
  <c r="N251" i="2" l="1"/>
  <c r="O251" i="2"/>
  <c r="N69" i="1"/>
  <c r="O69" i="1"/>
  <c r="Q69" i="1"/>
  <c r="P68" i="1"/>
  <c r="P251" i="2" l="1"/>
  <c r="Q251" i="2"/>
  <c r="N70" i="1"/>
  <c r="Q70" i="1" s="1"/>
  <c r="O70" i="1"/>
  <c r="P70" i="1" s="1"/>
  <c r="P69" i="1"/>
  <c r="O252" i="2" l="1"/>
  <c r="N252" i="2"/>
  <c r="P252" i="2" s="1"/>
  <c r="N71" i="1"/>
  <c r="Q71" i="1" s="1"/>
  <c r="O71" i="1"/>
  <c r="Q252" i="2" l="1"/>
  <c r="N72" i="1"/>
  <c r="O72" i="1"/>
  <c r="Q72" i="1"/>
  <c r="P71" i="1"/>
  <c r="N253" i="2" l="1"/>
  <c r="Q253" i="2"/>
  <c r="O253" i="2"/>
  <c r="O73" i="1"/>
  <c r="N73" i="1"/>
  <c r="Q73" i="1"/>
  <c r="P72" i="1"/>
  <c r="P73" i="1" l="1"/>
  <c r="N254" i="2"/>
  <c r="Q254" i="2" s="1"/>
  <c r="O254" i="2"/>
  <c r="P253" i="2"/>
  <c r="N74" i="1"/>
  <c r="Q74" i="1" s="1"/>
  <c r="O74" i="1"/>
  <c r="P74" i="1" l="1"/>
  <c r="P254" i="2"/>
  <c r="O75" i="1"/>
  <c r="N75" i="1"/>
  <c r="P75" i="1" s="1"/>
  <c r="Q75" i="1"/>
  <c r="N76" i="1" l="1"/>
  <c r="Q76" i="1" s="1"/>
  <c r="O76" i="1"/>
  <c r="N77" i="1" l="1"/>
  <c r="Q77" i="1" s="1"/>
  <c r="O77" i="1"/>
  <c r="P76" i="1"/>
  <c r="N78" i="1" l="1"/>
  <c r="Q78" i="1" s="1"/>
  <c r="O78" i="1"/>
  <c r="P77" i="1"/>
  <c r="N79" i="1" l="1"/>
  <c r="O79" i="1"/>
  <c r="Q79" i="1"/>
  <c r="P78" i="1"/>
  <c r="N80" i="1" l="1"/>
  <c r="Q80" i="1" s="1"/>
  <c r="O80" i="1"/>
  <c r="P79" i="1"/>
  <c r="N81" i="1" l="1"/>
  <c r="Q81" i="1" s="1"/>
  <c r="O81" i="1"/>
  <c r="P80" i="1"/>
  <c r="O82" i="1" l="1"/>
  <c r="N82" i="1"/>
  <c r="P81" i="1"/>
  <c r="P82" i="1" l="1"/>
  <c r="Q82" i="1"/>
  <c r="O83" i="1" s="1"/>
  <c r="N83" i="1"/>
  <c r="Q83" i="1" s="1"/>
  <c r="N84" i="1" l="1"/>
  <c r="Q84" i="1" s="1"/>
  <c r="O84" i="1"/>
  <c r="P83" i="1"/>
  <c r="N85" i="1" l="1"/>
  <c r="Q85" i="1" s="1"/>
  <c r="O85" i="1"/>
  <c r="P84" i="1"/>
  <c r="N86" i="1" l="1"/>
  <c r="Q86" i="1"/>
  <c r="O86" i="1"/>
  <c r="P85" i="1"/>
  <c r="N87" i="1" l="1"/>
  <c r="O87" i="1"/>
  <c r="P86" i="1"/>
  <c r="P87" i="1" l="1"/>
  <c r="Q87" i="1"/>
  <c r="N88" i="1" l="1"/>
  <c r="O88" i="1"/>
  <c r="P88" i="1" l="1"/>
  <c r="Q88" i="1"/>
  <c r="N89" i="1" l="1"/>
  <c r="Q89" i="1" s="1"/>
  <c r="O89" i="1"/>
  <c r="N90" i="1" l="1"/>
  <c r="Q90" i="1" s="1"/>
  <c r="O90" i="1"/>
  <c r="P89" i="1"/>
  <c r="N91" i="1" l="1"/>
  <c r="O91" i="1"/>
  <c r="Q91" i="1"/>
  <c r="P90" i="1"/>
  <c r="N92" i="1" l="1"/>
  <c r="O92" i="1"/>
  <c r="Q92" i="1"/>
  <c r="P91" i="1"/>
  <c r="N93" i="1" l="1"/>
  <c r="O93" i="1"/>
  <c r="Q93" i="1"/>
  <c r="P92" i="1"/>
  <c r="N94" i="1" l="1"/>
  <c r="O94" i="1"/>
  <c r="P93" i="1"/>
  <c r="P94" i="1" l="1"/>
  <c r="Q94" i="1"/>
  <c r="N95" i="1" l="1"/>
  <c r="Q95" i="1" s="1"/>
  <c r="O95" i="1"/>
  <c r="N96" i="1" l="1"/>
  <c r="Q96" i="1" s="1"/>
  <c r="O96" i="1"/>
  <c r="P95" i="1"/>
  <c r="N97" i="1" l="1"/>
  <c r="Q97" i="1" s="1"/>
  <c r="O97" i="1"/>
  <c r="P96" i="1"/>
  <c r="N98" i="1" l="1"/>
  <c r="Q98" i="1" s="1"/>
  <c r="O98" i="1"/>
  <c r="P97" i="1"/>
  <c r="N99" i="1" l="1"/>
  <c r="O99" i="1"/>
  <c r="Q99" i="1"/>
  <c r="P98" i="1"/>
  <c r="O100" i="1" l="1"/>
  <c r="N100" i="1"/>
  <c r="P100" i="1" s="1"/>
  <c r="Q100" i="1"/>
  <c r="P99" i="1"/>
  <c r="N101" i="1" l="1"/>
  <c r="O101" i="1"/>
  <c r="Q101" i="1"/>
  <c r="N102" i="1" l="1"/>
  <c r="Q102" i="1" s="1"/>
  <c r="O102" i="1"/>
  <c r="P101" i="1"/>
  <c r="N103" i="1" l="1"/>
  <c r="Q103" i="1" s="1"/>
  <c r="O103" i="1"/>
  <c r="P102" i="1"/>
  <c r="N104" i="1" l="1"/>
  <c r="O104" i="1"/>
  <c r="Q104" i="1"/>
  <c r="P103" i="1"/>
  <c r="N105" i="1" l="1"/>
  <c r="O105" i="1"/>
  <c r="Q105" i="1"/>
  <c r="P104" i="1"/>
  <c r="N106" i="1" l="1"/>
  <c r="Q106" i="1" s="1"/>
  <c r="O106" i="1"/>
  <c r="P105" i="1"/>
  <c r="N107" i="1" l="1"/>
  <c r="O107" i="1"/>
  <c r="Q107" i="1"/>
  <c r="P106" i="1"/>
  <c r="N108" i="1" l="1"/>
  <c r="Q108" i="1" s="1"/>
  <c r="O108" i="1"/>
  <c r="P107" i="1"/>
  <c r="O109" i="1" l="1"/>
  <c r="N109" i="1"/>
  <c r="P109" i="1" s="1"/>
  <c r="Q109" i="1"/>
  <c r="P108" i="1"/>
  <c r="N110" i="1" l="1"/>
  <c r="Q110" i="1" s="1"/>
  <c r="O110" i="1"/>
  <c r="O111" i="1" l="1"/>
  <c r="N111" i="1"/>
  <c r="P110" i="1"/>
  <c r="P111" i="1" l="1"/>
  <c r="Q111" i="1"/>
  <c r="N112" i="1" l="1"/>
  <c r="O112" i="1"/>
  <c r="P112" i="1" l="1"/>
  <c r="Q112" i="1"/>
  <c r="N113" i="1" l="1"/>
  <c r="Q113" i="1" s="1"/>
  <c r="O113" i="1"/>
  <c r="N114" i="1" l="1"/>
  <c r="Q114" i="1" s="1"/>
  <c r="O114" i="1"/>
  <c r="P113" i="1"/>
  <c r="N115" i="1" l="1"/>
  <c r="O115" i="1"/>
  <c r="P114" i="1"/>
  <c r="P115" i="1" l="1"/>
  <c r="Q115" i="1"/>
  <c r="N116" i="1" l="1"/>
  <c r="Q116" i="1" s="1"/>
  <c r="O116" i="1"/>
  <c r="N117" i="1" l="1"/>
  <c r="O117" i="1"/>
  <c r="P116" i="1"/>
  <c r="P117" i="1" l="1"/>
  <c r="Q117" i="1"/>
  <c r="N118" i="1" l="1"/>
  <c r="O118" i="1"/>
  <c r="Q118" i="1"/>
  <c r="N119" i="1" l="1"/>
  <c r="O119" i="1"/>
  <c r="Q119" i="1"/>
  <c r="P118" i="1"/>
  <c r="N120" i="1" l="1"/>
  <c r="O120" i="1"/>
  <c r="P119" i="1"/>
  <c r="Q120" i="1" l="1"/>
  <c r="P120" i="1"/>
  <c r="N121" i="1" l="1"/>
  <c r="O121" i="1"/>
  <c r="P121" i="1" l="1"/>
  <c r="Q121" i="1"/>
  <c r="N122" i="1" l="1"/>
  <c r="O122" i="1"/>
  <c r="P122" i="1" l="1"/>
  <c r="Q122" i="1"/>
  <c r="N123" i="1" l="1"/>
  <c r="O123" i="1"/>
  <c r="P123" i="1" l="1"/>
  <c r="Q123" i="1"/>
  <c r="O124" i="1" l="1"/>
  <c r="N124" i="1"/>
  <c r="Q124" i="1" s="1"/>
  <c r="P124" i="1" l="1"/>
  <c r="N125" i="1"/>
  <c r="Q125" i="1" s="1"/>
  <c r="O125" i="1"/>
  <c r="N126" i="1" l="1"/>
  <c r="O126" i="1"/>
  <c r="P125" i="1"/>
  <c r="P126" i="1" l="1"/>
  <c r="Q126" i="1"/>
  <c r="N127" i="1" l="1"/>
  <c r="O127" i="1"/>
  <c r="P127" i="1" l="1"/>
  <c r="Q127" i="1"/>
  <c r="N128" i="1" l="1"/>
  <c r="Q128" i="1" s="1"/>
  <c r="O128" i="1"/>
  <c r="N129" i="1" l="1"/>
  <c r="O129" i="1"/>
  <c r="Q129" i="1"/>
  <c r="P128" i="1"/>
  <c r="N130" i="1" l="1"/>
  <c r="O130" i="1"/>
  <c r="P129" i="1"/>
  <c r="P130" i="1" l="1"/>
  <c r="Q130" i="1"/>
  <c r="N131" i="1" l="1"/>
  <c r="Q131" i="1" s="1"/>
  <c r="O131" i="1"/>
  <c r="N132" i="1" l="1"/>
  <c r="O132" i="1"/>
  <c r="Q132" i="1"/>
  <c r="P131" i="1"/>
  <c r="N133" i="1" l="1"/>
  <c r="O133" i="1"/>
  <c r="P132" i="1"/>
  <c r="P133" i="1" l="1"/>
  <c r="Q133" i="1"/>
  <c r="N134" i="1" l="1"/>
  <c r="O134" i="1"/>
  <c r="P134" i="1" l="1"/>
  <c r="Q134" i="1"/>
  <c r="N135" i="1" l="1"/>
  <c r="O135" i="1"/>
  <c r="P135" i="1" l="1"/>
  <c r="Q135" i="1"/>
  <c r="N136" i="1" l="1"/>
  <c r="Q136" i="1" s="1"/>
  <c r="O136" i="1"/>
  <c r="N137" i="1" l="1"/>
  <c r="O137" i="1"/>
  <c r="P136" i="1"/>
  <c r="P137" i="1" l="1"/>
  <c r="Q137" i="1"/>
  <c r="N138" i="1" l="1"/>
  <c r="O138" i="1"/>
  <c r="Q138" i="1"/>
  <c r="N139" i="1" l="1"/>
  <c r="Q139" i="1" s="1"/>
  <c r="O139" i="1"/>
  <c r="P138" i="1"/>
  <c r="N140" i="1" l="1"/>
  <c r="O140" i="1"/>
  <c r="P139" i="1"/>
  <c r="Q140" i="1" l="1"/>
  <c r="P140" i="1"/>
  <c r="N141" i="1" l="1"/>
  <c r="O141" i="1"/>
  <c r="P141" i="1" l="1"/>
  <c r="Q141" i="1"/>
  <c r="N142" i="1" l="1"/>
  <c r="Q142" i="1" s="1"/>
  <c r="O142" i="1"/>
  <c r="N143" i="1" l="1"/>
  <c r="Q143" i="1" s="1"/>
  <c r="O143" i="1"/>
  <c r="P142" i="1"/>
  <c r="N144" i="1" l="1"/>
  <c r="O144" i="1"/>
  <c r="P143" i="1"/>
  <c r="P144" i="1" l="1"/>
  <c r="Q144" i="1"/>
  <c r="N145" i="1" l="1"/>
  <c r="O145" i="1"/>
  <c r="P145" i="1" l="1"/>
  <c r="Q145" i="1"/>
  <c r="N146" i="1" l="1"/>
  <c r="O146" i="1"/>
  <c r="Q146" i="1"/>
  <c r="N147" i="1" l="1"/>
  <c r="O147" i="1"/>
  <c r="P146" i="1"/>
  <c r="P147" i="1" l="1"/>
  <c r="Q147" i="1"/>
  <c r="N148" i="1" l="1"/>
  <c r="O148" i="1"/>
  <c r="P148" i="1" l="1"/>
  <c r="Q148" i="1"/>
  <c r="N149" i="1" l="1"/>
  <c r="O149" i="1"/>
  <c r="Q149" i="1"/>
  <c r="N150" i="1" l="1"/>
  <c r="O150" i="1"/>
  <c r="P149" i="1"/>
  <c r="P150" i="1" l="1"/>
  <c r="Q150" i="1"/>
  <c r="N151" i="1" l="1"/>
  <c r="O151" i="1"/>
  <c r="P151" i="1" l="1"/>
  <c r="Q151" i="1"/>
  <c r="N152" i="1" l="1"/>
  <c r="Q152" i="1" s="1"/>
  <c r="O152" i="1"/>
  <c r="N153" i="1" l="1"/>
  <c r="Q153" i="1" s="1"/>
  <c r="O153" i="1"/>
  <c r="P152" i="1"/>
  <c r="P153" i="1" l="1"/>
  <c r="N154" i="1"/>
  <c r="Q154" i="1" s="1"/>
  <c r="O154" i="1"/>
  <c r="N155" i="1" l="1"/>
  <c r="Q155" i="1" s="1"/>
  <c r="O155" i="1"/>
  <c r="P154" i="1"/>
  <c r="N156" i="1" l="1"/>
  <c r="Q156" i="1" s="1"/>
  <c r="O156" i="1"/>
  <c r="P155" i="1"/>
  <c r="P156" i="1" l="1"/>
  <c r="N157" i="1"/>
  <c r="O157" i="1"/>
  <c r="P157" i="1" l="1"/>
  <c r="Q157" i="1"/>
  <c r="N158" i="1"/>
  <c r="Q158" i="1" s="1"/>
  <c r="O158" i="1"/>
  <c r="N159" i="1" l="1"/>
  <c r="Q159" i="1" s="1"/>
  <c r="O159" i="1"/>
  <c r="P158" i="1"/>
  <c r="N160" i="1" l="1"/>
  <c r="O160" i="1"/>
  <c r="Q160" i="1"/>
  <c r="P159" i="1"/>
  <c r="N161" i="1" l="1"/>
  <c r="Q161" i="1" s="1"/>
  <c r="O161" i="1"/>
  <c r="P160" i="1"/>
  <c r="O162" i="1" l="1"/>
  <c r="N162" i="1"/>
  <c r="Q162" i="1" s="1"/>
  <c r="P161" i="1"/>
  <c r="P162" i="1" l="1"/>
  <c r="N163" i="1"/>
  <c r="O163" i="1"/>
  <c r="P163" i="1" l="1"/>
  <c r="Q163" i="1"/>
  <c r="N164" i="1" l="1"/>
  <c r="Q164" i="1" s="1"/>
  <c r="O164" i="1"/>
  <c r="N165" i="1" l="1"/>
  <c r="Q165" i="1" s="1"/>
  <c r="O165" i="1"/>
  <c r="P164" i="1"/>
  <c r="N166" i="1" l="1"/>
  <c r="Q166" i="1" s="1"/>
  <c r="O166" i="1"/>
  <c r="P165" i="1"/>
  <c r="N167" i="1" l="1"/>
  <c r="Q167" i="1" s="1"/>
  <c r="O167" i="1"/>
  <c r="P166" i="1"/>
  <c r="N168" i="1" l="1"/>
  <c r="Q168" i="1" s="1"/>
  <c r="O168" i="1"/>
  <c r="P167" i="1"/>
  <c r="N169" i="1" l="1"/>
  <c r="O169" i="1"/>
  <c r="P168" i="1"/>
  <c r="P169" i="1" l="1"/>
  <c r="Q169" i="1"/>
  <c r="N170" i="1" l="1"/>
  <c r="O170" i="1"/>
  <c r="P170" i="1" l="1"/>
  <c r="Q170" i="1"/>
  <c r="O171" i="1" l="1"/>
  <c r="N171" i="1"/>
  <c r="P171" i="1" s="1"/>
  <c r="Q171" i="1" l="1"/>
  <c r="N172" i="1" s="1"/>
  <c r="Q172" i="1" s="1"/>
  <c r="O172" i="1"/>
  <c r="N173" i="1" l="1"/>
  <c r="Q173" i="1" s="1"/>
  <c r="O173" i="1"/>
  <c r="P172" i="1"/>
  <c r="N174" i="1" l="1"/>
  <c r="Q174" i="1" s="1"/>
  <c r="O174" i="1"/>
  <c r="P173" i="1"/>
  <c r="N175" i="1" l="1"/>
  <c r="Q175" i="1" s="1"/>
  <c r="O175" i="1"/>
  <c r="P174" i="1"/>
  <c r="N176" i="1" l="1"/>
  <c r="Q176" i="1" s="1"/>
  <c r="O176" i="1"/>
  <c r="P175" i="1"/>
  <c r="N177" i="1" l="1"/>
  <c r="Q177" i="1"/>
  <c r="O177" i="1"/>
  <c r="P176" i="1"/>
  <c r="N178" i="1" l="1"/>
  <c r="Q178" i="1" s="1"/>
  <c r="O178" i="1"/>
  <c r="P177" i="1"/>
  <c r="N179" i="1" l="1"/>
  <c r="Q179" i="1" s="1"/>
  <c r="O179" i="1"/>
  <c r="P178" i="1"/>
  <c r="O180" i="1" l="1"/>
  <c r="N180" i="1"/>
  <c r="P179" i="1"/>
  <c r="P180" i="1" l="1"/>
  <c r="Q180" i="1"/>
  <c r="N181" i="1"/>
  <c r="Q181" i="1" s="1"/>
  <c r="O181" i="1"/>
  <c r="N182" i="1" l="1"/>
  <c r="Q182" i="1" s="1"/>
  <c r="O182" i="1"/>
  <c r="P181" i="1"/>
  <c r="N183" i="1" l="1"/>
  <c r="Q183" i="1" s="1"/>
  <c r="O183" i="1"/>
  <c r="P182" i="1"/>
  <c r="N184" i="1" l="1"/>
  <c r="Q184" i="1" s="1"/>
  <c r="O184" i="1"/>
  <c r="P183" i="1"/>
  <c r="N185" i="1" l="1"/>
  <c r="Q185" i="1" s="1"/>
  <c r="O185" i="1"/>
  <c r="P184" i="1"/>
  <c r="N186" i="1" l="1"/>
  <c r="Q186" i="1" s="1"/>
  <c r="O186" i="1"/>
  <c r="P185" i="1"/>
  <c r="N187" i="1" l="1"/>
  <c r="O187" i="1"/>
  <c r="P186" i="1"/>
  <c r="P187" i="1" l="1"/>
  <c r="Q187" i="1"/>
  <c r="N188" i="1" l="1"/>
  <c r="O188" i="1"/>
  <c r="Q188" i="1"/>
  <c r="P188" i="1" l="1"/>
  <c r="O189" i="1"/>
  <c r="N189" i="1"/>
  <c r="Q189" i="1"/>
  <c r="N190" i="1" l="1"/>
  <c r="O190" i="1"/>
  <c r="Q190" i="1"/>
  <c r="P189" i="1"/>
  <c r="N191" i="1" l="1"/>
  <c r="O191" i="1"/>
  <c r="P190" i="1"/>
  <c r="P191" i="1" l="1"/>
  <c r="Q191" i="1"/>
  <c r="N192" i="1" l="1"/>
  <c r="O192" i="1"/>
  <c r="P192" i="1" l="1"/>
  <c r="Q192" i="1"/>
  <c r="N193" i="1" l="1"/>
  <c r="O193" i="1"/>
  <c r="Q193" i="1"/>
  <c r="N194" i="1" l="1"/>
  <c r="O194" i="1"/>
  <c r="P193" i="1"/>
  <c r="P194" i="1" l="1"/>
  <c r="Q194" i="1"/>
  <c r="N195" i="1" l="1"/>
  <c r="O195" i="1"/>
  <c r="P195" i="1" l="1"/>
  <c r="Q195" i="1"/>
  <c r="N196" i="1" l="1"/>
  <c r="O196" i="1"/>
  <c r="P196" i="1" l="1"/>
  <c r="Q196" i="1"/>
  <c r="N197" i="1" l="1"/>
  <c r="Q197" i="1" s="1"/>
  <c r="O197" i="1"/>
  <c r="O198" i="1" l="1"/>
  <c r="N198" i="1"/>
  <c r="P197" i="1"/>
  <c r="P198" i="1" l="1"/>
  <c r="Q198" i="1"/>
  <c r="N199" i="1" s="1"/>
  <c r="Q199" i="1" l="1"/>
  <c r="O199" i="1"/>
  <c r="P199" i="1" s="1"/>
  <c r="N200" i="1"/>
  <c r="Q200" i="1" s="1"/>
  <c r="O200" i="1"/>
  <c r="N201" i="1" l="1"/>
  <c r="Q201" i="1" s="1"/>
  <c r="O201" i="1"/>
  <c r="P200" i="1"/>
  <c r="N202" i="1" l="1"/>
  <c r="Q202" i="1" s="1"/>
  <c r="O202" i="1"/>
  <c r="P201" i="1"/>
  <c r="N203" i="1" l="1"/>
  <c r="Q203" i="1" s="1"/>
  <c r="O203" i="1"/>
  <c r="P202" i="1"/>
  <c r="N204" i="1" l="1"/>
  <c r="Q204" i="1" s="1"/>
  <c r="O204" i="1"/>
  <c r="P203" i="1"/>
  <c r="N205" i="1" l="1"/>
  <c r="Q205" i="1" s="1"/>
  <c r="O205" i="1"/>
  <c r="P204" i="1"/>
  <c r="N206" i="1" l="1"/>
  <c r="Q206" i="1" s="1"/>
  <c r="O206" i="1"/>
  <c r="P205" i="1"/>
  <c r="N207" i="1" l="1"/>
  <c r="Q207" i="1" s="1"/>
  <c r="O207" i="1"/>
  <c r="P206" i="1"/>
  <c r="N208" i="1" l="1"/>
  <c r="Q208" i="1" s="1"/>
  <c r="O208" i="1"/>
  <c r="P207" i="1"/>
  <c r="N209" i="1" l="1"/>
  <c r="Q209" i="1" s="1"/>
  <c r="O209" i="1"/>
  <c r="P208" i="1"/>
  <c r="N210" i="1" l="1"/>
  <c r="Q210" i="1" s="1"/>
  <c r="O210" i="1"/>
  <c r="P209" i="1"/>
  <c r="N211" i="1" l="1"/>
  <c r="Q211" i="1" s="1"/>
  <c r="O211" i="1"/>
  <c r="P210" i="1"/>
  <c r="N212" i="1" l="1"/>
  <c r="Q212" i="1" s="1"/>
  <c r="O212" i="1"/>
  <c r="P211" i="1"/>
  <c r="N213" i="1" l="1"/>
  <c r="Q213" i="1" s="1"/>
  <c r="O213" i="1"/>
  <c r="P212" i="1"/>
  <c r="N214" i="1" l="1"/>
  <c r="O214" i="1"/>
  <c r="Q214" i="1"/>
  <c r="P213" i="1"/>
  <c r="N215" i="1" l="1"/>
  <c r="Q215" i="1" s="1"/>
  <c r="O215" i="1"/>
  <c r="P214" i="1"/>
  <c r="N216" i="1" l="1"/>
  <c r="O216" i="1"/>
  <c r="P215" i="1"/>
  <c r="P216" i="1" l="1"/>
  <c r="Q216" i="1"/>
  <c r="N217" i="1" l="1"/>
  <c r="Q217" i="1" s="1"/>
  <c r="O217" i="1"/>
  <c r="N218" i="1" l="1"/>
  <c r="O218" i="1"/>
  <c r="Q218" i="1"/>
  <c r="P217" i="1"/>
  <c r="P218" i="1" l="1"/>
  <c r="N219" i="1"/>
  <c r="Q219" i="1" s="1"/>
  <c r="O219" i="1"/>
  <c r="N220" i="1" l="1"/>
  <c r="Q220" i="1" s="1"/>
  <c r="O220" i="1"/>
  <c r="P219" i="1"/>
  <c r="N221" i="1" l="1"/>
  <c r="Q221" i="1" s="1"/>
  <c r="O221" i="1"/>
  <c r="P220" i="1"/>
  <c r="O222" i="1" l="1"/>
  <c r="N222" i="1"/>
  <c r="P222" i="1" s="1"/>
  <c r="P221" i="1"/>
  <c r="Q222" i="1" l="1"/>
  <c r="N223" i="1" l="1"/>
  <c r="O223" i="1"/>
  <c r="Q223" i="1"/>
  <c r="N224" i="1" l="1"/>
  <c r="O224" i="1"/>
  <c r="Q224" i="1"/>
  <c r="P223" i="1"/>
  <c r="N225" i="1" l="1"/>
  <c r="O225" i="1"/>
  <c r="Q225" i="1"/>
  <c r="P224" i="1"/>
  <c r="N226" i="1" l="1"/>
  <c r="Q226" i="1" s="1"/>
  <c r="O226" i="1"/>
  <c r="P225" i="1"/>
  <c r="N227" i="1" l="1"/>
  <c r="O227" i="1"/>
  <c r="Q227" i="1"/>
  <c r="P226" i="1"/>
  <c r="N228" i="1" l="1"/>
  <c r="Q228" i="1" s="1"/>
  <c r="O228" i="1"/>
  <c r="P227" i="1"/>
  <c r="N229" i="1" l="1"/>
  <c r="Q229" i="1" s="1"/>
  <c r="O229" i="1"/>
  <c r="P228" i="1"/>
  <c r="P229" i="1" l="1"/>
  <c r="N230" i="1"/>
  <c r="O230" i="1"/>
  <c r="Q230" i="1"/>
  <c r="N231" i="1" l="1"/>
  <c r="Q231" i="1" s="1"/>
  <c r="O231" i="1"/>
  <c r="P230" i="1"/>
  <c r="P231" i="1" l="1"/>
  <c r="N232" i="1"/>
  <c r="Q232" i="1" s="1"/>
  <c r="O232" i="1"/>
  <c r="N233" i="1" l="1"/>
  <c r="O233" i="1"/>
  <c r="Q233" i="1"/>
  <c r="P232" i="1"/>
  <c r="N234" i="1" l="1"/>
  <c r="Q234" i="1" s="1"/>
  <c r="O234" i="1"/>
  <c r="P233" i="1"/>
  <c r="N235" i="1" l="1"/>
  <c r="O235" i="1"/>
  <c r="Q235" i="1"/>
  <c r="P234" i="1"/>
  <c r="N236" i="1" l="1"/>
  <c r="O236" i="1"/>
  <c r="Q236" i="1"/>
  <c r="P235" i="1"/>
  <c r="N237" i="1" l="1"/>
  <c r="Q237" i="1" s="1"/>
  <c r="O237" i="1"/>
  <c r="P236" i="1"/>
  <c r="N238" i="1" l="1"/>
  <c r="Q238" i="1" s="1"/>
  <c r="O238" i="1"/>
  <c r="P237" i="1"/>
  <c r="N239" i="1" l="1"/>
  <c r="O239" i="1"/>
  <c r="Q239" i="1"/>
  <c r="P238" i="1"/>
  <c r="N240" i="1" l="1"/>
  <c r="Q240" i="1" s="1"/>
  <c r="O240" i="1"/>
  <c r="P239" i="1"/>
  <c r="N241" i="1" l="1"/>
  <c r="O241" i="1"/>
  <c r="Q241" i="1"/>
  <c r="P240" i="1"/>
  <c r="N242" i="1" l="1"/>
  <c r="O242" i="1"/>
  <c r="Q242" i="1"/>
  <c r="P241" i="1"/>
  <c r="N243" i="1" l="1"/>
  <c r="Q243" i="1" s="1"/>
  <c r="O243" i="1"/>
  <c r="P242" i="1"/>
  <c r="N244" i="1" l="1"/>
  <c r="Q244" i="1" s="1"/>
  <c r="O244" i="1"/>
  <c r="P243" i="1"/>
  <c r="N245" i="1" l="1"/>
  <c r="Q245" i="1" s="1"/>
  <c r="O245" i="1"/>
  <c r="P244" i="1"/>
  <c r="N246" i="1" l="1"/>
  <c r="Q246" i="1" s="1"/>
  <c r="O246" i="1"/>
  <c r="P245" i="1"/>
  <c r="N247" i="1" l="1"/>
  <c r="Q247" i="1" s="1"/>
  <c r="O247" i="1"/>
  <c r="P246" i="1"/>
  <c r="N248" i="1" l="1"/>
  <c r="Q248" i="1" s="1"/>
  <c r="O248" i="1"/>
  <c r="P247" i="1"/>
  <c r="N249" i="1" l="1"/>
  <c r="Q249" i="1" s="1"/>
  <c r="O249" i="1"/>
  <c r="P248" i="1"/>
  <c r="N250" i="1" l="1"/>
  <c r="Q250" i="1" s="1"/>
  <c r="O250" i="1"/>
  <c r="P249" i="1"/>
  <c r="N251" i="1" l="1"/>
  <c r="O251" i="1"/>
  <c r="Q251" i="1"/>
  <c r="P250" i="1"/>
  <c r="N252" i="1" l="1"/>
  <c r="O252" i="1"/>
  <c r="Q252" i="1"/>
  <c r="P251" i="1"/>
  <c r="N253" i="1" l="1"/>
  <c r="O253" i="1"/>
  <c r="Q253" i="1"/>
  <c r="P252" i="1"/>
  <c r="N254" i="1" l="1"/>
  <c r="O254" i="1"/>
  <c r="Q254" i="1"/>
  <c r="P253" i="1"/>
  <c r="P254" i="1" l="1"/>
</calcChain>
</file>

<file path=xl/sharedStrings.xml><?xml version="1.0" encoding="utf-8"?>
<sst xmlns="http://schemas.openxmlformats.org/spreadsheetml/2006/main" count="1798" uniqueCount="76">
  <si>
    <t>Take Home Pay</t>
  </si>
  <si>
    <t>Primary Need</t>
  </si>
  <si>
    <t xml:space="preserve">    Housing</t>
  </si>
  <si>
    <t xml:space="preserve">    Other</t>
  </si>
  <si>
    <t>Wants</t>
  </si>
  <si>
    <t xml:space="preserve">    Short-term</t>
  </si>
  <si>
    <t xml:space="preserve">    Long-term</t>
  </si>
  <si>
    <t>Savings</t>
  </si>
  <si>
    <t>OTR</t>
  </si>
  <si>
    <t>Down Payment %</t>
  </si>
  <si>
    <t>Down Payment</t>
  </si>
  <si>
    <t>Saving Growth</t>
  </si>
  <si>
    <t>Saving Period</t>
  </si>
  <si>
    <t>Saving per month</t>
  </si>
  <si>
    <t>Installment rate</t>
  </si>
  <si>
    <t>Debt</t>
  </si>
  <si>
    <t>Debt Tenor</t>
  </si>
  <si>
    <t>Transaction</t>
  </si>
  <si>
    <t>Interest rate</t>
  </si>
  <si>
    <t>Principal</t>
  </si>
  <si>
    <t>Interest</t>
  </si>
  <si>
    <t>Installment</t>
  </si>
  <si>
    <t>Principal Debt</t>
  </si>
  <si>
    <t>Remainder</t>
  </si>
  <si>
    <t>Total</t>
  </si>
  <si>
    <t>House Price</t>
  </si>
  <si>
    <t>Rent</t>
  </si>
  <si>
    <t>Land Area</t>
  </si>
  <si>
    <t>Building Area</t>
  </si>
  <si>
    <t>Land Price</t>
  </si>
  <si>
    <t>Building Price</t>
  </si>
  <si>
    <t>Land Price/M2</t>
  </si>
  <si>
    <t>Building Price/M2</t>
  </si>
  <si>
    <t>Total Price</t>
  </si>
  <si>
    <t>Inflation</t>
  </si>
  <si>
    <t>Saving Rate</t>
  </si>
  <si>
    <t>Junior High</t>
  </si>
  <si>
    <t>Senior High</t>
  </si>
  <si>
    <t>Undergraduate</t>
  </si>
  <si>
    <t>k</t>
  </si>
  <si>
    <t>CAGR</t>
  </si>
  <si>
    <t>CMGR</t>
  </si>
  <si>
    <t>Future Value</t>
  </si>
  <si>
    <t>Tenor (Year)</t>
  </si>
  <si>
    <t>Tenor (Month)</t>
  </si>
  <si>
    <t>Interest Rate</t>
  </si>
  <si>
    <t>Cost Per Smt</t>
  </si>
  <si>
    <t>Cost Total</t>
  </si>
  <si>
    <t>Year</t>
  </si>
  <si>
    <t>Month</t>
  </si>
  <si>
    <t>Equity</t>
  </si>
  <si>
    <t>Elementary</t>
  </si>
  <si>
    <t>Initial Saving Rate</t>
  </si>
  <si>
    <t>Fee</t>
  </si>
  <si>
    <t>Period (Year)</t>
  </si>
  <si>
    <t>Period (Month)</t>
  </si>
  <si>
    <t>Current Rate</t>
  </si>
  <si>
    <t>Rate Tracking</t>
  </si>
  <si>
    <t>Cost (Total)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</si>
  <si>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</si>
  <si>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</si>
  <si>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</si>
  <si>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</si>
  <si>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</si>
  <si>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</si>
  <si>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</si>
  <si>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</si>
  <si>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</si>
  <si>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</si>
  <si>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</si>
  <si>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</si>
  <si>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 (1st Half)</t>
  </si>
  <si>
    <t>Cost (2nd Half)</t>
  </si>
  <si>
    <t>Graduate</t>
  </si>
  <si>
    <t>Postgraduate</t>
  </si>
  <si>
    <t>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</si>
</sst>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_-* #,##0.000_-;\-* #,##0.000_-;_-* &quot;-&quot;_-;_-@_-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10" fontId="0" fillId="0" borderId="0" xfId="2" applyNumberFormat="1" applyFont="1"/>
    <xf numFmtId="43" fontId="0" fillId="0" borderId="0" xfId="0" applyNumberFormat="1"/>
    <xf numFmtId="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center" vertical="center"/>
    </xf>
    <xf numFmtId="41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vertic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val>
            <c:numRef>
              <c:f>Sheet1!$AD$22:$AD$214</c:f>
              <c:numCache>
                <c:formatCode>_-* #,##0.00_-;\-* #,##0.00_-;_-* "-"_-;_-@_-</c:formatCode>
                <c:ptCount val="193"/>
                <c:pt idx="0">
                  <c:v>75082383.337912872</c:v>
                </c:pt>
                <c:pt idx="1">
                  <c:v>83970783.260727212</c:v>
                </c:pt>
                <c:pt idx="2">
                  <c:v>84288092.001419619</c:v>
                </c:pt>
                <c:pt idx="3">
                  <c:v>84606599.788173169</c:v>
                </c:pt>
                <c:pt idx="4">
                  <c:v>84926311.151942328</c:v>
                </c:pt>
                <c:pt idx="5">
                  <c:v>85247230.640803143</c:v>
                </c:pt>
                <c:pt idx="6">
                  <c:v>85569362.820017904</c:v>
                </c:pt>
                <c:pt idx="7">
                  <c:v>83742618.083905503</c:v>
                </c:pt>
                <c:pt idx="8">
                  <c:v>84059064.634177431</c:v>
                </c:pt>
                <c:pt idx="9">
                  <c:v>84376706.972465917</c:v>
                </c:pt>
                <c:pt idx="10">
                  <c:v>84695549.617413923</c:v>
                </c:pt>
                <c:pt idx="11">
                  <c:v>85015597.104739457</c:v>
                </c:pt>
                <c:pt idx="12">
                  <c:v>85336853.987300113</c:v>
                </c:pt>
                <c:pt idx="13">
                  <c:v>94430917.571710154</c:v>
                </c:pt>
                <c:pt idx="14">
                  <c:v>94787753.061074004</c:v>
                </c:pt>
                <c:pt idx="15">
                  <c:v>95145936.960150942</c:v>
                </c:pt>
                <c:pt idx="16">
                  <c:v>95505474.364310712</c:v>
                </c:pt>
                <c:pt idx="17">
                  <c:v>95866370.388177425</c:v>
                </c:pt>
                <c:pt idx="18">
                  <c:v>96228630.165702343</c:v>
                </c:pt>
                <c:pt idx="19">
                  <c:v>94393983.279673755</c:v>
                </c:pt>
                <c:pt idx="20">
                  <c:v>94750679.2017591</c:v>
                </c:pt>
                <c:pt idx="21">
                  <c:v>95108723.006160796</c:v>
                </c:pt>
                <c:pt idx="22">
                  <c:v>95468119.786255643</c:v>
                </c:pt>
                <c:pt idx="23">
                  <c:v>95828874.654667318</c:v>
                </c:pt>
                <c:pt idx="24">
                  <c:v>96190992.743339047</c:v>
                </c:pt>
                <c:pt idx="25">
                  <c:v>105509763.46043894</c:v>
                </c:pt>
                <c:pt idx="26">
                  <c:v>105908463.68537828</c:v>
                </c:pt>
                <c:pt idx="27">
                  <c:v>106308670.51846606</c:v>
                </c:pt>
                <c:pt idx="28">
                  <c:v>106710389.65287212</c:v>
                </c:pt>
                <c:pt idx="29">
                  <c:v>107113626.8032797</c:v>
                </c:pt>
                <c:pt idx="30">
                  <c:v>107518387.70596668</c:v>
                </c:pt>
                <c:pt idx="31">
                  <c:v>105684243.83875158</c:v>
                </c:pt>
                <c:pt idx="32">
                  <c:v>106083603.39003003</c:v>
                </c:pt>
                <c:pt idx="33">
                  <c:v>106484472.04091883</c:v>
                </c:pt>
                <c:pt idx="34">
                  <c:v>106886855.4940026</c:v>
                </c:pt>
                <c:pt idx="35">
                  <c:v>107290759.47341487</c:v>
                </c:pt>
                <c:pt idx="36">
                  <c:v>107696189.72491954</c:v>
                </c:pt>
                <c:pt idx="37">
                  <c:v>117242127.79310481</c:v>
                </c:pt>
                <c:pt idx="38">
                  <c:v>117685162.26868685</c:v>
                </c:pt>
                <c:pt idx="39">
                  <c:v>118129870.88265453</c:v>
                </c:pt>
                <c:pt idx="40">
                  <c:v>118576259.9612409</c:v>
                </c:pt>
                <c:pt idx="41">
                  <c:v>119024335.85458456</c:v>
                </c:pt>
                <c:pt idx="42">
                  <c:v>119474104.93682</c:v>
                </c:pt>
                <c:pt idx="43">
                  <c:v>117642980.61646026</c:v>
                </c:pt>
                <c:pt idx="44">
                  <c:v>118087529.83442819</c:v>
                </c:pt>
                <c:pt idx="45">
                  <c:v>118533758.9146893</c:v>
                </c:pt>
                <c:pt idx="46">
                  <c:v>118981674.20510614</c:v>
                </c:pt>
                <c:pt idx="47">
                  <c:v>119431282.07752852</c:v>
                </c:pt>
                <c:pt idx="48">
                  <c:v>119882588.92788422</c:v>
                </c:pt>
                <c:pt idx="49">
                  <c:v>129663000.57371613</c:v>
                </c:pt>
                <c:pt idx="50">
                  <c:v>130152971.0352122</c:v>
                </c:pt>
                <c:pt idx="51">
                  <c:v>130644792.9967667</c:v>
                </c:pt>
                <c:pt idx="52">
                  <c:v>131138473.45482683</c:v>
                </c:pt>
                <c:pt idx="53">
                  <c:v>131634019.43227798</c:v>
                </c:pt>
                <c:pt idx="54">
                  <c:v>132131437.97854359</c:v>
                </c:pt>
                <c:pt idx="55">
                  <c:v>130299961.79760894</c:v>
                </c:pt>
                <c:pt idx="56">
                  <c:v>130792339.20775995</c:v>
                </c:pt>
                <c:pt idx="57">
                  <c:v>131286577.21334538</c:v>
                </c:pt>
                <c:pt idx="58">
                  <c:v>131782682.84518205</c:v>
                </c:pt>
                <c:pt idx="59">
                  <c:v>132280663.1606548</c:v>
                </c:pt>
                <c:pt idx="60">
                  <c:v>132780525.24381694</c:v>
                </c:pt>
                <c:pt idx="61">
                  <c:v>142798099.22327116</c:v>
                </c:pt>
                <c:pt idx="62">
                  <c:v>143337704.58692622</c:v>
                </c:pt>
                <c:pt idx="63">
                  <c:v>143879349.01097542</c:v>
                </c:pt>
                <c:pt idx="64">
                  <c:v>144423040.20061886</c:v>
                </c:pt>
                <c:pt idx="65">
                  <c:v>144968785.89017302</c:v>
                </c:pt>
                <c:pt idx="66">
                  <c:v>145516593.84318078</c:v>
                </c:pt>
                <c:pt idx="67">
                  <c:v>143687516.09807691</c:v>
                </c:pt>
                <c:pt idx="68">
                  <c:v>144230482.38963494</c:v>
                </c:pt>
                <c:pt idx="69">
                  <c:v>144775500.44185928</c:v>
                </c:pt>
                <c:pt idx="70">
                  <c:v>145322578.00794178</c:v>
                </c:pt>
                <c:pt idx="71">
                  <c:v>145871722.87037206</c:v>
                </c:pt>
                <c:pt idx="72">
                  <c:v>146422942.84104818</c:v>
                </c:pt>
                <c:pt idx="73">
                  <c:v>156004662.47360089</c:v>
                </c:pt>
                <c:pt idx="74">
                  <c:v>156594172.78980148</c:v>
                </c:pt>
                <c:pt idx="75">
                  <c:v>157185910.74719813</c:v>
                </c:pt>
                <c:pt idx="76">
                  <c:v>157779884.76359996</c:v>
                </c:pt>
                <c:pt idx="77">
                  <c:v>158376103.28862527</c:v>
                </c:pt>
                <c:pt idx="78">
                  <c:v>158974574.80382177</c:v>
                </c:pt>
                <c:pt idx="79">
                  <c:v>156461585.98722246</c:v>
                </c:pt>
                <c:pt idx="80">
                  <c:v>157052822.92569652</c:v>
                </c:pt>
                <c:pt idx="81">
                  <c:v>157646294.02992579</c:v>
                </c:pt>
                <c:pt idx="82">
                  <c:v>158242007.74237436</c:v>
                </c:pt>
                <c:pt idx="83">
                  <c:v>158839972.53740868</c:v>
                </c:pt>
                <c:pt idx="84">
                  <c:v>159440196.92141813</c:v>
                </c:pt>
                <c:pt idx="85">
                  <c:v>169252216.51994503</c:v>
                </c:pt>
                <c:pt idx="86">
                  <c:v>169891786.68468422</c:v>
                </c:pt>
                <c:pt idx="87">
                  <c:v>170533773.6567423</c:v>
                </c:pt>
                <c:pt idx="88">
                  <c:v>171178186.56874919</c:v>
                </c:pt>
                <c:pt idx="89">
                  <c:v>171825034.58784518</c:v>
                </c:pt>
                <c:pt idx="90">
                  <c:v>172474326.91581133</c:v>
                </c:pt>
                <c:pt idx="91">
                  <c:v>169946101.55287892</c:v>
                </c:pt>
                <c:pt idx="92">
                  <c:v>170588293.7699253</c:v>
                </c:pt>
                <c:pt idx="93">
                  <c:v>171232912.7025001</c:v>
                </c:pt>
                <c:pt idx="94">
                  <c:v>171879967.52067441</c:v>
                </c:pt>
                <c:pt idx="95">
                  <c:v>172529467.42917109</c:v>
                </c:pt>
                <c:pt idx="96">
                  <c:v>173181421.66749585</c:v>
                </c:pt>
                <c:pt idx="97">
                  <c:v>183243254.41751969</c:v>
                </c:pt>
                <c:pt idx="98">
                  <c:v>183935693.90708673</c:v>
                </c:pt>
                <c:pt idx="99">
                  <c:v>184630749.98654261</c:v>
                </c:pt>
                <c:pt idx="100">
                  <c:v>185328432.54345554</c:v>
                </c:pt>
                <c:pt idx="101">
                  <c:v>186028751.50275677</c:v>
                </c:pt>
                <c:pt idx="102">
                  <c:v>186731716.82688195</c:v>
                </c:pt>
                <c:pt idx="103">
                  <c:v>184197140.55163059</c:v>
                </c:pt>
                <c:pt idx="104">
                  <c:v>184893184.58549535</c:v>
                </c:pt>
                <c:pt idx="105">
                  <c:v>185591858.8300986</c:v>
                </c:pt>
                <c:pt idx="106">
                  <c:v>186293173.22447896</c:v>
                </c:pt>
                <c:pt idx="107">
                  <c:v>186997137.74523267</c:v>
                </c:pt>
                <c:pt idx="108">
                  <c:v>187703762.40665555</c:v>
                </c:pt>
                <c:pt idx="109">
                  <c:v>197277571.23486272</c:v>
                </c:pt>
                <c:pt idx="110">
                  <c:v>198023043.59161121</c:v>
                </c:pt>
                <c:pt idx="111">
                  <c:v>198771332.93881229</c:v>
                </c:pt>
                <c:pt idx="112">
                  <c:v>199522449.92130759</c:v>
                </c:pt>
                <c:pt idx="113">
                  <c:v>200276405.22416356</c:v>
                </c:pt>
                <c:pt idx="114">
                  <c:v>201033209.57282329</c:v>
                </c:pt>
                <c:pt idx="115">
                  <c:v>197751660.28710064</c:v>
                </c:pt>
                <c:pt idx="116">
                  <c:v>198498924.13124868</c:v>
                </c:pt>
                <c:pt idx="117">
                  <c:v>199249011.73552069</c:v>
                </c:pt>
                <c:pt idx="118">
                  <c:v>200001933.77033961</c:v>
                </c:pt>
                <c:pt idx="119">
                  <c:v>200757700.9464497</c:v>
                </c:pt>
                <c:pt idx="120">
                  <c:v>201516324.01506901</c:v>
                </c:pt>
                <c:pt idx="121">
                  <c:v>211322147.54407349</c:v>
                </c:pt>
                <c:pt idx="122">
                  <c:v>212120691.53656459</c:v>
                </c:pt>
                <c:pt idx="123">
                  <c:v>212922253.06657058</c:v>
                </c:pt>
                <c:pt idx="124">
                  <c:v>213726843.53676024</c:v>
                </c:pt>
                <c:pt idx="125">
                  <c:v>214534474.39289078</c:v>
                </c:pt>
                <c:pt idx="126">
                  <c:v>215345157.12397057</c:v>
                </c:pt>
                <c:pt idx="127">
                  <c:v>212039395.06991529</c:v>
                </c:pt>
                <c:pt idx="128">
                  <c:v>212840649.39688644</c:v>
                </c:pt>
                <c:pt idx="129">
                  <c:v>213644931.50318265</c:v>
                </c:pt>
                <c:pt idx="130">
                  <c:v>214452252.83017445</c:v>
                </c:pt>
                <c:pt idx="131">
                  <c:v>215262624.86246699</c:v>
                </c:pt>
                <c:pt idx="132">
                  <c:v>216076059.12806347</c:v>
                </c:pt>
                <c:pt idx="133">
                  <c:v>226121452.87666824</c:v>
                </c:pt>
                <c:pt idx="134">
                  <c:v>226975920.47444031</c:v>
                </c:pt>
                <c:pt idx="135">
                  <c:v>227833616.93381023</c:v>
                </c:pt>
                <c:pt idx="136">
                  <c:v>228694554.45599809</c:v>
                </c:pt>
                <c:pt idx="137">
                  <c:v>229558745.28832993</c:v>
                </c:pt>
                <c:pt idx="138">
                  <c:v>230426201.72441199</c:v>
                </c:pt>
                <c:pt idx="139">
                  <c:v>227093110.49265331</c:v>
                </c:pt>
                <c:pt idx="140">
                  <c:v>227951249.78958717</c:v>
                </c:pt>
                <c:pt idx="141">
                  <c:v>228812631.82273325</c:v>
                </c:pt>
                <c:pt idx="142">
                  <c:v>229677268.84574103</c:v>
                </c:pt>
                <c:pt idx="143">
                  <c:v>230545173.15856406</c:v>
                </c:pt>
                <c:pt idx="144">
                  <c:v>231416357.10763496</c:v>
                </c:pt>
                <c:pt idx="145">
                  <c:v>220021644.82166055</c:v>
                </c:pt>
                <c:pt idx="146">
                  <c:v>220853062.46875644</c:v>
                </c:pt>
                <c:pt idx="147">
                  <c:v>221687621.87631169</c:v>
                </c:pt>
                <c:pt idx="148">
                  <c:v>222525334.91640866</c:v>
                </c:pt>
                <c:pt idx="149">
                  <c:v>223366213.50599191</c:v>
                </c:pt>
                <c:pt idx="150">
                  <c:v>224210269.60703778</c:v>
                </c:pt>
                <c:pt idx="151">
                  <c:v>199086746.35129979</c:v>
                </c:pt>
                <c:pt idx="152">
                  <c:v>199839055.21779126</c:v>
                </c:pt>
                <c:pt idx="153">
                  <c:v>200594206.90853384</c:v>
                </c:pt>
                <c:pt idx="154">
                  <c:v>201352212.16598997</c:v>
                </c:pt>
                <c:pt idx="155">
                  <c:v>202113081.77321562</c:v>
                </c:pt>
                <c:pt idx="156">
                  <c:v>202876826.55401385</c:v>
                </c:pt>
                <c:pt idx="157">
                  <c:v>191134939.56355032</c:v>
                </c:pt>
                <c:pt idx="158">
                  <c:v>191857200.14776945</c:v>
                </c:pt>
                <c:pt idx="159">
                  <c:v>192582190.00981033</c:v>
                </c:pt>
                <c:pt idx="160">
                  <c:v>193309919.46306622</c:v>
                </c:pt>
                <c:pt idx="161">
                  <c:v>194040398.85990262</c:v>
                </c:pt>
                <c:pt idx="162">
                  <c:v>194773638.5918045</c:v>
                </c:pt>
                <c:pt idx="163">
                  <c:v>169019926.57483873</c:v>
                </c:pt>
                <c:pt idx="164">
                  <c:v>169658618.96248576</c:v>
                </c:pt>
                <c:pt idx="165">
                  <c:v>170299724.84050819</c:v>
                </c:pt>
                <c:pt idx="166">
                  <c:v>170943253.32900187</c:v>
                </c:pt>
                <c:pt idx="167">
                  <c:v>171589213.58252564</c:v>
                </c:pt>
                <c:pt idx="168">
                  <c:v>172237614.79023162</c:v>
                </c:pt>
                <c:pt idx="169">
                  <c:v>160129577.25450689</c:v>
                </c:pt>
                <c:pt idx="170">
                  <c:v>160734674.79597521</c:v>
                </c:pt>
                <c:pt idx="171">
                  <c:v>161342058.87963623</c:v>
                </c:pt>
                <c:pt idx="172">
                  <c:v>161951738.14587408</c:v>
                </c:pt>
                <c:pt idx="173">
                  <c:v>162563721.26772317</c:v>
                </c:pt>
                <c:pt idx="174">
                  <c:v>163178016.9509916</c:v>
                </c:pt>
                <c:pt idx="175">
                  <c:v>136774916.21364582</c:v>
                </c:pt>
                <c:pt idx="176">
                  <c:v>137291761.17729592</c:v>
                </c:pt>
                <c:pt idx="177">
                  <c:v>137810559.19435558</c:v>
                </c:pt>
                <c:pt idx="178">
                  <c:v>138331317.64502171</c:v>
                </c:pt>
                <c:pt idx="179">
                  <c:v>138854043.93737954</c:v>
                </c:pt>
                <c:pt idx="180">
                  <c:v>139378745.50750798</c:v>
                </c:pt>
                <c:pt idx="181">
                  <c:v>126896886.77100241</c:v>
                </c:pt>
                <c:pt idx="182">
                  <c:v>127376404.64347564</c:v>
                </c:pt>
                <c:pt idx="183">
                  <c:v>127857734.51777075</c:v>
                </c:pt>
                <c:pt idx="184">
                  <c:v>128340883.24107905</c:v>
                </c:pt>
                <c:pt idx="185">
                  <c:v>128825857.68646598</c:v>
                </c:pt>
                <c:pt idx="186">
                  <c:v>129312664.75296895</c:v>
                </c:pt>
                <c:pt idx="187">
                  <c:v>102241560.65090932</c:v>
                </c:pt>
                <c:pt idx="188">
                  <c:v>102627910.99321629</c:v>
                </c:pt>
                <c:pt idx="189">
                  <c:v>103015721.27594328</c:v>
                </c:pt>
                <c:pt idx="190">
                  <c:v>103404997.0159122</c:v>
                </c:pt>
                <c:pt idx="191">
                  <c:v>103795743.75079192</c:v>
                </c:pt>
                <c:pt idx="192">
                  <c:v>104187967.03917703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C-487A-88E3-5D8203CF0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23792"/>
        <c:axId val="1715372720"/>
      </c:lineChart>
      <c:catAx>
        <c:axId val="161972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72720"/>
        <c:crosses val="autoZero"/>
        <c:auto val="1"/>
        <c:lblAlgn val="ctr"/>
        <c:lblOffset val="100"/>
        <c:noMultiLvlLbl val="0"/>
      </c:catAx>
      <c:valAx>
        <c:axId val="1715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val>
            <c:numRef>
              <c:f>'Sheet1 (2)'!$AD$22:$AD$214</c:f>
              <c:numCache>
                <c:formatCode>_-* #,##0.00_-;\-* #,##0.00_-;_-* "-"_-;_-@_-</c:formatCode>
                <c:ptCount val="193"/>
                <c:pt idx="0">
                  <c:v>37541191.668956436</c:v>
                </c:pt>
                <c:pt idx="1">
                  <c:v>40886253.845082037</c:v>
                </c:pt>
                <c:pt idx="2">
                  <c:v>41040754.794286363</c:v>
                </c:pt>
                <c:pt idx="3">
                  <c:v>41195839.571576171</c:v>
                </c:pt>
                <c:pt idx="4">
                  <c:v>41351510.383120656</c:v>
                </c:pt>
                <c:pt idx="5">
                  <c:v>41507769.44342567</c:v>
                </c:pt>
                <c:pt idx="6">
                  <c:v>41664618.975365244</c:v>
                </c:pt>
                <c:pt idx="7">
                  <c:v>39647876.330834314</c:v>
                </c:pt>
                <c:pt idx="8">
                  <c:v>39797697.699900299</c:v>
                </c:pt>
                <c:pt idx="9">
                  <c:v>39948085.213857412</c:v>
                </c:pt>
                <c:pt idx="10">
                  <c:v>40099041.012053601</c:v>
                </c:pt>
                <c:pt idx="11">
                  <c:v>40250567.24192097</c:v>
                </c:pt>
                <c:pt idx="12">
                  <c:v>40402666.059006348</c:v>
                </c:pt>
                <c:pt idx="13">
                  <c:v>43692291.771922953</c:v>
                </c:pt>
                <c:pt idx="14">
                  <c:v>43857396.175404184</c:v>
                </c:pt>
                <c:pt idx="15">
                  <c:v>44023124.475296967</c:v>
                </c:pt>
                <c:pt idx="16">
                  <c:v>44189479.029180646</c:v>
                </c:pt>
                <c:pt idx="17">
                  <c:v>44356462.203543395</c:v>
                </c:pt>
                <c:pt idx="18">
                  <c:v>44524076.373815872</c:v>
                </c:pt>
                <c:pt idx="19">
                  <c:v>42451889.644269414</c:v>
                </c:pt>
                <c:pt idx="20">
                  <c:v>42612306.817004494</c:v>
                </c:pt>
                <c:pt idx="21">
                  <c:v>42773330.174046658</c:v>
                </c:pt>
                <c:pt idx="22">
                  <c:v>42934962.006044768</c:v>
                </c:pt>
                <c:pt idx="23">
                  <c:v>43097204.612303585</c:v>
                </c:pt>
                <c:pt idx="24">
                  <c:v>43260060.300816484</c:v>
                </c:pt>
                <c:pt idx="25">
                  <c:v>46494234.132462613</c:v>
                </c:pt>
                <c:pt idx="26">
                  <c:v>46669926.513897493</c:v>
                </c:pt>
                <c:pt idx="27">
                  <c:v>46846282.801588073</c:v>
                </c:pt>
                <c:pt idx="28">
                  <c:v>47023305.504302867</c:v>
                </c:pt>
                <c:pt idx="29">
                  <c:v>47200997.140290536</c:v>
                </c:pt>
                <c:pt idx="30">
                  <c:v>47379360.237315692</c:v>
                </c:pt>
                <c:pt idx="31">
                  <c:v>45251713.651802585</c:v>
                </c:pt>
                <c:pt idx="32">
                  <c:v>45422710.797660366</c:v>
                </c:pt>
                <c:pt idx="33">
                  <c:v>45594354.107420728</c:v>
                </c:pt>
                <c:pt idx="34">
                  <c:v>45766646.022807397</c:v>
                </c:pt>
                <c:pt idx="35">
                  <c:v>45939588.994770885</c:v>
                </c:pt>
                <c:pt idx="36">
                  <c:v>46113185.483523361</c:v>
                </c:pt>
                <c:pt idx="37">
                  <c:v>49291891.30198127</c:v>
                </c:pt>
                <c:pt idx="38">
                  <c:v>49478155.468492791</c:v>
                </c:pt>
                <c:pt idx="39">
                  <c:v>49665123.489914514</c:v>
                </c:pt>
                <c:pt idx="40">
                  <c:v>49852798.025972918</c:v>
                </c:pt>
                <c:pt idx="41">
                  <c:v>50041181.746445045</c:v>
                </c:pt>
                <c:pt idx="42">
                  <c:v>50230277.331196494</c:v>
                </c:pt>
                <c:pt idx="43">
                  <c:v>48047154.388570555</c:v>
                </c:pt>
                <c:pt idx="44">
                  <c:v>48228714.944050349</c:v>
                </c:pt>
                <c:pt idx="45">
                  <c:v>48410961.58043807</c:v>
                </c:pt>
                <c:pt idx="46">
                  <c:v>48593896.890295796</c:v>
                </c:pt>
                <c:pt idx="47">
                  <c:v>48777523.47598239</c:v>
                </c:pt>
                <c:pt idx="48">
                  <c:v>48961843.949690498</c:v>
                </c:pt>
                <c:pt idx="49">
                  <c:v>52079042.203338593</c:v>
                </c:pt>
                <c:pt idx="50">
                  <c:v>52275838.453847513</c:v>
                </c:pt>
                <c:pt idx="51">
                  <c:v>52473378.357898735</c:v>
                </c:pt>
                <c:pt idx="52">
                  <c:v>52671664.725609779</c:v>
                </c:pt>
                <c:pt idx="53">
                  <c:v>52870700.377717033</c:v>
                </c:pt>
                <c:pt idx="54">
                  <c:v>53070488.145615883</c:v>
                </c:pt>
                <c:pt idx="55">
                  <c:v>50825825.716199249</c:v>
                </c:pt>
                <c:pt idx="56">
                  <c:v>51017886.3130688</c:v>
                </c:pt>
                <c:pt idx="57">
                  <c:v>51210672.668395787</c:v>
                </c:pt>
                <c:pt idx="58">
                  <c:v>51404187.524675801</c:v>
                </c:pt>
                <c:pt idx="59">
                  <c:v>51598433.634767763</c:v>
                </c:pt>
                <c:pt idx="60">
                  <c:v>51793413.761933096</c:v>
                </c:pt>
                <c:pt idx="61">
                  <c:v>54849039.87617714</c:v>
                </c:pt>
                <c:pt idx="62">
                  <c:v>55056303.392074786</c:v>
                </c:pt>
                <c:pt idx="63">
                  <c:v>55264350.115210317</c:v>
                </c:pt>
                <c:pt idx="64">
                  <c:v>55473183.005166732</c:v>
                </c:pt>
                <c:pt idx="65">
                  <c:v>55682805.032710701</c:v>
                </c:pt>
                <c:pt idx="66">
                  <c:v>55893219.17983482</c:v>
                </c:pt>
                <c:pt idx="67">
                  <c:v>53586951.211045541</c:v>
                </c:pt>
                <c:pt idx="68">
                  <c:v>53789445.54712344</c:v>
                </c:pt>
                <c:pt idx="69">
                  <c:v>53992705.068665653</c:v>
                </c:pt>
                <c:pt idx="70">
                  <c:v>54196732.667154513</c:v>
                </c:pt>
                <c:pt idx="71">
                  <c:v>54401531.244998679</c:v>
                </c:pt>
                <c:pt idx="72">
                  <c:v>54607103.715574436</c:v>
                </c:pt>
                <c:pt idx="73">
                  <c:v>56854278.69930461</c:v>
                </c:pt>
                <c:pt idx="74">
                  <c:v>57069119.610351451</c:v>
                </c:pt>
                <c:pt idx="75">
                  <c:v>57284772.362091996</c:v>
                </c:pt>
                <c:pt idx="76">
                  <c:v>57501240.022309333</c:v>
                </c:pt>
                <c:pt idx="77">
                  <c:v>57718525.670379072</c:v>
                </c:pt>
                <c:pt idx="78">
                  <c:v>57936632.397313178</c:v>
                </c:pt>
                <c:pt idx="79">
                  <c:v>54819002.576784797</c:v>
                </c:pt>
                <c:pt idx="80">
                  <c:v>55026152.587755203</c:v>
                </c:pt>
                <c:pt idx="81">
                  <c:v>55234085.377051152</c:v>
                </c:pt>
                <c:pt idx="82">
                  <c:v>55442803.902634874</c:v>
                </c:pt>
                <c:pt idx="83">
                  <c:v>55652311.133646131</c:v>
                </c:pt>
                <c:pt idx="84">
                  <c:v>55862610.050444469</c:v>
                </c:pt>
                <c:pt idx="85">
                  <c:v>58012143.903156035</c:v>
                </c:pt>
                <c:pt idx="86">
                  <c:v>58231360.154475518</c:v>
                </c:pt>
                <c:pt idx="87">
                  <c:v>58451404.780021653</c:v>
                </c:pt>
                <c:pt idx="88">
                  <c:v>58672280.91005443</c:v>
                </c:pt>
                <c:pt idx="89">
                  <c:v>58893991.686662465</c:v>
                </c:pt>
                <c:pt idx="90">
                  <c:v>59116540.263807677</c:v>
                </c:pt>
                <c:pt idx="91">
                  <c:v>55900983.640817992</c:v>
                </c:pt>
                <c:pt idx="92">
                  <c:v>56112222.241123281</c:v>
                </c:pt>
                <c:pt idx="93">
                  <c:v>56324259.06971281</c:v>
                </c:pt>
                <c:pt idx="94">
                  <c:v>56537097.142931096</c:v>
                </c:pt>
                <c:pt idx="95">
                  <c:v>56750739.488520816</c:v>
                </c:pt>
                <c:pt idx="96">
                  <c:v>56965189.145665877</c:v>
                </c:pt>
                <c:pt idx="97">
                  <c:v>59016503.986005992</c:v>
                </c:pt>
                <c:pt idx="98">
                  <c:v>59239515.512547582</c:v>
                </c:pt>
                <c:pt idx="99">
                  <c:v>59463369.754899353</c:v>
                </c:pt>
                <c:pt idx="100">
                  <c:v>59688069.897515252</c:v>
                </c:pt>
                <c:pt idx="101">
                  <c:v>59913619.13688264</c:v>
                </c:pt>
                <c:pt idx="102">
                  <c:v>60140020.681567766</c:v>
                </c:pt>
                <c:pt idx="103">
                  <c:v>56825946.148176126</c:v>
                </c:pt>
                <c:pt idx="104">
                  <c:v>57040679.99619735</c:v>
                </c:pt>
                <c:pt idx="105">
                  <c:v>57256225.280342594</c:v>
                </c:pt>
                <c:pt idx="106">
                  <c:v>57472585.066866145</c:v>
                </c:pt>
                <c:pt idx="107">
                  <c:v>57689762.433609053</c:v>
                </c:pt>
                <c:pt idx="108">
                  <c:v>57907760.470042922</c:v>
                </c:pt>
                <c:pt idx="109">
                  <c:v>59047190.833283529</c:v>
                </c:pt>
                <c:pt idx="110">
                  <c:v>59270318.319263481</c:v>
                </c:pt>
                <c:pt idx="111">
                  <c:v>59494288.959241062</c:v>
                </c:pt>
                <c:pt idx="112">
                  <c:v>59719105.93932604</c:v>
                </c:pt>
                <c:pt idx="113">
                  <c:v>59944772.457667865</c:v>
                </c:pt>
                <c:pt idx="114">
                  <c:v>60171291.724501133</c:v>
                </c:pt>
                <c:pt idx="115">
                  <c:v>55941889.093104377</c:v>
                </c:pt>
                <c:pt idx="116">
                  <c:v>56153282.266905926</c:v>
                </c:pt>
                <c:pt idx="117">
                  <c:v>56365474.253093943</c:v>
                </c:pt>
                <c:pt idx="118">
                  <c:v>56578468.07022015</c:v>
                </c:pt>
                <c:pt idx="119">
                  <c:v>56792266.748242766</c:v>
                </c:pt>
                <c:pt idx="120">
                  <c:v>57006873.328569621</c:v>
                </c:pt>
                <c:pt idx="121">
                  <c:v>58010400.618557706</c:v>
                </c:pt>
                <c:pt idx="122">
                  <c:v>58229610.282354489</c:v>
                </c:pt>
                <c:pt idx="123">
                  <c:v>58449648.295485005</c:v>
                </c:pt>
                <c:pt idx="124">
                  <c:v>58670517.788115174</c:v>
                </c:pt>
                <c:pt idx="125">
                  <c:v>58892221.902239181</c:v>
                </c:pt>
                <c:pt idx="126">
                  <c:v>59114763.791724175</c:v>
                </c:pt>
                <c:pt idx="127">
                  <c:v>54748869.951754838</c:v>
                </c:pt>
                <c:pt idx="128">
                  <c:v>54955754.945607796</c:v>
                </c:pt>
                <c:pt idx="129">
                  <c:v>55163421.716339789</c:v>
                </c:pt>
                <c:pt idx="130">
                  <c:v>55371873.218128771</c:v>
                </c:pt>
                <c:pt idx="131">
                  <c:v>55581112.41631595</c:v>
                </c:pt>
                <c:pt idx="132">
                  <c:v>55791142.287447959</c:v>
                </c:pt>
                <c:pt idx="133">
                  <c:v>56651554.099466041</c:v>
                </c:pt>
                <c:pt idx="134">
                  <c:v>56865628.954928018</c:v>
                </c:pt>
                <c:pt idx="135">
                  <c:v>57080512.756313361</c:v>
                </c:pt>
                <c:pt idx="136">
                  <c:v>57296208.560466394</c:v>
                </c:pt>
                <c:pt idx="137">
                  <c:v>57512719.435782641</c:v>
                </c:pt>
                <c:pt idx="138">
                  <c:v>57730048.462252483</c:v>
                </c:pt>
                <c:pt idx="139">
                  <c:v>53220400.586595193</c:v>
                </c:pt>
                <c:pt idx="140">
                  <c:v>53421509.801413916</c:v>
                </c:pt>
                <c:pt idx="141">
                  <c:v>53623378.967601649</c:v>
                </c:pt>
                <c:pt idx="142">
                  <c:v>53826010.956862122</c:v>
                </c:pt>
                <c:pt idx="143">
                  <c:v>54029408.651750669</c:v>
                </c:pt>
                <c:pt idx="144">
                  <c:v>54233574.945715211</c:v>
                </c:pt>
                <c:pt idx="145">
                  <c:v>52445151.44461178</c:v>
                </c:pt>
                <c:pt idx="146">
                  <c:v>52643331.148481414</c:v>
                </c:pt>
                <c:pt idx="147">
                  <c:v>52842259.733686008</c:v>
                </c:pt>
                <c:pt idx="148">
                  <c:v>53041940.030097857</c:v>
                </c:pt>
                <c:pt idx="149">
                  <c:v>53242374.878282778</c:v>
                </c:pt>
                <c:pt idx="150">
                  <c:v>53443567.12954051</c:v>
                </c:pt>
                <c:pt idx="151">
                  <c:v>46274771.922363035</c:v>
                </c:pt>
                <c:pt idx="152">
                  <c:v>46449635.000142381</c:v>
                </c:pt>
                <c:pt idx="153">
                  <c:v>46625158.850405313</c:v>
                </c:pt>
                <c:pt idx="154">
                  <c:v>46801345.970078461</c:v>
                </c:pt>
                <c:pt idx="155">
                  <c:v>46978198.86552383</c:v>
                </c:pt>
                <c:pt idx="156">
                  <c:v>47155720.052574478</c:v>
                </c:pt>
                <c:pt idx="157">
                  <c:v>45119719.422188975</c:v>
                </c:pt>
                <c:pt idx="158">
                  <c:v>45290217.788338497</c:v>
                </c:pt>
                <c:pt idx="159">
                  <c:v>45461360.433602162</c:v>
                </c:pt>
                <c:pt idx="160">
                  <c:v>45633149.792581461</c:v>
                </c:pt>
                <c:pt idx="161">
                  <c:v>45805588.309077762</c:v>
                </c:pt>
                <c:pt idx="162">
                  <c:v>45978678.436127059</c:v>
                </c:pt>
                <c:pt idx="163">
                  <c:v>38560843.576596968</c:v>
                </c:pt>
                <c:pt idx="164">
                  <c:v>38706557.267004445</c:v>
                </c:pt>
                <c:pt idx="165">
                  <c:v>38852821.580209628</c:v>
                </c:pt>
                <c:pt idx="166">
                  <c:v>38999638.596905589</c:v>
                </c:pt>
                <c:pt idx="167">
                  <c:v>39147010.405647911</c:v>
                </c:pt>
                <c:pt idx="168">
                  <c:v>39294939.102884419</c:v>
                </c:pt>
                <c:pt idx="169">
                  <c:v>37001376.371152617</c:v>
                </c:pt>
                <c:pt idx="170">
                  <c:v>37141197.147907324</c:v>
                </c:pt>
                <c:pt idx="171">
                  <c:v>37281546.279321499</c:v>
                </c:pt>
                <c:pt idx="172">
                  <c:v>37422425.761941381</c:v>
                </c:pt>
                <c:pt idx="173">
                  <c:v>37563837.599857755</c:v>
                </c:pt>
                <c:pt idx="174">
                  <c:v>37705783.804734461</c:v>
                </c:pt>
                <c:pt idx="175">
                  <c:v>30028829.548948046</c:v>
                </c:pt>
                <c:pt idx="176">
                  <c:v>30142302.470345695</c:v>
                </c:pt>
                <c:pt idx="177">
                  <c:v>30256204.183144271</c:v>
                </c:pt>
                <c:pt idx="178">
                  <c:v>30370536.307660442</c:v>
                </c:pt>
                <c:pt idx="179">
                  <c:v>30485300.470333721</c:v>
                </c:pt>
                <c:pt idx="180">
                  <c:v>30600498.303749613</c:v>
                </c:pt>
                <c:pt idx="181">
                  <c:v>28039196.785783991</c:v>
                </c:pt>
                <c:pt idx="182">
                  <c:v>28145151.284201596</c:v>
                </c:pt>
                <c:pt idx="183">
                  <c:v>28251506.163408305</c:v>
                </c:pt>
                <c:pt idx="184">
                  <c:v>28358262.936362781</c:v>
                </c:pt>
                <c:pt idx="185">
                  <c:v>28465423.121740852</c:v>
                </c:pt>
                <c:pt idx="186">
                  <c:v>28572988.243957121</c:v>
                </c:pt>
                <c:pt idx="187">
                  <c:v>20626638.747251194</c:v>
                </c:pt>
                <c:pt idx="188">
                  <c:v>20704582.67621617</c:v>
                </c:pt>
                <c:pt idx="189">
                  <c:v>20782821.13964878</c:v>
                </c:pt>
                <c:pt idx="190">
                  <c:v>20861355.250535678</c:v>
                </c:pt>
                <c:pt idx="191">
                  <c:v>20940186.126069266</c:v>
                </c:pt>
                <c:pt idx="192">
                  <c:v>21019314.887663603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A-4661-B5F2-2B14672C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723792"/>
        <c:axId val="1715372720"/>
      </c:lineChart>
      <c:catAx>
        <c:axId val="161972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72720"/>
        <c:crosses val="autoZero"/>
        <c:auto val="1"/>
        <c:lblAlgn val="ctr"/>
        <c:lblOffset val="100"/>
        <c:noMultiLvlLbl val="0"/>
      </c:catAx>
      <c:valAx>
        <c:axId val="1715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Sheet3!$R$26:$R$385</c:f>
              <c:numCache>
                <c:formatCode>_-* #,##0.00_-;\-* #,##0.00_-;_-* "-"_-;_-@_-</c:formatCode>
                <c:ptCount val="360"/>
                <c:pt idx="0">
                  <c:v>301431.81075484277</c:v>
                </c:pt>
                <c:pt idx="1">
                  <c:v>604302.26587132062</c:v>
                </c:pt>
                <c:pt idx="2">
                  <c:v>908618.23157099821</c:v>
                </c:pt>
                <c:pt idx="3">
                  <c:v>1214386.6068458729</c:v>
                </c:pt>
                <c:pt idx="4">
                  <c:v>1521614.3236147789</c:v>
                </c:pt>
                <c:pt idx="5">
                  <c:v>1830308.3468805365</c:v>
                </c:pt>
                <c:pt idx="6">
                  <c:v>2140475.6748878527</c:v>
                </c:pt>
                <c:pt idx="7">
                  <c:v>2452123.3392819748</c:v>
                </c:pt>
                <c:pt idx="8">
                  <c:v>2765258.4052681006</c:v>
                </c:pt>
                <c:pt idx="9">
                  <c:v>3079887.9717715508</c:v>
                </c:pt>
                <c:pt idx="10">
                  <c:v>3396019.171598705</c:v>
                </c:pt>
                <c:pt idx="11">
                  <c:v>3713659.171598705</c:v>
                </c:pt>
                <c:pt idx="12">
                  <c:v>3986172.8808000442</c:v>
                </c:pt>
                <c:pt idx="13">
                  <c:v>4306629.5088928603</c:v>
                </c:pt>
                <c:pt idx="14">
                  <c:v>4628615.5811408898</c:v>
                </c:pt>
                <c:pt idx="15">
                  <c:v>4952138.397126101</c:v>
                </c:pt>
                <c:pt idx="16">
                  <c:v>5277205.2912691943</c:v>
                </c:pt>
                <c:pt idx="17">
                  <c:v>5603823.6329958793</c:v>
                </c:pt>
                <c:pt idx="18">
                  <c:v>5932000.8269039411</c:v>
                </c:pt>
                <c:pt idx="19">
                  <c:v>6261744.3129311083</c:v>
                </c:pt>
                <c:pt idx="20">
                  <c:v>6593061.5665237196</c:v>
                </c:pt>
                <c:pt idx="21">
                  <c:v>6925960.0988061931</c:v>
                </c:pt>
                <c:pt idx="22">
                  <c:v>7260447.4567513112</c:v>
                </c:pt>
                <c:pt idx="23">
                  <c:v>7596531.2233513119</c:v>
                </c:pt>
                <c:pt idx="24">
                  <c:v>7838809.1777018625</c:v>
                </c:pt>
                <c:pt idx="25">
                  <c:v>8177653.2927426845</c:v>
                </c:pt>
                <c:pt idx="26">
                  <c:v>8518114.6099439412</c:v>
                </c:pt>
                <c:pt idx="27">
                  <c:v>8860200.8477304541</c:v>
                </c:pt>
                <c:pt idx="28">
                  <c:v>9203919.7613647897</c:v>
                </c:pt>
                <c:pt idx="29">
                  <c:v>9549279.1431230735</c:v>
                </c:pt>
                <c:pt idx="30">
                  <c:v>9896286.8224716485</c:v>
                </c:pt>
                <c:pt idx="31">
                  <c:v>10244950.66624457</c:v>
                </c:pt>
                <c:pt idx="32">
                  <c:v>10595278.578821955</c:v>
                </c:pt>
                <c:pt idx="33">
                  <c:v>10947278.502309173</c:v>
                </c:pt>
                <c:pt idx="34">
                  <c:v>11300958.416716902</c:v>
                </c:pt>
                <c:pt idx="35">
                  <c:v>11656326.340142032</c:v>
                </c:pt>
                <c:pt idx="36">
                  <c:v>11866990.847472018</c:v>
                </c:pt>
                <c:pt idx="37">
                  <c:v>12225060.275303632</c:v>
                </c:pt>
                <c:pt idx="38">
                  <c:v>12584838.661994411</c:v>
                </c:pt>
                <c:pt idx="39">
                  <c:v>12946334.163896604</c:v>
                </c:pt>
                <c:pt idx="40">
                  <c:v>13309554.976290299</c:v>
                </c:pt>
                <c:pt idx="41">
                  <c:v>13674509.333569221</c:v>
                </c:pt>
                <c:pt idx="42">
                  <c:v>14041205.509427406</c:v>
                </c:pt>
                <c:pt idx="43">
                  <c:v>14409651.817046769</c:v>
                </c:pt>
                <c:pt idx="44">
                  <c:v>14779856.609285571</c:v>
                </c:pt>
                <c:pt idx="45">
                  <c:v>15151828.278867777</c:v>
                </c:pt>
                <c:pt idx="46">
                  <c:v>15525575.258573333</c:v>
                </c:pt>
                <c:pt idx="47">
                  <c:v>15901106.02142933</c:v>
                </c:pt>
                <c:pt idx="48">
                  <c:v>16078716.61502526</c:v>
                </c:pt>
                <c:pt idx="49">
                  <c:v>16456887.357024977</c:v>
                </c:pt>
                <c:pt idx="50">
                  <c:v>16836862.995476566</c:v>
                </c:pt>
                <c:pt idx="51">
                  <c:v>17218652.144613869</c:v>
                </c:pt>
                <c:pt idx="52">
                  <c:v>17602263.459783897</c:v>
                </c:pt>
                <c:pt idx="53">
                  <c:v>17987705.637643054</c:v>
                </c:pt>
                <c:pt idx="54">
                  <c:v>18374987.41635431</c:v>
                </c:pt>
                <c:pt idx="55">
                  <c:v>18764117.575785276</c:v>
                </c:pt>
                <c:pt idx="56">
                  <c:v>19155104.937707264</c:v>
                </c:pt>
                <c:pt idx="57">
                  <c:v>19547958.365995277</c:v>
                </c:pt>
                <c:pt idx="58">
                  <c:v>19942686.766828954</c:v>
                </c:pt>
                <c:pt idx="59">
                  <c:v>20339299.088894486</c:v>
                </c:pt>
                <c:pt idx="60">
                  <c:v>20482349.667177066</c:v>
                </c:pt>
                <c:pt idx="61">
                  <c:v>20881537.639724959</c:v>
                </c:pt>
                <c:pt idx="62">
                  <c:v>21282630.817713842</c:v>
                </c:pt>
                <c:pt idx="63">
                  <c:v>21685638.294122521</c:v>
                </c:pt>
                <c:pt idx="64">
                  <c:v>22090569.20532788</c:v>
                </c:pt>
                <c:pt idx="65">
                  <c:v>22497432.731312014</c:v>
                </c:pt>
                <c:pt idx="66">
                  <c:v>22906238.095870338</c:v>
                </c:pt>
                <c:pt idx="67">
                  <c:v>23316994.566820703</c:v>
                </c:pt>
                <c:pt idx="68">
                  <c:v>23729711.456213497</c:v>
                </c:pt>
                <c:pt idx="69">
                  <c:v>24144398.120542746</c:v>
                </c:pt>
                <c:pt idx="70">
                  <c:v>24561063.960958254</c:v>
                </c:pt>
                <c:pt idx="71">
                  <c:v>24979718.4234787</c:v>
                </c:pt>
                <c:pt idx="72">
                  <c:v>25086634.259350177</c:v>
                </c:pt>
                <c:pt idx="73">
                  <c:v>25507797.112556171</c:v>
                </c:pt>
                <c:pt idx="74">
                  <c:v>25930970.050771367</c:v>
                </c:pt>
                <c:pt idx="75">
                  <c:v>26356162.667533543</c:v>
                </c:pt>
                <c:pt idx="76">
                  <c:v>26783384.602167588</c:v>
                </c:pt>
                <c:pt idx="77">
                  <c:v>24836358.098553333</c:v>
                </c:pt>
                <c:pt idx="78">
                  <c:v>25256326.458096959</c:v>
                </c:pt>
                <c:pt idx="79">
                  <c:v>25678299.201686881</c:v>
                </c:pt>
                <c:pt idx="80">
                  <c:v>26102285.895651877</c:v>
                </c:pt>
                <c:pt idx="81">
                  <c:v>26528296.151977971</c:v>
                </c:pt>
                <c:pt idx="82">
                  <c:v>26956339.628526334</c:v>
                </c:pt>
                <c:pt idx="83">
                  <c:v>27386426.029252239</c:v>
                </c:pt>
                <c:pt idx="84">
                  <c:v>25050084.407082718</c:v>
                </c:pt>
                <c:pt idx="85">
                  <c:v>25471072.818716828</c:v>
                </c:pt>
                <c:pt idx="86">
                  <c:v>25894070.482802413</c:v>
                </c:pt>
                <c:pt idx="87">
                  <c:v>26319086.988903701</c:v>
                </c:pt>
                <c:pt idx="88">
                  <c:v>26746131.97235306</c:v>
                </c:pt>
                <c:pt idx="89">
                  <c:v>24750698.583297983</c:v>
                </c:pt>
                <c:pt idx="90">
                  <c:v>25170258.11545762</c:v>
                </c:pt>
                <c:pt idx="91">
                  <c:v>25591820.080452066</c:v>
                </c:pt>
                <c:pt idx="92">
                  <c:v>26015394.03529755</c:v>
                </c:pt>
                <c:pt idx="93">
                  <c:v>26440989.582623098</c:v>
                </c:pt>
                <c:pt idx="94">
                  <c:v>26868616.370888226</c:v>
                </c:pt>
                <c:pt idx="95">
                  <c:v>27298284.094601676</c:v>
                </c:pt>
                <c:pt idx="96">
                  <c:v>24914399.740101643</c:v>
                </c:pt>
                <c:pt idx="97">
                  <c:v>25334740.569184251</c:v>
                </c:pt>
                <c:pt idx="98">
                  <c:v>25757087.559999458</c:v>
                </c:pt>
                <c:pt idx="99">
                  <c:v>26181450.287360415</c:v>
                </c:pt>
                <c:pt idx="100">
                  <c:v>26607838.371778004</c:v>
                </c:pt>
                <c:pt idx="101">
                  <c:v>24563515.858786721</c:v>
                </c:pt>
                <c:pt idx="102">
                  <c:v>24982182.023486104</c:v>
                </c:pt>
                <c:pt idx="103">
                  <c:v>25402846.357243173</c:v>
                </c:pt>
                <c:pt idx="104">
                  <c:v>25825518.396724414</c:v>
                </c:pt>
                <c:pt idx="105">
                  <c:v>26250207.724111989</c:v>
                </c:pt>
                <c:pt idx="106">
                  <c:v>26676923.967320967</c:v>
                </c:pt>
                <c:pt idx="107">
                  <c:v>27105676.800217588</c:v>
                </c:pt>
                <c:pt idx="108">
                  <c:v>24674058.40787201</c:v>
                </c:pt>
                <c:pt idx="109">
                  <c:v>25093252.159273554</c:v>
                </c:pt>
                <c:pt idx="110">
                  <c:v>25514446.597747162</c:v>
                </c:pt>
                <c:pt idx="111">
                  <c:v>25937651.27197706</c:v>
                </c:pt>
                <c:pt idx="112">
                  <c:v>26362875.776220497</c:v>
                </c:pt>
                <c:pt idx="113">
                  <c:v>24268150.267209742</c:v>
                </c:pt>
                <c:pt idx="114">
                  <c:v>24685406.739807025</c:v>
                </c:pt>
                <c:pt idx="115">
                  <c:v>25104654.653420947</c:v>
                </c:pt>
                <c:pt idx="116">
                  <c:v>25525903.512607064</c:v>
                </c:pt>
                <c:pt idx="117">
                  <c:v>25949162.867283341</c:v>
                </c:pt>
                <c:pt idx="118">
                  <c:v>26374442.312946662</c:v>
                </c:pt>
                <c:pt idx="119">
                  <c:v>26801751.490890365</c:v>
                </c:pt>
                <c:pt idx="120">
                  <c:v>24322261.116510633</c:v>
                </c:pt>
                <c:pt idx="121">
                  <c:v>24739775.844094522</c:v>
                </c:pt>
                <c:pt idx="122">
                  <c:v>25159283.24526928</c:v>
                </c:pt>
                <c:pt idx="123">
                  <c:v>25580792.830473162</c:v>
                </c:pt>
                <c:pt idx="124">
                  <c:v>26004314.155534927</c:v>
                </c:pt>
                <c:pt idx="125">
                  <c:v>23857638.70344913</c:v>
                </c:pt>
                <c:pt idx="126">
                  <c:v>24272935.926473144</c:v>
                </c:pt>
                <c:pt idx="127">
                  <c:v>24690215.239598434</c:v>
                </c:pt>
                <c:pt idx="128">
                  <c:v>25109486.102751411</c:v>
                </c:pt>
                <c:pt idx="129">
                  <c:v>25530758.021007903</c:v>
                </c:pt>
                <c:pt idx="130">
                  <c:v>25954040.544808637</c:v>
                </c:pt>
                <c:pt idx="131">
                  <c:v>26379343.270175755</c:v>
                </c:pt>
                <c:pt idx="132">
                  <c:v>23850893.989605997</c:v>
                </c:pt>
                <c:pt idx="133">
                  <c:v>24266159.022117283</c:v>
                </c:pt>
                <c:pt idx="134">
                  <c:v>24683405.991094101</c:v>
                </c:pt>
                <c:pt idx="135">
                  <c:v>25102644.35572961</c:v>
                </c:pt>
                <c:pt idx="136">
                  <c:v>25523883.620362878</c:v>
                </c:pt>
                <c:pt idx="137">
                  <c:v>23322667.035722192</c:v>
                </c:pt>
                <c:pt idx="138">
                  <c:v>23735410.998121582</c:v>
                </c:pt>
                <c:pt idx="139">
                  <c:v>24150124.864668839</c:v>
                </c:pt>
                <c:pt idx="140">
                  <c:v>24566818.037130445</c:v>
                </c:pt>
                <c:pt idx="141">
                  <c:v>24985499.962144718</c:v>
                </c:pt>
                <c:pt idx="142">
                  <c:v>25406180.131435968</c:v>
                </c:pt>
                <c:pt idx="143">
                  <c:v>25828868.082029689</c:v>
                </c:pt>
                <c:pt idx="144">
                  <c:v>23252457.147144325</c:v>
                </c:pt>
                <c:pt idx="145">
                  <c:v>23664866.018631842</c:v>
                </c:pt>
                <c:pt idx="146">
                  <c:v>24079243.194977988</c:v>
                </c:pt>
                <c:pt idx="147">
                  <c:v>24495598.070316311</c:v>
                </c:pt>
                <c:pt idx="148">
                  <c:v>24913940.083615769</c:v>
                </c:pt>
                <c:pt idx="149">
                  <c:v>22657564.239391707</c:v>
                </c:pt>
                <c:pt idx="150">
                  <c:v>23067133.864001557</c:v>
                </c:pt>
                <c:pt idx="151">
                  <c:v>23478658.242589317</c:v>
                </c:pt>
                <c:pt idx="152">
                  <c:v>23892146.704614218</c:v>
                </c:pt>
                <c:pt idx="153">
                  <c:v>24307608.624062221</c:v>
                </c:pt>
                <c:pt idx="154">
                  <c:v>24725053.419658534</c:v>
                </c:pt>
                <c:pt idx="155">
                  <c:v>25144490.55508114</c:v>
                </c:pt>
                <c:pt idx="156">
                  <c:v>22520155.884833727</c:v>
                </c:pt>
                <c:pt idx="157">
                  <c:v>22929069.700244039</c:v>
                </c:pt>
                <c:pt idx="158">
                  <c:v>23339935.139650047</c:v>
                </c:pt>
                <c:pt idx="159">
                  <c:v>23752761.517572504</c:v>
                </c:pt>
                <c:pt idx="160">
                  <c:v>24167558.192987598</c:v>
                </c:pt>
                <c:pt idx="161">
                  <c:v>21854367.136802778</c:v>
                </c:pt>
                <c:pt idx="162">
                  <c:v>22260103.340580143</c:v>
                </c:pt>
                <c:pt idx="163">
                  <c:v>22667776.002558168</c:v>
                </c:pt>
                <c:pt idx="164">
                  <c:v>23077394.364875779</c:v>
                </c:pt>
                <c:pt idx="165">
                  <c:v>23488967.713781878</c:v>
                </c:pt>
                <c:pt idx="166">
                  <c:v>23902505.37984588</c:v>
                </c:pt>
                <c:pt idx="167">
                  <c:v>24318016.738169227</c:v>
                </c:pt>
                <c:pt idx="168">
                  <c:v>21645860.05745266</c:v>
                </c:pt>
                <c:pt idx="169">
                  <c:v>22050601.118967779</c:v>
                </c:pt>
                <c:pt idx="170">
                  <c:v>22457273.889165577</c:v>
                </c:pt>
                <c:pt idx="171">
                  <c:v>22865887.587516945</c:v>
                </c:pt>
                <c:pt idx="172">
                  <c:v>23276451.477494564</c:v>
                </c:pt>
                <c:pt idx="173">
                  <c:v>20904749.708110686</c:v>
                </c:pt>
                <c:pt idx="174">
                  <c:v>21305953.67039676</c:v>
                </c:pt>
                <c:pt idx="175">
                  <c:v>21709072.459843121</c:v>
                </c:pt>
                <c:pt idx="176">
                  <c:v>22114115.215350181</c:v>
                </c:pt>
                <c:pt idx="177">
                  <c:v>22521091.119435593</c:v>
                </c:pt>
                <c:pt idx="178">
                  <c:v>22930009.398442443</c:v>
                </c:pt>
                <c:pt idx="179">
                  <c:v>23340879.322748408</c:v>
                </c:pt>
                <c:pt idx="180">
                  <c:v>20620064.297010016</c:v>
                </c:pt>
                <c:pt idx="181">
                  <c:v>21019909.540518221</c:v>
                </c:pt>
                <c:pt idx="182">
                  <c:v>21421663.126426183</c:v>
                </c:pt>
                <c:pt idx="183">
                  <c:v>21825334.162684478</c:v>
                </c:pt>
                <c:pt idx="184">
                  <c:v>22230931.800713219</c:v>
                </c:pt>
                <c:pt idx="185">
                  <c:v>21745222.303072669</c:v>
                </c:pt>
                <c:pt idx="186">
                  <c:v>22150437.591027465</c:v>
                </c:pt>
                <c:pt idx="187">
                  <c:v>22557586.851006664</c:v>
                </c:pt>
                <c:pt idx="188">
                  <c:v>22966679.313283414</c:v>
                </c:pt>
                <c:pt idx="189">
                  <c:v>23377724.252184205</c:v>
                </c:pt>
                <c:pt idx="190">
                  <c:v>23790730.986299135</c:v>
                </c:pt>
                <c:pt idx="191">
                  <c:v>24205708.87869316</c:v>
                </c:pt>
                <c:pt idx="192">
                  <c:v>23407323.051856674</c:v>
                </c:pt>
                <c:pt idx="193">
                  <c:v>23820471.052237276</c:v>
                </c:pt>
                <c:pt idx="194">
                  <c:v>24235590.885118835</c:v>
                </c:pt>
                <c:pt idx="195">
                  <c:v>24652691.961471286</c:v>
                </c:pt>
                <c:pt idx="196">
                  <c:v>25071783.73718033</c:v>
                </c:pt>
                <c:pt idx="197">
                  <c:v>24581546.872079656</c:v>
                </c:pt>
                <c:pt idx="198">
                  <c:v>25000299.09344155</c:v>
                </c:pt>
                <c:pt idx="199">
                  <c:v>25421049.894583978</c:v>
                </c:pt>
                <c:pt idx="200">
                  <c:v>25843808.814133689</c:v>
                </c:pt>
                <c:pt idx="201">
                  <c:v>26268585.436242457</c:v>
                </c:pt>
                <c:pt idx="202">
                  <c:v>26695389.390804362</c:v>
                </c:pt>
                <c:pt idx="203">
                  <c:v>27124230.353674103</c:v>
                </c:pt>
                <c:pt idx="204">
                  <c:v>26285032.219107281</c:v>
                </c:pt>
                <c:pt idx="205">
                  <c:v>26711914.669271145</c:v>
                </c:pt>
                <c:pt idx="206">
                  <c:v>27140834.502379004</c:v>
                </c:pt>
                <c:pt idx="207">
                  <c:v>27571801.44225356</c:v>
                </c:pt>
                <c:pt idx="208">
                  <c:v>28004825.259126429</c:v>
                </c:pt>
                <c:pt idx="209">
                  <c:v>27510501.020032205</c:v>
                </c:pt>
                <c:pt idx="210">
                  <c:v>27943232.2682257</c:v>
                </c:pt>
                <c:pt idx="211">
                  <c:v>28378028.81393626</c:v>
                </c:pt>
                <c:pt idx="212">
                  <c:v>28814900.514214542</c:v>
                </c:pt>
                <c:pt idx="213">
                  <c:v>29253857.273155976</c:v>
                </c:pt>
                <c:pt idx="214">
                  <c:v>29694909.042125288</c:v>
                </c:pt>
                <c:pt idx="215">
                  <c:v>30138065.819982108</c:v>
                </c:pt>
                <c:pt idx="216">
                  <c:v>29257313.17180302</c:v>
                </c:pt>
                <c:pt idx="217">
                  <c:v>29698381.434748501</c:v>
                </c:pt>
                <c:pt idx="218">
                  <c:v>30141554.78530233</c:v>
                </c:pt>
                <c:pt idx="219">
                  <c:v>30586843.270421434</c:v>
                </c:pt>
                <c:pt idx="220">
                  <c:v>31034256.985013876</c:v>
                </c:pt>
                <c:pt idx="221">
                  <c:v>26460947.332289513</c:v>
                </c:pt>
                <c:pt idx="222">
                  <c:v>26888669.372956689</c:v>
                </c:pt>
                <c:pt idx="223">
                  <c:v>27318432.803683568</c:v>
                </c:pt>
                <c:pt idx="224">
                  <c:v>27750247.367417622</c:v>
                </c:pt>
                <c:pt idx="225">
                  <c:v>28184122.853606518</c:v>
                </c:pt>
                <c:pt idx="226">
                  <c:v>28620069.098420043</c:v>
                </c:pt>
                <c:pt idx="227">
                  <c:v>29058095.984973088</c:v>
                </c:pt>
                <c:pt idx="228">
                  <c:v>24009917.663009979</c:v>
                </c:pt>
                <c:pt idx="229">
                  <c:v>24425941.668207444</c:v>
                </c:pt>
                <c:pt idx="230">
                  <c:v>24843951.232221294</c:v>
                </c:pt>
                <c:pt idx="231">
                  <c:v>25263955.831533082</c:v>
                </c:pt>
                <c:pt idx="232">
                  <c:v>25685964.987852797</c:v>
                </c:pt>
                <c:pt idx="233">
                  <c:v>20986652.258204903</c:v>
                </c:pt>
                <c:pt idx="234">
                  <c:v>21388247.11699789</c:v>
                </c:pt>
                <c:pt idx="235">
                  <c:v>21791758.668583907</c:v>
                </c:pt>
                <c:pt idx="236">
                  <c:v>22197196.060767472</c:v>
                </c:pt>
                <c:pt idx="237">
                  <c:v>22604568.485012852</c:v>
                </c:pt>
                <c:pt idx="238">
                  <c:v>23013885.176652431</c:v>
                </c:pt>
                <c:pt idx="239">
                  <c:v>23425155.4150961</c:v>
                </c:pt>
                <c:pt idx="240">
                  <c:v>18318353.739339065</c:v>
                </c:pt>
                <c:pt idx="241">
                  <c:v>18707213.60307724</c:v>
                </c:pt>
                <c:pt idx="242">
                  <c:v>19097929.379265506</c:v>
                </c:pt>
                <c:pt idx="243">
                  <c:v>19490509.925621882</c:v>
                </c:pt>
                <c:pt idx="244">
                  <c:v>19884964.142139643</c:v>
                </c:pt>
                <c:pt idx="245">
                  <c:v>15055478.145502623</c:v>
                </c:pt>
                <c:pt idx="246">
                  <c:v>15428765.274684235</c:v>
                </c:pt>
                <c:pt idx="247">
                  <c:v>15803833.992286537</c:v>
                </c:pt>
                <c:pt idx="248">
                  <c:v>16180692.801301066</c:v>
                </c:pt>
                <c:pt idx="249">
                  <c:v>16559350.245301608</c:v>
                </c:pt>
                <c:pt idx="250">
                  <c:v>16939814.908637889</c:v>
                </c:pt>
                <c:pt idx="251">
                  <c:v>17322095.416630179</c:v>
                </c:pt>
                <c:pt idx="252">
                  <c:v>12158321.641104072</c:v>
                </c:pt>
                <c:pt idx="253">
                  <c:v>12517781.504147483</c:v>
                </c:pt>
                <c:pt idx="254">
                  <c:v>12878956.962183693</c:v>
                </c:pt>
                <c:pt idx="255">
                  <c:v>13241856.203237243</c:v>
                </c:pt>
                <c:pt idx="256">
                  <c:v>13606487.454411674</c:v>
                </c:pt>
                <c:pt idx="257">
                  <c:v>8642539.7952279132</c:v>
                </c:pt>
                <c:pt idx="258">
                  <c:v>8985219.8774093036</c:v>
                </c:pt>
                <c:pt idx="259">
                  <c:v>9329535.4696811531</c:v>
                </c:pt>
                <c:pt idx="260">
                  <c:v>9675494.3778465856</c:v>
                </c:pt>
                <c:pt idx="261">
                  <c:v>10023104.4449635</c:v>
                </c:pt>
                <c:pt idx="262">
                  <c:v>10372373.55152238</c:v>
                </c:pt>
                <c:pt idx="263">
                  <c:v>10723309.615624944</c:v>
                </c:pt>
                <c:pt idx="264">
                  <c:v>5504414.3900686996</c:v>
                </c:pt>
                <c:pt idx="265">
                  <c:v>5832117.1332329148</c:v>
                </c:pt>
                <c:pt idx="266">
                  <c:v>6161383.9041039767</c:v>
                </c:pt>
                <c:pt idx="267">
                  <c:v>6492222.1673208568</c:v>
                </c:pt>
                <c:pt idx="268">
                  <c:v>6824639.4231490288</c:v>
                </c:pt>
                <c:pt idx="269">
                  <c:v>7158643.2076505013</c:v>
                </c:pt>
                <c:pt idx="270">
                  <c:v>7494241.0928546647</c:v>
                </c:pt>
                <c:pt idx="271">
                  <c:v>7831440.6869299542</c:v>
                </c:pt>
                <c:pt idx="272">
                  <c:v>8170249.6343563292</c:v>
                </c:pt>
                <c:pt idx="273">
                  <c:v>8510675.6160985772</c:v>
                </c:pt>
                <c:pt idx="274">
                  <c:v>8852726.3497804478</c:v>
                </c:pt>
                <c:pt idx="275">
                  <c:v>9196409.5898596104</c:v>
                </c:pt>
                <c:pt idx="276">
                  <c:v>9426229.3613403477</c:v>
                </c:pt>
                <c:pt idx="277">
                  <c:v>9772649.7606857978</c:v>
                </c:pt>
                <c:pt idx="278">
                  <c:v>10120723.521542847</c:v>
                </c:pt>
                <c:pt idx="279">
                  <c:v>10470458.534914142</c:v>
                </c:pt>
                <c:pt idx="280">
                  <c:v>10821862.729463736</c:v>
                </c:pt>
                <c:pt idx="281">
                  <c:v>11174944.07169684</c:v>
                </c:pt>
                <c:pt idx="282">
                  <c:v>11529710.566140423</c:v>
                </c:pt>
                <c:pt idx="283">
                  <c:v>11886170.25552468</c:v>
                </c:pt>
                <c:pt idx="284">
                  <c:v>12244331.220965365</c:v>
                </c:pt>
                <c:pt idx="285">
                  <c:v>12604201.582146993</c:v>
                </c:pt>
                <c:pt idx="286">
                  <c:v>12965789.497506917</c:v>
                </c:pt>
                <c:pt idx="287">
                  <c:v>13329103.164420286</c:v>
                </c:pt>
                <c:pt idx="288">
                  <c:v>13526741.831777994</c:v>
                </c:pt>
                <c:pt idx="289">
                  <c:v>13892732.757308574</c:v>
                </c:pt>
                <c:pt idx="290">
                  <c:v>14260470.448650321</c:v>
                </c:pt>
                <c:pt idx="291">
                  <c:v>14629963.242596814</c:v>
                </c:pt>
                <c:pt idx="292">
                  <c:v>15001219.515730673</c:v>
                </c:pt>
                <c:pt idx="293">
                  <c:v>15374247.684613451</c:v>
                </c:pt>
                <c:pt idx="294">
                  <c:v>15749056.205976449</c:v>
                </c:pt>
                <c:pt idx="295">
                  <c:v>16125653.576912427</c:v>
                </c:pt>
                <c:pt idx="296">
                  <c:v>16504048.335068244</c:v>
                </c:pt>
                <c:pt idx="297">
                  <c:v>16884249.058838405</c:v>
                </c:pt>
                <c:pt idx="298">
                  <c:v>17266264.367559545</c:v>
                </c:pt>
                <c:pt idx="299">
                  <c:v>17650102.921705823</c:v>
                </c:pt>
                <c:pt idx="300">
                  <c:v>17814094.152931135</c:v>
                </c:pt>
                <c:pt idx="301">
                  <c:v>18200547.335672475</c:v>
                </c:pt>
                <c:pt idx="302">
                  <c:v>18588844.944491453</c:v>
                </c:pt>
                <c:pt idx="303">
                  <c:v>18978995.782285057</c:v>
                </c:pt>
                <c:pt idx="304">
                  <c:v>19371008.69396387</c:v>
                </c:pt>
                <c:pt idx="305">
                  <c:v>19764892.566652615</c:v>
                </c:pt>
                <c:pt idx="306">
                  <c:v>20160656.329891607</c:v>
                </c:pt>
                <c:pt idx="307">
                  <c:v>20558308.955839209</c:v>
                </c:pt>
                <c:pt idx="308">
                  <c:v>20957859.459475223</c:v>
                </c:pt>
                <c:pt idx="309">
                  <c:v>21359316.898805264</c:v>
                </c:pt>
                <c:pt idx="310">
                  <c:v>21762690.375066124</c:v>
                </c:pt>
                <c:pt idx="311">
                  <c:v>22167989.032932077</c:v>
                </c:pt>
                <c:pt idx="312">
                  <c:v>22296799.682597626</c:v>
                </c:pt>
                <c:pt idx="313">
                  <c:v>22704647.485299531</c:v>
                </c:pt>
                <c:pt idx="314">
                  <c:v>23114441.824235596</c:v>
                </c:pt>
                <c:pt idx="315">
                  <c:v>23526191.9896442</c:v>
                </c:pt>
                <c:pt idx="316">
                  <c:v>23939907.316103272</c:v>
                </c:pt>
                <c:pt idx="317">
                  <c:v>24355597.182741903</c:v>
                </c:pt>
                <c:pt idx="318">
                  <c:v>24773271.013452973</c:v>
                </c:pt>
                <c:pt idx="319">
                  <c:v>25192938.277106807</c:v>
                </c:pt>
                <c:pt idx="320">
                  <c:v>25614608.487765823</c:v>
                </c:pt>
                <c:pt idx="321">
                  <c:v>26038291.204900231</c:v>
                </c:pt>
                <c:pt idx="322">
                  <c:v>26463996.033604756</c:v>
                </c:pt>
                <c:pt idx="323">
                  <c:v>26891732.624816373</c:v>
                </c:pt>
                <c:pt idx="324">
                  <c:v>26983759.689723384</c:v>
                </c:pt>
                <c:pt idx="325">
                  <c:v>27413976.958244357</c:v>
                </c:pt>
                <c:pt idx="326">
                  <c:v>27846247.525805287</c:v>
                </c:pt>
                <c:pt idx="327">
                  <c:v>28280581.192191672</c:v>
                </c:pt>
                <c:pt idx="328">
                  <c:v>28716987.803960461</c:v>
                </c:pt>
                <c:pt idx="329">
                  <c:v>29155477.254663303</c:v>
                </c:pt>
                <c:pt idx="330">
                  <c:v>29596059.485070817</c:v>
                </c:pt>
                <c:pt idx="331">
                  <c:v>30038744.483397964</c:v>
                </c:pt>
                <c:pt idx="332">
                  <c:v>30483542.285530485</c:v>
                </c:pt>
                <c:pt idx="333">
                  <c:v>30930462.97525242</c:v>
                </c:pt>
                <c:pt idx="334">
                  <c:v>31379516.684474707</c:v>
                </c:pt>
                <c:pt idx="335">
                  <c:v>31830713.593464881</c:v>
                </c:pt>
                <c:pt idx="336">
                  <c:v>31884281.029573832</c:v>
                </c:pt>
                <c:pt idx="337">
                  <c:v>32337887.02862392</c:v>
                </c:pt>
                <c:pt idx="338">
                  <c:v>32793657.954167012</c:v>
                </c:pt>
                <c:pt idx="339">
                  <c:v>33251604.138753228</c:v>
                </c:pt>
                <c:pt idx="340">
                  <c:v>33711735.964246877</c:v>
                </c:pt>
                <c:pt idx="341">
                  <c:v>34174063.862061813</c:v>
                </c:pt>
                <c:pt idx="342">
                  <c:v>34638598.313397937</c:v>
                </c:pt>
                <c:pt idx="343">
                  <c:v>35105349.849478789</c:v>
                </c:pt>
                <c:pt idx="344">
                  <c:v>35574329.051790304</c:v>
                </c:pt>
                <c:pt idx="345">
                  <c:v>36045546.552320711</c:v>
                </c:pt>
                <c:pt idx="346">
                  <c:v>36519013.033801548</c:v>
                </c:pt>
                <c:pt idx="347">
                  <c:v>36994739.229949862</c:v>
                </c:pt>
                <c:pt idx="348">
                  <c:v>37008094.624274567</c:v>
                </c:pt>
                <c:pt idx="349">
                  <c:v>37486155.061360329</c:v>
                </c:pt>
                <c:pt idx="350">
                  <c:v>37966497.138697036</c:v>
                </c:pt>
                <c:pt idx="351">
                  <c:v>38449131.745874859</c:v>
                </c:pt>
                <c:pt idx="352">
                  <c:v>38934069.824456736</c:v>
                </c:pt>
                <c:pt idx="353">
                  <c:v>39421322.368226439</c:v>
                </c:pt>
                <c:pt idx="354">
                  <c:v>39910900.423437782</c:v>
                </c:pt>
                <c:pt idx="355">
                  <c:v>40402815.089065082</c:v>
                </c:pt>
                <c:pt idx="356">
                  <c:v>40897077.517054752</c:v>
                </c:pt>
                <c:pt idx="357">
                  <c:v>41393698.912578121</c:v>
                </c:pt>
                <c:pt idx="358">
                  <c:v>41892690.534285471</c:v>
                </c:pt>
                <c:pt idx="359">
                  <c:v>42394063.69456128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E-4403-8846-0D89CB0D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87407"/>
        <c:axId val="1195064111"/>
      </c:lineChart>
      <c:catAx>
        <c:axId val="134048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64111"/>
        <c:crosses val="autoZero"/>
        <c:auto val="1"/>
        <c:lblAlgn val="ctr"/>
        <c:lblOffset val="100"/>
        <c:noMultiLvlLbl val="0"/>
      </c:catAx>
      <c:valAx>
        <c:axId val="11950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8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Sheet3!$R$26:$R$295</c:f>
              <c:numCache>
                <c:formatCode>_-* #,##0.00_-;\-* #,##0.00_-;_-* "-"_-;_-@_-</c:formatCode>
                <c:ptCount val="270"/>
                <c:pt idx="0">
                  <c:v>301431.81075484277</c:v>
                </c:pt>
                <c:pt idx="1">
                  <c:v>604302.26587132062</c:v>
                </c:pt>
                <c:pt idx="2">
                  <c:v>908618.23157099821</c:v>
                </c:pt>
                <c:pt idx="3">
                  <c:v>1214386.6068458729</c:v>
                </c:pt>
                <c:pt idx="4">
                  <c:v>1521614.3236147789</c:v>
                </c:pt>
                <c:pt idx="5">
                  <c:v>1830308.3468805365</c:v>
                </c:pt>
                <c:pt idx="6">
                  <c:v>2140475.6748878527</c:v>
                </c:pt>
                <c:pt idx="7">
                  <c:v>2452123.3392819748</c:v>
                </c:pt>
                <c:pt idx="8">
                  <c:v>2765258.4052681006</c:v>
                </c:pt>
                <c:pt idx="9">
                  <c:v>3079887.9717715508</c:v>
                </c:pt>
                <c:pt idx="10">
                  <c:v>3396019.171598705</c:v>
                </c:pt>
                <c:pt idx="11">
                  <c:v>3713659.171598705</c:v>
                </c:pt>
                <c:pt idx="12">
                  <c:v>3986172.8808000442</c:v>
                </c:pt>
                <c:pt idx="13">
                  <c:v>4306629.5088928603</c:v>
                </c:pt>
                <c:pt idx="14">
                  <c:v>4628615.5811408898</c:v>
                </c:pt>
                <c:pt idx="15">
                  <c:v>4952138.397126101</c:v>
                </c:pt>
                <c:pt idx="16">
                  <c:v>5277205.2912691943</c:v>
                </c:pt>
                <c:pt idx="17">
                  <c:v>5603823.6329958793</c:v>
                </c:pt>
                <c:pt idx="18">
                  <c:v>5932000.8269039411</c:v>
                </c:pt>
                <c:pt idx="19">
                  <c:v>6261744.3129311083</c:v>
                </c:pt>
                <c:pt idx="20">
                  <c:v>6593061.5665237196</c:v>
                </c:pt>
                <c:pt idx="21">
                  <c:v>6925960.0988061931</c:v>
                </c:pt>
                <c:pt idx="22">
                  <c:v>7260447.4567513112</c:v>
                </c:pt>
                <c:pt idx="23">
                  <c:v>7596531.2233513119</c:v>
                </c:pt>
                <c:pt idx="24">
                  <c:v>7838809.1777018625</c:v>
                </c:pt>
                <c:pt idx="25">
                  <c:v>8177653.2927426845</c:v>
                </c:pt>
                <c:pt idx="26">
                  <c:v>8518114.6099439412</c:v>
                </c:pt>
                <c:pt idx="27">
                  <c:v>8860200.8477304541</c:v>
                </c:pt>
                <c:pt idx="28">
                  <c:v>9203919.7613647897</c:v>
                </c:pt>
                <c:pt idx="29">
                  <c:v>9549279.1431230735</c:v>
                </c:pt>
                <c:pt idx="30">
                  <c:v>9896286.8224716485</c:v>
                </c:pt>
                <c:pt idx="31">
                  <c:v>10244950.66624457</c:v>
                </c:pt>
                <c:pt idx="32">
                  <c:v>10595278.578821955</c:v>
                </c:pt>
                <c:pt idx="33">
                  <c:v>10947278.502309173</c:v>
                </c:pt>
                <c:pt idx="34">
                  <c:v>11300958.416716902</c:v>
                </c:pt>
                <c:pt idx="35">
                  <c:v>11656326.340142032</c:v>
                </c:pt>
                <c:pt idx="36">
                  <c:v>11866990.847472018</c:v>
                </c:pt>
                <c:pt idx="37">
                  <c:v>12225060.275303632</c:v>
                </c:pt>
                <c:pt idx="38">
                  <c:v>12584838.661994411</c:v>
                </c:pt>
                <c:pt idx="39">
                  <c:v>12946334.163896604</c:v>
                </c:pt>
                <c:pt idx="40">
                  <c:v>13309554.976290299</c:v>
                </c:pt>
                <c:pt idx="41">
                  <c:v>13674509.333569221</c:v>
                </c:pt>
                <c:pt idx="42">
                  <c:v>14041205.509427406</c:v>
                </c:pt>
                <c:pt idx="43">
                  <c:v>14409651.817046769</c:v>
                </c:pt>
                <c:pt idx="44">
                  <c:v>14779856.609285571</c:v>
                </c:pt>
                <c:pt idx="45">
                  <c:v>15151828.278867777</c:v>
                </c:pt>
                <c:pt idx="46">
                  <c:v>15525575.258573333</c:v>
                </c:pt>
                <c:pt idx="47">
                  <c:v>15901106.02142933</c:v>
                </c:pt>
                <c:pt idx="48">
                  <c:v>16078716.61502526</c:v>
                </c:pt>
                <c:pt idx="49">
                  <c:v>16456887.357024977</c:v>
                </c:pt>
                <c:pt idx="50">
                  <c:v>16836862.995476566</c:v>
                </c:pt>
                <c:pt idx="51">
                  <c:v>17218652.144613869</c:v>
                </c:pt>
                <c:pt idx="52">
                  <c:v>17602263.459783897</c:v>
                </c:pt>
                <c:pt idx="53">
                  <c:v>17987705.637643054</c:v>
                </c:pt>
                <c:pt idx="54">
                  <c:v>18374987.41635431</c:v>
                </c:pt>
                <c:pt idx="55">
                  <c:v>18764117.575785276</c:v>
                </c:pt>
                <c:pt idx="56">
                  <c:v>19155104.937707264</c:v>
                </c:pt>
                <c:pt idx="57">
                  <c:v>19547958.365995277</c:v>
                </c:pt>
                <c:pt idx="58">
                  <c:v>19942686.766828954</c:v>
                </c:pt>
                <c:pt idx="59">
                  <c:v>20339299.088894486</c:v>
                </c:pt>
                <c:pt idx="60">
                  <c:v>20482349.667177066</c:v>
                </c:pt>
                <c:pt idx="61">
                  <c:v>20881537.639724959</c:v>
                </c:pt>
                <c:pt idx="62">
                  <c:v>21282630.817713842</c:v>
                </c:pt>
                <c:pt idx="63">
                  <c:v>21685638.294122521</c:v>
                </c:pt>
                <c:pt idx="64">
                  <c:v>22090569.20532788</c:v>
                </c:pt>
                <c:pt idx="65">
                  <c:v>22497432.731312014</c:v>
                </c:pt>
                <c:pt idx="66">
                  <c:v>22906238.095870338</c:v>
                </c:pt>
                <c:pt idx="67">
                  <c:v>23316994.566820703</c:v>
                </c:pt>
                <c:pt idx="68">
                  <c:v>23729711.456213497</c:v>
                </c:pt>
                <c:pt idx="69">
                  <c:v>24144398.120542746</c:v>
                </c:pt>
                <c:pt idx="70">
                  <c:v>24561063.960958254</c:v>
                </c:pt>
                <c:pt idx="71">
                  <c:v>24979718.4234787</c:v>
                </c:pt>
                <c:pt idx="72">
                  <c:v>25086634.259350177</c:v>
                </c:pt>
                <c:pt idx="73">
                  <c:v>25507797.112556171</c:v>
                </c:pt>
                <c:pt idx="74">
                  <c:v>25930970.050771367</c:v>
                </c:pt>
                <c:pt idx="75">
                  <c:v>26356162.667533543</c:v>
                </c:pt>
                <c:pt idx="76">
                  <c:v>26783384.602167588</c:v>
                </c:pt>
                <c:pt idx="77">
                  <c:v>24836358.098553333</c:v>
                </c:pt>
                <c:pt idx="78">
                  <c:v>25256326.458096959</c:v>
                </c:pt>
                <c:pt idx="79">
                  <c:v>25678299.201686881</c:v>
                </c:pt>
                <c:pt idx="80">
                  <c:v>26102285.895651877</c:v>
                </c:pt>
                <c:pt idx="81">
                  <c:v>26528296.151977971</c:v>
                </c:pt>
                <c:pt idx="82">
                  <c:v>26956339.628526334</c:v>
                </c:pt>
                <c:pt idx="83">
                  <c:v>27386426.029252239</c:v>
                </c:pt>
                <c:pt idx="84">
                  <c:v>25050084.407082718</c:v>
                </c:pt>
                <c:pt idx="85">
                  <c:v>25471072.818716828</c:v>
                </c:pt>
                <c:pt idx="86">
                  <c:v>25894070.482802413</c:v>
                </c:pt>
                <c:pt idx="87">
                  <c:v>26319086.988903701</c:v>
                </c:pt>
                <c:pt idx="88">
                  <c:v>26746131.97235306</c:v>
                </c:pt>
                <c:pt idx="89">
                  <c:v>24750698.583297983</c:v>
                </c:pt>
                <c:pt idx="90">
                  <c:v>25170258.11545762</c:v>
                </c:pt>
                <c:pt idx="91">
                  <c:v>25591820.080452066</c:v>
                </c:pt>
                <c:pt idx="92">
                  <c:v>26015394.03529755</c:v>
                </c:pt>
                <c:pt idx="93">
                  <c:v>26440989.582623098</c:v>
                </c:pt>
                <c:pt idx="94">
                  <c:v>26868616.370888226</c:v>
                </c:pt>
                <c:pt idx="95">
                  <c:v>27298284.094601676</c:v>
                </c:pt>
                <c:pt idx="96">
                  <c:v>24914399.740101643</c:v>
                </c:pt>
                <c:pt idx="97">
                  <c:v>25334740.569184251</c:v>
                </c:pt>
                <c:pt idx="98">
                  <c:v>25757087.559999458</c:v>
                </c:pt>
                <c:pt idx="99">
                  <c:v>26181450.287360415</c:v>
                </c:pt>
                <c:pt idx="100">
                  <c:v>26607838.371778004</c:v>
                </c:pt>
                <c:pt idx="101">
                  <c:v>24563515.858786721</c:v>
                </c:pt>
                <c:pt idx="102">
                  <c:v>24982182.023486104</c:v>
                </c:pt>
                <c:pt idx="103">
                  <c:v>25402846.357243173</c:v>
                </c:pt>
                <c:pt idx="104">
                  <c:v>25825518.396724414</c:v>
                </c:pt>
                <c:pt idx="105">
                  <c:v>26250207.724111989</c:v>
                </c:pt>
                <c:pt idx="106">
                  <c:v>26676923.967320967</c:v>
                </c:pt>
                <c:pt idx="107">
                  <c:v>27105676.800217588</c:v>
                </c:pt>
                <c:pt idx="108">
                  <c:v>24674058.40787201</c:v>
                </c:pt>
                <c:pt idx="109">
                  <c:v>25093252.159273554</c:v>
                </c:pt>
                <c:pt idx="110">
                  <c:v>25514446.597747162</c:v>
                </c:pt>
                <c:pt idx="111">
                  <c:v>25937651.27197706</c:v>
                </c:pt>
                <c:pt idx="112">
                  <c:v>26362875.776220497</c:v>
                </c:pt>
                <c:pt idx="113">
                  <c:v>24268150.267209742</c:v>
                </c:pt>
                <c:pt idx="114">
                  <c:v>24685406.739807025</c:v>
                </c:pt>
                <c:pt idx="115">
                  <c:v>25104654.653420947</c:v>
                </c:pt>
                <c:pt idx="116">
                  <c:v>25525903.512607064</c:v>
                </c:pt>
                <c:pt idx="117">
                  <c:v>25949162.867283341</c:v>
                </c:pt>
                <c:pt idx="118">
                  <c:v>26374442.312946662</c:v>
                </c:pt>
                <c:pt idx="119">
                  <c:v>26801751.490890365</c:v>
                </c:pt>
                <c:pt idx="120">
                  <c:v>24322261.116510633</c:v>
                </c:pt>
                <c:pt idx="121">
                  <c:v>24739775.844094522</c:v>
                </c:pt>
                <c:pt idx="122">
                  <c:v>25159283.24526928</c:v>
                </c:pt>
                <c:pt idx="123">
                  <c:v>25580792.830473162</c:v>
                </c:pt>
                <c:pt idx="124">
                  <c:v>26004314.155534927</c:v>
                </c:pt>
                <c:pt idx="125">
                  <c:v>23857638.70344913</c:v>
                </c:pt>
                <c:pt idx="126">
                  <c:v>24272935.926473144</c:v>
                </c:pt>
                <c:pt idx="127">
                  <c:v>24690215.239598434</c:v>
                </c:pt>
                <c:pt idx="128">
                  <c:v>25109486.102751411</c:v>
                </c:pt>
                <c:pt idx="129">
                  <c:v>25530758.021007903</c:v>
                </c:pt>
                <c:pt idx="130">
                  <c:v>25954040.544808637</c:v>
                </c:pt>
                <c:pt idx="131">
                  <c:v>26379343.270175755</c:v>
                </c:pt>
                <c:pt idx="132">
                  <c:v>23850893.989605997</c:v>
                </c:pt>
                <c:pt idx="133">
                  <c:v>24266159.022117283</c:v>
                </c:pt>
                <c:pt idx="134">
                  <c:v>24683405.991094101</c:v>
                </c:pt>
                <c:pt idx="135">
                  <c:v>25102644.35572961</c:v>
                </c:pt>
                <c:pt idx="136">
                  <c:v>25523883.620362878</c:v>
                </c:pt>
                <c:pt idx="137">
                  <c:v>23322667.035722192</c:v>
                </c:pt>
                <c:pt idx="138">
                  <c:v>23735410.998121582</c:v>
                </c:pt>
                <c:pt idx="139">
                  <c:v>24150124.864668839</c:v>
                </c:pt>
                <c:pt idx="140">
                  <c:v>24566818.037130445</c:v>
                </c:pt>
                <c:pt idx="141">
                  <c:v>24985499.962144718</c:v>
                </c:pt>
                <c:pt idx="142">
                  <c:v>25406180.131435968</c:v>
                </c:pt>
                <c:pt idx="143">
                  <c:v>25828868.082029689</c:v>
                </c:pt>
                <c:pt idx="144">
                  <c:v>23252457.147144325</c:v>
                </c:pt>
                <c:pt idx="145">
                  <c:v>23664866.018631842</c:v>
                </c:pt>
                <c:pt idx="146">
                  <c:v>24079243.194977988</c:v>
                </c:pt>
                <c:pt idx="147">
                  <c:v>24495598.070316311</c:v>
                </c:pt>
                <c:pt idx="148">
                  <c:v>24913940.083615769</c:v>
                </c:pt>
                <c:pt idx="149">
                  <c:v>22657564.239391707</c:v>
                </c:pt>
                <c:pt idx="150">
                  <c:v>23067133.864001557</c:v>
                </c:pt>
                <c:pt idx="151">
                  <c:v>23478658.242589317</c:v>
                </c:pt>
                <c:pt idx="152">
                  <c:v>23892146.704614218</c:v>
                </c:pt>
                <c:pt idx="153">
                  <c:v>24307608.624062221</c:v>
                </c:pt>
                <c:pt idx="154">
                  <c:v>24725053.419658534</c:v>
                </c:pt>
                <c:pt idx="155">
                  <c:v>25144490.55508114</c:v>
                </c:pt>
                <c:pt idx="156">
                  <c:v>22520155.884833727</c:v>
                </c:pt>
                <c:pt idx="157">
                  <c:v>22929069.700244039</c:v>
                </c:pt>
                <c:pt idx="158">
                  <c:v>23339935.139650047</c:v>
                </c:pt>
                <c:pt idx="159">
                  <c:v>23752761.517572504</c:v>
                </c:pt>
                <c:pt idx="160">
                  <c:v>24167558.192987598</c:v>
                </c:pt>
                <c:pt idx="161">
                  <c:v>21854367.136802778</c:v>
                </c:pt>
                <c:pt idx="162">
                  <c:v>22260103.340580143</c:v>
                </c:pt>
                <c:pt idx="163">
                  <c:v>22667776.002558168</c:v>
                </c:pt>
                <c:pt idx="164">
                  <c:v>23077394.364875779</c:v>
                </c:pt>
                <c:pt idx="165">
                  <c:v>23488967.713781878</c:v>
                </c:pt>
                <c:pt idx="166">
                  <c:v>23902505.37984588</c:v>
                </c:pt>
                <c:pt idx="167">
                  <c:v>24318016.738169227</c:v>
                </c:pt>
                <c:pt idx="168">
                  <c:v>21645860.05745266</c:v>
                </c:pt>
                <c:pt idx="169">
                  <c:v>22050601.118967779</c:v>
                </c:pt>
                <c:pt idx="170">
                  <c:v>22457273.889165577</c:v>
                </c:pt>
                <c:pt idx="171">
                  <c:v>22865887.587516945</c:v>
                </c:pt>
                <c:pt idx="172">
                  <c:v>23276451.477494564</c:v>
                </c:pt>
                <c:pt idx="173">
                  <c:v>20904749.708110686</c:v>
                </c:pt>
                <c:pt idx="174">
                  <c:v>21305953.67039676</c:v>
                </c:pt>
                <c:pt idx="175">
                  <c:v>21709072.459843121</c:v>
                </c:pt>
                <c:pt idx="176">
                  <c:v>22114115.215350181</c:v>
                </c:pt>
                <c:pt idx="177">
                  <c:v>22521091.119435593</c:v>
                </c:pt>
                <c:pt idx="178">
                  <c:v>22930009.398442443</c:v>
                </c:pt>
                <c:pt idx="179">
                  <c:v>23340879.322748408</c:v>
                </c:pt>
                <c:pt idx="180">
                  <c:v>20620064.297010016</c:v>
                </c:pt>
                <c:pt idx="181">
                  <c:v>21019909.540518221</c:v>
                </c:pt>
                <c:pt idx="182">
                  <c:v>21421663.126426183</c:v>
                </c:pt>
                <c:pt idx="183">
                  <c:v>21825334.162684478</c:v>
                </c:pt>
                <c:pt idx="184">
                  <c:v>22230931.800713219</c:v>
                </c:pt>
                <c:pt idx="185">
                  <c:v>21745222.303072669</c:v>
                </c:pt>
                <c:pt idx="186">
                  <c:v>22150437.591027465</c:v>
                </c:pt>
                <c:pt idx="187">
                  <c:v>22557586.851006664</c:v>
                </c:pt>
                <c:pt idx="188">
                  <c:v>22966679.313283414</c:v>
                </c:pt>
                <c:pt idx="189">
                  <c:v>23377724.252184205</c:v>
                </c:pt>
                <c:pt idx="190">
                  <c:v>23790730.986299135</c:v>
                </c:pt>
                <c:pt idx="191">
                  <c:v>24205708.87869316</c:v>
                </c:pt>
                <c:pt idx="192">
                  <c:v>23407323.051856674</c:v>
                </c:pt>
                <c:pt idx="193">
                  <c:v>23820471.052237276</c:v>
                </c:pt>
                <c:pt idx="194">
                  <c:v>24235590.885118835</c:v>
                </c:pt>
                <c:pt idx="195">
                  <c:v>24652691.961471286</c:v>
                </c:pt>
                <c:pt idx="196">
                  <c:v>25071783.73718033</c:v>
                </c:pt>
                <c:pt idx="197">
                  <c:v>24581546.872079656</c:v>
                </c:pt>
                <c:pt idx="198">
                  <c:v>25000299.09344155</c:v>
                </c:pt>
                <c:pt idx="199">
                  <c:v>25421049.894583978</c:v>
                </c:pt>
                <c:pt idx="200">
                  <c:v>25843808.814133689</c:v>
                </c:pt>
                <c:pt idx="201">
                  <c:v>26268585.436242457</c:v>
                </c:pt>
                <c:pt idx="202">
                  <c:v>26695389.390804362</c:v>
                </c:pt>
                <c:pt idx="203">
                  <c:v>27124230.353674103</c:v>
                </c:pt>
                <c:pt idx="204">
                  <c:v>26285032.219107281</c:v>
                </c:pt>
                <c:pt idx="205">
                  <c:v>26711914.669271145</c:v>
                </c:pt>
                <c:pt idx="206">
                  <c:v>27140834.502379004</c:v>
                </c:pt>
                <c:pt idx="207">
                  <c:v>27571801.44225356</c:v>
                </c:pt>
                <c:pt idx="208">
                  <c:v>28004825.259126429</c:v>
                </c:pt>
                <c:pt idx="209">
                  <c:v>27510501.020032205</c:v>
                </c:pt>
                <c:pt idx="210">
                  <c:v>27943232.2682257</c:v>
                </c:pt>
                <c:pt idx="211">
                  <c:v>28378028.81393626</c:v>
                </c:pt>
                <c:pt idx="212">
                  <c:v>28814900.514214542</c:v>
                </c:pt>
                <c:pt idx="213">
                  <c:v>29253857.273155976</c:v>
                </c:pt>
                <c:pt idx="214">
                  <c:v>29694909.042125288</c:v>
                </c:pt>
                <c:pt idx="215">
                  <c:v>30138065.819982108</c:v>
                </c:pt>
                <c:pt idx="216">
                  <c:v>29257313.17180302</c:v>
                </c:pt>
                <c:pt idx="217">
                  <c:v>29698381.434748501</c:v>
                </c:pt>
                <c:pt idx="218">
                  <c:v>30141554.78530233</c:v>
                </c:pt>
                <c:pt idx="219">
                  <c:v>30586843.270421434</c:v>
                </c:pt>
                <c:pt idx="220">
                  <c:v>31034256.985013876</c:v>
                </c:pt>
                <c:pt idx="221">
                  <c:v>26460947.332289513</c:v>
                </c:pt>
                <c:pt idx="222">
                  <c:v>26888669.372956689</c:v>
                </c:pt>
                <c:pt idx="223">
                  <c:v>27318432.803683568</c:v>
                </c:pt>
                <c:pt idx="224">
                  <c:v>27750247.367417622</c:v>
                </c:pt>
                <c:pt idx="225">
                  <c:v>28184122.853606518</c:v>
                </c:pt>
                <c:pt idx="226">
                  <c:v>28620069.098420043</c:v>
                </c:pt>
                <c:pt idx="227">
                  <c:v>29058095.984973088</c:v>
                </c:pt>
                <c:pt idx="228">
                  <c:v>24009917.663009979</c:v>
                </c:pt>
                <c:pt idx="229">
                  <c:v>24425941.668207444</c:v>
                </c:pt>
                <c:pt idx="230">
                  <c:v>24843951.232221294</c:v>
                </c:pt>
                <c:pt idx="231">
                  <c:v>25263955.831533082</c:v>
                </c:pt>
                <c:pt idx="232">
                  <c:v>25685964.987852797</c:v>
                </c:pt>
                <c:pt idx="233">
                  <c:v>20986652.258204903</c:v>
                </c:pt>
                <c:pt idx="234">
                  <c:v>21388247.11699789</c:v>
                </c:pt>
                <c:pt idx="235">
                  <c:v>21791758.668583907</c:v>
                </c:pt>
                <c:pt idx="236">
                  <c:v>22197196.060767472</c:v>
                </c:pt>
                <c:pt idx="237">
                  <c:v>22604568.485012852</c:v>
                </c:pt>
                <c:pt idx="238">
                  <c:v>23013885.176652431</c:v>
                </c:pt>
                <c:pt idx="239">
                  <c:v>23425155.4150961</c:v>
                </c:pt>
                <c:pt idx="240">
                  <c:v>18318353.739339065</c:v>
                </c:pt>
                <c:pt idx="241">
                  <c:v>18707213.60307724</c:v>
                </c:pt>
                <c:pt idx="242">
                  <c:v>19097929.379265506</c:v>
                </c:pt>
                <c:pt idx="243">
                  <c:v>19490509.925621882</c:v>
                </c:pt>
                <c:pt idx="244">
                  <c:v>19884964.142139643</c:v>
                </c:pt>
                <c:pt idx="245">
                  <c:v>15055478.145502623</c:v>
                </c:pt>
                <c:pt idx="246">
                  <c:v>15428765.274684235</c:v>
                </c:pt>
                <c:pt idx="247">
                  <c:v>15803833.992286537</c:v>
                </c:pt>
                <c:pt idx="248">
                  <c:v>16180692.801301066</c:v>
                </c:pt>
                <c:pt idx="249">
                  <c:v>16559350.245301608</c:v>
                </c:pt>
                <c:pt idx="250">
                  <c:v>16939814.908637889</c:v>
                </c:pt>
                <c:pt idx="251">
                  <c:v>17322095.416630179</c:v>
                </c:pt>
                <c:pt idx="252">
                  <c:v>12158321.641104072</c:v>
                </c:pt>
                <c:pt idx="253">
                  <c:v>12517781.504147483</c:v>
                </c:pt>
                <c:pt idx="254">
                  <c:v>12878956.962183693</c:v>
                </c:pt>
                <c:pt idx="255">
                  <c:v>13241856.203237243</c:v>
                </c:pt>
                <c:pt idx="256">
                  <c:v>13606487.454411674</c:v>
                </c:pt>
                <c:pt idx="257">
                  <c:v>8642539.7952279132</c:v>
                </c:pt>
                <c:pt idx="258">
                  <c:v>8985219.8774093036</c:v>
                </c:pt>
                <c:pt idx="259">
                  <c:v>9329535.4696811531</c:v>
                </c:pt>
                <c:pt idx="260">
                  <c:v>9675494.3778465856</c:v>
                </c:pt>
                <c:pt idx="261">
                  <c:v>10023104.4449635</c:v>
                </c:pt>
                <c:pt idx="262">
                  <c:v>10372373.55152238</c:v>
                </c:pt>
                <c:pt idx="263">
                  <c:v>10723309.615624944</c:v>
                </c:pt>
                <c:pt idx="264">
                  <c:v>5504414.3900686996</c:v>
                </c:pt>
                <c:pt idx="265">
                  <c:v>5832117.1332329148</c:v>
                </c:pt>
                <c:pt idx="266">
                  <c:v>6161383.9041039767</c:v>
                </c:pt>
                <c:pt idx="267">
                  <c:v>6492222.1673208568</c:v>
                </c:pt>
                <c:pt idx="268">
                  <c:v>6824639.4231490288</c:v>
                </c:pt>
                <c:pt idx="269">
                  <c:v>7158643.2076505013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9-4A29-B899-E12B7768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91455"/>
        <c:axId val="1196188095"/>
      </c:lineChart>
      <c:catAx>
        <c:axId val="119619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88095"/>
        <c:crosses val="autoZero"/>
        <c:auto val="1"/>
        <c:lblAlgn val="ctr"/>
        <c:lblOffset val="100"/>
        <c:noMultiLvlLbl val="0"/>
      </c:catAx>
      <c:valAx>
        <c:axId val="1196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(2)'!$R$14:$R$373</c:f>
              <c:numCache>
                <c:formatCode>_-* #,##0.00_-;\-* #,##0.00_-;_-* "-"_-;_-@_-</c:formatCode>
                <c:ptCount val="360"/>
                <c:pt idx="0">
                  <c:v>954534.06739033549</c:v>
                </c:pt>
                <c:pt idx="1">
                  <c:v>1913623.8419258487</c:v>
                </c:pt>
                <c:pt idx="2">
                  <c:v>2877291.0666414942</c:v>
                </c:pt>
                <c:pt idx="3">
                  <c:v>3845557.5883452641</c:v>
                </c:pt>
                <c:pt idx="4">
                  <c:v>4818445.3581134658</c:v>
                </c:pt>
                <c:pt idx="5">
                  <c:v>5795976.4317883654</c:v>
                </c:pt>
                <c:pt idx="6">
                  <c:v>6778172.9704782004</c:v>
                </c:pt>
                <c:pt idx="7">
                  <c:v>7765057.2410595873</c:v>
                </c:pt>
                <c:pt idx="8">
                  <c:v>8756651.616682319</c:v>
                </c:pt>
                <c:pt idx="9">
                  <c:v>9752978.5772765782</c:v>
                </c:pt>
                <c:pt idx="10">
                  <c:v>10754060.710062567</c:v>
                </c:pt>
                <c:pt idx="11">
                  <c:v>11759920.710062569</c:v>
                </c:pt>
                <c:pt idx="12">
                  <c:v>12622880.789200144</c:v>
                </c:pt>
                <c:pt idx="13">
                  <c:v>13637660.111494062</c:v>
                </c:pt>
                <c:pt idx="14">
                  <c:v>14657282.673612824</c:v>
                </c:pt>
                <c:pt idx="15">
                  <c:v>15681771.590899324</c:v>
                </c:pt>
                <c:pt idx="16">
                  <c:v>16711150.089019118</c:v>
                </c:pt>
                <c:pt idx="17">
                  <c:v>17745441.504486948</c:v>
                </c:pt>
                <c:pt idx="18">
                  <c:v>18784669.285195809</c:v>
                </c:pt>
                <c:pt idx="19">
                  <c:v>19828856.990948502</c:v>
                </c:pt>
                <c:pt idx="20">
                  <c:v>20878028.293991767</c:v>
                </c:pt>
                <c:pt idx="21">
                  <c:v>21932206.979552932</c:v>
                </c:pt>
                <c:pt idx="22">
                  <c:v>22991416.94637914</c:v>
                </c:pt>
                <c:pt idx="23">
                  <c:v>24055682.207279142</c:v>
                </c:pt>
                <c:pt idx="24">
                  <c:v>24822895.729389217</c:v>
                </c:pt>
                <c:pt idx="25">
                  <c:v>25895902.09368515</c:v>
                </c:pt>
                <c:pt idx="26">
                  <c:v>26974029.598155797</c:v>
                </c:pt>
                <c:pt idx="27">
                  <c:v>28057302.684479754</c:v>
                </c:pt>
                <c:pt idx="28">
                  <c:v>29145745.91098848</c:v>
                </c:pt>
                <c:pt idx="29">
                  <c:v>30239383.953223042</c:v>
                </c:pt>
                <c:pt idx="30">
                  <c:v>31338241.604493525</c:v>
                </c:pt>
                <c:pt idx="31">
                  <c:v>32442343.776441108</c:v>
                </c:pt>
                <c:pt idx="32">
                  <c:v>33551715.499602824</c:v>
                </c:pt>
                <c:pt idx="33">
                  <c:v>34666381.923979014</c:v>
                </c:pt>
                <c:pt idx="34">
                  <c:v>35786368.319603488</c:v>
                </c:pt>
                <c:pt idx="35">
                  <c:v>36911700.0771164</c:v>
                </c:pt>
                <c:pt idx="36">
                  <c:v>37578804.350328021</c:v>
                </c:pt>
                <c:pt idx="37">
                  <c:v>38712690.871794797</c:v>
                </c:pt>
                <c:pt idx="38">
                  <c:v>39851989.0963156</c:v>
                </c:pt>
                <c:pt idx="39">
                  <c:v>40996724.852339208</c:v>
                </c:pt>
                <c:pt idx="40">
                  <c:v>42146924.091585912</c:v>
                </c:pt>
                <c:pt idx="41">
                  <c:v>43302612.889635831</c:v>
                </c:pt>
                <c:pt idx="42">
                  <c:v>44463817.446520083</c:v>
                </c:pt>
                <c:pt idx="43">
                  <c:v>45630564.087314732</c:v>
                </c:pt>
                <c:pt idx="44">
                  <c:v>46802879.262737602</c:v>
                </c:pt>
                <c:pt idx="45">
                  <c:v>47980789.549747922</c:v>
                </c:pt>
                <c:pt idx="46">
                  <c:v>49164321.65214885</c:v>
                </c:pt>
                <c:pt idx="47">
                  <c:v>50353502.401192844</c:v>
                </c:pt>
                <c:pt idx="48">
                  <c:v>50915935.94757995</c:v>
                </c:pt>
                <c:pt idx="49">
                  <c:v>52113476.630579054</c:v>
                </c:pt>
                <c:pt idx="50">
                  <c:v>53316732.819009095</c:v>
                </c:pt>
                <c:pt idx="51">
                  <c:v>54525731.791277222</c:v>
                </c:pt>
                <c:pt idx="52">
                  <c:v>55740500.955982305</c:v>
                </c:pt>
                <c:pt idx="53">
                  <c:v>56961067.852536306</c:v>
                </c:pt>
                <c:pt idx="54">
                  <c:v>58187460.151788615</c:v>
                </c:pt>
                <c:pt idx="55">
                  <c:v>59419705.656653337</c:v>
                </c:pt>
                <c:pt idx="56">
                  <c:v>60657832.302739635</c:v>
                </c:pt>
                <c:pt idx="57">
                  <c:v>61901868.158985011</c:v>
                </c:pt>
                <c:pt idx="58">
                  <c:v>63151841.428291664</c:v>
                </c:pt>
                <c:pt idx="59">
                  <c:v>64407780.448165849</c:v>
                </c:pt>
                <c:pt idx="60">
                  <c:v>64860773.946060687</c:v>
                </c:pt>
                <c:pt idx="61">
                  <c:v>66124869.192462347</c:v>
                </c:pt>
                <c:pt idx="62">
                  <c:v>67394997.589427143</c:v>
                </c:pt>
                <c:pt idx="63">
                  <c:v>68671187.931387961</c:v>
                </c:pt>
                <c:pt idx="64">
                  <c:v>69953469.150204942</c:v>
                </c:pt>
                <c:pt idx="65">
                  <c:v>71241870.315821365</c:v>
                </c:pt>
                <c:pt idx="66">
                  <c:v>72536420.636922732</c:v>
                </c:pt>
                <c:pt idx="67">
                  <c:v>73837149.461598888</c:v>
                </c:pt>
                <c:pt idx="68">
                  <c:v>75144086.2780094</c:v>
                </c:pt>
                <c:pt idx="69">
                  <c:v>76457260.715052024</c:v>
                </c:pt>
                <c:pt idx="70">
                  <c:v>77776702.543034464</c:v>
                </c:pt>
                <c:pt idx="71">
                  <c:v>79102441.674349219</c:v>
                </c:pt>
                <c:pt idx="72">
                  <c:v>79441008.487942234</c:v>
                </c:pt>
                <c:pt idx="73">
                  <c:v>80774690.856427878</c:v>
                </c:pt>
                <c:pt idx="74">
                  <c:v>82114738.494109333</c:v>
                </c:pt>
                <c:pt idx="75">
                  <c:v>83461181.780522898</c:v>
                </c:pt>
                <c:pt idx="76">
                  <c:v>84814051.240197375</c:v>
                </c:pt>
                <c:pt idx="77">
                  <c:v>86173377.543346047</c:v>
                </c:pt>
                <c:pt idx="78">
                  <c:v>87539191.506562024</c:v>
                </c:pt>
                <c:pt idx="79">
                  <c:v>88911524.093516812</c:v>
                </c:pt>
                <c:pt idx="80">
                  <c:v>90290406.415662348</c:v>
                </c:pt>
                <c:pt idx="81">
                  <c:v>91675869.732936248</c:v>
                </c:pt>
                <c:pt idx="82">
                  <c:v>93067945.45447053</c:v>
                </c:pt>
                <c:pt idx="83">
                  <c:v>94466665.13930364</c:v>
                </c:pt>
                <c:pt idx="84">
                  <c:v>94685591.416724622</c:v>
                </c:pt>
                <c:pt idx="85">
                  <c:v>96092031.644512013</c:v>
                </c:pt>
                <c:pt idx="86">
                  <c:v>97505184.39311336</c:v>
                </c:pt>
                <c:pt idx="87">
                  <c:v>98925081.69939366</c:v>
                </c:pt>
                <c:pt idx="88">
                  <c:v>100351755.7531203</c:v>
                </c:pt>
                <c:pt idx="89">
                  <c:v>101785238.89769289</c:v>
                </c:pt>
                <c:pt idx="90">
                  <c:v>103225563.63087642</c:v>
                </c:pt>
                <c:pt idx="91">
                  <c:v>104672762.60553809</c:v>
                </c:pt>
                <c:pt idx="92">
                  <c:v>106126868.63038747</c:v>
                </c:pt>
                <c:pt idx="93">
                  <c:v>107587914.6707204</c:v>
                </c:pt>
                <c:pt idx="94">
                  <c:v>109055933.84916621</c:v>
                </c:pt>
                <c:pt idx="95">
                  <c:v>110530959.44643874</c:v>
                </c:pt>
                <c:pt idx="96">
                  <c:v>110624793.76665701</c:v>
                </c:pt>
                <c:pt idx="97">
                  <c:v>112107307.06560522</c:v>
                </c:pt>
                <c:pt idx="98">
                  <c:v>113596895.95950554</c:v>
                </c:pt>
                <c:pt idx="99">
                  <c:v>115093594.2180678</c:v>
                </c:pt>
                <c:pt idx="100">
                  <c:v>116597435.7721746</c:v>
                </c:pt>
                <c:pt idx="101">
                  <c:v>118108454.71465057</c:v>
                </c:pt>
                <c:pt idx="102">
                  <c:v>119626685.30103524</c:v>
                </c:pt>
                <c:pt idx="103">
                  <c:v>121152161.95035963</c:v>
                </c:pt>
                <c:pt idx="104">
                  <c:v>122684919.24592656</c:v>
                </c:pt>
                <c:pt idx="105">
                  <c:v>124224991.93609469</c:v>
                </c:pt>
                <c:pt idx="106">
                  <c:v>125772414.93506622</c:v>
                </c:pt>
                <c:pt idx="107">
                  <c:v>127327223.32367848</c:v>
                </c:pt>
                <c:pt idx="108">
                  <c:v>127290265.87166408</c:v>
                </c:pt>
                <c:pt idx="109">
                  <c:v>128852318.51126057</c:v>
                </c:pt>
                <c:pt idx="110">
                  <c:v>130421826.36342041</c:v>
                </c:pt>
                <c:pt idx="111">
                  <c:v>131998825.00965536</c:v>
                </c:pt>
                <c:pt idx="112">
                  <c:v>133583350.20129715</c:v>
                </c:pt>
                <c:pt idx="113">
                  <c:v>135175437.86030796</c:v>
                </c:pt>
                <c:pt idx="114">
                  <c:v>136775124.08009484</c:v>
                </c:pt>
                <c:pt idx="115">
                  <c:v>138382445.12632796</c:v>
                </c:pt>
                <c:pt idx="116">
                  <c:v>139997437.43776268</c:v>
                </c:pt>
                <c:pt idx="117">
                  <c:v>141620137.62706572</c:v>
                </c:pt>
                <c:pt idx="118">
                  <c:v>143250582.4816452</c:v>
                </c:pt>
                <c:pt idx="119">
                  <c:v>144888808.96448457</c:v>
                </c:pt>
                <c:pt idx="120">
                  <c:v>144715100.21313572</c:v>
                </c:pt>
                <c:pt idx="121">
                  <c:v>146360316.40343711</c:v>
                </c:pt>
                <c:pt idx="122">
                  <c:v>148013384.72118953</c:v>
                </c:pt>
                <c:pt idx="123">
                  <c:v>149674342.64226145</c:v>
                </c:pt>
                <c:pt idx="124">
                  <c:v>151343227.82138246</c:v>
                </c:pt>
                <c:pt idx="125">
                  <c:v>153020078.09299704</c:v>
                </c:pt>
                <c:pt idx="126">
                  <c:v>154704931.47212216</c:v>
                </c:pt>
                <c:pt idx="127">
                  <c:v>156397826.15520915</c:v>
                </c:pt>
                <c:pt idx="128">
                  <c:v>158098800.52100968</c:v>
                </c:pt>
                <c:pt idx="129">
                  <c:v>159807893.13144577</c:v>
                </c:pt>
                <c:pt idx="130">
                  <c:v>161525142.73248398</c:v>
                </c:pt>
                <c:pt idx="131">
                  <c:v>163250588.25501391</c:v>
                </c:pt>
                <c:pt idx="132">
                  <c:v>162933897.13137645</c:v>
                </c:pt>
                <c:pt idx="133">
                  <c:v>164666066.21957061</c:v>
                </c:pt>
                <c:pt idx="134">
                  <c:v>166406502.43553036</c:v>
                </c:pt>
                <c:pt idx="135">
                  <c:v>168155245.23579723</c:v>
                </c:pt>
                <c:pt idx="136">
                  <c:v>169912334.26522702</c:v>
                </c:pt>
                <c:pt idx="137">
                  <c:v>171677809.35788864</c:v>
                </c:pt>
                <c:pt idx="138">
                  <c:v>173451710.53796721</c:v>
                </c:pt>
                <c:pt idx="139">
                  <c:v>175234078.02067131</c:v>
                </c:pt>
                <c:pt idx="140">
                  <c:v>177024952.21314481</c:v>
                </c:pt>
                <c:pt idx="141">
                  <c:v>178824373.71538284</c:v>
                </c:pt>
                <c:pt idx="142">
                  <c:v>180632383.32115221</c:v>
                </c:pt>
                <c:pt idx="143">
                  <c:v>182449022.01891622</c:v>
                </c:pt>
                <c:pt idx="144">
                  <c:v>181982833.5311968</c:v>
                </c:pt>
                <c:pt idx="145">
                  <c:v>183805917.52607623</c:v>
                </c:pt>
                <c:pt idx="146">
                  <c:v>185637702.55852515</c:v>
                </c:pt>
                <c:pt idx="147">
                  <c:v>187478230.15600747</c:v>
                </c:pt>
                <c:pt idx="148">
                  <c:v>189327542.04418534</c:v>
                </c:pt>
                <c:pt idx="149">
                  <c:v>191185680.14786503</c:v>
                </c:pt>
                <c:pt idx="150">
                  <c:v>193052686.5919475</c:v>
                </c:pt>
                <c:pt idx="151">
                  <c:v>194928603.70238328</c:v>
                </c:pt>
                <c:pt idx="152">
                  <c:v>196813474.00713214</c:v>
                </c:pt>
                <c:pt idx="153">
                  <c:v>198707340.23712707</c:v>
                </c:pt>
                <c:pt idx="154">
                  <c:v>200610245.32724312</c:v>
                </c:pt>
                <c:pt idx="155">
                  <c:v>202522232.41727075</c:v>
                </c:pt>
                <c:pt idx="156">
                  <c:v>201899734.71807501</c:v>
                </c:pt>
                <c:pt idx="157">
                  <c:v>203817876.15736282</c:v>
                </c:pt>
                <c:pt idx="158">
                  <c:v>205745172.31512421</c:v>
                </c:pt>
                <c:pt idx="159">
                  <c:v>207681666.88410711</c:v>
                </c:pt>
                <c:pt idx="160">
                  <c:v>209627403.76559189</c:v>
                </c:pt>
                <c:pt idx="161">
                  <c:v>211582427.07038668</c:v>
                </c:pt>
                <c:pt idx="162">
                  <c:v>213546781.11982739</c:v>
                </c:pt>
                <c:pt idx="163">
                  <c:v>215520510.44678247</c:v>
                </c:pt>
                <c:pt idx="164">
                  <c:v>217503659.79666248</c:v>
                </c:pt>
                <c:pt idx="165">
                  <c:v>219496274.12843457</c:v>
                </c:pt>
                <c:pt idx="166">
                  <c:v>221498398.61564159</c:v>
                </c:pt>
                <c:pt idx="167">
                  <c:v>223510078.64742634</c:v>
                </c:pt>
                <c:pt idx="168">
                  <c:v>222724149.50753334</c:v>
                </c:pt>
                <c:pt idx="169">
                  <c:v>224741679.68368399</c:v>
                </c:pt>
                <c:pt idx="170">
                  <c:v>226768838.93118274</c:v>
                </c:pt>
                <c:pt idx="171">
                  <c:v>228805673.20672265</c:v>
                </c:pt>
                <c:pt idx="172">
                  <c:v>230852228.6863344</c:v>
                </c:pt>
                <c:pt idx="173">
                  <c:v>232908551.76643312</c:v>
                </c:pt>
                <c:pt idx="174">
                  <c:v>234974689.06487024</c:v>
                </c:pt>
                <c:pt idx="175">
                  <c:v>237050687.42199028</c:v>
                </c:pt>
                <c:pt idx="176">
                  <c:v>239136593.90169287</c:v>
                </c:pt>
                <c:pt idx="177">
                  <c:v>241232455.79249957</c:v>
                </c:pt>
                <c:pt idx="178">
                  <c:v>243338320.60862601</c:v>
                </c:pt>
                <c:pt idx="179">
                  <c:v>245454236.09105903</c:v>
                </c:pt>
                <c:pt idx="180">
                  <c:v>244497428.7568734</c:v>
                </c:pt>
                <c:pt idx="181">
                  <c:v>246618876.31768206</c:v>
                </c:pt>
                <c:pt idx="182">
                  <c:v>248750448.91660205</c:v>
                </c:pt>
                <c:pt idx="183">
                  <c:v>250892194.87742823</c:v>
                </c:pt>
                <c:pt idx="184">
                  <c:v>253044162.7545906</c:v>
                </c:pt>
                <c:pt idx="185">
                  <c:v>255206401.33425495</c:v>
                </c:pt>
                <c:pt idx="186">
                  <c:v>257378959.63542897</c:v>
                </c:pt>
                <c:pt idx="187">
                  <c:v>259561886.91107348</c:v>
                </c:pt>
                <c:pt idx="188">
                  <c:v>261755232.64921901</c:v>
                </c:pt>
                <c:pt idx="189">
                  <c:v>263959046.57408774</c:v>
                </c:pt>
                <c:pt idx="190">
                  <c:v>266173378.64722082</c:v>
                </c:pt>
                <c:pt idx="191">
                  <c:v>268398279.06861091</c:v>
                </c:pt>
                <c:pt idx="192">
                  <c:v>267262807.47520971</c:v>
                </c:pt>
                <c:pt idx="193">
                  <c:v>269492907.41630828</c:v>
                </c:pt>
                <c:pt idx="194">
                  <c:v>271733650.961007</c:v>
                </c:pt>
                <c:pt idx="195">
                  <c:v>273985088.90805954</c:v>
                </c:pt>
                <c:pt idx="196">
                  <c:v>276247272.29866689</c:v>
                </c:pt>
                <c:pt idx="197">
                  <c:v>278520252.41763461</c:v>
                </c:pt>
                <c:pt idx="198">
                  <c:v>280804080.79453522</c:v>
                </c:pt>
                <c:pt idx="199">
                  <c:v>283098809.20487672</c:v>
                </c:pt>
                <c:pt idx="200">
                  <c:v>285404489.67127615</c:v>
                </c:pt>
                <c:pt idx="201">
                  <c:v>287721174.46463895</c:v>
                </c:pt>
                <c:pt idx="202">
                  <c:v>290048916.10534418</c:v>
                </c:pt>
                <c:pt idx="203">
                  <c:v>292387767.3644349</c:v>
                </c:pt>
                <c:pt idx="204">
                  <c:v>291065490.67484695</c:v>
                </c:pt>
                <c:pt idx="205">
                  <c:v>293409193.74194342</c:v>
                </c:pt>
                <c:pt idx="206">
                  <c:v>295764082.6065653</c:v>
                </c:pt>
                <c:pt idx="207">
                  <c:v>298130210.65519661</c:v>
                </c:pt>
                <c:pt idx="208">
                  <c:v>300507631.52911913</c:v>
                </c:pt>
                <c:pt idx="209">
                  <c:v>302896399.12562853</c:v>
                </c:pt>
                <c:pt idx="210">
                  <c:v>305296567.59925628</c:v>
                </c:pt>
                <c:pt idx="211">
                  <c:v>307708191.36299729</c:v>
                </c:pt>
                <c:pt idx="212">
                  <c:v>310131325.08954346</c:v>
                </c:pt>
                <c:pt idx="213">
                  <c:v>312566023.71252328</c:v>
                </c:pt>
                <c:pt idx="214">
                  <c:v>315012342.42774707</c:v>
                </c:pt>
                <c:pt idx="215">
                  <c:v>317470336.69445825</c:v>
                </c:pt>
                <c:pt idx="216">
                  <c:v>315952743.13447589</c:v>
                </c:pt>
                <c:pt idx="217">
                  <c:v>318415225.6540063</c:v>
                </c:pt>
                <c:pt idx="218">
                  <c:v>320889460.87005359</c:v>
                </c:pt>
                <c:pt idx="219">
                  <c:v>323375504.87474203</c:v>
                </c:pt>
                <c:pt idx="220">
                  <c:v>325873414.02790689</c:v>
                </c:pt>
                <c:pt idx="221">
                  <c:v>206406853.19102001</c:v>
                </c:pt>
                <c:pt idx="222">
                  <c:v>208346505.76598418</c:v>
                </c:pt>
                <c:pt idx="223">
                  <c:v>210295415.72567332</c:v>
                </c:pt>
                <c:pt idx="224">
                  <c:v>212253627.2528308</c:v>
                </c:pt>
                <c:pt idx="225">
                  <c:v>214221184.74107111</c:v>
                </c:pt>
                <c:pt idx="226">
                  <c:v>216198132.79588619</c:v>
                </c:pt>
                <c:pt idx="227">
                  <c:v>218184516.23565677</c:v>
                </c:pt>
                <c:pt idx="228">
                  <c:v>180845230.41901195</c:v>
                </c:pt>
                <c:pt idx="229">
                  <c:v>182662884.97265548</c:v>
                </c:pt>
                <c:pt idx="230">
                  <c:v>184489214.65076065</c:v>
                </c:pt>
                <c:pt idx="231">
                  <c:v>186324260.85711583</c:v>
                </c:pt>
                <c:pt idx="232">
                  <c:v>188168065.19311732</c:v>
                </c:pt>
                <c:pt idx="233">
                  <c:v>153425842.8603721</c:v>
                </c:pt>
                <c:pt idx="234">
                  <c:v>155112632.83402342</c:v>
                </c:pt>
                <c:pt idx="235">
                  <c:v>156807473.35442618</c:v>
                </c:pt>
                <c:pt idx="236">
                  <c:v>158510402.84444514</c:v>
                </c:pt>
                <c:pt idx="237">
                  <c:v>160221459.91032591</c:v>
                </c:pt>
                <c:pt idx="238">
                  <c:v>161940683.34257028</c:v>
                </c:pt>
                <c:pt idx="239">
                  <c:v>163668112.11681554</c:v>
                </c:pt>
                <c:pt idx="240">
                  <c:v>126021868.62735432</c:v>
                </c:pt>
                <c:pt idx="241">
                  <c:v>127577867.58423142</c:v>
                </c:pt>
                <c:pt idx="242">
                  <c:v>129141292.86124513</c:v>
                </c:pt>
                <c:pt idx="243">
                  <c:v>130712179.90201223</c:v>
                </c:pt>
                <c:pt idx="244">
                  <c:v>132290564.31931138</c:v>
                </c:pt>
                <c:pt idx="245">
                  <c:v>96550180.770118237</c:v>
                </c:pt>
                <c:pt idx="246">
                  <c:v>97965520.128204137</c:v>
                </c:pt>
                <c:pt idx="247">
                  <c:v>99387614.480005577</c:v>
                </c:pt>
                <c:pt idx="248">
                  <c:v>100816496.06509805</c:v>
                </c:pt>
                <c:pt idx="249">
                  <c:v>102252197.27692696</c:v>
                </c:pt>
                <c:pt idx="250">
                  <c:v>103694750.663542</c:v>
                </c:pt>
                <c:pt idx="251">
                  <c:v>105144188.92833501</c:v>
                </c:pt>
                <c:pt idx="252">
                  <c:v>67207122.551247329</c:v>
                </c:pt>
                <c:pt idx="253">
                  <c:v>68482416.221540704</c:v>
                </c:pt>
                <c:pt idx="254">
                  <c:v>69763796.489143118</c:v>
                </c:pt>
                <c:pt idx="255">
                  <c:v>71051292.403572842</c:v>
                </c:pt>
                <c:pt idx="256">
                  <c:v>72344933.152992889</c:v>
                </c:pt>
                <c:pt idx="257">
                  <c:v>35571900.821131006</c:v>
                </c:pt>
                <c:pt idx="258">
                  <c:v>36696208.989074327</c:v>
                </c:pt>
                <c:pt idx="259">
                  <c:v>37825883.145439714</c:v>
                </c:pt>
                <c:pt idx="260">
                  <c:v>38960948.900493607</c:v>
                </c:pt>
                <c:pt idx="261">
                  <c:v>40101431.986732632</c:v>
                </c:pt>
                <c:pt idx="262">
                  <c:v>41247358.259466968</c:v>
                </c:pt>
                <c:pt idx="263">
                  <c:v>42398753.697406501</c:v>
                </c:pt>
                <c:pt idx="264">
                  <c:v>4188665.5718026096</c:v>
                </c:pt>
                <c:pt idx="265">
                  <c:v>5163190.8939067675</c:v>
                </c:pt>
                <c:pt idx="266">
                  <c:v>6142367.3354677763</c:v>
                </c:pt>
                <c:pt idx="267">
                  <c:v>7126217.094895171</c:v>
                </c:pt>
                <c:pt idx="268">
                  <c:v>8114762.4765448915</c:v>
                </c:pt>
                <c:pt idx="269">
                  <c:v>9108025.8912249319</c:v>
                </c:pt>
                <c:pt idx="270">
                  <c:v>10106029.856703408</c:v>
                </c:pt>
                <c:pt idx="271">
                  <c:v>11108796.998219045</c:v>
                </c:pt>
                <c:pt idx="272">
                  <c:v>12116350.048994098</c:v>
                </c:pt>
                <c:pt idx="273">
                  <c:v>13128711.850749733</c:v>
                </c:pt>
                <c:pt idx="274">
                  <c:v>14145905.354223853</c:v>
                </c:pt>
                <c:pt idx="275">
                  <c:v>15167953.619691407</c:v>
                </c:pt>
                <c:pt idx="276">
                  <c:v>16004375.495610969</c:v>
                </c:pt>
                <c:pt idx="277">
                  <c:v>17035293.686198499</c:v>
                </c:pt>
                <c:pt idx="278">
                  <c:v>18071132.142628182</c:v>
                </c:pt>
                <c:pt idx="279">
                  <c:v>19111914.347865183</c:v>
                </c:pt>
                <c:pt idx="280">
                  <c:v>20157663.896951873</c:v>
                </c:pt>
                <c:pt idx="281">
                  <c:v>21208404.497542746</c:v>
                </c:pt>
                <c:pt idx="282">
                  <c:v>22264159.970441874</c:v>
                </c:pt>
                <c:pt idx="283">
                  <c:v>23324954.250142936</c:v>
                </c:pt>
                <c:pt idx="284">
                  <c:v>24390811.385371838</c:v>
                </c:pt>
                <c:pt idx="285">
                  <c:v>25461755.539631896</c:v>
                </c:pt>
                <c:pt idx="286">
                  <c:v>26537810.991751637</c:v>
                </c:pt>
                <c:pt idx="287">
                  <c:v>27619002.136435222</c:v>
                </c:pt>
                <c:pt idx="288">
                  <c:v>28358468.242097653</c:v>
                </c:pt>
                <c:pt idx="289">
                  <c:v>29448348.842220996</c:v>
                </c:pt>
                <c:pt idx="290">
                  <c:v>30543431.118226841</c:v>
                </c:pt>
                <c:pt idx="291">
                  <c:v>31643739.896166764</c:v>
                </c:pt>
                <c:pt idx="292">
                  <c:v>32749300.120579693</c:v>
                </c:pt>
                <c:pt idx="293">
                  <c:v>33860136.855057426</c:v>
                </c:pt>
                <c:pt idx="294">
                  <c:v>34976275.282812826</c:v>
                </c:pt>
                <c:pt idx="295">
                  <c:v>36097740.707250744</c:v>
                </c:pt>
                <c:pt idx="296">
                  <c:v>37224558.552541643</c:v>
                </c:pt>
                <c:pt idx="297">
                  <c:v>38356754.364197992</c:v>
                </c:pt>
                <c:pt idx="298">
                  <c:v>39494353.809653401</c:v>
                </c:pt>
                <c:pt idx="299">
                  <c:v>40637382.678844497</c:v>
                </c:pt>
                <c:pt idx="300">
                  <c:v>41275475.224578038</c:v>
                </c:pt>
                <c:pt idx="301">
                  <c:v>42427004.856427699</c:v>
                </c:pt>
                <c:pt idx="302">
                  <c:v>43584030.396648705</c:v>
                </c:pt>
                <c:pt idx="303">
                  <c:v>44746578.07557676</c:v>
                </c:pt>
                <c:pt idx="304">
                  <c:v>45914674.248737171</c:v>
                </c:pt>
                <c:pt idx="305">
                  <c:v>47088345.397442326</c:v>
                </c:pt>
                <c:pt idx="306">
                  <c:v>48267618.129392028</c:v>
                </c:pt>
                <c:pt idx="307">
                  <c:v>49452519.179276727</c:v>
                </c:pt>
                <c:pt idx="308">
                  <c:v>50643075.409383588</c:v>
                </c:pt>
                <c:pt idx="309">
                  <c:v>51839313.810205489</c:v>
                </c:pt>
                <c:pt idx="310">
                  <c:v>53041261.501052901</c:v>
                </c:pt>
                <c:pt idx="311">
                  <c:v>54248945.730668694</c:v>
                </c:pt>
                <c:pt idx="312">
                  <c:v>54781045.63021519</c:v>
                </c:pt>
                <c:pt idx="313">
                  <c:v>55997033.331921779</c:v>
                </c:pt>
                <c:pt idx="314">
                  <c:v>57218824.581191897</c:v>
                </c:pt>
                <c:pt idx="315">
                  <c:v>58446447.076631613</c:v>
                </c:pt>
                <c:pt idx="316">
                  <c:v>59679928.649044186</c:v>
                </c:pt>
                <c:pt idx="317">
                  <c:v>60919297.26206103</c:v>
                </c:pt>
                <c:pt idx="318">
                  <c:v>62164581.012775645</c:v>
                </c:pt>
                <c:pt idx="319">
                  <c:v>63415808.132380605</c:v>
                </c:pt>
                <c:pt idx="320">
                  <c:v>64673006.98680757</c:v>
                </c:pt>
                <c:pt idx="321">
                  <c:v>65936206.077370353</c:v>
                </c:pt>
                <c:pt idx="322">
                  <c:v>67205434.041411042</c:v>
                </c:pt>
                <c:pt idx="323">
                  <c:v>68480719.652949274</c:v>
                </c:pt>
                <c:pt idx="324">
                  <c:v>68901997.351385191</c:v>
                </c:pt>
                <c:pt idx="325">
                  <c:v>70185380.154901728</c:v>
                </c:pt>
                <c:pt idx="326">
                  <c:v>71474888.162753791</c:v>
                </c:pt>
                <c:pt idx="327">
                  <c:v>72770550.608719513</c:v>
                </c:pt>
                <c:pt idx="328">
                  <c:v>74072396.866101161</c:v>
                </c:pt>
                <c:pt idx="329">
                  <c:v>75380456.44839105</c:v>
                </c:pt>
                <c:pt idx="330">
                  <c:v>76694759.009940594</c:v>
                </c:pt>
                <c:pt idx="331">
                  <c:v>78015334.34663263</c:v>
                </c:pt>
                <c:pt idx="332">
                  <c:v>79342212.396556839</c:v>
                </c:pt>
                <c:pt idx="333">
                  <c:v>80675423.240688547</c:v>
                </c:pt>
                <c:pt idx="334">
                  <c:v>82014997.10357058</c:v>
                </c:pt>
                <c:pt idx="335">
                  <c:v>83360964.353998557</c:v>
                </c:pt>
                <c:pt idx="336">
                  <c:v>83666370.237730324</c:v>
                </c:pt>
                <c:pt idx="337">
                  <c:v>85020219.000870794</c:v>
                </c:pt>
                <c:pt idx="338">
                  <c:v>86380529.281409577</c:v>
                </c:pt>
                <c:pt idx="339">
                  <c:v>87747331.918247029</c:v>
                </c:pt>
                <c:pt idx="340">
                  <c:v>89120657.897468388</c:v>
                </c:pt>
                <c:pt idx="341">
                  <c:v>90500538.353046253</c:v>
                </c:pt>
                <c:pt idx="342">
                  <c:v>91887004.567546427</c:v>
                </c:pt>
                <c:pt idx="343">
                  <c:v>93280087.972837105</c:v>
                </c:pt>
                <c:pt idx="344">
                  <c:v>94679820.150801405</c:v>
                </c:pt>
                <c:pt idx="345">
                  <c:v>96086232.834053397</c:v>
                </c:pt>
                <c:pt idx="346">
                  <c:v>97499357.906657487</c:v>
                </c:pt>
                <c:pt idx="347">
                  <c:v>98919227.404851213</c:v>
                </c:pt>
                <c:pt idx="348">
                  <c:v>99103481.774641812</c:v>
                </c:pt>
                <c:pt idx="349">
                  <c:v>100531007.27885647</c:v>
                </c:pt>
                <c:pt idx="350">
                  <c:v>101965345.93763696</c:v>
                </c:pt>
                <c:pt idx="351">
                  <c:v>103406530.26814321</c:v>
                </c:pt>
                <c:pt idx="352">
                  <c:v>104854592.94272989</c:v>
                </c:pt>
                <c:pt idx="353">
                  <c:v>106309566.7896871</c:v>
                </c:pt>
                <c:pt idx="354">
                  <c:v>107771484.79398461</c:v>
                </c:pt>
                <c:pt idx="355">
                  <c:v>109240380.09801961</c:v>
                </c:pt>
                <c:pt idx="356">
                  <c:v>110716286.00236814</c:v>
                </c:pt>
                <c:pt idx="357">
                  <c:v>112199235.96653993</c:v>
                </c:pt>
                <c:pt idx="358">
                  <c:v>113689263.60973705</c:v>
                </c:pt>
                <c:pt idx="359">
                  <c:v>115186402.71161598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D53-B139-4EB98E6D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87407"/>
        <c:axId val="1195064111"/>
      </c:lineChart>
      <c:catAx>
        <c:axId val="134048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64111"/>
        <c:crosses val="autoZero"/>
        <c:auto val="1"/>
        <c:lblAlgn val="ctr"/>
        <c:lblOffset val="100"/>
        <c:noMultiLvlLbl val="0"/>
      </c:catAx>
      <c:valAx>
        <c:axId val="11950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8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(2)'!$R$14:$R$283</c:f>
              <c:numCache>
                <c:formatCode>_-* #,##0.00_-;\-* #,##0.00_-;_-* "-"_-;_-@_-</c:formatCode>
                <c:ptCount val="270"/>
                <c:pt idx="0">
                  <c:v>954534.06739033549</c:v>
                </c:pt>
                <c:pt idx="1">
                  <c:v>1913623.8419258487</c:v>
                </c:pt>
                <c:pt idx="2">
                  <c:v>2877291.0666414942</c:v>
                </c:pt>
                <c:pt idx="3">
                  <c:v>3845557.5883452641</c:v>
                </c:pt>
                <c:pt idx="4">
                  <c:v>4818445.3581134658</c:v>
                </c:pt>
                <c:pt idx="5">
                  <c:v>5795976.4317883654</c:v>
                </c:pt>
                <c:pt idx="6">
                  <c:v>6778172.9704782004</c:v>
                </c:pt>
                <c:pt idx="7">
                  <c:v>7765057.2410595873</c:v>
                </c:pt>
                <c:pt idx="8">
                  <c:v>8756651.616682319</c:v>
                </c:pt>
                <c:pt idx="9">
                  <c:v>9752978.5772765782</c:v>
                </c:pt>
                <c:pt idx="10">
                  <c:v>10754060.710062567</c:v>
                </c:pt>
                <c:pt idx="11">
                  <c:v>11759920.710062569</c:v>
                </c:pt>
                <c:pt idx="12">
                  <c:v>12622880.789200144</c:v>
                </c:pt>
                <c:pt idx="13">
                  <c:v>13637660.111494062</c:v>
                </c:pt>
                <c:pt idx="14">
                  <c:v>14657282.673612824</c:v>
                </c:pt>
                <c:pt idx="15">
                  <c:v>15681771.590899324</c:v>
                </c:pt>
                <c:pt idx="16">
                  <c:v>16711150.089019118</c:v>
                </c:pt>
                <c:pt idx="17">
                  <c:v>17745441.504486948</c:v>
                </c:pt>
                <c:pt idx="18">
                  <c:v>18784669.285195809</c:v>
                </c:pt>
                <c:pt idx="19">
                  <c:v>19828856.990948502</c:v>
                </c:pt>
                <c:pt idx="20">
                  <c:v>20878028.293991767</c:v>
                </c:pt>
                <c:pt idx="21">
                  <c:v>21932206.979552932</c:v>
                </c:pt>
                <c:pt idx="22">
                  <c:v>22991416.94637914</c:v>
                </c:pt>
                <c:pt idx="23">
                  <c:v>24055682.207279142</c:v>
                </c:pt>
                <c:pt idx="24">
                  <c:v>24822895.729389217</c:v>
                </c:pt>
                <c:pt idx="25">
                  <c:v>25895902.09368515</c:v>
                </c:pt>
                <c:pt idx="26">
                  <c:v>26974029.598155797</c:v>
                </c:pt>
                <c:pt idx="27">
                  <c:v>28057302.684479754</c:v>
                </c:pt>
                <c:pt idx="28">
                  <c:v>29145745.91098848</c:v>
                </c:pt>
                <c:pt idx="29">
                  <c:v>30239383.953223042</c:v>
                </c:pt>
                <c:pt idx="30">
                  <c:v>31338241.604493525</c:v>
                </c:pt>
                <c:pt idx="31">
                  <c:v>32442343.776441108</c:v>
                </c:pt>
                <c:pt idx="32">
                  <c:v>33551715.499602824</c:v>
                </c:pt>
                <c:pt idx="33">
                  <c:v>34666381.923979014</c:v>
                </c:pt>
                <c:pt idx="34">
                  <c:v>35786368.319603488</c:v>
                </c:pt>
                <c:pt idx="35">
                  <c:v>36911700.0771164</c:v>
                </c:pt>
                <c:pt idx="36">
                  <c:v>37578804.350328021</c:v>
                </c:pt>
                <c:pt idx="37">
                  <c:v>38712690.871794797</c:v>
                </c:pt>
                <c:pt idx="38">
                  <c:v>39851989.0963156</c:v>
                </c:pt>
                <c:pt idx="39">
                  <c:v>40996724.852339208</c:v>
                </c:pt>
                <c:pt idx="40">
                  <c:v>42146924.091585912</c:v>
                </c:pt>
                <c:pt idx="41">
                  <c:v>43302612.889635831</c:v>
                </c:pt>
                <c:pt idx="42">
                  <c:v>44463817.446520083</c:v>
                </c:pt>
                <c:pt idx="43">
                  <c:v>45630564.087314732</c:v>
                </c:pt>
                <c:pt idx="44">
                  <c:v>46802879.262737602</c:v>
                </c:pt>
                <c:pt idx="45">
                  <c:v>47980789.549747922</c:v>
                </c:pt>
                <c:pt idx="46">
                  <c:v>49164321.65214885</c:v>
                </c:pt>
                <c:pt idx="47">
                  <c:v>50353502.401192844</c:v>
                </c:pt>
                <c:pt idx="48">
                  <c:v>50915935.94757995</c:v>
                </c:pt>
                <c:pt idx="49">
                  <c:v>52113476.630579054</c:v>
                </c:pt>
                <c:pt idx="50">
                  <c:v>53316732.819009095</c:v>
                </c:pt>
                <c:pt idx="51">
                  <c:v>54525731.791277222</c:v>
                </c:pt>
                <c:pt idx="52">
                  <c:v>55740500.955982305</c:v>
                </c:pt>
                <c:pt idx="53">
                  <c:v>56961067.852536306</c:v>
                </c:pt>
                <c:pt idx="54">
                  <c:v>58187460.151788615</c:v>
                </c:pt>
                <c:pt idx="55">
                  <c:v>59419705.656653337</c:v>
                </c:pt>
                <c:pt idx="56">
                  <c:v>60657832.302739635</c:v>
                </c:pt>
                <c:pt idx="57">
                  <c:v>61901868.158985011</c:v>
                </c:pt>
                <c:pt idx="58">
                  <c:v>63151841.428291664</c:v>
                </c:pt>
                <c:pt idx="59">
                  <c:v>64407780.448165849</c:v>
                </c:pt>
                <c:pt idx="60">
                  <c:v>64860773.946060687</c:v>
                </c:pt>
                <c:pt idx="61">
                  <c:v>66124869.192462347</c:v>
                </c:pt>
                <c:pt idx="62">
                  <c:v>67394997.589427143</c:v>
                </c:pt>
                <c:pt idx="63">
                  <c:v>68671187.931387961</c:v>
                </c:pt>
                <c:pt idx="64">
                  <c:v>69953469.150204942</c:v>
                </c:pt>
                <c:pt idx="65">
                  <c:v>71241870.315821365</c:v>
                </c:pt>
                <c:pt idx="66">
                  <c:v>72536420.636922732</c:v>
                </c:pt>
                <c:pt idx="67">
                  <c:v>73837149.461598888</c:v>
                </c:pt>
                <c:pt idx="68">
                  <c:v>75144086.2780094</c:v>
                </c:pt>
                <c:pt idx="69">
                  <c:v>76457260.715052024</c:v>
                </c:pt>
                <c:pt idx="70">
                  <c:v>77776702.543034464</c:v>
                </c:pt>
                <c:pt idx="71">
                  <c:v>79102441.674349219</c:v>
                </c:pt>
                <c:pt idx="72">
                  <c:v>79441008.487942234</c:v>
                </c:pt>
                <c:pt idx="73">
                  <c:v>80774690.856427878</c:v>
                </c:pt>
                <c:pt idx="74">
                  <c:v>82114738.494109333</c:v>
                </c:pt>
                <c:pt idx="75">
                  <c:v>83461181.780522898</c:v>
                </c:pt>
                <c:pt idx="76">
                  <c:v>84814051.240197375</c:v>
                </c:pt>
                <c:pt idx="77">
                  <c:v>86173377.543346047</c:v>
                </c:pt>
                <c:pt idx="78">
                  <c:v>87539191.506562024</c:v>
                </c:pt>
                <c:pt idx="79">
                  <c:v>88911524.093516812</c:v>
                </c:pt>
                <c:pt idx="80">
                  <c:v>90290406.415662348</c:v>
                </c:pt>
                <c:pt idx="81">
                  <c:v>91675869.732936248</c:v>
                </c:pt>
                <c:pt idx="82">
                  <c:v>93067945.45447053</c:v>
                </c:pt>
                <c:pt idx="83">
                  <c:v>94466665.13930364</c:v>
                </c:pt>
                <c:pt idx="84">
                  <c:v>94685591.416724622</c:v>
                </c:pt>
                <c:pt idx="85">
                  <c:v>96092031.644512013</c:v>
                </c:pt>
                <c:pt idx="86">
                  <c:v>97505184.39311336</c:v>
                </c:pt>
                <c:pt idx="87">
                  <c:v>98925081.69939366</c:v>
                </c:pt>
                <c:pt idx="88">
                  <c:v>100351755.7531203</c:v>
                </c:pt>
                <c:pt idx="89">
                  <c:v>101785238.89769289</c:v>
                </c:pt>
                <c:pt idx="90">
                  <c:v>103225563.63087642</c:v>
                </c:pt>
                <c:pt idx="91">
                  <c:v>104672762.60553809</c:v>
                </c:pt>
                <c:pt idx="92">
                  <c:v>106126868.63038747</c:v>
                </c:pt>
                <c:pt idx="93">
                  <c:v>107587914.6707204</c:v>
                </c:pt>
                <c:pt idx="94">
                  <c:v>109055933.84916621</c:v>
                </c:pt>
                <c:pt idx="95">
                  <c:v>110530959.44643874</c:v>
                </c:pt>
                <c:pt idx="96">
                  <c:v>110624793.76665701</c:v>
                </c:pt>
                <c:pt idx="97">
                  <c:v>112107307.06560522</c:v>
                </c:pt>
                <c:pt idx="98">
                  <c:v>113596895.95950554</c:v>
                </c:pt>
                <c:pt idx="99">
                  <c:v>115093594.2180678</c:v>
                </c:pt>
                <c:pt idx="100">
                  <c:v>116597435.7721746</c:v>
                </c:pt>
                <c:pt idx="101">
                  <c:v>118108454.71465057</c:v>
                </c:pt>
                <c:pt idx="102">
                  <c:v>119626685.30103524</c:v>
                </c:pt>
                <c:pt idx="103">
                  <c:v>121152161.95035963</c:v>
                </c:pt>
                <c:pt idx="104">
                  <c:v>122684919.24592656</c:v>
                </c:pt>
                <c:pt idx="105">
                  <c:v>124224991.93609469</c:v>
                </c:pt>
                <c:pt idx="106">
                  <c:v>125772414.93506622</c:v>
                </c:pt>
                <c:pt idx="107">
                  <c:v>127327223.32367848</c:v>
                </c:pt>
                <c:pt idx="108">
                  <c:v>127290265.87166408</c:v>
                </c:pt>
                <c:pt idx="109">
                  <c:v>128852318.51126057</c:v>
                </c:pt>
                <c:pt idx="110">
                  <c:v>130421826.36342041</c:v>
                </c:pt>
                <c:pt idx="111">
                  <c:v>131998825.00965536</c:v>
                </c:pt>
                <c:pt idx="112">
                  <c:v>133583350.20129715</c:v>
                </c:pt>
                <c:pt idx="113">
                  <c:v>135175437.86030796</c:v>
                </c:pt>
                <c:pt idx="114">
                  <c:v>136775124.08009484</c:v>
                </c:pt>
                <c:pt idx="115">
                  <c:v>138382445.12632796</c:v>
                </c:pt>
                <c:pt idx="116">
                  <c:v>139997437.43776268</c:v>
                </c:pt>
                <c:pt idx="117">
                  <c:v>141620137.62706572</c:v>
                </c:pt>
                <c:pt idx="118">
                  <c:v>143250582.4816452</c:v>
                </c:pt>
                <c:pt idx="119">
                  <c:v>144888808.96448457</c:v>
                </c:pt>
                <c:pt idx="120">
                  <c:v>144715100.21313572</c:v>
                </c:pt>
                <c:pt idx="121">
                  <c:v>146360316.40343711</c:v>
                </c:pt>
                <c:pt idx="122">
                  <c:v>148013384.72118953</c:v>
                </c:pt>
                <c:pt idx="123">
                  <c:v>149674342.64226145</c:v>
                </c:pt>
                <c:pt idx="124">
                  <c:v>151343227.82138246</c:v>
                </c:pt>
                <c:pt idx="125">
                  <c:v>153020078.09299704</c:v>
                </c:pt>
                <c:pt idx="126">
                  <c:v>154704931.47212216</c:v>
                </c:pt>
                <c:pt idx="127">
                  <c:v>156397826.15520915</c:v>
                </c:pt>
                <c:pt idx="128">
                  <c:v>158098800.52100968</c:v>
                </c:pt>
                <c:pt idx="129">
                  <c:v>159807893.13144577</c:v>
                </c:pt>
                <c:pt idx="130">
                  <c:v>161525142.73248398</c:v>
                </c:pt>
                <c:pt idx="131">
                  <c:v>163250588.25501391</c:v>
                </c:pt>
                <c:pt idx="132">
                  <c:v>162933897.13137645</c:v>
                </c:pt>
                <c:pt idx="133">
                  <c:v>164666066.21957061</c:v>
                </c:pt>
                <c:pt idx="134">
                  <c:v>166406502.43553036</c:v>
                </c:pt>
                <c:pt idx="135">
                  <c:v>168155245.23579723</c:v>
                </c:pt>
                <c:pt idx="136">
                  <c:v>169912334.26522702</c:v>
                </c:pt>
                <c:pt idx="137">
                  <c:v>171677809.35788864</c:v>
                </c:pt>
                <c:pt idx="138">
                  <c:v>173451710.53796721</c:v>
                </c:pt>
                <c:pt idx="139">
                  <c:v>175234078.02067131</c:v>
                </c:pt>
                <c:pt idx="140">
                  <c:v>177024952.21314481</c:v>
                </c:pt>
                <c:pt idx="141">
                  <c:v>178824373.71538284</c:v>
                </c:pt>
                <c:pt idx="142">
                  <c:v>180632383.32115221</c:v>
                </c:pt>
                <c:pt idx="143">
                  <c:v>182449022.01891622</c:v>
                </c:pt>
                <c:pt idx="144">
                  <c:v>181982833.5311968</c:v>
                </c:pt>
                <c:pt idx="145">
                  <c:v>183805917.52607623</c:v>
                </c:pt>
                <c:pt idx="146">
                  <c:v>185637702.55852515</c:v>
                </c:pt>
                <c:pt idx="147">
                  <c:v>187478230.15600747</c:v>
                </c:pt>
                <c:pt idx="148">
                  <c:v>189327542.04418534</c:v>
                </c:pt>
                <c:pt idx="149">
                  <c:v>191185680.14786503</c:v>
                </c:pt>
                <c:pt idx="150">
                  <c:v>193052686.5919475</c:v>
                </c:pt>
                <c:pt idx="151">
                  <c:v>194928603.70238328</c:v>
                </c:pt>
                <c:pt idx="152">
                  <c:v>196813474.00713214</c:v>
                </c:pt>
                <c:pt idx="153">
                  <c:v>198707340.23712707</c:v>
                </c:pt>
                <c:pt idx="154">
                  <c:v>200610245.32724312</c:v>
                </c:pt>
                <c:pt idx="155">
                  <c:v>202522232.41727075</c:v>
                </c:pt>
                <c:pt idx="156">
                  <c:v>201899734.71807501</c:v>
                </c:pt>
                <c:pt idx="157">
                  <c:v>203817876.15736282</c:v>
                </c:pt>
                <c:pt idx="158">
                  <c:v>205745172.31512421</c:v>
                </c:pt>
                <c:pt idx="159">
                  <c:v>207681666.88410711</c:v>
                </c:pt>
                <c:pt idx="160">
                  <c:v>209627403.76559189</c:v>
                </c:pt>
                <c:pt idx="161">
                  <c:v>211582427.07038668</c:v>
                </c:pt>
                <c:pt idx="162">
                  <c:v>213546781.11982739</c:v>
                </c:pt>
                <c:pt idx="163">
                  <c:v>215520510.44678247</c:v>
                </c:pt>
                <c:pt idx="164">
                  <c:v>217503659.79666248</c:v>
                </c:pt>
                <c:pt idx="165">
                  <c:v>219496274.12843457</c:v>
                </c:pt>
                <c:pt idx="166">
                  <c:v>221498398.61564159</c:v>
                </c:pt>
                <c:pt idx="167">
                  <c:v>223510078.64742634</c:v>
                </c:pt>
                <c:pt idx="168">
                  <c:v>222724149.50753334</c:v>
                </c:pt>
                <c:pt idx="169">
                  <c:v>224741679.68368399</c:v>
                </c:pt>
                <c:pt idx="170">
                  <c:v>226768838.93118274</c:v>
                </c:pt>
                <c:pt idx="171">
                  <c:v>228805673.20672265</c:v>
                </c:pt>
                <c:pt idx="172">
                  <c:v>230852228.6863344</c:v>
                </c:pt>
                <c:pt idx="173">
                  <c:v>232908551.76643312</c:v>
                </c:pt>
                <c:pt idx="174">
                  <c:v>234974689.06487024</c:v>
                </c:pt>
                <c:pt idx="175">
                  <c:v>237050687.42199028</c:v>
                </c:pt>
                <c:pt idx="176">
                  <c:v>239136593.90169287</c:v>
                </c:pt>
                <c:pt idx="177">
                  <c:v>241232455.79249957</c:v>
                </c:pt>
                <c:pt idx="178">
                  <c:v>243338320.60862601</c:v>
                </c:pt>
                <c:pt idx="179">
                  <c:v>245454236.09105903</c:v>
                </c:pt>
                <c:pt idx="180">
                  <c:v>244497428.7568734</c:v>
                </c:pt>
                <c:pt idx="181">
                  <c:v>246618876.31768206</c:v>
                </c:pt>
                <c:pt idx="182">
                  <c:v>248750448.91660205</c:v>
                </c:pt>
                <c:pt idx="183">
                  <c:v>250892194.87742823</c:v>
                </c:pt>
                <c:pt idx="184">
                  <c:v>253044162.7545906</c:v>
                </c:pt>
                <c:pt idx="185">
                  <c:v>255206401.33425495</c:v>
                </c:pt>
                <c:pt idx="186">
                  <c:v>257378959.63542897</c:v>
                </c:pt>
                <c:pt idx="187">
                  <c:v>259561886.91107348</c:v>
                </c:pt>
                <c:pt idx="188">
                  <c:v>261755232.64921901</c:v>
                </c:pt>
                <c:pt idx="189">
                  <c:v>263959046.57408774</c:v>
                </c:pt>
                <c:pt idx="190">
                  <c:v>266173378.64722082</c:v>
                </c:pt>
                <c:pt idx="191">
                  <c:v>268398279.06861091</c:v>
                </c:pt>
                <c:pt idx="192">
                  <c:v>267262807.47520971</c:v>
                </c:pt>
                <c:pt idx="193">
                  <c:v>269492907.41630828</c:v>
                </c:pt>
                <c:pt idx="194">
                  <c:v>271733650.961007</c:v>
                </c:pt>
                <c:pt idx="195">
                  <c:v>273985088.90805954</c:v>
                </c:pt>
                <c:pt idx="196">
                  <c:v>276247272.29866689</c:v>
                </c:pt>
                <c:pt idx="197">
                  <c:v>278520252.41763461</c:v>
                </c:pt>
                <c:pt idx="198">
                  <c:v>280804080.79453522</c:v>
                </c:pt>
                <c:pt idx="199">
                  <c:v>283098809.20487672</c:v>
                </c:pt>
                <c:pt idx="200">
                  <c:v>285404489.67127615</c:v>
                </c:pt>
                <c:pt idx="201">
                  <c:v>287721174.46463895</c:v>
                </c:pt>
                <c:pt idx="202">
                  <c:v>290048916.10534418</c:v>
                </c:pt>
                <c:pt idx="203">
                  <c:v>292387767.3644349</c:v>
                </c:pt>
                <c:pt idx="204">
                  <c:v>291065490.67484695</c:v>
                </c:pt>
                <c:pt idx="205">
                  <c:v>293409193.74194342</c:v>
                </c:pt>
                <c:pt idx="206">
                  <c:v>295764082.6065653</c:v>
                </c:pt>
                <c:pt idx="207">
                  <c:v>298130210.65519661</c:v>
                </c:pt>
                <c:pt idx="208">
                  <c:v>300507631.52911913</c:v>
                </c:pt>
                <c:pt idx="209">
                  <c:v>302896399.12562853</c:v>
                </c:pt>
                <c:pt idx="210">
                  <c:v>305296567.59925628</c:v>
                </c:pt>
                <c:pt idx="211">
                  <c:v>307708191.36299729</c:v>
                </c:pt>
                <c:pt idx="212">
                  <c:v>310131325.08954346</c:v>
                </c:pt>
                <c:pt idx="213">
                  <c:v>312566023.71252328</c:v>
                </c:pt>
                <c:pt idx="214">
                  <c:v>315012342.42774707</c:v>
                </c:pt>
                <c:pt idx="215">
                  <c:v>317470336.69445825</c:v>
                </c:pt>
                <c:pt idx="216">
                  <c:v>315952743.13447589</c:v>
                </c:pt>
                <c:pt idx="217">
                  <c:v>318415225.6540063</c:v>
                </c:pt>
                <c:pt idx="218">
                  <c:v>320889460.87005359</c:v>
                </c:pt>
                <c:pt idx="219">
                  <c:v>323375504.87474203</c:v>
                </c:pt>
                <c:pt idx="220">
                  <c:v>325873414.02790689</c:v>
                </c:pt>
                <c:pt idx="221">
                  <c:v>206406853.19102001</c:v>
                </c:pt>
                <c:pt idx="222">
                  <c:v>208346505.76598418</c:v>
                </c:pt>
                <c:pt idx="223">
                  <c:v>210295415.72567332</c:v>
                </c:pt>
                <c:pt idx="224">
                  <c:v>212253627.2528308</c:v>
                </c:pt>
                <c:pt idx="225">
                  <c:v>214221184.74107111</c:v>
                </c:pt>
                <c:pt idx="226">
                  <c:v>216198132.79588619</c:v>
                </c:pt>
                <c:pt idx="227">
                  <c:v>218184516.23565677</c:v>
                </c:pt>
                <c:pt idx="228">
                  <c:v>180845230.41901195</c:v>
                </c:pt>
                <c:pt idx="229">
                  <c:v>182662884.97265548</c:v>
                </c:pt>
                <c:pt idx="230">
                  <c:v>184489214.65076065</c:v>
                </c:pt>
                <c:pt idx="231">
                  <c:v>186324260.85711583</c:v>
                </c:pt>
                <c:pt idx="232">
                  <c:v>188168065.19311732</c:v>
                </c:pt>
                <c:pt idx="233">
                  <c:v>153425842.8603721</c:v>
                </c:pt>
                <c:pt idx="234">
                  <c:v>155112632.83402342</c:v>
                </c:pt>
                <c:pt idx="235">
                  <c:v>156807473.35442618</c:v>
                </c:pt>
                <c:pt idx="236">
                  <c:v>158510402.84444514</c:v>
                </c:pt>
                <c:pt idx="237">
                  <c:v>160221459.91032591</c:v>
                </c:pt>
                <c:pt idx="238">
                  <c:v>161940683.34257028</c:v>
                </c:pt>
                <c:pt idx="239">
                  <c:v>163668112.11681554</c:v>
                </c:pt>
                <c:pt idx="240">
                  <c:v>126021868.62735432</c:v>
                </c:pt>
                <c:pt idx="241">
                  <c:v>127577867.58423142</c:v>
                </c:pt>
                <c:pt idx="242">
                  <c:v>129141292.86124513</c:v>
                </c:pt>
                <c:pt idx="243">
                  <c:v>130712179.90201223</c:v>
                </c:pt>
                <c:pt idx="244">
                  <c:v>132290564.31931138</c:v>
                </c:pt>
                <c:pt idx="245">
                  <c:v>96550180.770118237</c:v>
                </c:pt>
                <c:pt idx="246">
                  <c:v>97965520.128204137</c:v>
                </c:pt>
                <c:pt idx="247">
                  <c:v>99387614.480005577</c:v>
                </c:pt>
                <c:pt idx="248">
                  <c:v>100816496.06509805</c:v>
                </c:pt>
                <c:pt idx="249">
                  <c:v>102252197.27692696</c:v>
                </c:pt>
                <c:pt idx="250">
                  <c:v>103694750.663542</c:v>
                </c:pt>
                <c:pt idx="251">
                  <c:v>105144188.92833501</c:v>
                </c:pt>
                <c:pt idx="252">
                  <c:v>67207122.551247329</c:v>
                </c:pt>
                <c:pt idx="253">
                  <c:v>68482416.221540704</c:v>
                </c:pt>
                <c:pt idx="254">
                  <c:v>69763796.489143118</c:v>
                </c:pt>
                <c:pt idx="255">
                  <c:v>71051292.403572842</c:v>
                </c:pt>
                <c:pt idx="256">
                  <c:v>72344933.152992889</c:v>
                </c:pt>
                <c:pt idx="257">
                  <c:v>35571900.821131006</c:v>
                </c:pt>
                <c:pt idx="258">
                  <c:v>36696208.989074327</c:v>
                </c:pt>
                <c:pt idx="259">
                  <c:v>37825883.145439714</c:v>
                </c:pt>
                <c:pt idx="260">
                  <c:v>38960948.900493607</c:v>
                </c:pt>
                <c:pt idx="261">
                  <c:v>40101431.986732632</c:v>
                </c:pt>
                <c:pt idx="262">
                  <c:v>41247358.259466968</c:v>
                </c:pt>
                <c:pt idx="263">
                  <c:v>42398753.697406501</c:v>
                </c:pt>
                <c:pt idx="264">
                  <c:v>4188665.5718026096</c:v>
                </c:pt>
                <c:pt idx="265">
                  <c:v>5163190.8939067675</c:v>
                </c:pt>
                <c:pt idx="266">
                  <c:v>6142367.3354677763</c:v>
                </c:pt>
                <c:pt idx="267">
                  <c:v>7126217.094895171</c:v>
                </c:pt>
                <c:pt idx="268">
                  <c:v>8114762.4765448915</c:v>
                </c:pt>
                <c:pt idx="269">
                  <c:v>9108025.8912249319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5-4965-8913-674AB0E8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91455"/>
        <c:axId val="1196188095"/>
      </c:lineChart>
      <c:catAx>
        <c:axId val="119619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88095"/>
        <c:crosses val="autoZero"/>
        <c:auto val="1"/>
        <c:lblAlgn val="ctr"/>
        <c:lblOffset val="100"/>
        <c:noMultiLvlLbl val="0"/>
      </c:catAx>
      <c:valAx>
        <c:axId val="11961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1</xdr:row>
      <xdr:rowOff>52387</xdr:rowOff>
    </xdr:from>
    <xdr:to>
      <xdr:col>29</xdr:col>
      <xdr:colOff>1181100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88893-815B-DAFC-9C1D-10ECFED69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1</xdr:row>
      <xdr:rowOff>52387</xdr:rowOff>
    </xdr:from>
    <xdr:to>
      <xdr:col>29</xdr:col>
      <xdr:colOff>1181100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218CD-A464-40EB-A283-C08C9B5B4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50425</xdr:colOff>
      <xdr:row>0</xdr:row>
      <xdr:rowOff>57149</xdr:rowOff>
    </xdr:from>
    <xdr:to>
      <xdr:col>10</xdr:col>
      <xdr:colOff>1187823</xdr:colOff>
      <xdr:row>12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8D8D7-EBCE-BD8D-0ED4-082AF7EB4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44824</xdr:colOff>
      <xdr:row>0</xdr:row>
      <xdr:rowOff>44824</xdr:rowOff>
    </xdr:from>
    <xdr:to>
      <xdr:col>16</xdr:col>
      <xdr:colOff>1187823</xdr:colOff>
      <xdr:row>12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4696C-992B-4D27-6247-07379ABE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50425</xdr:colOff>
      <xdr:row>0</xdr:row>
      <xdr:rowOff>57150</xdr:rowOff>
    </xdr:from>
    <xdr:to>
      <xdr:col>10</xdr:col>
      <xdr:colOff>1187823</xdr:colOff>
      <xdr:row>12</xdr:row>
      <xdr:rowOff>134472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09C12-42E2-4AFD-AFC3-9F8FD1BFE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44824</xdr:colOff>
      <xdr:row>0</xdr:row>
      <xdr:rowOff>44824</xdr:rowOff>
    </xdr:from>
    <xdr:to>
      <xdr:col>16</xdr:col>
      <xdr:colOff>1187823</xdr:colOff>
      <xdr:row>12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F2DA9-0A16-4201-A0C3-6ACE7699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5C8E-3CA4-4208-890B-B4DE8983FAAD}">
  <dimension ref="B2:AD254"/>
  <sheetViews>
    <sheetView topLeftCell="R1" zoomScaleNormal="100" workbookViewId="0">
      <selection activeCell="T4" sqref="T4"/>
    </sheetView>
  </sheetViews>
  <sheetFormatPr defaultRowHeight="15" x14ac:dyDescent="0.25"/>
  <cols>
    <col min="1" max="22" width="18.28515625" customWidth="1"/>
    <col min="23" max="24" width="9.140625" customWidth="1"/>
    <col min="25" max="52" width="18.28515625" customWidth="1"/>
  </cols>
  <sheetData>
    <row r="2" spans="2:21" x14ac:dyDescent="0.25">
      <c r="B2" t="s">
        <v>0</v>
      </c>
      <c r="C2" s="1">
        <v>8000000</v>
      </c>
      <c r="E2" t="s">
        <v>8</v>
      </c>
      <c r="F2" s="1">
        <f>F4+F9</f>
        <v>62980576.850562647</v>
      </c>
      <c r="L2" t="s">
        <v>25</v>
      </c>
      <c r="M2" s="1">
        <f>M4+M9</f>
        <v>443373546.15776789</v>
      </c>
      <c r="O2" t="s">
        <v>27</v>
      </c>
      <c r="P2">
        <v>250</v>
      </c>
      <c r="S2" t="s">
        <v>34</v>
      </c>
      <c r="T2" s="5">
        <v>0.02</v>
      </c>
    </row>
    <row r="3" spans="2:21" x14ac:dyDescent="0.25">
      <c r="B3" t="s">
        <v>1</v>
      </c>
      <c r="C3" s="1">
        <f>C2*0.5</f>
        <v>4000000</v>
      </c>
      <c r="E3" t="s">
        <v>9</v>
      </c>
      <c r="F3" s="3">
        <f>F4/F2</f>
        <v>0.51858524588906096</v>
      </c>
      <c r="L3" t="s">
        <v>9</v>
      </c>
      <c r="M3" s="3">
        <f>M4/M2</f>
        <v>0.44410343094380006</v>
      </c>
      <c r="O3" t="s">
        <v>28</v>
      </c>
      <c r="P3">
        <v>70</v>
      </c>
      <c r="S3" t="s">
        <v>35</v>
      </c>
      <c r="T3">
        <v>1000</v>
      </c>
      <c r="U3" t="s">
        <v>39</v>
      </c>
    </row>
    <row r="4" spans="2:21" x14ac:dyDescent="0.25">
      <c r="B4" t="s">
        <v>2</v>
      </c>
      <c r="C4" s="1">
        <f>C3*0.6</f>
        <v>2400000</v>
      </c>
      <c r="E4" t="s">
        <v>10</v>
      </c>
      <c r="F4" s="1">
        <f>-FV(F5,F6,F7,0,1)</f>
        <v>32660797.93228393</v>
      </c>
      <c r="L4" t="s">
        <v>10</v>
      </c>
      <c r="M4" s="1">
        <f>-FV(M5,M6,M7,0,1)</f>
        <v>196903713.03838402</v>
      </c>
      <c r="O4" t="s">
        <v>31</v>
      </c>
      <c r="P4" s="1">
        <v>1000000</v>
      </c>
      <c r="S4" t="s">
        <v>51</v>
      </c>
      <c r="T4">
        <v>350</v>
      </c>
      <c r="U4" t="s">
        <v>39</v>
      </c>
    </row>
    <row r="5" spans="2:21" x14ac:dyDescent="0.25">
      <c r="B5" t="s">
        <v>3</v>
      </c>
      <c r="C5" s="1">
        <f>C3*0.4</f>
        <v>1600000</v>
      </c>
      <c r="E5" t="s">
        <v>11</v>
      </c>
      <c r="F5" s="3">
        <f>(1+6%)^(1/12)-1</f>
        <v>4.8675505653430484E-3</v>
      </c>
      <c r="L5" t="s">
        <v>11</v>
      </c>
      <c r="M5" s="3">
        <f>(1+6%)^(1/12)-1</f>
        <v>4.8675505653430484E-3</v>
      </c>
      <c r="O5" t="s">
        <v>32</v>
      </c>
      <c r="P5" s="1">
        <v>3000000</v>
      </c>
      <c r="S5" t="s">
        <v>36</v>
      </c>
      <c r="T5">
        <v>450</v>
      </c>
      <c r="U5" t="s">
        <v>39</v>
      </c>
    </row>
    <row r="6" spans="2:21" x14ac:dyDescent="0.25">
      <c r="B6" t="s">
        <v>4</v>
      </c>
      <c r="C6" s="1">
        <f>C2*0.2</f>
        <v>1600000</v>
      </c>
      <c r="E6" t="s">
        <v>12</v>
      </c>
      <c r="F6">
        <v>24</v>
      </c>
      <c r="L6" t="s">
        <v>12</v>
      </c>
      <c r="M6">
        <v>60</v>
      </c>
      <c r="O6" t="s">
        <v>29</v>
      </c>
      <c r="P6" s="4">
        <f>P2*P4</f>
        <v>250000000</v>
      </c>
      <c r="S6" t="s">
        <v>37</v>
      </c>
      <c r="T6">
        <v>550</v>
      </c>
      <c r="U6" t="s">
        <v>39</v>
      </c>
    </row>
    <row r="7" spans="2:21" x14ac:dyDescent="0.25">
      <c r="B7" t="s">
        <v>5</v>
      </c>
      <c r="C7" s="1">
        <f>C6*0.8</f>
        <v>1280000</v>
      </c>
      <c r="E7" t="s">
        <v>13</v>
      </c>
      <c r="F7" s="1">
        <v>1280000</v>
      </c>
      <c r="L7" t="s">
        <v>13</v>
      </c>
      <c r="M7" s="1">
        <f>(C4-C13)+C11</f>
        <v>2820000</v>
      </c>
      <c r="O7" t="s">
        <v>30</v>
      </c>
      <c r="P7" s="4">
        <f>P3*P5</f>
        <v>210000000</v>
      </c>
      <c r="S7" t="s">
        <v>38</v>
      </c>
      <c r="T7">
        <v>20000</v>
      </c>
      <c r="U7" t="s">
        <v>39</v>
      </c>
    </row>
    <row r="8" spans="2:21" x14ac:dyDescent="0.25">
      <c r="B8" t="s">
        <v>6</v>
      </c>
      <c r="C8" s="1">
        <f>C6*0.2</f>
        <v>320000</v>
      </c>
      <c r="E8" t="s">
        <v>14</v>
      </c>
      <c r="F8" s="1">
        <v>640000</v>
      </c>
      <c r="L8" t="s">
        <v>14</v>
      </c>
      <c r="M8" s="1">
        <f>C4</f>
        <v>2400000</v>
      </c>
      <c r="O8" t="s">
        <v>33</v>
      </c>
      <c r="P8" s="4">
        <f>P6+P7</f>
        <v>460000000</v>
      </c>
    </row>
    <row r="9" spans="2:21" x14ac:dyDescent="0.25">
      <c r="B9" t="s">
        <v>7</v>
      </c>
      <c r="C9" s="1">
        <f>C2*0.3</f>
        <v>2400000</v>
      </c>
      <c r="E9" t="s">
        <v>15</v>
      </c>
      <c r="F9" s="1">
        <f>IF((12*($F$10+1-E15)*F8)/(12+(($F$10+1-E15)*F15))*(F15/12)&gt;(12*($F$10+1-E51)*F8)/(12+(($F$10+1-E51)*F51))*(F51/12),(12*($F$10+1-E15)*F8)/(12+(($F$10+1-E15)*F15)),(12*($F$10+1-E51)*F8)/(12+(($F$10+1-E51)*F51))+((12*($F$10+1-E51)*F8)/(12+(($F$10+1-E51)*F51))/($F$10+1-E51))*(E51-1))</f>
        <v>30319778.91827872</v>
      </c>
      <c r="G9" s="4"/>
      <c r="H9" s="4"/>
      <c r="L9" t="s">
        <v>15</v>
      </c>
      <c r="M9" s="1">
        <f>IF((12*($M$10+1-L15)*M8)/(12+(($M$10+1-L15)*M15))*(M15/12)&gt;(12*($M$10+1-L51)*M8)/(12+(($M$10+1-L51)*M51))*(M51/12),(12*(M10+1-L15)*M8)/(12+((M10+1-L15)*M15)),IF((12*($M$10+1-L51)*M8)/(12+(($M$10+1-L51)*M51))*(M51/12)&gt;(12*($M$10+1-L87)*M8)/(12+(($M$10+1-L87)*M87))*(M87/12),(12*($M$10+1-L51)*M8)/(12+(($M$10+1-L51)*M51))+((12*($M$10+1-L51)*M8)/(12+(($M$10+1-L51)*M51))/($M$10+1-L51))*(L51-1),(12*($M$10+1-L87)*M8)/(12+(($M$10+1-L87)*M87))+((12*($M$10+1-L87)*M8)/(12+(($M$10+1-L87)*M87))/($M$10+1-L87))*(L87-1)))</f>
        <v>246469833.11938384</v>
      </c>
      <c r="N9" s="4"/>
      <c r="O9" s="4"/>
      <c r="P9" s="4"/>
    </row>
    <row r="10" spans="2:21" x14ac:dyDescent="0.25">
      <c r="B10" t="s">
        <v>5</v>
      </c>
      <c r="C10" s="1">
        <f>C9*0.2</f>
        <v>480000</v>
      </c>
      <c r="E10" t="s">
        <v>16</v>
      </c>
      <c r="F10">
        <v>60</v>
      </c>
      <c r="G10" s="4"/>
      <c r="H10" s="4"/>
      <c r="L10" t="s">
        <v>16</v>
      </c>
      <c r="M10">
        <v>240</v>
      </c>
      <c r="N10" s="4"/>
      <c r="O10" s="4"/>
      <c r="P10" s="4"/>
    </row>
    <row r="11" spans="2:21" x14ac:dyDescent="0.25">
      <c r="B11" t="s">
        <v>6</v>
      </c>
      <c r="C11" s="1">
        <f>C9*0.8</f>
        <v>1920000</v>
      </c>
      <c r="S11" s="16">
        <v>6</v>
      </c>
      <c r="T11" t="s">
        <v>40</v>
      </c>
      <c r="U11" s="2">
        <f>5.88%-1.25%</f>
        <v>4.6299999999999994E-2</v>
      </c>
    </row>
    <row r="12" spans="2:21" x14ac:dyDescent="0.25">
      <c r="E12" s="15" t="s">
        <v>21</v>
      </c>
      <c r="F12" s="15"/>
      <c r="G12" s="15"/>
      <c r="H12" s="15"/>
      <c r="I12" t="s">
        <v>24</v>
      </c>
      <c r="J12" t="s">
        <v>23</v>
      </c>
      <c r="L12" s="15" t="s">
        <v>21</v>
      </c>
      <c r="M12" s="15"/>
      <c r="N12" s="15"/>
      <c r="O12" s="15"/>
      <c r="P12" t="s">
        <v>24</v>
      </c>
      <c r="Q12" t="s">
        <v>23</v>
      </c>
      <c r="S12" s="16"/>
      <c r="T12" t="s">
        <v>41</v>
      </c>
      <c r="U12" s="3">
        <f>(1+U11)^(1/12)-1</f>
        <v>3.7787993439000189E-3</v>
      </c>
    </row>
    <row r="13" spans="2:21" x14ac:dyDescent="0.25">
      <c r="B13" t="s">
        <v>26</v>
      </c>
      <c r="C13" s="1">
        <v>1500000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L13" t="s">
        <v>17</v>
      </c>
      <c r="M13" t="s">
        <v>18</v>
      </c>
      <c r="N13" t="s">
        <v>19</v>
      </c>
      <c r="O13" t="s">
        <v>20</v>
      </c>
      <c r="P13" t="s">
        <v>21</v>
      </c>
      <c r="Q13" t="s">
        <v>22</v>
      </c>
      <c r="S13" s="16"/>
    </row>
    <row r="14" spans="2:21" x14ac:dyDescent="0.25">
      <c r="G14" s="1"/>
      <c r="H14" s="1"/>
      <c r="I14" s="1"/>
      <c r="J14" s="1">
        <f>F9</f>
        <v>30319778.91827872</v>
      </c>
      <c r="N14" s="1"/>
      <c r="O14" s="1"/>
      <c r="P14" s="1"/>
      <c r="Q14" s="1">
        <f>M9</f>
        <v>246469833.11938384</v>
      </c>
      <c r="S14" s="16"/>
      <c r="T14" t="s">
        <v>43</v>
      </c>
      <c r="U14" s="6">
        <f>U15/12</f>
        <v>5.5</v>
      </c>
    </row>
    <row r="15" spans="2:21" x14ac:dyDescent="0.25">
      <c r="E15">
        <v>1</v>
      </c>
      <c r="F15" s="2">
        <v>5.33E-2</v>
      </c>
      <c r="G15" s="1">
        <f>IFERROR(J14/($F$10+1-E15),0)</f>
        <v>505329.64863797865</v>
      </c>
      <c r="H15" s="1">
        <f>J14*(F15/12)</f>
        <v>134670.35136202132</v>
      </c>
      <c r="I15" s="1">
        <f>G15+H15</f>
        <v>640000</v>
      </c>
      <c r="J15" s="1">
        <f>J14-G15</f>
        <v>29814449.26964074</v>
      </c>
      <c r="L15">
        <v>1</v>
      </c>
      <c r="M15" s="2">
        <v>4.2500000000000003E-2</v>
      </c>
      <c r="N15" s="1">
        <f t="shared" ref="N15:N46" si="0">IFERROR(Q14/($M$10+1-L15),0)</f>
        <v>1026957.6379974327</v>
      </c>
      <c r="O15" s="1">
        <f>Q14*(M15/12)</f>
        <v>872913.99229781784</v>
      </c>
      <c r="P15" s="1">
        <f>N15+O15</f>
        <v>1899871.6302952506</v>
      </c>
      <c r="Q15" s="1">
        <f>Q14-N15</f>
        <v>245442875.48138642</v>
      </c>
      <c r="S15" s="16"/>
      <c r="T15" t="s">
        <v>44</v>
      </c>
      <c r="U15" s="6">
        <v>66</v>
      </c>
    </row>
    <row r="16" spans="2:21" x14ac:dyDescent="0.25">
      <c r="E16">
        <f t="shared" ref="E16:E74" si="1">E15+1</f>
        <v>2</v>
      </c>
      <c r="F16" s="2">
        <v>5.33E-2</v>
      </c>
      <c r="G16" s="1">
        <f t="shared" ref="G16:G74" si="2">IFERROR(J15/($F$10+1-E16),0)</f>
        <v>505329.64863797865</v>
      </c>
      <c r="H16" s="1">
        <f t="shared" ref="H16:H74" si="3">J15*(F16/12)</f>
        <v>132425.84550598761</v>
      </c>
      <c r="I16" s="1">
        <f t="shared" ref="I16:I74" si="4">G16+H16</f>
        <v>637755.49414396624</v>
      </c>
      <c r="J16" s="1">
        <f t="shared" ref="J16:J74" si="5">J15-G16</f>
        <v>29309119.62100276</v>
      </c>
      <c r="L16">
        <f t="shared" ref="L16:L55" si="6">L15+1</f>
        <v>2</v>
      </c>
      <c r="M16" s="2">
        <v>4.2500000000000003E-2</v>
      </c>
      <c r="N16" s="1">
        <f t="shared" si="0"/>
        <v>1026957.6379974327</v>
      </c>
      <c r="O16" s="1">
        <f t="shared" ref="O16:O74" si="7">Q15*(M16/12)</f>
        <v>869276.85066324368</v>
      </c>
      <c r="P16" s="1">
        <f t="shared" ref="P16:P74" si="8">N16+O16</f>
        <v>1896234.4886606764</v>
      </c>
      <c r="Q16" s="1">
        <f t="shared" ref="Q16:Q74" si="9">Q15-N16</f>
        <v>244415917.843389</v>
      </c>
      <c r="S16" s="16"/>
      <c r="T16" t="s">
        <v>35</v>
      </c>
      <c r="U16" s="1">
        <f>T3*1000</f>
        <v>1000000</v>
      </c>
    </row>
    <row r="17" spans="5:30" x14ac:dyDescent="0.25">
      <c r="E17">
        <f t="shared" si="1"/>
        <v>3</v>
      </c>
      <c r="F17" s="2">
        <v>5.33E-2</v>
      </c>
      <c r="G17" s="1">
        <f t="shared" si="2"/>
        <v>505329.64863797859</v>
      </c>
      <c r="H17" s="1">
        <f t="shared" si="3"/>
        <v>130181.33964995392</v>
      </c>
      <c r="I17" s="1">
        <f t="shared" si="4"/>
        <v>635510.98828793247</v>
      </c>
      <c r="J17" s="1">
        <f t="shared" si="5"/>
        <v>28803789.97236478</v>
      </c>
      <c r="L17">
        <f t="shared" si="6"/>
        <v>3</v>
      </c>
      <c r="M17" s="2">
        <v>4.2500000000000003E-2</v>
      </c>
      <c r="N17" s="1">
        <f t="shared" si="0"/>
        <v>1026957.6379974328</v>
      </c>
      <c r="O17" s="1">
        <f t="shared" si="7"/>
        <v>865639.7090286694</v>
      </c>
      <c r="P17" s="1">
        <f t="shared" si="8"/>
        <v>1892597.3470261022</v>
      </c>
      <c r="Q17" s="1">
        <f t="shared" si="9"/>
        <v>243388960.20539159</v>
      </c>
      <c r="S17" s="16"/>
      <c r="T17" t="s">
        <v>42</v>
      </c>
      <c r="U17" s="1">
        <f>-FV(U12,U15,U16,0,1)</f>
        <v>75082383.337912872</v>
      </c>
    </row>
    <row r="18" spans="5:30" x14ac:dyDescent="0.25">
      <c r="E18">
        <f t="shared" si="1"/>
        <v>4</v>
      </c>
      <c r="F18" s="2">
        <v>5.33E-2</v>
      </c>
      <c r="G18" s="1">
        <f t="shared" si="2"/>
        <v>505329.64863797859</v>
      </c>
      <c r="H18" s="1">
        <f t="shared" si="3"/>
        <v>127936.83379392023</v>
      </c>
      <c r="I18" s="1">
        <f t="shared" si="4"/>
        <v>633266.48243189882</v>
      </c>
      <c r="J18" s="1">
        <f t="shared" si="5"/>
        <v>28298460.323726799</v>
      </c>
      <c r="L18">
        <f t="shared" si="6"/>
        <v>4</v>
      </c>
      <c r="M18" s="2">
        <v>4.2500000000000003E-2</v>
      </c>
      <c r="N18" s="1">
        <f t="shared" si="0"/>
        <v>1026957.6379974328</v>
      </c>
      <c r="O18" s="1">
        <f t="shared" si="7"/>
        <v>862002.56739409524</v>
      </c>
      <c r="P18" s="1">
        <f t="shared" si="8"/>
        <v>1888960.2053915281</v>
      </c>
      <c r="Q18" s="1">
        <f t="shared" si="9"/>
        <v>242362002.56739417</v>
      </c>
      <c r="S18" s="16"/>
    </row>
    <row r="19" spans="5:30" x14ac:dyDescent="0.25">
      <c r="E19">
        <f t="shared" si="1"/>
        <v>5</v>
      </c>
      <c r="F19" s="2">
        <v>5.33E-2</v>
      </c>
      <c r="G19" s="1">
        <f t="shared" si="2"/>
        <v>505329.64863797853</v>
      </c>
      <c r="H19" s="1">
        <f t="shared" si="3"/>
        <v>125692.32793788654</v>
      </c>
      <c r="I19" s="1">
        <f t="shared" si="4"/>
        <v>631021.97657586506</v>
      </c>
      <c r="J19" s="1">
        <f t="shared" si="5"/>
        <v>27793130.675088819</v>
      </c>
      <c r="L19">
        <f t="shared" si="6"/>
        <v>5</v>
      </c>
      <c r="M19" s="2">
        <v>4.2500000000000003E-2</v>
      </c>
      <c r="N19" s="1">
        <f t="shared" si="0"/>
        <v>1026957.637997433</v>
      </c>
      <c r="O19" s="1">
        <f t="shared" si="7"/>
        <v>858365.42575952108</v>
      </c>
      <c r="P19" s="1">
        <f t="shared" si="8"/>
        <v>1885323.0637569539</v>
      </c>
      <c r="Q19" s="1">
        <f t="shared" si="9"/>
        <v>241335044.92939675</v>
      </c>
      <c r="S19" s="16"/>
      <c r="T19" t="s">
        <v>43</v>
      </c>
      <c r="U19" s="6">
        <f>U20/12</f>
        <v>21.5</v>
      </c>
    </row>
    <row r="20" spans="5:30" x14ac:dyDescent="0.25">
      <c r="E20">
        <f t="shared" si="1"/>
        <v>6</v>
      </c>
      <c r="F20" s="2">
        <v>5.33E-2</v>
      </c>
      <c r="G20" s="1">
        <f t="shared" si="2"/>
        <v>505329.64863797853</v>
      </c>
      <c r="H20" s="1">
        <f t="shared" si="3"/>
        <v>123447.82208185284</v>
      </c>
      <c r="I20" s="1">
        <f t="shared" si="4"/>
        <v>628777.47071983141</v>
      </c>
      <c r="J20" s="1">
        <f t="shared" si="5"/>
        <v>27287801.026450839</v>
      </c>
      <c r="L20">
        <f t="shared" si="6"/>
        <v>6</v>
      </c>
      <c r="M20" s="2">
        <v>4.2500000000000003E-2</v>
      </c>
      <c r="N20" s="1">
        <f t="shared" si="0"/>
        <v>1026957.637997433</v>
      </c>
      <c r="O20" s="1">
        <f t="shared" si="7"/>
        <v>854728.28412494692</v>
      </c>
      <c r="P20" s="1">
        <f t="shared" si="8"/>
        <v>1881685.9221223798</v>
      </c>
      <c r="Q20" s="1">
        <f t="shared" si="9"/>
        <v>240308087.29139933</v>
      </c>
      <c r="S20" s="16"/>
      <c r="T20" t="s">
        <v>44</v>
      </c>
      <c r="U20" s="7">
        <v>258</v>
      </c>
      <c r="W20" s="16" t="s">
        <v>17</v>
      </c>
      <c r="X20" s="16"/>
      <c r="Y20" s="16" t="s">
        <v>21</v>
      </c>
      <c r="Z20" s="16"/>
      <c r="AA20" s="16"/>
      <c r="AB20" s="8" t="s">
        <v>24</v>
      </c>
      <c r="AC20" s="8" t="s">
        <v>23</v>
      </c>
      <c r="AD20" s="8" t="s">
        <v>24</v>
      </c>
    </row>
    <row r="21" spans="5:30" x14ac:dyDescent="0.25">
      <c r="E21">
        <f t="shared" si="1"/>
        <v>7</v>
      </c>
      <c r="F21" s="2">
        <v>5.33E-2</v>
      </c>
      <c r="G21" s="1">
        <f t="shared" si="2"/>
        <v>505329.64863797848</v>
      </c>
      <c r="H21" s="1">
        <f t="shared" si="3"/>
        <v>121203.31622581914</v>
      </c>
      <c r="I21" s="1">
        <f t="shared" si="4"/>
        <v>626532.96486379765</v>
      </c>
      <c r="J21" s="1">
        <f t="shared" si="5"/>
        <v>26782471.377812859</v>
      </c>
      <c r="L21">
        <f t="shared" si="6"/>
        <v>7</v>
      </c>
      <c r="M21" s="2">
        <v>4.2500000000000003E-2</v>
      </c>
      <c r="N21" s="1">
        <f t="shared" si="0"/>
        <v>1026957.6379974331</v>
      </c>
      <c r="O21" s="1">
        <f t="shared" si="7"/>
        <v>851091.14249037264</v>
      </c>
      <c r="P21" s="1">
        <f t="shared" si="8"/>
        <v>1878048.7804878056</v>
      </c>
      <c r="Q21" s="1">
        <f t="shared" si="9"/>
        <v>239281129.65340191</v>
      </c>
      <c r="S21" s="16"/>
      <c r="T21" t="s">
        <v>42</v>
      </c>
      <c r="U21" s="1">
        <f>-FV(U12,U20,U16,0,1)</f>
        <v>437264850.84134239</v>
      </c>
      <c r="W21" s="8" t="s">
        <v>48</v>
      </c>
      <c r="X21" s="8" t="s">
        <v>49</v>
      </c>
      <c r="Y21" s="8" t="s">
        <v>18</v>
      </c>
      <c r="Z21" s="8" t="s">
        <v>19</v>
      </c>
      <c r="AA21" s="8" t="s">
        <v>20</v>
      </c>
      <c r="AB21" s="8" t="s">
        <v>21</v>
      </c>
      <c r="AC21" s="8" t="s">
        <v>15</v>
      </c>
      <c r="AD21" s="8" t="s">
        <v>50</v>
      </c>
    </row>
    <row r="22" spans="5:30" x14ac:dyDescent="0.25">
      <c r="E22">
        <f t="shared" si="1"/>
        <v>8</v>
      </c>
      <c r="F22" s="2">
        <v>5.33E-2</v>
      </c>
      <c r="G22" s="1">
        <f t="shared" si="2"/>
        <v>505329.64863797848</v>
      </c>
      <c r="H22" s="1">
        <f t="shared" si="3"/>
        <v>118958.81036978545</v>
      </c>
      <c r="I22" s="1">
        <f t="shared" si="4"/>
        <v>624288.45900776389</v>
      </c>
      <c r="J22" s="1">
        <f t="shared" si="5"/>
        <v>26277141.729174878</v>
      </c>
      <c r="L22">
        <f t="shared" si="6"/>
        <v>8</v>
      </c>
      <c r="M22" s="2">
        <v>4.2500000000000003E-2</v>
      </c>
      <c r="N22" s="1">
        <f t="shared" si="0"/>
        <v>1026957.6379974331</v>
      </c>
      <c r="O22" s="1">
        <f t="shared" si="7"/>
        <v>847454.00085579848</v>
      </c>
      <c r="P22" s="1">
        <f t="shared" si="8"/>
        <v>1874411.6388532314</v>
      </c>
      <c r="Q22" s="1">
        <f t="shared" si="9"/>
        <v>238254172.01540449</v>
      </c>
      <c r="S22" s="16"/>
      <c r="Z22" s="1"/>
      <c r="AA22" s="1"/>
      <c r="AB22" s="1"/>
      <c r="AC22" s="1">
        <f>U29</f>
        <v>10714285.714285715</v>
      </c>
      <c r="AD22" s="1">
        <f>U17</f>
        <v>75082383.337912872</v>
      </c>
    </row>
    <row r="23" spans="5:30" x14ac:dyDescent="0.25">
      <c r="E23">
        <f t="shared" si="1"/>
        <v>9</v>
      </c>
      <c r="F23" s="2">
        <v>5.33E-2</v>
      </c>
      <c r="G23" s="1">
        <f t="shared" si="2"/>
        <v>505329.64863797842</v>
      </c>
      <c r="H23" s="1">
        <f t="shared" si="3"/>
        <v>116714.30451375175</v>
      </c>
      <c r="I23" s="1">
        <f t="shared" si="4"/>
        <v>622043.95315173012</v>
      </c>
      <c r="J23" s="1">
        <f t="shared" si="5"/>
        <v>25771812.080536898</v>
      </c>
      <c r="L23">
        <f t="shared" si="6"/>
        <v>9</v>
      </c>
      <c r="M23" s="2">
        <v>4.2500000000000003E-2</v>
      </c>
      <c r="N23" s="1">
        <f t="shared" si="0"/>
        <v>1026957.6379974332</v>
      </c>
      <c r="O23" s="1">
        <f t="shared" si="7"/>
        <v>843816.85922122432</v>
      </c>
      <c r="P23" s="1">
        <f t="shared" si="8"/>
        <v>1870774.4972186575</v>
      </c>
      <c r="Q23" s="1">
        <f t="shared" si="9"/>
        <v>237227214.37740707</v>
      </c>
      <c r="S23" s="16">
        <v>7</v>
      </c>
      <c r="T23" t="s">
        <v>45</v>
      </c>
      <c r="U23" s="5">
        <f>12%</f>
        <v>0.12</v>
      </c>
      <c r="W23">
        <v>7</v>
      </c>
      <c r="X23">
        <v>1</v>
      </c>
      <c r="Y23" s="3">
        <f>HLOOKUP(W23,$S$23:$U$214,1+((W23-$S$11-1)*12))</f>
        <v>0.12</v>
      </c>
      <c r="Z23" s="1">
        <f>AC22/(HLOOKUP(W23,$S$23:$U$214,3+((W23-$S$11-1)*12))+1-X23)</f>
        <v>892857.14285714284</v>
      </c>
      <c r="AA23" s="1">
        <f>AC22*(Y23/12)</f>
        <v>107142.85714285714</v>
      </c>
      <c r="AB23" s="1">
        <f>Z23+AA23</f>
        <v>1000000</v>
      </c>
      <c r="AC23" s="1">
        <f>IFERROR(IF(AC22-Z23&lt;1,HLOOKUP(W24,$S$23:$U$214,7+((W24-$S$11-1)*12)),AC22-Z23),0)</f>
        <v>9821428.5714285709</v>
      </c>
      <c r="AD23" s="1">
        <f>-FV($U$12,1,0,AD22+AC22-HLOOKUP(W23,$S$23:$U$214,9+((W23-$S$11-1)*12)),1)</f>
        <v>83970783.260727212</v>
      </c>
    </row>
    <row r="24" spans="5:30" x14ac:dyDescent="0.25">
      <c r="E24">
        <f t="shared" si="1"/>
        <v>10</v>
      </c>
      <c r="F24" s="2">
        <v>5.33E-2</v>
      </c>
      <c r="G24" s="1">
        <f t="shared" si="2"/>
        <v>505329.64863797842</v>
      </c>
      <c r="H24" s="1">
        <f t="shared" si="3"/>
        <v>114469.79865771806</v>
      </c>
      <c r="I24" s="1">
        <f t="shared" si="4"/>
        <v>619799.44729569647</v>
      </c>
      <c r="J24" s="1">
        <f t="shared" si="5"/>
        <v>25266482.431898918</v>
      </c>
      <c r="L24">
        <f t="shared" si="6"/>
        <v>10</v>
      </c>
      <c r="M24" s="2">
        <v>4.2500000000000003E-2</v>
      </c>
      <c r="N24" s="1">
        <f t="shared" si="0"/>
        <v>1026957.6379974332</v>
      </c>
      <c r="O24" s="1">
        <f t="shared" si="7"/>
        <v>840179.71758665016</v>
      </c>
      <c r="P24" s="1">
        <f t="shared" si="8"/>
        <v>1867137.3555840834</v>
      </c>
      <c r="Q24" s="1">
        <f t="shared" si="9"/>
        <v>236200256.73940966</v>
      </c>
      <c r="S24" s="16"/>
      <c r="T24" t="s">
        <v>43</v>
      </c>
      <c r="U24">
        <f>U25/12</f>
        <v>1</v>
      </c>
      <c r="W24">
        <f>W23</f>
        <v>7</v>
      </c>
      <c r="X24">
        <v>2</v>
      </c>
      <c r="Y24" s="3">
        <f t="shared" ref="Y24:Y87" si="10">HLOOKUP(W24,$S$23:$U$214,1+((W24-$S$11-1)*12))</f>
        <v>0.12</v>
      </c>
      <c r="Z24" s="1">
        <f t="shared" ref="Z24:Z35" si="11">AC23/(HLOOKUP(W24,$S$23:$U$214,3+((W24-$S$11-1)*12))+1-X24)</f>
        <v>892857.14285714284</v>
      </c>
      <c r="AA24" s="1">
        <f t="shared" ref="AA24:AA35" si="12">AC23*(Y24/12)</f>
        <v>98214.28571428571</v>
      </c>
      <c r="AB24" s="1">
        <f t="shared" ref="AB24:AB35" si="13">Z24+AA24</f>
        <v>991071.42857142852</v>
      </c>
      <c r="AC24" s="1">
        <f t="shared" ref="AC24:AC35" si="14">IFERROR(IF(AC23-Z24&lt;1,HLOOKUP(W25,$S$23:$U$214,7+((W25-$S$11-1)*12)),AC23-Z24),0)</f>
        <v>8928571.4285714272</v>
      </c>
      <c r="AD24" s="1">
        <f>-FV($U$12,1,0,AD23,1)</f>
        <v>84288092.001419619</v>
      </c>
    </row>
    <row r="25" spans="5:30" x14ac:dyDescent="0.25">
      <c r="E25">
        <f t="shared" si="1"/>
        <v>11</v>
      </c>
      <c r="F25" s="2">
        <v>5.33E-2</v>
      </c>
      <c r="G25" s="1">
        <f t="shared" si="2"/>
        <v>505329.64863797836</v>
      </c>
      <c r="H25" s="1">
        <f t="shared" si="3"/>
        <v>112225.29280168437</v>
      </c>
      <c r="I25" s="1">
        <f t="shared" si="4"/>
        <v>617554.94143966271</v>
      </c>
      <c r="J25" s="1">
        <f t="shared" si="5"/>
        <v>24761152.783260942</v>
      </c>
      <c r="L25">
        <f t="shared" si="6"/>
        <v>11</v>
      </c>
      <c r="M25" s="2">
        <v>4.2500000000000003E-2</v>
      </c>
      <c r="N25" s="1">
        <f t="shared" si="0"/>
        <v>1026957.6379974333</v>
      </c>
      <c r="O25" s="1">
        <f t="shared" si="7"/>
        <v>836542.57595207589</v>
      </c>
      <c r="P25" s="1">
        <f t="shared" si="8"/>
        <v>1863500.2139495092</v>
      </c>
      <c r="Q25" s="1">
        <f t="shared" si="9"/>
        <v>235173299.10141224</v>
      </c>
      <c r="S25" s="16"/>
      <c r="T25" t="s">
        <v>44</v>
      </c>
      <c r="U25">
        <f>12</f>
        <v>12</v>
      </c>
      <c r="W25">
        <f t="shared" ref="W25:W34" si="15">W24</f>
        <v>7</v>
      </c>
      <c r="X25">
        <v>3</v>
      </c>
      <c r="Y25" s="3">
        <f t="shared" si="10"/>
        <v>0.12</v>
      </c>
      <c r="Z25" s="1">
        <f t="shared" si="11"/>
        <v>892857.14285714272</v>
      </c>
      <c r="AA25" s="1">
        <f t="shared" si="12"/>
        <v>89285.714285714275</v>
      </c>
      <c r="AB25" s="1">
        <f t="shared" si="13"/>
        <v>982142.85714285704</v>
      </c>
      <c r="AC25" s="1">
        <f t="shared" si="14"/>
        <v>8035714.2857142845</v>
      </c>
      <c r="AD25" s="1">
        <f t="shared" ref="AD25:AD28" si="16">-FV($U$12,1,0,AD24,1)</f>
        <v>84606599.788173169</v>
      </c>
    </row>
    <row r="26" spans="5:30" x14ac:dyDescent="0.25">
      <c r="E26">
        <f t="shared" si="1"/>
        <v>12</v>
      </c>
      <c r="F26" s="2">
        <v>5.33E-2</v>
      </c>
      <c r="G26" s="1">
        <f t="shared" si="2"/>
        <v>505329.64863797842</v>
      </c>
      <c r="H26" s="1">
        <f t="shared" si="3"/>
        <v>109980.78694565069</v>
      </c>
      <c r="I26" s="1">
        <f t="shared" si="4"/>
        <v>615310.43558362906</v>
      </c>
      <c r="J26" s="1">
        <f t="shared" si="5"/>
        <v>24255823.134622961</v>
      </c>
      <c r="L26">
        <f t="shared" si="6"/>
        <v>12</v>
      </c>
      <c r="M26" s="2">
        <v>4.2500000000000003E-2</v>
      </c>
      <c r="N26" s="1">
        <f t="shared" si="0"/>
        <v>1026957.6379974333</v>
      </c>
      <c r="O26" s="1">
        <f t="shared" si="7"/>
        <v>832905.43431750173</v>
      </c>
      <c r="P26" s="1">
        <f t="shared" si="8"/>
        <v>1859863.072314935</v>
      </c>
      <c r="Q26" s="1">
        <f t="shared" si="9"/>
        <v>234146341.46341482</v>
      </c>
      <c r="S26" s="16"/>
      <c r="W26">
        <f t="shared" si="15"/>
        <v>7</v>
      </c>
      <c r="X26">
        <v>4</v>
      </c>
      <c r="Y26" s="3">
        <f t="shared" si="10"/>
        <v>0.12</v>
      </c>
      <c r="Z26" s="1">
        <f t="shared" si="11"/>
        <v>892857.14285714272</v>
      </c>
      <c r="AA26" s="1">
        <f t="shared" si="12"/>
        <v>80357.142857142841</v>
      </c>
      <c r="AB26" s="1">
        <f t="shared" si="13"/>
        <v>973214.28571428556</v>
      </c>
      <c r="AC26" s="1">
        <f t="shared" si="14"/>
        <v>7142857.1428571418</v>
      </c>
      <c r="AD26" s="1">
        <f t="shared" si="16"/>
        <v>84926311.151942328</v>
      </c>
    </row>
    <row r="27" spans="5:30" x14ac:dyDescent="0.25">
      <c r="E27">
        <f t="shared" si="1"/>
        <v>13</v>
      </c>
      <c r="F27" s="2">
        <v>5.33E-2</v>
      </c>
      <c r="G27" s="1">
        <f t="shared" si="2"/>
        <v>505329.64863797836</v>
      </c>
      <c r="H27" s="1">
        <f t="shared" si="3"/>
        <v>107736.28108961698</v>
      </c>
      <c r="I27" s="1">
        <f t="shared" si="4"/>
        <v>613065.9297275953</v>
      </c>
      <c r="J27" s="1">
        <f t="shared" si="5"/>
        <v>23750493.485984981</v>
      </c>
      <c r="L27">
        <f t="shared" si="6"/>
        <v>13</v>
      </c>
      <c r="M27" s="2">
        <v>4.2500000000000003E-2</v>
      </c>
      <c r="N27" s="1">
        <f t="shared" si="0"/>
        <v>1026957.6379974334</v>
      </c>
      <c r="O27" s="1">
        <f t="shared" si="7"/>
        <v>829268.29268292757</v>
      </c>
      <c r="P27" s="1">
        <f t="shared" si="8"/>
        <v>1856225.9306803611</v>
      </c>
      <c r="Q27" s="1">
        <f t="shared" si="9"/>
        <v>233119383.8254174</v>
      </c>
      <c r="S27" s="16"/>
      <c r="T27" t="s">
        <v>35</v>
      </c>
      <c r="U27" s="1">
        <f>U16</f>
        <v>1000000</v>
      </c>
      <c r="W27">
        <f t="shared" si="15"/>
        <v>7</v>
      </c>
      <c r="X27">
        <v>5</v>
      </c>
      <c r="Y27" s="3">
        <f t="shared" si="10"/>
        <v>0.12</v>
      </c>
      <c r="Z27" s="1">
        <f t="shared" si="11"/>
        <v>892857.14285714272</v>
      </c>
      <c r="AA27" s="1">
        <f t="shared" si="12"/>
        <v>71428.57142857142</v>
      </c>
      <c r="AB27" s="1">
        <f t="shared" si="13"/>
        <v>964285.71428571409</v>
      </c>
      <c r="AC27" s="1">
        <f t="shared" si="14"/>
        <v>6249999.9999999991</v>
      </c>
      <c r="AD27" s="1">
        <f t="shared" si="16"/>
        <v>85247230.640803143</v>
      </c>
    </row>
    <row r="28" spans="5:30" x14ac:dyDescent="0.25">
      <c r="E28">
        <f t="shared" si="1"/>
        <v>14</v>
      </c>
      <c r="F28" s="2">
        <v>5.33E-2</v>
      </c>
      <c r="G28" s="1">
        <f t="shared" si="2"/>
        <v>505329.6486379783</v>
      </c>
      <c r="H28" s="1">
        <f t="shared" si="3"/>
        <v>105491.77523358329</v>
      </c>
      <c r="I28" s="1">
        <f t="shared" si="4"/>
        <v>610821.42387156165</v>
      </c>
      <c r="J28" s="1">
        <f t="shared" si="5"/>
        <v>23245163.837347005</v>
      </c>
      <c r="L28">
        <f t="shared" si="6"/>
        <v>14</v>
      </c>
      <c r="M28" s="2">
        <v>4.2500000000000003E-2</v>
      </c>
      <c r="N28" s="1">
        <f t="shared" si="0"/>
        <v>1026957.6379974334</v>
      </c>
      <c r="O28" s="1">
        <f t="shared" si="7"/>
        <v>825631.15104835329</v>
      </c>
      <c r="P28" s="1">
        <f t="shared" si="8"/>
        <v>1852588.7890457867</v>
      </c>
      <c r="Q28" s="1">
        <f t="shared" si="9"/>
        <v>232092426.18741998</v>
      </c>
      <c r="S28" s="16"/>
      <c r="W28">
        <f t="shared" si="15"/>
        <v>7</v>
      </c>
      <c r="X28">
        <v>6</v>
      </c>
      <c r="Y28" s="3">
        <f t="shared" si="10"/>
        <v>0.12</v>
      </c>
      <c r="Z28" s="1">
        <f t="shared" si="11"/>
        <v>892857.14285714272</v>
      </c>
      <c r="AA28" s="1">
        <f t="shared" si="12"/>
        <v>62499.999999999993</v>
      </c>
      <c r="AB28" s="1">
        <f t="shared" si="13"/>
        <v>955357.14285714272</v>
      </c>
      <c r="AC28" s="1">
        <f t="shared" si="14"/>
        <v>5357142.8571428563</v>
      </c>
      <c r="AD28" s="1">
        <f t="shared" si="16"/>
        <v>85569362.820017904</v>
      </c>
    </row>
    <row r="29" spans="5:30" x14ac:dyDescent="0.25">
      <c r="E29">
        <f t="shared" si="1"/>
        <v>15</v>
      </c>
      <c r="F29" s="2">
        <v>5.33E-2</v>
      </c>
      <c r="G29" s="1">
        <f t="shared" si="2"/>
        <v>505329.64863797836</v>
      </c>
      <c r="H29" s="1">
        <f t="shared" si="3"/>
        <v>103247.26937754962</v>
      </c>
      <c r="I29" s="1">
        <f t="shared" si="4"/>
        <v>608576.918015528</v>
      </c>
      <c r="J29" s="1">
        <f t="shared" si="5"/>
        <v>22739834.188709028</v>
      </c>
      <c r="L29">
        <f t="shared" si="6"/>
        <v>15</v>
      </c>
      <c r="M29" s="2">
        <v>4.2500000000000003E-2</v>
      </c>
      <c r="N29" s="1">
        <f t="shared" si="0"/>
        <v>1026957.6379974335</v>
      </c>
      <c r="O29" s="1">
        <f t="shared" si="7"/>
        <v>821994.00941377913</v>
      </c>
      <c r="P29" s="1">
        <f t="shared" si="8"/>
        <v>1848951.6474112128</v>
      </c>
      <c r="Q29" s="1">
        <f t="shared" si="9"/>
        <v>231065468.54942256</v>
      </c>
      <c r="S29" s="16"/>
      <c r="T29" t="s">
        <v>15</v>
      </c>
      <c r="U29" s="1">
        <f>(12*U25*U27)/(12+U25*U23)</f>
        <v>10714285.714285715</v>
      </c>
      <c r="W29">
        <f t="shared" si="15"/>
        <v>7</v>
      </c>
      <c r="X29">
        <v>7</v>
      </c>
      <c r="Y29" s="3">
        <f t="shared" si="10"/>
        <v>0.12</v>
      </c>
      <c r="Z29" s="1">
        <f t="shared" si="11"/>
        <v>892857.14285714272</v>
      </c>
      <c r="AA29" s="1">
        <f t="shared" si="12"/>
        <v>53571.428571428565</v>
      </c>
      <c r="AB29" s="1">
        <f t="shared" si="13"/>
        <v>946428.57142857125</v>
      </c>
      <c r="AC29" s="1">
        <f t="shared" si="14"/>
        <v>4464285.7142857136</v>
      </c>
      <c r="AD29" s="1">
        <f>-FV($U$12,1,0,AD28-HLOOKUP(W29,$S$23:$U$214,9+((W29-$S$11-1)*12)),1)</f>
        <v>83742618.083905503</v>
      </c>
    </row>
    <row r="30" spans="5:30" x14ac:dyDescent="0.25">
      <c r="E30">
        <f t="shared" si="1"/>
        <v>16</v>
      </c>
      <c r="F30" s="2">
        <v>5.33E-2</v>
      </c>
      <c r="G30" s="1">
        <f t="shared" si="2"/>
        <v>505329.64863797842</v>
      </c>
      <c r="H30" s="1">
        <f t="shared" si="3"/>
        <v>101002.76352151594</v>
      </c>
      <c r="I30" s="1">
        <f t="shared" si="4"/>
        <v>606332.41215949436</v>
      </c>
      <c r="J30" s="1">
        <f t="shared" si="5"/>
        <v>22234504.540071048</v>
      </c>
      <c r="L30">
        <f t="shared" si="6"/>
        <v>16</v>
      </c>
      <c r="M30" s="2">
        <v>4.2500000000000003E-2</v>
      </c>
      <c r="N30" s="1">
        <f t="shared" si="0"/>
        <v>1026957.6379974337</v>
      </c>
      <c r="O30" s="1">
        <f t="shared" si="7"/>
        <v>818356.86777920497</v>
      </c>
      <c r="P30" s="1">
        <f t="shared" si="8"/>
        <v>1845314.5057766386</v>
      </c>
      <c r="Q30" s="1">
        <f t="shared" si="9"/>
        <v>230038510.91142511</v>
      </c>
      <c r="S30" s="16"/>
      <c r="W30">
        <f t="shared" si="15"/>
        <v>7</v>
      </c>
      <c r="X30">
        <v>8</v>
      </c>
      <c r="Y30" s="3">
        <f t="shared" si="10"/>
        <v>0.12</v>
      </c>
      <c r="Z30" s="1">
        <f t="shared" si="11"/>
        <v>892857.14285714272</v>
      </c>
      <c r="AA30" s="1">
        <f t="shared" si="12"/>
        <v>44642.857142857138</v>
      </c>
      <c r="AB30" s="1">
        <f t="shared" si="13"/>
        <v>937499.99999999988</v>
      </c>
      <c r="AC30" s="1">
        <f t="shared" si="14"/>
        <v>3571428.5714285709</v>
      </c>
      <c r="AD30" s="1">
        <f>-FV($U$12,1,0,AD29,1)</f>
        <v>84059064.634177431</v>
      </c>
    </row>
    <row r="31" spans="5:30" x14ac:dyDescent="0.25">
      <c r="E31">
        <f t="shared" si="1"/>
        <v>17</v>
      </c>
      <c r="F31" s="2">
        <v>5.33E-2</v>
      </c>
      <c r="G31" s="1">
        <f t="shared" si="2"/>
        <v>505329.64863797836</v>
      </c>
      <c r="H31" s="1">
        <f t="shared" si="3"/>
        <v>98758.257665482233</v>
      </c>
      <c r="I31" s="1">
        <f t="shared" si="4"/>
        <v>604087.90630346059</v>
      </c>
      <c r="J31" s="1">
        <f t="shared" si="5"/>
        <v>21729174.891433068</v>
      </c>
      <c r="L31">
        <f t="shared" si="6"/>
        <v>17</v>
      </c>
      <c r="M31" s="2">
        <v>4.2500000000000003E-2</v>
      </c>
      <c r="N31" s="1">
        <f t="shared" si="0"/>
        <v>1026957.6379974335</v>
      </c>
      <c r="O31" s="1">
        <f t="shared" si="7"/>
        <v>814719.72614463069</v>
      </c>
      <c r="P31" s="1">
        <f t="shared" si="8"/>
        <v>1841677.3641420642</v>
      </c>
      <c r="Q31" s="1">
        <f t="shared" si="9"/>
        <v>229011553.27342767</v>
      </c>
      <c r="S31" s="16"/>
      <c r="T31" t="s">
        <v>46</v>
      </c>
      <c r="U31" s="1">
        <f>ROUNDUP($T$4*1000*(1+$T$2)^(S23-$S$11),-3)*6</f>
        <v>2142000</v>
      </c>
      <c r="W31">
        <f t="shared" si="15"/>
        <v>7</v>
      </c>
      <c r="X31">
        <v>9</v>
      </c>
      <c r="Y31" s="3">
        <f t="shared" si="10"/>
        <v>0.12</v>
      </c>
      <c r="Z31" s="1">
        <f t="shared" si="11"/>
        <v>892857.14285714272</v>
      </c>
      <c r="AA31" s="1">
        <f t="shared" si="12"/>
        <v>35714.28571428571</v>
      </c>
      <c r="AB31" s="1">
        <f t="shared" si="13"/>
        <v>928571.42857142841</v>
      </c>
      <c r="AC31" s="1">
        <f t="shared" si="14"/>
        <v>2678571.4285714282</v>
      </c>
      <c r="AD31" s="1">
        <f t="shared" ref="AD31:AD34" si="17">-FV($U$12,1,0,AD30,1)</f>
        <v>84376706.972465917</v>
      </c>
    </row>
    <row r="32" spans="5:30" x14ac:dyDescent="0.25">
      <c r="E32">
        <f t="shared" si="1"/>
        <v>18</v>
      </c>
      <c r="F32" s="2">
        <v>5.33E-2</v>
      </c>
      <c r="G32" s="1">
        <f t="shared" si="2"/>
        <v>505329.6486379783</v>
      </c>
      <c r="H32" s="1">
        <f t="shared" si="3"/>
        <v>96513.751809448542</v>
      </c>
      <c r="I32" s="1">
        <f t="shared" si="4"/>
        <v>601843.40044742683</v>
      </c>
      <c r="J32" s="1">
        <f t="shared" si="5"/>
        <v>21223845.242795091</v>
      </c>
      <c r="L32">
        <f t="shared" si="6"/>
        <v>18</v>
      </c>
      <c r="M32" s="2">
        <v>4.2500000000000003E-2</v>
      </c>
      <c r="N32" s="1">
        <f t="shared" si="0"/>
        <v>1026957.6379974334</v>
      </c>
      <c r="O32" s="1">
        <f t="shared" si="7"/>
        <v>811082.58451005642</v>
      </c>
      <c r="P32" s="1">
        <f t="shared" si="8"/>
        <v>1838040.2225074898</v>
      </c>
      <c r="Q32" s="1">
        <f t="shared" si="9"/>
        <v>227984595.63543025</v>
      </c>
      <c r="S32" s="16"/>
      <c r="W32">
        <f t="shared" si="15"/>
        <v>7</v>
      </c>
      <c r="X32">
        <v>10</v>
      </c>
      <c r="Y32" s="3">
        <f t="shared" si="10"/>
        <v>0.12</v>
      </c>
      <c r="Z32" s="1">
        <f t="shared" si="11"/>
        <v>892857.14285714272</v>
      </c>
      <c r="AA32" s="1">
        <f t="shared" si="12"/>
        <v>26785.714285714283</v>
      </c>
      <c r="AB32" s="1">
        <f t="shared" si="13"/>
        <v>919642.85714285704</v>
      </c>
      <c r="AC32" s="1">
        <f t="shared" si="14"/>
        <v>1785714.2857142854</v>
      </c>
      <c r="AD32" s="1">
        <f t="shared" si="17"/>
        <v>84695549.617413923</v>
      </c>
    </row>
    <row r="33" spans="5:30" x14ac:dyDescent="0.25">
      <c r="E33">
        <f t="shared" si="1"/>
        <v>19</v>
      </c>
      <c r="F33" s="2">
        <v>5.33E-2</v>
      </c>
      <c r="G33" s="1">
        <f t="shared" si="2"/>
        <v>505329.64863797836</v>
      </c>
      <c r="H33" s="1">
        <f t="shared" si="3"/>
        <v>94269.245953414866</v>
      </c>
      <c r="I33" s="1">
        <f t="shared" si="4"/>
        <v>599598.89459139318</v>
      </c>
      <c r="J33" s="1">
        <f t="shared" si="5"/>
        <v>20718515.594157115</v>
      </c>
      <c r="L33">
        <f t="shared" si="6"/>
        <v>19</v>
      </c>
      <c r="M33" s="2">
        <v>4.2500000000000003E-2</v>
      </c>
      <c r="N33" s="1">
        <f t="shared" si="0"/>
        <v>1026957.6379974335</v>
      </c>
      <c r="O33" s="1">
        <f t="shared" si="7"/>
        <v>807445.44287548214</v>
      </c>
      <c r="P33" s="1">
        <f t="shared" si="8"/>
        <v>1834403.0808729157</v>
      </c>
      <c r="Q33" s="1">
        <f t="shared" si="9"/>
        <v>226957637.99743283</v>
      </c>
      <c r="S33" s="16"/>
      <c r="T33" t="s">
        <v>47</v>
      </c>
      <c r="U33" s="1">
        <f>U31*2</f>
        <v>4284000</v>
      </c>
      <c r="W33">
        <f t="shared" si="15"/>
        <v>7</v>
      </c>
      <c r="X33">
        <v>11</v>
      </c>
      <c r="Y33" s="3">
        <f t="shared" si="10"/>
        <v>0.12</v>
      </c>
      <c r="Z33" s="1">
        <f t="shared" si="11"/>
        <v>892857.14285714272</v>
      </c>
      <c r="AA33" s="1">
        <f t="shared" si="12"/>
        <v>17857.142857142855</v>
      </c>
      <c r="AB33" s="1">
        <f t="shared" si="13"/>
        <v>910714.28571428556</v>
      </c>
      <c r="AC33" s="1">
        <f t="shared" si="14"/>
        <v>892857.14285714272</v>
      </c>
      <c r="AD33" s="1">
        <f t="shared" si="17"/>
        <v>85015597.104739457</v>
      </c>
    </row>
    <row r="34" spans="5:30" x14ac:dyDescent="0.25">
      <c r="E34">
        <f t="shared" si="1"/>
        <v>20</v>
      </c>
      <c r="F34" s="2">
        <v>5.33E-2</v>
      </c>
      <c r="G34" s="1">
        <f t="shared" si="2"/>
        <v>505329.64863797842</v>
      </c>
      <c r="H34" s="1">
        <f t="shared" si="3"/>
        <v>92024.740097381189</v>
      </c>
      <c r="I34" s="1">
        <f t="shared" si="4"/>
        <v>597354.38873535965</v>
      </c>
      <c r="J34" s="1">
        <f t="shared" si="5"/>
        <v>20213185.945519134</v>
      </c>
      <c r="L34">
        <f t="shared" si="6"/>
        <v>20</v>
      </c>
      <c r="M34" s="2">
        <v>4.2500000000000003E-2</v>
      </c>
      <c r="N34" s="1">
        <f t="shared" si="0"/>
        <v>1026957.6379974337</v>
      </c>
      <c r="O34" s="1">
        <f t="shared" si="7"/>
        <v>803808.30124090798</v>
      </c>
      <c r="P34" s="1">
        <f t="shared" si="8"/>
        <v>1830765.9392383415</v>
      </c>
      <c r="Q34" s="1">
        <f t="shared" si="9"/>
        <v>225930680.35943538</v>
      </c>
      <c r="S34" s="16"/>
      <c r="W34">
        <f t="shared" si="15"/>
        <v>7</v>
      </c>
      <c r="X34">
        <v>12</v>
      </c>
      <c r="Y34" s="3">
        <f t="shared" si="10"/>
        <v>0.12</v>
      </c>
      <c r="Z34" s="1">
        <f t="shared" si="11"/>
        <v>892857.14285714272</v>
      </c>
      <c r="AA34" s="1">
        <f t="shared" si="12"/>
        <v>8928.5714285714275</v>
      </c>
      <c r="AB34" s="1">
        <f t="shared" si="13"/>
        <v>901785.7142857142</v>
      </c>
      <c r="AC34" s="1">
        <f t="shared" si="14"/>
        <v>10928571.428571429</v>
      </c>
      <c r="AD34" s="1">
        <f t="shared" si="17"/>
        <v>85336853.987300113</v>
      </c>
    </row>
    <row r="35" spans="5:30" x14ac:dyDescent="0.25">
      <c r="E35">
        <f t="shared" si="1"/>
        <v>21</v>
      </c>
      <c r="F35" s="2">
        <v>5.33E-2</v>
      </c>
      <c r="G35" s="1">
        <f t="shared" si="2"/>
        <v>505329.64863797836</v>
      </c>
      <c r="H35" s="1">
        <f t="shared" si="3"/>
        <v>89780.234241347483</v>
      </c>
      <c r="I35" s="1">
        <f t="shared" si="4"/>
        <v>595109.88287932589</v>
      </c>
      <c r="J35" s="1">
        <f t="shared" si="5"/>
        <v>19707856.296881154</v>
      </c>
      <c r="L35">
        <f t="shared" si="6"/>
        <v>21</v>
      </c>
      <c r="M35" s="2">
        <v>4.2500000000000003E-2</v>
      </c>
      <c r="N35" s="1">
        <f t="shared" si="0"/>
        <v>1026957.6379974335</v>
      </c>
      <c r="O35" s="1">
        <f t="shared" si="7"/>
        <v>800171.15960633371</v>
      </c>
      <c r="P35" s="1">
        <f t="shared" si="8"/>
        <v>1827128.7976037674</v>
      </c>
      <c r="Q35" s="1">
        <f t="shared" si="9"/>
        <v>224903722.72143793</v>
      </c>
      <c r="S35" s="16">
        <v>8</v>
      </c>
      <c r="T35" t="s">
        <v>45</v>
      </c>
      <c r="U35" s="5">
        <f>12%</f>
        <v>0.12</v>
      </c>
      <c r="W35">
        <f>W23+1</f>
        <v>8</v>
      </c>
      <c r="X35">
        <f>X23</f>
        <v>1</v>
      </c>
      <c r="Y35" s="3">
        <f t="shared" si="10"/>
        <v>0.12</v>
      </c>
      <c r="Z35" s="1">
        <f t="shared" si="11"/>
        <v>910714.2857142858</v>
      </c>
      <c r="AA35" s="1">
        <f t="shared" si="12"/>
        <v>109285.71428571429</v>
      </c>
      <c r="AB35" s="1">
        <f t="shared" si="13"/>
        <v>1020000.0000000001</v>
      </c>
      <c r="AC35" s="1">
        <f t="shared" si="14"/>
        <v>10017857.142857144</v>
      </c>
      <c r="AD35" s="1">
        <f t="shared" ref="AD35" si="18">-FV($U$12,1,0,AD34+AC34-HLOOKUP(W35,$S$23:$U$214,9+((W35-$S$11-1)*12)),1)</f>
        <v>94430917.571710154</v>
      </c>
    </row>
    <row r="36" spans="5:30" x14ac:dyDescent="0.25">
      <c r="E36">
        <f t="shared" si="1"/>
        <v>22</v>
      </c>
      <c r="F36" s="2">
        <v>5.33E-2</v>
      </c>
      <c r="G36" s="1">
        <f t="shared" si="2"/>
        <v>505329.6486379783</v>
      </c>
      <c r="H36" s="1">
        <f t="shared" si="3"/>
        <v>87535.728385313792</v>
      </c>
      <c r="I36" s="1">
        <f t="shared" si="4"/>
        <v>592865.37702329212</v>
      </c>
      <c r="J36" s="1">
        <f t="shared" si="5"/>
        <v>19202526.648243178</v>
      </c>
      <c r="L36">
        <f t="shared" si="6"/>
        <v>22</v>
      </c>
      <c r="M36" s="2">
        <v>4.2500000000000003E-2</v>
      </c>
      <c r="N36" s="1">
        <f t="shared" si="0"/>
        <v>1026957.6379974334</v>
      </c>
      <c r="O36" s="1">
        <f t="shared" si="7"/>
        <v>796534.01797175943</v>
      </c>
      <c r="P36" s="1">
        <f t="shared" si="8"/>
        <v>1823491.6559691927</v>
      </c>
      <c r="Q36" s="1">
        <f t="shared" si="9"/>
        <v>223876765.08344051</v>
      </c>
      <c r="S36" s="16"/>
      <c r="T36" t="s">
        <v>43</v>
      </c>
      <c r="U36">
        <f t="shared" ref="U36" si="19">U37/12</f>
        <v>1</v>
      </c>
      <c r="W36">
        <f>W35</f>
        <v>8</v>
      </c>
      <c r="X36">
        <f t="shared" ref="X36:X99" si="20">X24</f>
        <v>2</v>
      </c>
      <c r="Y36" s="3">
        <f t="shared" si="10"/>
        <v>0.12</v>
      </c>
      <c r="Z36" s="1">
        <f t="shared" ref="Z36:Z47" si="21">AC35/(HLOOKUP(W36,$S$23:$U$214,3+((W36-$S$11-1)*12))+1-X36)</f>
        <v>910714.2857142858</v>
      </c>
      <c r="AA36" s="1">
        <f t="shared" ref="AA36:AA47" si="22">AC35*(Y36/12)</f>
        <v>100178.57142857143</v>
      </c>
      <c r="AB36" s="1">
        <f t="shared" ref="AB36:AB47" si="23">Z36+AA36</f>
        <v>1010892.8571428573</v>
      </c>
      <c r="AC36" s="1">
        <f t="shared" ref="AC36:AC47" si="24">IFERROR(IF(AC35-Z36&lt;1,HLOOKUP(W37,$S$23:$U$214,7+((W37-$S$11-1)*12)),AC35-Z36),0)</f>
        <v>9107142.8571428582</v>
      </c>
      <c r="AD36" s="1">
        <f t="shared" ref="AD36:AD99" si="25">-FV($U$12,1,0,AD35,1)</f>
        <v>94787753.061074004</v>
      </c>
    </row>
    <row r="37" spans="5:30" x14ac:dyDescent="0.25">
      <c r="E37">
        <f t="shared" si="1"/>
        <v>23</v>
      </c>
      <c r="F37" s="2">
        <v>5.33E-2</v>
      </c>
      <c r="G37" s="1">
        <f t="shared" si="2"/>
        <v>505329.64863797836</v>
      </c>
      <c r="H37" s="1">
        <f t="shared" si="3"/>
        <v>85291.222529280116</v>
      </c>
      <c r="I37" s="1">
        <f t="shared" si="4"/>
        <v>590620.87116725848</v>
      </c>
      <c r="J37" s="1">
        <f t="shared" si="5"/>
        <v>18697196.999605201</v>
      </c>
      <c r="L37">
        <f t="shared" si="6"/>
        <v>23</v>
      </c>
      <c r="M37" s="2">
        <v>4.2500000000000003E-2</v>
      </c>
      <c r="N37" s="1">
        <f t="shared" si="0"/>
        <v>1026957.6379974335</v>
      </c>
      <c r="O37" s="1">
        <f t="shared" si="7"/>
        <v>792896.87633718515</v>
      </c>
      <c r="P37" s="1">
        <f t="shared" si="8"/>
        <v>1819854.5143346186</v>
      </c>
      <c r="Q37" s="1">
        <f t="shared" si="9"/>
        <v>222849807.44544309</v>
      </c>
      <c r="S37" s="16"/>
      <c r="T37" t="s">
        <v>44</v>
      </c>
      <c r="U37">
        <f>12</f>
        <v>12</v>
      </c>
      <c r="W37">
        <f t="shared" ref="W37:W46" si="26">W36</f>
        <v>8</v>
      </c>
      <c r="X37">
        <f t="shared" si="20"/>
        <v>3</v>
      </c>
      <c r="Y37" s="3">
        <f t="shared" si="10"/>
        <v>0.12</v>
      </c>
      <c r="Z37" s="1">
        <f t="shared" si="21"/>
        <v>910714.2857142858</v>
      </c>
      <c r="AA37" s="1">
        <f t="shared" si="22"/>
        <v>91071.42857142858</v>
      </c>
      <c r="AB37" s="1">
        <f t="shared" si="23"/>
        <v>1001785.7142857143</v>
      </c>
      <c r="AC37" s="1">
        <f t="shared" si="24"/>
        <v>8196428.5714285728</v>
      </c>
      <c r="AD37" s="1">
        <f t="shared" si="25"/>
        <v>95145936.960150942</v>
      </c>
    </row>
    <row r="38" spans="5:30" x14ac:dyDescent="0.25">
      <c r="E38">
        <f t="shared" si="1"/>
        <v>24</v>
      </c>
      <c r="F38" s="2">
        <v>5.33E-2</v>
      </c>
      <c r="G38" s="1">
        <f t="shared" si="2"/>
        <v>505329.64863797842</v>
      </c>
      <c r="H38" s="1">
        <f t="shared" si="3"/>
        <v>83046.716673246439</v>
      </c>
      <c r="I38" s="1">
        <f t="shared" si="4"/>
        <v>588376.36531122483</v>
      </c>
      <c r="J38" s="1">
        <f t="shared" si="5"/>
        <v>18191867.350967221</v>
      </c>
      <c r="L38">
        <f t="shared" si="6"/>
        <v>24</v>
      </c>
      <c r="M38" s="2">
        <v>4.2500000000000003E-2</v>
      </c>
      <c r="N38" s="1">
        <f t="shared" si="0"/>
        <v>1026957.6379974337</v>
      </c>
      <c r="O38" s="1">
        <f t="shared" si="7"/>
        <v>789259.73470261099</v>
      </c>
      <c r="P38" s="1">
        <f t="shared" si="8"/>
        <v>1816217.3727000447</v>
      </c>
      <c r="Q38" s="1">
        <f t="shared" si="9"/>
        <v>221822849.80744565</v>
      </c>
      <c r="S38" s="16"/>
      <c r="W38">
        <f t="shared" si="26"/>
        <v>8</v>
      </c>
      <c r="X38">
        <f t="shared" si="20"/>
        <v>4</v>
      </c>
      <c r="Y38" s="3">
        <f t="shared" si="10"/>
        <v>0.12</v>
      </c>
      <c r="Z38" s="1">
        <f t="shared" si="21"/>
        <v>910714.28571428591</v>
      </c>
      <c r="AA38" s="1">
        <f t="shared" si="22"/>
        <v>81964.285714285725</v>
      </c>
      <c r="AB38" s="1">
        <f t="shared" si="23"/>
        <v>992678.57142857159</v>
      </c>
      <c r="AC38" s="1">
        <f t="shared" si="24"/>
        <v>7285714.2857142873</v>
      </c>
      <c r="AD38" s="1">
        <f t="shared" si="25"/>
        <v>95505474.364310712</v>
      </c>
    </row>
    <row r="39" spans="5:30" x14ac:dyDescent="0.25">
      <c r="E39">
        <f t="shared" si="1"/>
        <v>25</v>
      </c>
      <c r="F39" s="2">
        <v>5.33E-2</v>
      </c>
      <c r="G39" s="1">
        <f t="shared" si="2"/>
        <v>505329.64863797836</v>
      </c>
      <c r="H39" s="1">
        <f t="shared" si="3"/>
        <v>80802.210817212734</v>
      </c>
      <c r="I39" s="1">
        <f t="shared" si="4"/>
        <v>586131.85945519106</v>
      </c>
      <c r="J39" s="1">
        <f t="shared" si="5"/>
        <v>17686537.702329241</v>
      </c>
      <c r="L39">
        <f t="shared" si="6"/>
        <v>25</v>
      </c>
      <c r="M39" s="2">
        <v>4.2500000000000003E-2</v>
      </c>
      <c r="N39" s="1">
        <f t="shared" si="0"/>
        <v>1026957.6379974335</v>
      </c>
      <c r="O39" s="1">
        <f t="shared" si="7"/>
        <v>785622.59306803672</v>
      </c>
      <c r="P39" s="1">
        <f t="shared" si="8"/>
        <v>1812580.2310654703</v>
      </c>
      <c r="Q39" s="1">
        <f t="shared" si="9"/>
        <v>220795892.1694482</v>
      </c>
      <c r="S39" s="16"/>
      <c r="T39" t="s">
        <v>35</v>
      </c>
      <c r="U39" s="1">
        <f>ROUNDUP(U27*(1+$T$2),-3)</f>
        <v>1020000</v>
      </c>
      <c r="W39">
        <f t="shared" si="26"/>
        <v>8</v>
      </c>
      <c r="X39">
        <f t="shared" si="20"/>
        <v>5</v>
      </c>
      <c r="Y39" s="3">
        <f t="shared" si="10"/>
        <v>0.12</v>
      </c>
      <c r="Z39" s="1">
        <f t="shared" si="21"/>
        <v>910714.28571428591</v>
      </c>
      <c r="AA39" s="1">
        <f t="shared" si="22"/>
        <v>72857.14285714287</v>
      </c>
      <c r="AB39" s="1">
        <f t="shared" si="23"/>
        <v>983571.42857142875</v>
      </c>
      <c r="AC39" s="1">
        <f t="shared" si="24"/>
        <v>6375000.0000000019</v>
      </c>
      <c r="AD39" s="1">
        <f t="shared" si="25"/>
        <v>95866370.388177425</v>
      </c>
    </row>
    <row r="40" spans="5:30" x14ac:dyDescent="0.25">
      <c r="E40">
        <f t="shared" si="1"/>
        <v>26</v>
      </c>
      <c r="F40" s="2">
        <v>5.33E-2</v>
      </c>
      <c r="G40" s="1">
        <f t="shared" si="2"/>
        <v>505329.6486379783</v>
      </c>
      <c r="H40" s="1">
        <f t="shared" si="3"/>
        <v>78557.704961179043</v>
      </c>
      <c r="I40" s="1">
        <f t="shared" si="4"/>
        <v>583887.3535991573</v>
      </c>
      <c r="J40" s="1">
        <f t="shared" si="5"/>
        <v>17181208.053691264</v>
      </c>
      <c r="L40">
        <f t="shared" si="6"/>
        <v>26</v>
      </c>
      <c r="M40" s="2">
        <v>4.2500000000000003E-2</v>
      </c>
      <c r="N40" s="1">
        <f t="shared" si="0"/>
        <v>1026957.6379974334</v>
      </c>
      <c r="O40" s="1">
        <f t="shared" si="7"/>
        <v>781985.45143346244</v>
      </c>
      <c r="P40" s="1">
        <f t="shared" si="8"/>
        <v>1808943.0894308959</v>
      </c>
      <c r="Q40" s="1">
        <f t="shared" si="9"/>
        <v>219768934.53145078</v>
      </c>
      <c r="S40" s="16"/>
      <c r="W40">
        <f t="shared" si="26"/>
        <v>8</v>
      </c>
      <c r="X40">
        <f t="shared" si="20"/>
        <v>6</v>
      </c>
      <c r="Y40" s="3">
        <f t="shared" si="10"/>
        <v>0.12</v>
      </c>
      <c r="Z40" s="1">
        <f t="shared" si="21"/>
        <v>910714.28571428603</v>
      </c>
      <c r="AA40" s="1">
        <f t="shared" si="22"/>
        <v>63750.000000000022</v>
      </c>
      <c r="AB40" s="1">
        <f t="shared" si="23"/>
        <v>974464.28571428603</v>
      </c>
      <c r="AC40" s="1">
        <f t="shared" si="24"/>
        <v>5464285.7142857155</v>
      </c>
      <c r="AD40" s="1">
        <f t="shared" si="25"/>
        <v>96228630.165702343</v>
      </c>
    </row>
    <row r="41" spans="5:30" x14ac:dyDescent="0.25">
      <c r="E41">
        <f t="shared" si="1"/>
        <v>27</v>
      </c>
      <c r="F41" s="2">
        <v>5.33E-2</v>
      </c>
      <c r="G41" s="1">
        <f t="shared" si="2"/>
        <v>505329.64863797836</v>
      </c>
      <c r="H41" s="1">
        <f t="shared" si="3"/>
        <v>76313.199105145366</v>
      </c>
      <c r="I41" s="1">
        <f t="shared" si="4"/>
        <v>581642.84774312377</v>
      </c>
      <c r="J41" s="1">
        <f t="shared" si="5"/>
        <v>16675878.405053286</v>
      </c>
      <c r="L41">
        <f t="shared" si="6"/>
        <v>27</v>
      </c>
      <c r="M41" s="2">
        <v>4.2500000000000003E-2</v>
      </c>
      <c r="N41" s="1">
        <f t="shared" si="0"/>
        <v>1026957.6379974335</v>
      </c>
      <c r="O41" s="1">
        <f t="shared" si="7"/>
        <v>778348.30979888828</v>
      </c>
      <c r="P41" s="1">
        <f t="shared" si="8"/>
        <v>1805305.9477963219</v>
      </c>
      <c r="Q41" s="1">
        <f t="shared" si="9"/>
        <v>218741976.89345336</v>
      </c>
      <c r="S41" s="16"/>
      <c r="T41" t="s">
        <v>15</v>
      </c>
      <c r="U41" s="1">
        <f t="shared" ref="U41" si="27">(12*U37*U39)/(12+U37*U35)</f>
        <v>10928571.428571429</v>
      </c>
      <c r="W41">
        <f t="shared" si="26"/>
        <v>8</v>
      </c>
      <c r="X41">
        <f t="shared" si="20"/>
        <v>7</v>
      </c>
      <c r="Y41" s="3">
        <f t="shared" si="10"/>
        <v>0.12</v>
      </c>
      <c r="Z41" s="1">
        <f t="shared" si="21"/>
        <v>910714.28571428591</v>
      </c>
      <c r="AA41" s="1">
        <f t="shared" si="22"/>
        <v>54642.857142857159</v>
      </c>
      <c r="AB41" s="1">
        <f t="shared" si="23"/>
        <v>965357.14285714307</v>
      </c>
      <c r="AC41" s="1">
        <f t="shared" si="24"/>
        <v>4553571.4285714291</v>
      </c>
      <c r="AD41" s="1">
        <f t="shared" ref="AD41" si="28">-FV($U$12,1,0,AD40-HLOOKUP(W41,$S$23:$U$214,9+((W41-$S$11-1)*12)),1)</f>
        <v>94393983.279673755</v>
      </c>
    </row>
    <row r="42" spans="5:30" x14ac:dyDescent="0.25">
      <c r="E42">
        <f t="shared" si="1"/>
        <v>28</v>
      </c>
      <c r="F42" s="2">
        <v>5.33E-2</v>
      </c>
      <c r="G42" s="1">
        <f t="shared" si="2"/>
        <v>505329.64863797836</v>
      </c>
      <c r="H42" s="1">
        <f t="shared" si="3"/>
        <v>74068.693249111675</v>
      </c>
      <c r="I42" s="1">
        <f t="shared" si="4"/>
        <v>579398.34188709001</v>
      </c>
      <c r="J42" s="1">
        <f t="shared" si="5"/>
        <v>16170548.756415308</v>
      </c>
      <c r="L42">
        <f t="shared" si="6"/>
        <v>28</v>
      </c>
      <c r="M42" s="2">
        <v>4.2500000000000003E-2</v>
      </c>
      <c r="N42" s="1">
        <f t="shared" si="0"/>
        <v>1026957.6379974337</v>
      </c>
      <c r="O42" s="1">
        <f t="shared" si="7"/>
        <v>774711.168164314</v>
      </c>
      <c r="P42" s="1">
        <f t="shared" si="8"/>
        <v>1801668.8061617478</v>
      </c>
      <c r="Q42" s="1">
        <f t="shared" si="9"/>
        <v>217715019.25545591</v>
      </c>
      <c r="S42" s="16"/>
      <c r="W42">
        <f t="shared" si="26"/>
        <v>8</v>
      </c>
      <c r="X42">
        <f t="shared" si="20"/>
        <v>8</v>
      </c>
      <c r="Y42" s="3">
        <f t="shared" si="10"/>
        <v>0.12</v>
      </c>
      <c r="Z42" s="1">
        <f t="shared" si="21"/>
        <v>910714.2857142858</v>
      </c>
      <c r="AA42" s="1">
        <f t="shared" si="22"/>
        <v>45535.71428571429</v>
      </c>
      <c r="AB42" s="1">
        <f t="shared" si="23"/>
        <v>956250.00000000012</v>
      </c>
      <c r="AC42" s="1">
        <f t="shared" si="24"/>
        <v>3642857.1428571432</v>
      </c>
      <c r="AD42" s="1">
        <f t="shared" ref="AD42:AD105" si="29">-FV($U$12,1,0,AD41,1)</f>
        <v>94750679.2017591</v>
      </c>
    </row>
    <row r="43" spans="5:30" x14ac:dyDescent="0.25">
      <c r="E43">
        <f t="shared" si="1"/>
        <v>29</v>
      </c>
      <c r="F43" s="2">
        <v>5.33E-2</v>
      </c>
      <c r="G43" s="1">
        <f t="shared" si="2"/>
        <v>505329.64863797836</v>
      </c>
      <c r="H43" s="1">
        <f t="shared" si="3"/>
        <v>71824.187393077984</v>
      </c>
      <c r="I43" s="1">
        <f t="shared" si="4"/>
        <v>577153.83603105636</v>
      </c>
      <c r="J43" s="1">
        <f t="shared" si="5"/>
        <v>15665219.107777329</v>
      </c>
      <c r="L43">
        <f t="shared" si="6"/>
        <v>29</v>
      </c>
      <c r="M43" s="2">
        <v>4.2500000000000003E-2</v>
      </c>
      <c r="N43" s="1">
        <f t="shared" si="0"/>
        <v>1026957.6379974335</v>
      </c>
      <c r="O43" s="1">
        <f t="shared" si="7"/>
        <v>771074.02652973973</v>
      </c>
      <c r="P43" s="1">
        <f t="shared" si="8"/>
        <v>1798031.6645271732</v>
      </c>
      <c r="Q43" s="1">
        <f t="shared" si="9"/>
        <v>216688061.61745846</v>
      </c>
      <c r="S43" s="16"/>
      <c r="T43" t="s">
        <v>46</v>
      </c>
      <c r="U43" s="1">
        <f>ROUNDUP($T$4*1000*(1+$T$2)^(S35-$S$11),-3)*6</f>
        <v>2190000</v>
      </c>
      <c r="W43">
        <f t="shared" si="26"/>
        <v>8</v>
      </c>
      <c r="X43">
        <f t="shared" si="20"/>
        <v>9</v>
      </c>
      <c r="Y43" s="3">
        <f t="shared" si="10"/>
        <v>0.12</v>
      </c>
      <c r="Z43" s="1">
        <f t="shared" si="21"/>
        <v>910714.2857142858</v>
      </c>
      <c r="AA43" s="1">
        <f t="shared" si="22"/>
        <v>36428.571428571435</v>
      </c>
      <c r="AB43" s="1">
        <f t="shared" si="23"/>
        <v>947142.85714285728</v>
      </c>
      <c r="AC43" s="1">
        <f t="shared" si="24"/>
        <v>2732142.8571428573</v>
      </c>
      <c r="AD43" s="1">
        <f t="shared" si="29"/>
        <v>95108723.006160796</v>
      </c>
    </row>
    <row r="44" spans="5:30" x14ac:dyDescent="0.25">
      <c r="E44">
        <f t="shared" si="1"/>
        <v>30</v>
      </c>
      <c r="F44" s="2">
        <v>5.33E-2</v>
      </c>
      <c r="G44" s="1">
        <f t="shared" si="2"/>
        <v>505329.64863797836</v>
      </c>
      <c r="H44" s="1">
        <f t="shared" si="3"/>
        <v>69579.681537044307</v>
      </c>
      <c r="I44" s="1">
        <f t="shared" si="4"/>
        <v>574909.33017502271</v>
      </c>
      <c r="J44" s="1">
        <f t="shared" si="5"/>
        <v>15159889.459139351</v>
      </c>
      <c r="L44">
        <f t="shared" si="6"/>
        <v>30</v>
      </c>
      <c r="M44" s="2">
        <v>4.2500000000000003E-2</v>
      </c>
      <c r="N44" s="1">
        <f t="shared" si="0"/>
        <v>1026957.6379974334</v>
      </c>
      <c r="O44" s="1">
        <f t="shared" si="7"/>
        <v>767436.88489516545</v>
      </c>
      <c r="P44" s="1">
        <f t="shared" si="8"/>
        <v>1794394.522892599</v>
      </c>
      <c r="Q44" s="1">
        <f t="shared" si="9"/>
        <v>215661103.97946104</v>
      </c>
      <c r="S44" s="16"/>
      <c r="W44">
        <f t="shared" si="26"/>
        <v>8</v>
      </c>
      <c r="X44">
        <f t="shared" si="20"/>
        <v>10</v>
      </c>
      <c r="Y44" s="3">
        <f t="shared" si="10"/>
        <v>0.12</v>
      </c>
      <c r="Z44" s="1">
        <f t="shared" si="21"/>
        <v>910714.2857142858</v>
      </c>
      <c r="AA44" s="1">
        <f t="shared" si="22"/>
        <v>27321.428571428572</v>
      </c>
      <c r="AB44" s="1">
        <f t="shared" si="23"/>
        <v>938035.71428571432</v>
      </c>
      <c r="AC44" s="1">
        <f t="shared" si="24"/>
        <v>1821428.5714285714</v>
      </c>
      <c r="AD44" s="1">
        <f t="shared" si="29"/>
        <v>95468119.786255643</v>
      </c>
    </row>
    <row r="45" spans="5:30" x14ac:dyDescent="0.25">
      <c r="E45">
        <f t="shared" si="1"/>
        <v>31</v>
      </c>
      <c r="F45" s="2">
        <v>5.33E-2</v>
      </c>
      <c r="G45" s="1">
        <f t="shared" si="2"/>
        <v>505329.64863797836</v>
      </c>
      <c r="H45" s="1">
        <f t="shared" si="3"/>
        <v>67335.175681010616</v>
      </c>
      <c r="I45" s="1">
        <f t="shared" si="4"/>
        <v>572664.82431898895</v>
      </c>
      <c r="J45" s="1">
        <f t="shared" si="5"/>
        <v>14654559.810501372</v>
      </c>
      <c r="L45">
        <f t="shared" si="6"/>
        <v>31</v>
      </c>
      <c r="M45" s="2">
        <v>4.2500000000000003E-2</v>
      </c>
      <c r="N45" s="1">
        <f t="shared" si="0"/>
        <v>1026957.6379974335</v>
      </c>
      <c r="O45" s="1">
        <f t="shared" si="7"/>
        <v>763799.74326059129</v>
      </c>
      <c r="P45" s="1">
        <f t="shared" si="8"/>
        <v>1790757.3812580248</v>
      </c>
      <c r="Q45" s="1">
        <f t="shared" si="9"/>
        <v>214634146.34146363</v>
      </c>
      <c r="S45" s="16"/>
      <c r="T45" t="s">
        <v>47</v>
      </c>
      <c r="U45" s="1">
        <f t="shared" ref="U45" si="30">U43*2</f>
        <v>4380000</v>
      </c>
      <c r="W45">
        <f t="shared" si="26"/>
        <v>8</v>
      </c>
      <c r="X45">
        <f t="shared" si="20"/>
        <v>11</v>
      </c>
      <c r="Y45" s="3">
        <f t="shared" si="10"/>
        <v>0.12</v>
      </c>
      <c r="Z45" s="1">
        <f t="shared" si="21"/>
        <v>910714.28571428568</v>
      </c>
      <c r="AA45" s="1">
        <f t="shared" si="22"/>
        <v>18214.285714285714</v>
      </c>
      <c r="AB45" s="1">
        <f t="shared" si="23"/>
        <v>928928.57142857136</v>
      </c>
      <c r="AC45" s="1">
        <f t="shared" si="24"/>
        <v>910714.28571428568</v>
      </c>
      <c r="AD45" s="1">
        <f t="shared" si="29"/>
        <v>95828874.654667318</v>
      </c>
    </row>
    <row r="46" spans="5:30" x14ac:dyDescent="0.25">
      <c r="E46">
        <f t="shared" si="1"/>
        <v>32</v>
      </c>
      <c r="F46" s="2">
        <v>5.33E-2</v>
      </c>
      <c r="G46" s="1">
        <f t="shared" si="2"/>
        <v>505329.64863797836</v>
      </c>
      <c r="H46" s="1">
        <f t="shared" si="3"/>
        <v>65090.669824976932</v>
      </c>
      <c r="I46" s="1">
        <f t="shared" si="4"/>
        <v>570420.3184629553</v>
      </c>
      <c r="J46" s="1">
        <f t="shared" si="5"/>
        <v>14149230.161863394</v>
      </c>
      <c r="L46">
        <f t="shared" si="6"/>
        <v>32</v>
      </c>
      <c r="M46" s="2">
        <v>4.2500000000000003E-2</v>
      </c>
      <c r="N46" s="1">
        <f t="shared" si="0"/>
        <v>1026957.6379974337</v>
      </c>
      <c r="O46" s="1">
        <f t="shared" si="7"/>
        <v>760162.60162601701</v>
      </c>
      <c r="P46" s="1">
        <f t="shared" si="8"/>
        <v>1787120.2396234507</v>
      </c>
      <c r="Q46" s="1">
        <f t="shared" si="9"/>
        <v>213607188.70346618</v>
      </c>
      <c r="S46" s="16"/>
      <c r="W46">
        <f t="shared" si="26"/>
        <v>8</v>
      </c>
      <c r="X46">
        <f t="shared" si="20"/>
        <v>12</v>
      </c>
      <c r="Y46" s="3">
        <f t="shared" si="10"/>
        <v>0.12</v>
      </c>
      <c r="Z46" s="1">
        <f t="shared" si="21"/>
        <v>910714.28571428568</v>
      </c>
      <c r="AA46" s="1">
        <f t="shared" si="22"/>
        <v>9107.1428571428569</v>
      </c>
      <c r="AB46" s="1">
        <f t="shared" si="23"/>
        <v>919821.42857142852</v>
      </c>
      <c r="AC46" s="1">
        <f t="shared" si="24"/>
        <v>11153571.428571429</v>
      </c>
      <c r="AD46" s="1">
        <f t="shared" si="29"/>
        <v>96190992.743339047</v>
      </c>
    </row>
    <row r="47" spans="5:30" x14ac:dyDescent="0.25">
      <c r="E47">
        <f t="shared" si="1"/>
        <v>33</v>
      </c>
      <c r="F47" s="2">
        <v>5.33E-2</v>
      </c>
      <c r="G47" s="1">
        <f t="shared" si="2"/>
        <v>505329.64863797836</v>
      </c>
      <c r="H47" s="1">
        <f t="shared" si="3"/>
        <v>62846.163968943241</v>
      </c>
      <c r="I47" s="1">
        <f t="shared" si="4"/>
        <v>568175.81260692165</v>
      </c>
      <c r="J47" s="1">
        <f t="shared" si="5"/>
        <v>13643900.513225416</v>
      </c>
      <c r="L47">
        <f t="shared" si="6"/>
        <v>33</v>
      </c>
      <c r="M47" s="2">
        <v>4.2500000000000003E-2</v>
      </c>
      <c r="N47" s="1">
        <f t="shared" ref="N47:N74" si="31">IFERROR(Q46/($M$10+1-L47),0)</f>
        <v>1026957.6379974335</v>
      </c>
      <c r="O47" s="1">
        <f t="shared" si="7"/>
        <v>756525.45999144274</v>
      </c>
      <c r="P47" s="1">
        <f t="shared" si="8"/>
        <v>1783483.0979888763</v>
      </c>
      <c r="Q47" s="1">
        <f t="shared" si="9"/>
        <v>212580231.06546873</v>
      </c>
      <c r="S47" s="16">
        <v>9</v>
      </c>
      <c r="T47" t="s">
        <v>45</v>
      </c>
      <c r="U47" s="5">
        <f>12%</f>
        <v>0.12</v>
      </c>
      <c r="W47">
        <f t="shared" ref="W47" si="32">W35+1</f>
        <v>9</v>
      </c>
      <c r="X47">
        <f t="shared" si="20"/>
        <v>1</v>
      </c>
      <c r="Y47" s="3">
        <f t="shared" si="10"/>
        <v>0.12</v>
      </c>
      <c r="Z47" s="1">
        <f t="shared" si="21"/>
        <v>929464.2857142858</v>
      </c>
      <c r="AA47" s="1">
        <f t="shared" si="22"/>
        <v>111535.71428571429</v>
      </c>
      <c r="AB47" s="1">
        <f t="shared" si="23"/>
        <v>1041000.0000000001</v>
      </c>
      <c r="AC47" s="1">
        <f t="shared" si="24"/>
        <v>10224107.142857144</v>
      </c>
      <c r="AD47" s="1">
        <f t="shared" ref="AD47" si="33">-FV($U$12,1,0,AD46+AC46-HLOOKUP(W47,$S$23:$U$214,9+((W47-$S$11-1)*12)),1)</f>
        <v>105509763.46043894</v>
      </c>
    </row>
    <row r="48" spans="5:30" x14ac:dyDescent="0.25">
      <c r="E48">
        <f t="shared" si="1"/>
        <v>34</v>
      </c>
      <c r="F48" s="2">
        <v>5.33E-2</v>
      </c>
      <c r="G48" s="1">
        <f t="shared" si="2"/>
        <v>505329.64863797836</v>
      </c>
      <c r="H48" s="1">
        <f t="shared" si="3"/>
        <v>60601.658112909558</v>
      </c>
      <c r="I48" s="1">
        <f t="shared" si="4"/>
        <v>565931.30675088789</v>
      </c>
      <c r="J48" s="1">
        <f t="shared" si="5"/>
        <v>13138570.864587437</v>
      </c>
      <c r="L48">
        <f t="shared" si="6"/>
        <v>34</v>
      </c>
      <c r="M48" s="2">
        <v>4.2500000000000003E-2</v>
      </c>
      <c r="N48" s="1">
        <f t="shared" si="31"/>
        <v>1026957.6379974334</v>
      </c>
      <c r="O48" s="1">
        <f t="shared" si="7"/>
        <v>752888.31835686846</v>
      </c>
      <c r="P48" s="1">
        <f t="shared" si="8"/>
        <v>1779845.9563543019</v>
      </c>
      <c r="Q48" s="1">
        <f t="shared" si="9"/>
        <v>211553273.42747131</v>
      </c>
      <c r="S48" s="16"/>
      <c r="T48" t="s">
        <v>43</v>
      </c>
      <c r="U48">
        <f t="shared" ref="U48" si="34">U49/12</f>
        <v>1</v>
      </c>
      <c r="W48">
        <f t="shared" ref="W48:W111" si="35">W47</f>
        <v>9</v>
      </c>
      <c r="X48">
        <f t="shared" si="20"/>
        <v>2</v>
      </c>
      <c r="Y48" s="3">
        <f t="shared" si="10"/>
        <v>0.12</v>
      </c>
      <c r="Z48" s="1">
        <f t="shared" ref="Z48:Z111" si="36">AC47/(HLOOKUP(W48,$S$23:$U$214,3+((W48-$S$11-1)*12))+1-X48)</f>
        <v>929464.2857142858</v>
      </c>
      <c r="AA48" s="1">
        <f t="shared" ref="AA48:AA111" si="37">AC47*(Y48/12)</f>
        <v>102241.07142857143</v>
      </c>
      <c r="AB48" s="1">
        <f t="shared" ref="AB48:AB111" si="38">Z48+AA48</f>
        <v>1031705.3571428573</v>
      </c>
      <c r="AC48" s="1">
        <f t="shared" ref="AC48:AC111" si="39">IFERROR(IF(AC47-Z48&lt;1,HLOOKUP(W49,$S$23:$U$214,7+((W49-$S$11-1)*12)),AC47-Z48),0)</f>
        <v>9294642.8571428582</v>
      </c>
      <c r="AD48" s="1">
        <f t="shared" ref="AD48" si="40">-FV($U$12,1,0,AD47,1)</f>
        <v>105908463.68537828</v>
      </c>
    </row>
    <row r="49" spans="5:30" x14ac:dyDescent="0.25">
      <c r="E49">
        <f t="shared" si="1"/>
        <v>35</v>
      </c>
      <c r="F49" s="2">
        <v>5.33E-2</v>
      </c>
      <c r="G49" s="1">
        <f t="shared" si="2"/>
        <v>505329.64863797836</v>
      </c>
      <c r="H49" s="1">
        <f t="shared" si="3"/>
        <v>58357.152256875866</v>
      </c>
      <c r="I49" s="1">
        <f t="shared" si="4"/>
        <v>563686.80089485424</v>
      </c>
      <c r="J49" s="1">
        <f t="shared" si="5"/>
        <v>12633241.215949459</v>
      </c>
      <c r="L49">
        <f t="shared" si="6"/>
        <v>35</v>
      </c>
      <c r="M49" s="2">
        <v>4.2500000000000003E-2</v>
      </c>
      <c r="N49" s="1">
        <f t="shared" si="31"/>
        <v>1026957.6379974335</v>
      </c>
      <c r="O49" s="1">
        <f t="shared" si="7"/>
        <v>749251.1767222943</v>
      </c>
      <c r="P49" s="1">
        <f t="shared" si="8"/>
        <v>1776208.8147197277</v>
      </c>
      <c r="Q49" s="1">
        <f t="shared" si="9"/>
        <v>210526315.78947389</v>
      </c>
      <c r="S49" s="16"/>
      <c r="T49" t="s">
        <v>44</v>
      </c>
      <c r="U49">
        <f>12</f>
        <v>12</v>
      </c>
      <c r="W49">
        <f t="shared" si="35"/>
        <v>9</v>
      </c>
      <c r="X49">
        <f t="shared" si="20"/>
        <v>3</v>
      </c>
      <c r="Y49" s="3">
        <f t="shared" si="10"/>
        <v>0.12</v>
      </c>
      <c r="Z49" s="1">
        <f t="shared" si="36"/>
        <v>929464.2857142858</v>
      </c>
      <c r="AA49" s="1">
        <f t="shared" si="37"/>
        <v>92946.42857142858</v>
      </c>
      <c r="AB49" s="1">
        <f t="shared" si="38"/>
        <v>1022410.7142857143</v>
      </c>
      <c r="AC49" s="1">
        <f t="shared" si="39"/>
        <v>8365178.5714285728</v>
      </c>
      <c r="AD49" s="1">
        <f t="shared" si="25"/>
        <v>106308670.51846606</v>
      </c>
    </row>
    <row r="50" spans="5:30" x14ac:dyDescent="0.25">
      <c r="E50">
        <f t="shared" si="1"/>
        <v>36</v>
      </c>
      <c r="F50" s="2">
        <v>5.33E-2</v>
      </c>
      <c r="G50" s="1">
        <f t="shared" si="2"/>
        <v>505329.64863797836</v>
      </c>
      <c r="H50" s="1">
        <f t="shared" si="3"/>
        <v>56112.646400842183</v>
      </c>
      <c r="I50" s="1">
        <f t="shared" si="4"/>
        <v>561442.29503882059</v>
      </c>
      <c r="J50" s="1">
        <f t="shared" si="5"/>
        <v>12127911.567311481</v>
      </c>
      <c r="L50">
        <f t="shared" si="6"/>
        <v>36</v>
      </c>
      <c r="M50" s="2">
        <v>4.2500000000000003E-2</v>
      </c>
      <c r="N50" s="1">
        <f t="shared" si="31"/>
        <v>1026957.6379974337</v>
      </c>
      <c r="O50" s="1">
        <f t="shared" si="7"/>
        <v>745614.03508772014</v>
      </c>
      <c r="P50" s="1">
        <f t="shared" si="8"/>
        <v>1772571.6730851538</v>
      </c>
      <c r="Q50" s="1">
        <f t="shared" si="9"/>
        <v>209499358.15147644</v>
      </c>
      <c r="S50" s="16"/>
      <c r="W50">
        <f t="shared" si="35"/>
        <v>9</v>
      </c>
      <c r="X50">
        <f t="shared" si="20"/>
        <v>4</v>
      </c>
      <c r="Y50" s="3">
        <f t="shared" si="10"/>
        <v>0.12</v>
      </c>
      <c r="Z50" s="1">
        <f t="shared" si="36"/>
        <v>929464.28571428591</v>
      </c>
      <c r="AA50" s="1">
        <f t="shared" si="37"/>
        <v>83651.785714285725</v>
      </c>
      <c r="AB50" s="1">
        <f t="shared" si="38"/>
        <v>1013116.0714285716</v>
      </c>
      <c r="AC50" s="1">
        <f t="shared" si="39"/>
        <v>7435714.2857142873</v>
      </c>
      <c r="AD50" s="1">
        <f t="shared" si="25"/>
        <v>106710389.65287212</v>
      </c>
    </row>
    <row r="51" spans="5:30" x14ac:dyDescent="0.25">
      <c r="E51">
        <f t="shared" si="1"/>
        <v>37</v>
      </c>
      <c r="F51" s="2">
        <v>6.7699999999999996E-2</v>
      </c>
      <c r="G51" s="1">
        <f t="shared" si="2"/>
        <v>505329.64863797836</v>
      </c>
      <c r="H51" s="1">
        <f t="shared" si="3"/>
        <v>68421.634425582262</v>
      </c>
      <c r="I51" s="1">
        <f t="shared" si="4"/>
        <v>573751.28306356061</v>
      </c>
      <c r="J51" s="1">
        <f t="shared" si="5"/>
        <v>11622581.918673502</v>
      </c>
      <c r="L51">
        <f t="shared" si="6"/>
        <v>37</v>
      </c>
      <c r="M51" s="2">
        <v>7.5499999999999998E-2</v>
      </c>
      <c r="N51" s="1">
        <f t="shared" si="31"/>
        <v>1026957.6379974335</v>
      </c>
      <c r="O51" s="1">
        <f t="shared" si="7"/>
        <v>1318100.128369706</v>
      </c>
      <c r="P51" s="1">
        <f t="shared" si="8"/>
        <v>2345057.7663671393</v>
      </c>
      <c r="Q51" s="1">
        <f t="shared" si="9"/>
        <v>208472400.51347899</v>
      </c>
      <c r="S51" s="16"/>
      <c r="T51" t="s">
        <v>35</v>
      </c>
      <c r="U51" s="1">
        <f t="shared" ref="U51" si="41">ROUNDUP(U39*(1+$T$2),-3)</f>
        <v>1041000</v>
      </c>
      <c r="W51">
        <f t="shared" si="35"/>
        <v>9</v>
      </c>
      <c r="X51">
        <f t="shared" si="20"/>
        <v>5</v>
      </c>
      <c r="Y51" s="3">
        <f t="shared" si="10"/>
        <v>0.12</v>
      </c>
      <c r="Z51" s="1">
        <f t="shared" si="36"/>
        <v>929464.28571428591</v>
      </c>
      <c r="AA51" s="1">
        <f t="shared" si="37"/>
        <v>74357.14285714287</v>
      </c>
      <c r="AB51" s="1">
        <f t="shared" si="38"/>
        <v>1003821.4285714288</v>
      </c>
      <c r="AC51" s="1">
        <f t="shared" si="39"/>
        <v>6506250.0000000019</v>
      </c>
      <c r="AD51" s="1">
        <f t="shared" si="25"/>
        <v>107113626.8032797</v>
      </c>
    </row>
    <row r="52" spans="5:30" x14ac:dyDescent="0.25">
      <c r="E52">
        <f t="shared" si="1"/>
        <v>38</v>
      </c>
      <c r="F52" s="2">
        <v>6.7699999999999996E-2</v>
      </c>
      <c r="G52" s="1">
        <f t="shared" si="2"/>
        <v>505329.64863797836</v>
      </c>
      <c r="H52" s="1">
        <f t="shared" si="3"/>
        <v>65570.732991183002</v>
      </c>
      <c r="I52" s="1">
        <f t="shared" si="4"/>
        <v>570900.3816291613</v>
      </c>
      <c r="J52" s="1">
        <f t="shared" si="5"/>
        <v>11117252.270035524</v>
      </c>
      <c r="L52">
        <f t="shared" si="6"/>
        <v>38</v>
      </c>
      <c r="M52" s="2">
        <v>7.5499999999999998E-2</v>
      </c>
      <c r="N52" s="1">
        <f t="shared" si="31"/>
        <v>1026957.6379974334</v>
      </c>
      <c r="O52" s="1">
        <f t="shared" si="7"/>
        <v>1311638.8532306387</v>
      </c>
      <c r="P52" s="1">
        <f t="shared" si="8"/>
        <v>2338596.491228072</v>
      </c>
      <c r="Q52" s="1">
        <f t="shared" si="9"/>
        <v>207445442.87548158</v>
      </c>
      <c r="S52" s="16"/>
      <c r="W52">
        <f t="shared" si="35"/>
        <v>9</v>
      </c>
      <c r="X52">
        <f t="shared" si="20"/>
        <v>6</v>
      </c>
      <c r="Y52" s="3">
        <f t="shared" si="10"/>
        <v>0.12</v>
      </c>
      <c r="Z52" s="1">
        <f t="shared" si="36"/>
        <v>929464.28571428603</v>
      </c>
      <c r="AA52" s="1">
        <f t="shared" si="37"/>
        <v>65062.500000000022</v>
      </c>
      <c r="AB52" s="1">
        <f t="shared" si="38"/>
        <v>994526.78571428603</v>
      </c>
      <c r="AC52" s="1">
        <f t="shared" si="39"/>
        <v>5576785.7142857155</v>
      </c>
      <c r="AD52" s="1">
        <f t="shared" si="25"/>
        <v>107518387.70596668</v>
      </c>
    </row>
    <row r="53" spans="5:30" x14ac:dyDescent="0.25">
      <c r="E53">
        <f t="shared" si="1"/>
        <v>39</v>
      </c>
      <c r="F53" s="2">
        <v>6.7699999999999996E-2</v>
      </c>
      <c r="G53" s="1">
        <f t="shared" si="2"/>
        <v>505329.64863797836</v>
      </c>
      <c r="H53" s="1">
        <f t="shared" si="3"/>
        <v>62719.831556783742</v>
      </c>
      <c r="I53" s="1">
        <f t="shared" si="4"/>
        <v>568049.48019476212</v>
      </c>
      <c r="J53" s="1">
        <f t="shared" si="5"/>
        <v>10611922.621397546</v>
      </c>
      <c r="L53">
        <f t="shared" si="6"/>
        <v>39</v>
      </c>
      <c r="M53" s="2">
        <v>7.5499999999999998E-2</v>
      </c>
      <c r="N53" s="1">
        <f t="shared" si="31"/>
        <v>1026957.6379974335</v>
      </c>
      <c r="O53" s="1">
        <f t="shared" si="7"/>
        <v>1305177.5780915716</v>
      </c>
      <c r="P53" s="1">
        <f t="shared" si="8"/>
        <v>2332135.2160890051</v>
      </c>
      <c r="Q53" s="1">
        <f t="shared" si="9"/>
        <v>206418485.23748416</v>
      </c>
      <c r="S53" s="16"/>
      <c r="T53" t="s">
        <v>15</v>
      </c>
      <c r="U53" s="1">
        <f t="shared" ref="U53:U113" si="42">(12*U49*U51)/(12+U49*U47)</f>
        <v>11153571.428571429</v>
      </c>
      <c r="W53">
        <f t="shared" si="35"/>
        <v>9</v>
      </c>
      <c r="X53">
        <f t="shared" si="20"/>
        <v>7</v>
      </c>
      <c r="Y53" s="3">
        <f t="shared" si="10"/>
        <v>0.12</v>
      </c>
      <c r="Z53" s="1">
        <f t="shared" si="36"/>
        <v>929464.28571428591</v>
      </c>
      <c r="AA53" s="1">
        <f t="shared" si="37"/>
        <v>55767.857142857159</v>
      </c>
      <c r="AB53" s="1">
        <f t="shared" si="38"/>
        <v>985232.14285714307</v>
      </c>
      <c r="AC53" s="1">
        <f t="shared" si="39"/>
        <v>4647321.4285714291</v>
      </c>
      <c r="AD53" s="1">
        <f t="shared" ref="AD53" si="43">-FV($U$12,1,0,AD52-HLOOKUP(W53,$S$23:$U$214,9+((W53-$S$11-1)*12)),1)</f>
        <v>105684243.83875158</v>
      </c>
    </row>
    <row r="54" spans="5:30" x14ac:dyDescent="0.25">
      <c r="E54">
        <f t="shared" si="1"/>
        <v>40</v>
      </c>
      <c r="F54" s="2">
        <v>6.7699999999999996E-2</v>
      </c>
      <c r="G54" s="1">
        <f t="shared" si="2"/>
        <v>505329.64863797836</v>
      </c>
      <c r="H54" s="1">
        <f t="shared" si="3"/>
        <v>59868.930122384481</v>
      </c>
      <c r="I54" s="1">
        <f t="shared" si="4"/>
        <v>565198.57876036281</v>
      </c>
      <c r="J54" s="1">
        <f t="shared" si="5"/>
        <v>10106592.972759567</v>
      </c>
      <c r="L54">
        <f t="shared" si="6"/>
        <v>40</v>
      </c>
      <c r="M54" s="2">
        <v>7.5499999999999998E-2</v>
      </c>
      <c r="N54" s="1">
        <f t="shared" si="31"/>
        <v>1026957.6379974337</v>
      </c>
      <c r="O54" s="1">
        <f t="shared" si="7"/>
        <v>1298716.3029525045</v>
      </c>
      <c r="P54" s="1">
        <f t="shared" si="8"/>
        <v>2325673.9409499383</v>
      </c>
      <c r="Q54" s="1">
        <f t="shared" si="9"/>
        <v>205391527.59948671</v>
      </c>
      <c r="S54" s="16"/>
      <c r="W54">
        <f t="shared" si="35"/>
        <v>9</v>
      </c>
      <c r="X54">
        <f t="shared" si="20"/>
        <v>8</v>
      </c>
      <c r="Y54" s="3">
        <f t="shared" si="10"/>
        <v>0.12</v>
      </c>
      <c r="Z54" s="1">
        <f t="shared" si="36"/>
        <v>929464.2857142858</v>
      </c>
      <c r="AA54" s="1">
        <f t="shared" si="37"/>
        <v>46473.21428571429</v>
      </c>
      <c r="AB54" s="1">
        <f t="shared" si="38"/>
        <v>975937.50000000012</v>
      </c>
      <c r="AC54" s="1">
        <f t="shared" si="39"/>
        <v>3717857.1428571432</v>
      </c>
      <c r="AD54" s="1">
        <f t="shared" ref="AD54" si="44">-FV($U$12,1,0,AD53,1)</f>
        <v>106083603.39003003</v>
      </c>
    </row>
    <row r="55" spans="5:30" x14ac:dyDescent="0.25">
      <c r="E55">
        <f t="shared" si="1"/>
        <v>41</v>
      </c>
      <c r="F55" s="2">
        <v>6.7699999999999996E-2</v>
      </c>
      <c r="G55" s="1">
        <f t="shared" si="2"/>
        <v>505329.64863797836</v>
      </c>
      <c r="H55" s="1">
        <f t="shared" si="3"/>
        <v>57018.028687985221</v>
      </c>
      <c r="I55" s="1">
        <f t="shared" si="4"/>
        <v>562347.67732596362</v>
      </c>
      <c r="J55" s="1">
        <f t="shared" si="5"/>
        <v>9601263.3241215888</v>
      </c>
      <c r="L55">
        <f t="shared" si="6"/>
        <v>41</v>
      </c>
      <c r="M55" s="2">
        <v>7.5499999999999998E-2</v>
      </c>
      <c r="N55" s="1">
        <f t="shared" si="31"/>
        <v>1026957.6379974335</v>
      </c>
      <c r="O55" s="1">
        <f t="shared" si="7"/>
        <v>1292255.0278134372</v>
      </c>
      <c r="P55" s="1">
        <f t="shared" si="8"/>
        <v>2319212.6658108709</v>
      </c>
      <c r="Q55" s="1">
        <f t="shared" si="9"/>
        <v>204364569.96148926</v>
      </c>
      <c r="S55" s="16"/>
      <c r="T55" t="s">
        <v>46</v>
      </c>
      <c r="U55" s="1">
        <f t="shared" ref="U55" si="45">ROUNDUP($T$4*1000*(1+$T$2)^(S47-$S$11),-3)*6</f>
        <v>2232000</v>
      </c>
      <c r="W55">
        <f t="shared" si="35"/>
        <v>9</v>
      </c>
      <c r="X55">
        <f t="shared" si="20"/>
        <v>9</v>
      </c>
      <c r="Y55" s="3">
        <f t="shared" si="10"/>
        <v>0.12</v>
      </c>
      <c r="Z55" s="1">
        <f t="shared" si="36"/>
        <v>929464.2857142858</v>
      </c>
      <c r="AA55" s="1">
        <f t="shared" si="37"/>
        <v>37178.571428571435</v>
      </c>
      <c r="AB55" s="1">
        <f t="shared" si="38"/>
        <v>966642.85714285728</v>
      </c>
      <c r="AC55" s="1">
        <f t="shared" si="39"/>
        <v>2788392.8571428573</v>
      </c>
      <c r="AD55" s="1">
        <f t="shared" si="29"/>
        <v>106484472.04091883</v>
      </c>
    </row>
    <row r="56" spans="5:30" x14ac:dyDescent="0.25">
      <c r="E56">
        <f>E55+1</f>
        <v>42</v>
      </c>
      <c r="F56" s="2">
        <v>6.7699999999999996E-2</v>
      </c>
      <c r="G56" s="1">
        <f t="shared" si="2"/>
        <v>505329.64863797836</v>
      </c>
      <c r="H56" s="1">
        <f t="shared" si="3"/>
        <v>54167.127253585961</v>
      </c>
      <c r="I56" s="1">
        <f t="shared" si="4"/>
        <v>559496.77589156432</v>
      </c>
      <c r="J56" s="1">
        <f t="shared" si="5"/>
        <v>9095933.6754836105</v>
      </c>
      <c r="L56">
        <f>L55+1</f>
        <v>42</v>
      </c>
      <c r="M56" s="2">
        <v>7.5499999999999998E-2</v>
      </c>
      <c r="N56" s="1">
        <f t="shared" si="31"/>
        <v>1026957.6379974334</v>
      </c>
      <c r="O56" s="1">
        <f t="shared" si="7"/>
        <v>1285793.7526743698</v>
      </c>
      <c r="P56" s="1">
        <f t="shared" si="8"/>
        <v>2312751.3906718032</v>
      </c>
      <c r="Q56" s="1">
        <f t="shared" si="9"/>
        <v>203337612.32349184</v>
      </c>
      <c r="S56" s="16"/>
      <c r="W56">
        <f t="shared" si="35"/>
        <v>9</v>
      </c>
      <c r="X56">
        <f t="shared" si="20"/>
        <v>10</v>
      </c>
      <c r="Y56" s="3">
        <f t="shared" si="10"/>
        <v>0.12</v>
      </c>
      <c r="Z56" s="1">
        <f t="shared" si="36"/>
        <v>929464.2857142858</v>
      </c>
      <c r="AA56" s="1">
        <f t="shared" si="37"/>
        <v>27883.928571428572</v>
      </c>
      <c r="AB56" s="1">
        <f t="shared" si="38"/>
        <v>957348.21428571432</v>
      </c>
      <c r="AC56" s="1">
        <f t="shared" si="39"/>
        <v>1858928.5714285714</v>
      </c>
      <c r="AD56" s="1">
        <f t="shared" si="29"/>
        <v>106886855.4940026</v>
      </c>
    </row>
    <row r="57" spans="5:30" x14ac:dyDescent="0.25">
      <c r="E57">
        <f t="shared" si="1"/>
        <v>43</v>
      </c>
      <c r="F57" s="2">
        <v>6.7699999999999996E-2</v>
      </c>
      <c r="G57" s="1">
        <f t="shared" si="2"/>
        <v>505329.64863797836</v>
      </c>
      <c r="H57" s="1">
        <f t="shared" si="3"/>
        <v>51316.2258191867</v>
      </c>
      <c r="I57" s="1">
        <f t="shared" si="4"/>
        <v>556645.87445716502</v>
      </c>
      <c r="J57" s="1">
        <f t="shared" si="5"/>
        <v>8590604.0268456321</v>
      </c>
      <c r="L57">
        <f t="shared" ref="L57:L67" si="46">L56+1</f>
        <v>43</v>
      </c>
      <c r="M57" s="2">
        <v>7.5499999999999998E-2</v>
      </c>
      <c r="N57" s="1">
        <f t="shared" si="31"/>
        <v>1026957.6379974335</v>
      </c>
      <c r="O57" s="1">
        <f t="shared" si="7"/>
        <v>1279332.4775353028</v>
      </c>
      <c r="P57" s="1">
        <f t="shared" si="8"/>
        <v>2306290.1155327363</v>
      </c>
      <c r="Q57" s="1">
        <f t="shared" si="9"/>
        <v>202310654.68549442</v>
      </c>
      <c r="S57" s="16"/>
      <c r="T57" t="s">
        <v>47</v>
      </c>
      <c r="U57" s="1">
        <f t="shared" ref="U57:U117" si="47">U55*2</f>
        <v>4464000</v>
      </c>
      <c r="W57">
        <f t="shared" si="35"/>
        <v>9</v>
      </c>
      <c r="X57">
        <f t="shared" si="20"/>
        <v>11</v>
      </c>
      <c r="Y57" s="3">
        <f t="shared" si="10"/>
        <v>0.12</v>
      </c>
      <c r="Z57" s="1">
        <f t="shared" si="36"/>
        <v>929464.28571428568</v>
      </c>
      <c r="AA57" s="1">
        <f t="shared" si="37"/>
        <v>18589.285714285714</v>
      </c>
      <c r="AB57" s="1">
        <f t="shared" si="38"/>
        <v>948053.57142857136</v>
      </c>
      <c r="AC57" s="1">
        <f t="shared" si="39"/>
        <v>929464.28571428568</v>
      </c>
      <c r="AD57" s="1">
        <f t="shared" si="29"/>
        <v>107290759.47341487</v>
      </c>
    </row>
    <row r="58" spans="5:30" x14ac:dyDescent="0.25">
      <c r="E58">
        <f t="shared" si="1"/>
        <v>44</v>
      </c>
      <c r="F58" s="2">
        <v>6.7699999999999996E-2</v>
      </c>
      <c r="G58" s="1">
        <f t="shared" si="2"/>
        <v>505329.64863797836</v>
      </c>
      <c r="H58" s="1">
        <f t="shared" si="3"/>
        <v>48465.32438478744</v>
      </c>
      <c r="I58" s="1">
        <f t="shared" si="4"/>
        <v>553794.97302276583</v>
      </c>
      <c r="J58" s="1">
        <f t="shared" si="5"/>
        <v>8085274.3782076538</v>
      </c>
      <c r="L58">
        <f t="shared" si="46"/>
        <v>44</v>
      </c>
      <c r="M58" s="2">
        <v>7.5499999999999998E-2</v>
      </c>
      <c r="N58" s="1">
        <f t="shared" si="31"/>
        <v>1026957.6379974337</v>
      </c>
      <c r="O58" s="1">
        <f t="shared" si="7"/>
        <v>1272871.2023962357</v>
      </c>
      <c r="P58" s="1">
        <f t="shared" si="8"/>
        <v>2299828.8403936694</v>
      </c>
      <c r="Q58" s="1">
        <f t="shared" si="9"/>
        <v>201283697.04749697</v>
      </c>
      <c r="S58" s="16"/>
      <c r="W58">
        <f t="shared" si="35"/>
        <v>9</v>
      </c>
      <c r="X58">
        <f t="shared" si="20"/>
        <v>12</v>
      </c>
      <c r="Y58" s="3">
        <f t="shared" si="10"/>
        <v>0.12</v>
      </c>
      <c r="Z58" s="1">
        <f t="shared" si="36"/>
        <v>929464.28571428568</v>
      </c>
      <c r="AA58" s="1">
        <f t="shared" si="37"/>
        <v>9294.6428571428569</v>
      </c>
      <c r="AB58" s="1">
        <f t="shared" si="38"/>
        <v>938758.92857142852</v>
      </c>
      <c r="AC58" s="1">
        <f t="shared" si="39"/>
        <v>11378571.428571429</v>
      </c>
      <c r="AD58" s="1">
        <f t="shared" si="29"/>
        <v>107696189.72491954</v>
      </c>
    </row>
    <row r="59" spans="5:30" x14ac:dyDescent="0.25">
      <c r="E59">
        <f t="shared" si="1"/>
        <v>45</v>
      </c>
      <c r="F59" s="2">
        <v>6.7699999999999996E-2</v>
      </c>
      <c r="G59" s="1">
        <f t="shared" si="2"/>
        <v>505329.64863797836</v>
      </c>
      <c r="H59" s="1">
        <f t="shared" si="3"/>
        <v>45614.42295038818</v>
      </c>
      <c r="I59" s="1">
        <f t="shared" si="4"/>
        <v>550944.07158836653</v>
      </c>
      <c r="J59" s="1">
        <f t="shared" si="5"/>
        <v>7579944.7295696754</v>
      </c>
      <c r="L59">
        <f t="shared" si="46"/>
        <v>45</v>
      </c>
      <c r="M59" s="2">
        <v>7.5499999999999998E-2</v>
      </c>
      <c r="N59" s="1">
        <f t="shared" si="31"/>
        <v>1026957.6379974335</v>
      </c>
      <c r="O59" s="1">
        <f t="shared" si="7"/>
        <v>1266409.9272571686</v>
      </c>
      <c r="P59" s="1">
        <f t="shared" si="8"/>
        <v>2293367.5652546021</v>
      </c>
      <c r="Q59" s="1">
        <f t="shared" si="9"/>
        <v>200256739.40949953</v>
      </c>
      <c r="S59" s="16">
        <v>10</v>
      </c>
      <c r="T59" t="s">
        <v>45</v>
      </c>
      <c r="U59" s="5">
        <f>12%</f>
        <v>0.12</v>
      </c>
      <c r="W59">
        <f t="shared" ref="W59" si="48">W47+1</f>
        <v>10</v>
      </c>
      <c r="X59">
        <f t="shared" si="20"/>
        <v>1</v>
      </c>
      <c r="Y59" s="3">
        <f t="shared" si="10"/>
        <v>0.12</v>
      </c>
      <c r="Z59" s="1">
        <f t="shared" si="36"/>
        <v>948214.2857142858</v>
      </c>
      <c r="AA59" s="1">
        <f t="shared" si="37"/>
        <v>113785.71428571429</v>
      </c>
      <c r="AB59" s="1">
        <f t="shared" si="38"/>
        <v>1062000</v>
      </c>
      <c r="AC59" s="1">
        <f t="shared" si="39"/>
        <v>10430357.142857144</v>
      </c>
      <c r="AD59" s="1">
        <f t="shared" ref="AD59" si="49">-FV($U$12,1,0,AD58+AC58-HLOOKUP(W59,$S$23:$U$214,9+((W59-$S$11-1)*12)),1)</f>
        <v>117242127.79310481</v>
      </c>
    </row>
    <row r="60" spans="5:30" x14ac:dyDescent="0.25">
      <c r="E60">
        <f t="shared" si="1"/>
        <v>46</v>
      </c>
      <c r="F60" s="2">
        <v>6.7699999999999996E-2</v>
      </c>
      <c r="G60" s="1">
        <f t="shared" si="2"/>
        <v>505329.64863797836</v>
      </c>
      <c r="H60" s="1">
        <f t="shared" si="3"/>
        <v>42763.521515988919</v>
      </c>
      <c r="I60" s="1">
        <f t="shared" si="4"/>
        <v>548093.17015396734</v>
      </c>
      <c r="J60" s="1">
        <f t="shared" si="5"/>
        <v>7074615.080931697</v>
      </c>
      <c r="L60">
        <f t="shared" si="46"/>
        <v>46</v>
      </c>
      <c r="M60" s="2">
        <v>7.5499999999999998E-2</v>
      </c>
      <c r="N60" s="1">
        <f t="shared" si="31"/>
        <v>1026957.6379974334</v>
      </c>
      <c r="O60" s="1">
        <f t="shared" si="7"/>
        <v>1259948.6521181013</v>
      </c>
      <c r="P60" s="1">
        <f t="shared" si="8"/>
        <v>2286906.2901155348</v>
      </c>
      <c r="Q60" s="1">
        <f t="shared" si="9"/>
        <v>199229781.77150211</v>
      </c>
      <c r="S60" s="16"/>
      <c r="T60" t="s">
        <v>43</v>
      </c>
      <c r="U60">
        <f t="shared" ref="U60" si="50">U61/12</f>
        <v>1</v>
      </c>
      <c r="W60">
        <f t="shared" ref="W60" si="51">W59</f>
        <v>10</v>
      </c>
      <c r="X60">
        <f t="shared" si="20"/>
        <v>2</v>
      </c>
      <c r="Y60" s="3">
        <f t="shared" si="10"/>
        <v>0.12</v>
      </c>
      <c r="Z60" s="1">
        <f t="shared" si="36"/>
        <v>948214.2857142858</v>
      </c>
      <c r="AA60" s="1">
        <f t="shared" si="37"/>
        <v>104303.57142857143</v>
      </c>
      <c r="AB60" s="1">
        <f t="shared" si="38"/>
        <v>1052517.8571428573</v>
      </c>
      <c r="AC60" s="1">
        <f t="shared" si="39"/>
        <v>9482142.8571428582</v>
      </c>
      <c r="AD60" s="1">
        <f t="shared" ref="AD60" si="52">-FV($U$12,1,0,AD59,1)</f>
        <v>117685162.26868685</v>
      </c>
    </row>
    <row r="61" spans="5:30" x14ac:dyDescent="0.25">
      <c r="E61">
        <f t="shared" si="1"/>
        <v>47</v>
      </c>
      <c r="F61" s="2">
        <v>6.7699999999999996E-2</v>
      </c>
      <c r="G61" s="1">
        <f t="shared" si="2"/>
        <v>505329.64863797836</v>
      </c>
      <c r="H61" s="1">
        <f t="shared" si="3"/>
        <v>39912.620081589652</v>
      </c>
      <c r="I61" s="1">
        <f t="shared" si="4"/>
        <v>545242.26871956803</v>
      </c>
      <c r="J61" s="1">
        <f t="shared" si="5"/>
        <v>6569285.4322937187</v>
      </c>
      <c r="L61">
        <f t="shared" si="46"/>
        <v>47</v>
      </c>
      <c r="M61" s="2">
        <v>7.5499999999999998E-2</v>
      </c>
      <c r="N61" s="1">
        <f t="shared" si="31"/>
        <v>1026957.6379974335</v>
      </c>
      <c r="O61" s="1">
        <f t="shared" si="7"/>
        <v>1253487.3769790342</v>
      </c>
      <c r="P61" s="1">
        <f t="shared" si="8"/>
        <v>2280445.0149764679</v>
      </c>
      <c r="Q61" s="1">
        <f t="shared" si="9"/>
        <v>198202824.13350469</v>
      </c>
      <c r="S61" s="16"/>
      <c r="T61" t="s">
        <v>44</v>
      </c>
      <c r="U61">
        <f>12</f>
        <v>12</v>
      </c>
      <c r="W61">
        <f t="shared" si="35"/>
        <v>10</v>
      </c>
      <c r="X61">
        <f t="shared" si="20"/>
        <v>3</v>
      </c>
      <c r="Y61" s="3">
        <f t="shared" si="10"/>
        <v>0.12</v>
      </c>
      <c r="Z61" s="1">
        <f t="shared" si="36"/>
        <v>948214.2857142858</v>
      </c>
      <c r="AA61" s="1">
        <f t="shared" si="37"/>
        <v>94821.42857142858</v>
      </c>
      <c r="AB61" s="1">
        <f t="shared" si="38"/>
        <v>1043035.7142857143</v>
      </c>
      <c r="AC61" s="1">
        <f t="shared" si="39"/>
        <v>8533928.5714285728</v>
      </c>
      <c r="AD61" s="1">
        <f t="shared" si="25"/>
        <v>118129870.88265453</v>
      </c>
    </row>
    <row r="62" spans="5:30" x14ac:dyDescent="0.25">
      <c r="E62">
        <f t="shared" si="1"/>
        <v>48</v>
      </c>
      <c r="F62" s="2">
        <v>6.7699999999999996E-2</v>
      </c>
      <c r="G62" s="1">
        <f t="shared" si="2"/>
        <v>505329.64863797836</v>
      </c>
      <c r="H62" s="1">
        <f t="shared" si="3"/>
        <v>37061.718647190391</v>
      </c>
      <c r="I62" s="1">
        <f t="shared" si="4"/>
        <v>542391.36728516873</v>
      </c>
      <c r="J62" s="1">
        <f t="shared" si="5"/>
        <v>6063955.7836557403</v>
      </c>
      <c r="L62">
        <f t="shared" si="46"/>
        <v>48</v>
      </c>
      <c r="M62" s="2">
        <v>7.5499999999999998E-2</v>
      </c>
      <c r="N62" s="1">
        <f t="shared" si="31"/>
        <v>1026957.6379974337</v>
      </c>
      <c r="O62" s="1">
        <f t="shared" si="7"/>
        <v>1247026.1018399671</v>
      </c>
      <c r="P62" s="1">
        <f t="shared" si="8"/>
        <v>2273983.7398374006</v>
      </c>
      <c r="Q62" s="1">
        <f t="shared" si="9"/>
        <v>197175866.49550724</v>
      </c>
      <c r="S62" s="16"/>
      <c r="W62">
        <f t="shared" si="35"/>
        <v>10</v>
      </c>
      <c r="X62">
        <f t="shared" si="20"/>
        <v>4</v>
      </c>
      <c r="Y62" s="3">
        <f t="shared" si="10"/>
        <v>0.12</v>
      </c>
      <c r="Z62" s="1">
        <f t="shared" si="36"/>
        <v>948214.28571428591</v>
      </c>
      <c r="AA62" s="1">
        <f t="shared" si="37"/>
        <v>85339.285714285725</v>
      </c>
      <c r="AB62" s="1">
        <f t="shared" si="38"/>
        <v>1033553.5714285716</v>
      </c>
      <c r="AC62" s="1">
        <f t="shared" si="39"/>
        <v>7585714.2857142873</v>
      </c>
      <c r="AD62" s="1">
        <f t="shared" si="25"/>
        <v>118576259.9612409</v>
      </c>
    </row>
    <row r="63" spans="5:30" x14ac:dyDescent="0.25">
      <c r="E63">
        <f t="shared" si="1"/>
        <v>49</v>
      </c>
      <c r="F63" s="2">
        <v>6.7699999999999996E-2</v>
      </c>
      <c r="G63" s="1">
        <f t="shared" si="2"/>
        <v>505329.64863797836</v>
      </c>
      <c r="H63" s="1">
        <f t="shared" si="3"/>
        <v>34210.817212791131</v>
      </c>
      <c r="I63" s="1">
        <f t="shared" si="4"/>
        <v>539540.46585076954</v>
      </c>
      <c r="J63" s="1">
        <f t="shared" si="5"/>
        <v>5558626.135017762</v>
      </c>
      <c r="L63">
        <f t="shared" si="46"/>
        <v>49</v>
      </c>
      <c r="M63" s="2">
        <v>7.5499999999999998E-2</v>
      </c>
      <c r="N63" s="1">
        <f t="shared" si="31"/>
        <v>1026957.6379974335</v>
      </c>
      <c r="O63" s="1">
        <f t="shared" si="7"/>
        <v>1240564.8267008997</v>
      </c>
      <c r="P63" s="1">
        <f t="shared" si="8"/>
        <v>2267522.4646983333</v>
      </c>
      <c r="Q63" s="1">
        <f t="shared" si="9"/>
        <v>196148908.85750979</v>
      </c>
      <c r="S63" s="16"/>
      <c r="T63" t="s">
        <v>35</v>
      </c>
      <c r="U63" s="1">
        <f t="shared" ref="U63" si="53">ROUNDUP(U51*(1+$T$2),-3)</f>
        <v>1062000</v>
      </c>
      <c r="W63">
        <f t="shared" si="35"/>
        <v>10</v>
      </c>
      <c r="X63">
        <f t="shared" si="20"/>
        <v>5</v>
      </c>
      <c r="Y63" s="3">
        <f t="shared" si="10"/>
        <v>0.12</v>
      </c>
      <c r="Z63" s="1">
        <f t="shared" si="36"/>
        <v>948214.28571428591</v>
      </c>
      <c r="AA63" s="1">
        <f t="shared" si="37"/>
        <v>75857.14285714287</v>
      </c>
      <c r="AB63" s="1">
        <f t="shared" si="38"/>
        <v>1024071.4285714288</v>
      </c>
      <c r="AC63" s="1">
        <f t="shared" si="39"/>
        <v>6637500.0000000019</v>
      </c>
      <c r="AD63" s="1">
        <f t="shared" si="25"/>
        <v>119024335.85458456</v>
      </c>
    </row>
    <row r="64" spans="5:30" x14ac:dyDescent="0.25">
      <c r="E64">
        <f t="shared" si="1"/>
        <v>50</v>
      </c>
      <c r="F64" s="2">
        <v>6.7699999999999996E-2</v>
      </c>
      <c r="G64" s="1">
        <f t="shared" si="2"/>
        <v>505329.64863797836</v>
      </c>
      <c r="H64" s="1">
        <f t="shared" si="3"/>
        <v>31359.915778391871</v>
      </c>
      <c r="I64" s="1">
        <f t="shared" si="4"/>
        <v>536689.56441637024</v>
      </c>
      <c r="J64" s="1">
        <f t="shared" si="5"/>
        <v>5053296.4863797836</v>
      </c>
      <c r="L64">
        <f t="shared" si="46"/>
        <v>50</v>
      </c>
      <c r="M64" s="2">
        <v>7.5499999999999998E-2</v>
      </c>
      <c r="N64" s="1">
        <f t="shared" si="31"/>
        <v>1026957.6379974334</v>
      </c>
      <c r="O64" s="1">
        <f t="shared" si="7"/>
        <v>1234103.5515618324</v>
      </c>
      <c r="P64" s="1">
        <f t="shared" si="8"/>
        <v>2261061.189559266</v>
      </c>
      <c r="Q64" s="1">
        <f t="shared" si="9"/>
        <v>195121951.21951237</v>
      </c>
      <c r="S64" s="16"/>
      <c r="W64">
        <f t="shared" si="35"/>
        <v>10</v>
      </c>
      <c r="X64">
        <f t="shared" si="20"/>
        <v>6</v>
      </c>
      <c r="Y64" s="3">
        <f t="shared" si="10"/>
        <v>0.12</v>
      </c>
      <c r="Z64" s="1">
        <f t="shared" si="36"/>
        <v>948214.28571428603</v>
      </c>
      <c r="AA64" s="1">
        <f t="shared" si="37"/>
        <v>66375.000000000015</v>
      </c>
      <c r="AB64" s="1">
        <f t="shared" si="38"/>
        <v>1014589.285714286</v>
      </c>
      <c r="AC64" s="1">
        <f t="shared" si="39"/>
        <v>5689285.7142857155</v>
      </c>
      <c r="AD64" s="1">
        <f t="shared" si="25"/>
        <v>119474104.93682</v>
      </c>
    </row>
    <row r="65" spans="5:30" x14ac:dyDescent="0.25">
      <c r="E65">
        <f t="shared" si="1"/>
        <v>51</v>
      </c>
      <c r="F65" s="2">
        <v>6.7699999999999996E-2</v>
      </c>
      <c r="G65" s="1">
        <f t="shared" si="2"/>
        <v>505329.64863797836</v>
      </c>
      <c r="H65" s="1">
        <f t="shared" si="3"/>
        <v>28509.014343992611</v>
      </c>
      <c r="I65" s="1">
        <f t="shared" si="4"/>
        <v>533838.66298197093</v>
      </c>
      <c r="J65" s="1">
        <f t="shared" si="5"/>
        <v>4547966.8377418052</v>
      </c>
      <c r="L65">
        <f t="shared" si="46"/>
        <v>51</v>
      </c>
      <c r="M65" s="2">
        <v>7.5499999999999998E-2</v>
      </c>
      <c r="N65" s="1">
        <f t="shared" si="31"/>
        <v>1026957.6379974335</v>
      </c>
      <c r="O65" s="1">
        <f t="shared" si="7"/>
        <v>1227642.2764227653</v>
      </c>
      <c r="P65" s="1">
        <f t="shared" si="8"/>
        <v>2254599.9144201986</v>
      </c>
      <c r="Q65" s="1">
        <f t="shared" si="9"/>
        <v>194094993.58151495</v>
      </c>
      <c r="S65" s="16"/>
      <c r="T65" t="s">
        <v>15</v>
      </c>
      <c r="U65" s="1">
        <f t="shared" si="42"/>
        <v>11378571.428571429</v>
      </c>
      <c r="W65">
        <f t="shared" si="35"/>
        <v>10</v>
      </c>
      <c r="X65">
        <f t="shared" si="20"/>
        <v>7</v>
      </c>
      <c r="Y65" s="3">
        <f t="shared" si="10"/>
        <v>0.12</v>
      </c>
      <c r="Z65" s="1">
        <f t="shared" si="36"/>
        <v>948214.28571428591</v>
      </c>
      <c r="AA65" s="1">
        <f t="shared" si="37"/>
        <v>56892.857142857159</v>
      </c>
      <c r="AB65" s="1">
        <f t="shared" si="38"/>
        <v>1005107.1428571431</v>
      </c>
      <c r="AC65" s="1">
        <f t="shared" si="39"/>
        <v>4741071.4285714291</v>
      </c>
      <c r="AD65" s="1">
        <f t="shared" ref="AD65" si="54">-FV($U$12,1,0,AD64-HLOOKUP(W65,$S$23:$U$214,9+((W65-$S$11-1)*12)),1)</f>
        <v>117642980.61646026</v>
      </c>
    </row>
    <row r="66" spans="5:30" x14ac:dyDescent="0.25">
      <c r="E66">
        <f t="shared" si="1"/>
        <v>52</v>
      </c>
      <c r="F66" s="2">
        <v>6.7699999999999996E-2</v>
      </c>
      <c r="G66" s="1">
        <f t="shared" si="2"/>
        <v>505329.64863797836</v>
      </c>
      <c r="H66" s="1">
        <f t="shared" si="3"/>
        <v>25658.11290959335</v>
      </c>
      <c r="I66" s="1">
        <f t="shared" si="4"/>
        <v>530987.76154757175</v>
      </c>
      <c r="J66" s="1">
        <f t="shared" si="5"/>
        <v>4042637.1891038269</v>
      </c>
      <c r="L66">
        <f t="shared" si="46"/>
        <v>52</v>
      </c>
      <c r="M66" s="2">
        <v>7.5499999999999998E-2</v>
      </c>
      <c r="N66" s="1">
        <f t="shared" si="31"/>
        <v>1026957.6379974337</v>
      </c>
      <c r="O66" s="1">
        <f t="shared" si="7"/>
        <v>1221181.0012836982</v>
      </c>
      <c r="P66" s="1">
        <f t="shared" si="8"/>
        <v>2248138.6392811318</v>
      </c>
      <c r="Q66" s="1">
        <f t="shared" si="9"/>
        <v>193068035.94351751</v>
      </c>
      <c r="S66" s="16"/>
      <c r="W66">
        <f t="shared" si="35"/>
        <v>10</v>
      </c>
      <c r="X66">
        <f t="shared" si="20"/>
        <v>8</v>
      </c>
      <c r="Y66" s="3">
        <f t="shared" si="10"/>
        <v>0.12</v>
      </c>
      <c r="Z66" s="1">
        <f t="shared" si="36"/>
        <v>948214.2857142858</v>
      </c>
      <c r="AA66" s="1">
        <f t="shared" si="37"/>
        <v>47410.71428571429</v>
      </c>
      <c r="AB66" s="1">
        <f t="shared" si="38"/>
        <v>995625.00000000012</v>
      </c>
      <c r="AC66" s="1">
        <f t="shared" si="39"/>
        <v>3792857.1428571432</v>
      </c>
      <c r="AD66" s="1">
        <f t="shared" ref="AD66" si="55">-FV($U$12,1,0,AD65,1)</f>
        <v>118087529.83442819</v>
      </c>
    </row>
    <row r="67" spans="5:30" x14ac:dyDescent="0.25">
      <c r="E67">
        <f t="shared" si="1"/>
        <v>53</v>
      </c>
      <c r="F67" s="2">
        <v>6.7699999999999996E-2</v>
      </c>
      <c r="G67" s="1">
        <f t="shared" si="2"/>
        <v>505329.64863797836</v>
      </c>
      <c r="H67" s="1">
        <f t="shared" si="3"/>
        <v>22807.21147519409</v>
      </c>
      <c r="I67" s="1">
        <f t="shared" si="4"/>
        <v>528136.86011317244</v>
      </c>
      <c r="J67" s="1">
        <f t="shared" si="5"/>
        <v>3537307.5404658485</v>
      </c>
      <c r="L67">
        <f t="shared" si="46"/>
        <v>53</v>
      </c>
      <c r="M67" s="2">
        <v>7.5499999999999998E-2</v>
      </c>
      <c r="N67" s="1">
        <f t="shared" si="31"/>
        <v>1026957.6379974335</v>
      </c>
      <c r="O67" s="1">
        <f t="shared" si="7"/>
        <v>1214719.7261446309</v>
      </c>
      <c r="P67" s="1">
        <f t="shared" si="8"/>
        <v>2241677.3641420645</v>
      </c>
      <c r="Q67" s="1">
        <f t="shared" si="9"/>
        <v>192041078.30552006</v>
      </c>
      <c r="S67" s="16"/>
      <c r="T67" t="s">
        <v>46</v>
      </c>
      <c r="U67" s="1">
        <f t="shared" ref="U67" si="56">ROUNDUP($T$4*1000*(1+$T$2)^(S59-$S$11),-3)*6</f>
        <v>2274000</v>
      </c>
      <c r="W67">
        <f t="shared" si="35"/>
        <v>10</v>
      </c>
      <c r="X67">
        <f t="shared" si="20"/>
        <v>9</v>
      </c>
      <c r="Y67" s="3">
        <f t="shared" si="10"/>
        <v>0.12</v>
      </c>
      <c r="Z67" s="1">
        <f t="shared" si="36"/>
        <v>948214.2857142858</v>
      </c>
      <c r="AA67" s="1">
        <f t="shared" si="37"/>
        <v>37928.571428571435</v>
      </c>
      <c r="AB67" s="1">
        <f t="shared" si="38"/>
        <v>986142.85714285728</v>
      </c>
      <c r="AC67" s="1">
        <f t="shared" si="39"/>
        <v>2844642.8571428573</v>
      </c>
      <c r="AD67" s="1">
        <f t="shared" si="29"/>
        <v>118533758.9146893</v>
      </c>
    </row>
    <row r="68" spans="5:30" x14ac:dyDescent="0.25">
      <c r="E68">
        <f>E67+1</f>
        <v>54</v>
      </c>
      <c r="F68" s="2">
        <v>6.7699999999999996E-2</v>
      </c>
      <c r="G68" s="1">
        <f t="shared" si="2"/>
        <v>505329.64863797836</v>
      </c>
      <c r="H68" s="1">
        <f t="shared" si="3"/>
        <v>19956.310040794826</v>
      </c>
      <c r="I68" s="1">
        <f t="shared" si="4"/>
        <v>525285.95867877314</v>
      </c>
      <c r="J68" s="1">
        <f t="shared" si="5"/>
        <v>3031977.8918278702</v>
      </c>
      <c r="L68">
        <f>L67+1</f>
        <v>54</v>
      </c>
      <c r="M68" s="2">
        <v>7.5499999999999998E-2</v>
      </c>
      <c r="N68" s="1">
        <f t="shared" si="31"/>
        <v>1026957.6379974334</v>
      </c>
      <c r="O68" s="1">
        <f t="shared" si="7"/>
        <v>1208258.4510055636</v>
      </c>
      <c r="P68" s="1">
        <f t="shared" si="8"/>
        <v>2235216.0890029971</v>
      </c>
      <c r="Q68" s="1">
        <f t="shared" si="9"/>
        <v>191014120.66752264</v>
      </c>
      <c r="S68" s="16"/>
      <c r="W68">
        <f t="shared" si="35"/>
        <v>10</v>
      </c>
      <c r="X68">
        <f t="shared" si="20"/>
        <v>10</v>
      </c>
      <c r="Y68" s="3">
        <f t="shared" si="10"/>
        <v>0.12</v>
      </c>
      <c r="Z68" s="1">
        <f t="shared" si="36"/>
        <v>948214.2857142858</v>
      </c>
      <c r="AA68" s="1">
        <f t="shared" si="37"/>
        <v>28446.428571428572</v>
      </c>
      <c r="AB68" s="1">
        <f t="shared" si="38"/>
        <v>976660.71428571432</v>
      </c>
      <c r="AC68" s="1">
        <f t="shared" si="39"/>
        <v>1896428.5714285714</v>
      </c>
      <c r="AD68" s="1">
        <f t="shared" si="29"/>
        <v>118981674.20510614</v>
      </c>
    </row>
    <row r="69" spans="5:30" x14ac:dyDescent="0.25">
      <c r="E69">
        <f t="shared" si="1"/>
        <v>55</v>
      </c>
      <c r="F69" s="2">
        <v>6.7699999999999996E-2</v>
      </c>
      <c r="G69" s="1">
        <f t="shared" si="2"/>
        <v>505329.64863797836</v>
      </c>
      <c r="H69" s="1">
        <f t="shared" si="3"/>
        <v>17105.408606395566</v>
      </c>
      <c r="I69" s="1">
        <f t="shared" si="4"/>
        <v>522435.05724437395</v>
      </c>
      <c r="J69" s="1">
        <f t="shared" si="5"/>
        <v>2526648.2431898918</v>
      </c>
      <c r="L69">
        <f t="shared" ref="L69:L132" si="57">L68+1</f>
        <v>55</v>
      </c>
      <c r="M69" s="2">
        <v>7.5499999999999998E-2</v>
      </c>
      <c r="N69" s="1">
        <f t="shared" si="31"/>
        <v>1026957.6379974335</v>
      </c>
      <c r="O69" s="1">
        <f t="shared" si="7"/>
        <v>1201797.1758664965</v>
      </c>
      <c r="P69" s="1">
        <f t="shared" si="8"/>
        <v>2228754.8138639303</v>
      </c>
      <c r="Q69" s="1">
        <f t="shared" si="9"/>
        <v>189987163.02952522</v>
      </c>
      <c r="S69" s="16"/>
      <c r="T69" t="s">
        <v>47</v>
      </c>
      <c r="U69" s="1">
        <f t="shared" si="47"/>
        <v>4548000</v>
      </c>
      <c r="W69">
        <f t="shared" si="35"/>
        <v>10</v>
      </c>
      <c r="X69">
        <f t="shared" si="20"/>
        <v>11</v>
      </c>
      <c r="Y69" s="3">
        <f t="shared" si="10"/>
        <v>0.12</v>
      </c>
      <c r="Z69" s="1">
        <f t="shared" si="36"/>
        <v>948214.28571428568</v>
      </c>
      <c r="AA69" s="1">
        <f t="shared" si="37"/>
        <v>18964.285714285714</v>
      </c>
      <c r="AB69" s="1">
        <f t="shared" si="38"/>
        <v>967178.57142857136</v>
      </c>
      <c r="AC69" s="1">
        <f t="shared" si="39"/>
        <v>948214.28571428568</v>
      </c>
      <c r="AD69" s="1">
        <f t="shared" si="29"/>
        <v>119431282.07752852</v>
      </c>
    </row>
    <row r="70" spans="5:30" x14ac:dyDescent="0.25">
      <c r="E70">
        <f t="shared" si="1"/>
        <v>56</v>
      </c>
      <c r="F70" s="2">
        <v>6.7699999999999996E-2</v>
      </c>
      <c r="G70" s="1">
        <f t="shared" si="2"/>
        <v>505329.64863797836</v>
      </c>
      <c r="H70" s="1">
        <f t="shared" si="3"/>
        <v>14254.507171996305</v>
      </c>
      <c r="I70" s="1">
        <f t="shared" si="4"/>
        <v>519584.15580997465</v>
      </c>
      <c r="J70" s="1">
        <f t="shared" si="5"/>
        <v>2021318.5945519134</v>
      </c>
      <c r="L70">
        <f t="shared" si="57"/>
        <v>56</v>
      </c>
      <c r="M70" s="2">
        <v>7.5499999999999998E-2</v>
      </c>
      <c r="N70" s="1">
        <f t="shared" si="31"/>
        <v>1026957.6379974337</v>
      </c>
      <c r="O70" s="1">
        <f t="shared" si="7"/>
        <v>1195335.9007274294</v>
      </c>
      <c r="P70" s="1">
        <f t="shared" si="8"/>
        <v>2222293.538724863</v>
      </c>
      <c r="Q70" s="1">
        <f t="shared" si="9"/>
        <v>188960205.39152777</v>
      </c>
      <c r="S70" s="16"/>
      <c r="W70">
        <f t="shared" si="35"/>
        <v>10</v>
      </c>
      <c r="X70">
        <f t="shared" si="20"/>
        <v>12</v>
      </c>
      <c r="Y70" s="3">
        <f t="shared" si="10"/>
        <v>0.12</v>
      </c>
      <c r="Z70" s="1">
        <f t="shared" si="36"/>
        <v>948214.28571428568</v>
      </c>
      <c r="AA70" s="1">
        <f t="shared" si="37"/>
        <v>9482.1428571428569</v>
      </c>
      <c r="AB70" s="1">
        <f t="shared" si="38"/>
        <v>957696.42857142852</v>
      </c>
      <c r="AC70" s="1">
        <f t="shared" si="39"/>
        <v>11614285.714285715</v>
      </c>
      <c r="AD70" s="1">
        <f t="shared" si="29"/>
        <v>119882588.92788422</v>
      </c>
    </row>
    <row r="71" spans="5:30" x14ac:dyDescent="0.25">
      <c r="E71">
        <f t="shared" si="1"/>
        <v>57</v>
      </c>
      <c r="F71" s="2">
        <v>6.7699999999999996E-2</v>
      </c>
      <c r="G71" s="1">
        <f t="shared" si="2"/>
        <v>505329.64863797836</v>
      </c>
      <c r="H71" s="1">
        <f t="shared" si="3"/>
        <v>11403.605737597045</v>
      </c>
      <c r="I71" s="1">
        <f t="shared" si="4"/>
        <v>516733.2543755754</v>
      </c>
      <c r="J71" s="1">
        <f t="shared" si="5"/>
        <v>1515988.9459139351</v>
      </c>
      <c r="L71">
        <f t="shared" si="57"/>
        <v>57</v>
      </c>
      <c r="M71" s="2">
        <v>7.5499999999999998E-2</v>
      </c>
      <c r="N71" s="1">
        <f t="shared" si="31"/>
        <v>1026957.6379974335</v>
      </c>
      <c r="O71" s="1">
        <f t="shared" si="7"/>
        <v>1188874.6255883623</v>
      </c>
      <c r="P71" s="1">
        <f t="shared" si="8"/>
        <v>2215832.2635857956</v>
      </c>
      <c r="Q71" s="1">
        <f t="shared" si="9"/>
        <v>187933247.75353032</v>
      </c>
      <c r="S71" s="16">
        <v>11</v>
      </c>
      <c r="T71" t="s">
        <v>45</v>
      </c>
      <c r="U71" s="5">
        <f>12%</f>
        <v>0.12</v>
      </c>
      <c r="W71">
        <f t="shared" ref="W71" si="58">W59+1</f>
        <v>11</v>
      </c>
      <c r="X71">
        <f t="shared" si="20"/>
        <v>1</v>
      </c>
      <c r="Y71" s="3">
        <f t="shared" si="10"/>
        <v>0.12</v>
      </c>
      <c r="Z71" s="1">
        <f t="shared" si="36"/>
        <v>967857.14285714284</v>
      </c>
      <c r="AA71" s="1">
        <f t="shared" si="37"/>
        <v>116142.85714285714</v>
      </c>
      <c r="AB71" s="1">
        <f t="shared" si="38"/>
        <v>1084000</v>
      </c>
      <c r="AC71" s="1">
        <f t="shared" si="39"/>
        <v>10646428.571428571</v>
      </c>
      <c r="AD71" s="1">
        <f t="shared" ref="AD71" si="59">-FV($U$12,1,0,AD70+AC70-HLOOKUP(W71,$S$23:$U$214,9+((W71-$S$11-1)*12)),1)</f>
        <v>129663000.57371613</v>
      </c>
    </row>
    <row r="72" spans="5:30" x14ac:dyDescent="0.25">
      <c r="E72">
        <f t="shared" si="1"/>
        <v>58</v>
      </c>
      <c r="F72" s="2">
        <v>6.7699999999999996E-2</v>
      </c>
      <c r="G72" s="1">
        <f t="shared" si="2"/>
        <v>505329.64863797836</v>
      </c>
      <c r="H72" s="1">
        <f t="shared" si="3"/>
        <v>8552.7043031977828</v>
      </c>
      <c r="I72" s="1">
        <f t="shared" si="4"/>
        <v>513882.35294117616</v>
      </c>
      <c r="J72" s="1">
        <f t="shared" si="5"/>
        <v>1010659.2972759567</v>
      </c>
      <c r="L72">
        <f t="shared" si="57"/>
        <v>58</v>
      </c>
      <c r="M72" s="2">
        <v>7.5499999999999998E-2</v>
      </c>
      <c r="N72" s="1">
        <f t="shared" si="31"/>
        <v>1026957.6379974334</v>
      </c>
      <c r="O72" s="1">
        <f t="shared" si="7"/>
        <v>1182413.350449295</v>
      </c>
      <c r="P72" s="1">
        <f t="shared" si="8"/>
        <v>2209370.9884467283</v>
      </c>
      <c r="Q72" s="1">
        <f t="shared" si="9"/>
        <v>186906290.1155329</v>
      </c>
      <c r="S72" s="16"/>
      <c r="T72" t="s">
        <v>43</v>
      </c>
      <c r="U72">
        <f t="shared" ref="U72" si="60">U73/12</f>
        <v>1</v>
      </c>
      <c r="W72">
        <f t="shared" ref="W72" si="61">W71</f>
        <v>11</v>
      </c>
      <c r="X72">
        <f t="shared" si="20"/>
        <v>2</v>
      </c>
      <c r="Y72" s="3">
        <f t="shared" si="10"/>
        <v>0.12</v>
      </c>
      <c r="Z72" s="1">
        <f t="shared" si="36"/>
        <v>967857.14285714284</v>
      </c>
      <c r="AA72" s="1">
        <f t="shared" si="37"/>
        <v>106464.28571428571</v>
      </c>
      <c r="AB72" s="1">
        <f t="shared" si="38"/>
        <v>1074321.4285714286</v>
      </c>
      <c r="AC72" s="1">
        <f t="shared" si="39"/>
        <v>9678571.4285714272</v>
      </c>
      <c r="AD72" s="1">
        <f t="shared" ref="AD72" si="62">-FV($U$12,1,0,AD71,1)</f>
        <v>130152971.0352122</v>
      </c>
    </row>
    <row r="73" spans="5:30" x14ac:dyDescent="0.25">
      <c r="E73">
        <f t="shared" si="1"/>
        <v>59</v>
      </c>
      <c r="F73" s="2">
        <v>6.7699999999999996E-2</v>
      </c>
      <c r="G73" s="1">
        <f t="shared" si="2"/>
        <v>505329.64863797836</v>
      </c>
      <c r="H73" s="1">
        <f t="shared" si="3"/>
        <v>5701.8028687985225</v>
      </c>
      <c r="I73" s="1">
        <f t="shared" si="4"/>
        <v>511031.45150677691</v>
      </c>
      <c r="J73" s="1">
        <f t="shared" si="5"/>
        <v>505329.64863797836</v>
      </c>
      <c r="L73">
        <f t="shared" si="57"/>
        <v>59</v>
      </c>
      <c r="M73" s="2">
        <v>7.5499999999999998E-2</v>
      </c>
      <c r="N73" s="1">
        <f t="shared" si="31"/>
        <v>1026957.6379974335</v>
      </c>
      <c r="O73" s="1">
        <f t="shared" si="7"/>
        <v>1175952.0753102279</v>
      </c>
      <c r="P73" s="1">
        <f t="shared" si="8"/>
        <v>2202909.7133076615</v>
      </c>
      <c r="Q73" s="1">
        <f t="shared" si="9"/>
        <v>185879332.47753549</v>
      </c>
      <c r="S73" s="16"/>
      <c r="T73" t="s">
        <v>44</v>
      </c>
      <c r="U73">
        <f>12</f>
        <v>12</v>
      </c>
      <c r="W73">
        <f t="shared" si="35"/>
        <v>11</v>
      </c>
      <c r="X73">
        <f t="shared" si="20"/>
        <v>3</v>
      </c>
      <c r="Y73" s="3">
        <f t="shared" si="10"/>
        <v>0.12</v>
      </c>
      <c r="Z73" s="1">
        <f t="shared" si="36"/>
        <v>967857.14285714272</v>
      </c>
      <c r="AA73" s="1">
        <f t="shared" si="37"/>
        <v>96785.714285714275</v>
      </c>
      <c r="AB73" s="1">
        <f t="shared" si="38"/>
        <v>1064642.857142857</v>
      </c>
      <c r="AC73" s="1">
        <f t="shared" si="39"/>
        <v>8710714.2857142836</v>
      </c>
      <c r="AD73" s="1">
        <f t="shared" si="25"/>
        <v>130644792.9967667</v>
      </c>
    </row>
    <row r="74" spans="5:30" x14ac:dyDescent="0.25">
      <c r="E74">
        <f t="shared" si="1"/>
        <v>60</v>
      </c>
      <c r="F74" s="2">
        <v>6.7699999999999996E-2</v>
      </c>
      <c r="G74" s="1">
        <f t="shared" si="2"/>
        <v>505329.64863797836</v>
      </c>
      <c r="H74" s="1">
        <f t="shared" si="3"/>
        <v>2850.9014343992612</v>
      </c>
      <c r="I74" s="1">
        <f t="shared" si="4"/>
        <v>508180.55007237761</v>
      </c>
      <c r="J74" s="1">
        <f t="shared" si="5"/>
        <v>0</v>
      </c>
      <c r="L74">
        <f t="shared" si="57"/>
        <v>60</v>
      </c>
      <c r="M74" s="2">
        <v>7.5499999999999998E-2</v>
      </c>
      <c r="N74" s="1">
        <f t="shared" si="31"/>
        <v>1026957.6379974337</v>
      </c>
      <c r="O74" s="1">
        <f t="shared" si="7"/>
        <v>1169490.8001711608</v>
      </c>
      <c r="P74" s="1">
        <f t="shared" si="8"/>
        <v>2196448.4381685946</v>
      </c>
      <c r="Q74" s="1">
        <f t="shared" si="9"/>
        <v>184852374.83953804</v>
      </c>
      <c r="S74" s="16"/>
      <c r="W74">
        <f t="shared" si="35"/>
        <v>11</v>
      </c>
      <c r="X74">
        <f t="shared" si="20"/>
        <v>4</v>
      </c>
      <c r="Y74" s="3">
        <f t="shared" si="10"/>
        <v>0.12</v>
      </c>
      <c r="Z74" s="1">
        <f t="shared" si="36"/>
        <v>967857.14285714261</v>
      </c>
      <c r="AA74" s="1">
        <f t="shared" si="37"/>
        <v>87107.142857142841</v>
      </c>
      <c r="AB74" s="1">
        <f t="shared" si="38"/>
        <v>1054964.2857142854</v>
      </c>
      <c r="AC74" s="1">
        <f t="shared" si="39"/>
        <v>7742857.1428571409</v>
      </c>
      <c r="AD74" s="1">
        <f t="shared" si="25"/>
        <v>131138473.45482683</v>
      </c>
    </row>
    <row r="75" spans="5:30" x14ac:dyDescent="0.25">
      <c r="L75">
        <f t="shared" si="57"/>
        <v>61</v>
      </c>
      <c r="M75" s="2">
        <v>7.5499999999999998E-2</v>
      </c>
      <c r="N75" s="1">
        <f t="shared" ref="N75:N138" si="63">IFERROR(Q74/($M$10+1-L75),0)</f>
        <v>1026957.6379974335</v>
      </c>
      <c r="O75" s="1">
        <f t="shared" ref="O75:O138" si="64">Q74*(M75/12)</f>
        <v>1163029.5250320935</v>
      </c>
      <c r="P75" s="1">
        <f t="shared" ref="P75:P138" si="65">N75+O75</f>
        <v>2189987.1630295273</v>
      </c>
      <c r="Q75" s="1">
        <f t="shared" ref="Q75:Q138" si="66">Q74-N75</f>
        <v>183825417.20154059</v>
      </c>
      <c r="S75" s="16"/>
      <c r="T75" t="s">
        <v>35</v>
      </c>
      <c r="U75" s="1">
        <f t="shared" ref="U75" si="67">ROUNDUP(U63*(1+$T$2),-3)</f>
        <v>1084000</v>
      </c>
      <c r="W75">
        <f t="shared" si="35"/>
        <v>11</v>
      </c>
      <c r="X75">
        <f t="shared" si="20"/>
        <v>5</v>
      </c>
      <c r="Y75" s="3">
        <f t="shared" si="10"/>
        <v>0.12</v>
      </c>
      <c r="Z75" s="1">
        <f t="shared" si="36"/>
        <v>967857.14285714261</v>
      </c>
      <c r="AA75" s="1">
        <f t="shared" si="37"/>
        <v>77428.571428571406</v>
      </c>
      <c r="AB75" s="1">
        <f t="shared" si="38"/>
        <v>1045285.714285714</v>
      </c>
      <c r="AC75" s="1">
        <f t="shared" si="39"/>
        <v>6774999.9999999981</v>
      </c>
      <c r="AD75" s="1">
        <f t="shared" si="25"/>
        <v>131634019.43227798</v>
      </c>
    </row>
    <row r="76" spans="5:30" x14ac:dyDescent="0.25">
      <c r="L76">
        <f t="shared" si="57"/>
        <v>62</v>
      </c>
      <c r="M76" s="2">
        <v>7.5499999999999998E-2</v>
      </c>
      <c r="N76" s="1">
        <f t="shared" si="63"/>
        <v>1026957.6379974334</v>
      </c>
      <c r="O76" s="1">
        <f t="shared" si="64"/>
        <v>1156568.2498930262</v>
      </c>
      <c r="P76" s="1">
        <f t="shared" si="65"/>
        <v>2183525.8878904595</v>
      </c>
      <c r="Q76" s="1">
        <f t="shared" si="66"/>
        <v>182798459.56354317</v>
      </c>
      <c r="S76" s="16"/>
      <c r="W76">
        <f t="shared" si="35"/>
        <v>11</v>
      </c>
      <c r="X76">
        <f t="shared" si="20"/>
        <v>6</v>
      </c>
      <c r="Y76" s="3">
        <f t="shared" si="10"/>
        <v>0.12</v>
      </c>
      <c r="Z76" s="1">
        <f t="shared" si="36"/>
        <v>967857.14285714261</v>
      </c>
      <c r="AA76" s="1">
        <f t="shared" si="37"/>
        <v>67749.999999999985</v>
      </c>
      <c r="AB76" s="1">
        <f t="shared" si="38"/>
        <v>1035607.1428571426</v>
      </c>
      <c r="AC76" s="1">
        <f t="shared" si="39"/>
        <v>5807142.8571428554</v>
      </c>
      <c r="AD76" s="1">
        <f t="shared" si="25"/>
        <v>132131437.97854359</v>
      </c>
    </row>
    <row r="77" spans="5:30" x14ac:dyDescent="0.25">
      <c r="L77">
        <f t="shared" si="57"/>
        <v>63</v>
      </c>
      <c r="M77" s="2">
        <v>7.5499999999999998E-2</v>
      </c>
      <c r="N77" s="1">
        <f t="shared" si="63"/>
        <v>1026957.6379974335</v>
      </c>
      <c r="O77" s="1">
        <f t="shared" si="64"/>
        <v>1150106.9747539591</v>
      </c>
      <c r="P77" s="1">
        <f t="shared" si="65"/>
        <v>2177064.6127513926</v>
      </c>
      <c r="Q77" s="1">
        <f t="shared" si="66"/>
        <v>181771501.92554575</v>
      </c>
      <c r="S77" s="16"/>
      <c r="T77" t="s">
        <v>15</v>
      </c>
      <c r="U77" s="1">
        <f t="shared" si="42"/>
        <v>11614285.714285715</v>
      </c>
      <c r="W77">
        <f t="shared" si="35"/>
        <v>11</v>
      </c>
      <c r="X77">
        <f t="shared" si="20"/>
        <v>7</v>
      </c>
      <c r="Y77" s="3">
        <f t="shared" si="10"/>
        <v>0.12</v>
      </c>
      <c r="Z77" s="1">
        <f t="shared" si="36"/>
        <v>967857.14285714261</v>
      </c>
      <c r="AA77" s="1">
        <f t="shared" si="37"/>
        <v>58071.428571428558</v>
      </c>
      <c r="AB77" s="1">
        <f t="shared" si="38"/>
        <v>1025928.5714285711</v>
      </c>
      <c r="AC77" s="1">
        <f t="shared" si="39"/>
        <v>4839285.7142857127</v>
      </c>
      <c r="AD77" s="1">
        <f t="shared" ref="AD77" si="68">-FV($U$12,1,0,AD76-HLOOKUP(W77,$S$23:$U$214,9+((W77-$S$11-1)*12)),1)</f>
        <v>130299961.79760894</v>
      </c>
    </row>
    <row r="78" spans="5:30" x14ac:dyDescent="0.25">
      <c r="L78">
        <f t="shared" si="57"/>
        <v>64</v>
      </c>
      <c r="M78" s="2">
        <v>7.5499999999999998E-2</v>
      </c>
      <c r="N78" s="1">
        <f t="shared" si="63"/>
        <v>1026957.6379974337</v>
      </c>
      <c r="O78" s="1">
        <f t="shared" si="64"/>
        <v>1143645.699614892</v>
      </c>
      <c r="P78" s="1">
        <f t="shared" si="65"/>
        <v>2170603.3376123258</v>
      </c>
      <c r="Q78" s="1">
        <f t="shared" si="66"/>
        <v>180744544.2875483</v>
      </c>
      <c r="S78" s="16"/>
      <c r="W78">
        <f t="shared" si="35"/>
        <v>11</v>
      </c>
      <c r="X78">
        <f t="shared" si="20"/>
        <v>8</v>
      </c>
      <c r="Y78" s="3">
        <f t="shared" si="10"/>
        <v>0.12</v>
      </c>
      <c r="Z78" s="1">
        <f t="shared" si="36"/>
        <v>967857.14285714249</v>
      </c>
      <c r="AA78" s="1">
        <f t="shared" si="37"/>
        <v>48392.85714285713</v>
      </c>
      <c r="AB78" s="1">
        <f t="shared" si="38"/>
        <v>1016249.9999999997</v>
      </c>
      <c r="AC78" s="1">
        <f t="shared" si="39"/>
        <v>3871428.57142857</v>
      </c>
      <c r="AD78" s="1">
        <f t="shared" ref="AD78" si="69">-FV($U$12,1,0,AD77,1)</f>
        <v>130792339.20775995</v>
      </c>
    </row>
    <row r="79" spans="5:30" x14ac:dyDescent="0.25">
      <c r="L79">
        <f t="shared" si="57"/>
        <v>65</v>
      </c>
      <c r="M79" s="2">
        <v>7.5499999999999998E-2</v>
      </c>
      <c r="N79" s="1">
        <f t="shared" si="63"/>
        <v>1026957.6379974335</v>
      </c>
      <c r="O79" s="1">
        <f t="shared" si="64"/>
        <v>1137184.4244758247</v>
      </c>
      <c r="P79" s="1">
        <f t="shared" si="65"/>
        <v>2164142.062473258</v>
      </c>
      <c r="Q79" s="1">
        <f t="shared" si="66"/>
        <v>179717586.64955086</v>
      </c>
      <c r="S79" s="16"/>
      <c r="T79" t="s">
        <v>46</v>
      </c>
      <c r="U79" s="1">
        <f t="shared" ref="U79" si="70">ROUNDUP($T$4*1000*(1+$T$2)^(S71-$S$11),-3)*6</f>
        <v>2322000</v>
      </c>
      <c r="W79">
        <f t="shared" si="35"/>
        <v>11</v>
      </c>
      <c r="X79">
        <f t="shared" si="20"/>
        <v>9</v>
      </c>
      <c r="Y79" s="3">
        <f t="shared" si="10"/>
        <v>0.12</v>
      </c>
      <c r="Z79" s="1">
        <f t="shared" si="36"/>
        <v>967857.14285714249</v>
      </c>
      <c r="AA79" s="1">
        <f t="shared" si="37"/>
        <v>38714.285714285703</v>
      </c>
      <c r="AB79" s="1">
        <f t="shared" si="38"/>
        <v>1006571.4285714282</v>
      </c>
      <c r="AC79" s="1">
        <f t="shared" si="39"/>
        <v>2903571.4285714272</v>
      </c>
      <c r="AD79" s="1">
        <f t="shared" si="29"/>
        <v>131286577.21334538</v>
      </c>
    </row>
    <row r="80" spans="5:30" x14ac:dyDescent="0.25">
      <c r="L80">
        <f t="shared" si="57"/>
        <v>66</v>
      </c>
      <c r="M80" s="2">
        <v>7.5499999999999998E-2</v>
      </c>
      <c r="N80" s="1">
        <f t="shared" si="63"/>
        <v>1026957.6379974334</v>
      </c>
      <c r="O80" s="1">
        <f t="shared" si="64"/>
        <v>1130723.1493367574</v>
      </c>
      <c r="P80" s="1">
        <f t="shared" si="65"/>
        <v>2157680.7873341907</v>
      </c>
      <c r="Q80" s="1">
        <f t="shared" si="66"/>
        <v>178690629.01155344</v>
      </c>
      <c r="S80" s="16"/>
      <c r="W80">
        <f t="shared" si="35"/>
        <v>11</v>
      </c>
      <c r="X80">
        <f t="shared" si="20"/>
        <v>10</v>
      </c>
      <c r="Y80" s="3">
        <f t="shared" si="10"/>
        <v>0.12</v>
      </c>
      <c r="Z80" s="1">
        <f t="shared" si="36"/>
        <v>967857.14285714237</v>
      </c>
      <c r="AA80" s="1">
        <f t="shared" si="37"/>
        <v>29035.714285714272</v>
      </c>
      <c r="AB80" s="1">
        <f t="shared" si="38"/>
        <v>996892.85714285669</v>
      </c>
      <c r="AC80" s="1">
        <f t="shared" si="39"/>
        <v>1935714.285714285</v>
      </c>
      <c r="AD80" s="1">
        <f t="shared" si="29"/>
        <v>131782682.84518205</v>
      </c>
    </row>
    <row r="81" spans="12:30" x14ac:dyDescent="0.25">
      <c r="L81">
        <f t="shared" si="57"/>
        <v>67</v>
      </c>
      <c r="M81" s="2">
        <v>7.5499999999999998E-2</v>
      </c>
      <c r="N81" s="1">
        <f t="shared" si="63"/>
        <v>1026957.6379974335</v>
      </c>
      <c r="O81" s="1">
        <f t="shared" si="64"/>
        <v>1124261.8741976903</v>
      </c>
      <c r="P81" s="1">
        <f t="shared" si="65"/>
        <v>2151219.5121951238</v>
      </c>
      <c r="Q81" s="1">
        <f t="shared" si="66"/>
        <v>177663671.37355602</v>
      </c>
      <c r="S81" s="16"/>
      <c r="T81" t="s">
        <v>47</v>
      </c>
      <c r="U81" s="1">
        <f t="shared" si="47"/>
        <v>4644000</v>
      </c>
      <c r="W81">
        <f t="shared" si="35"/>
        <v>11</v>
      </c>
      <c r="X81">
        <f t="shared" si="20"/>
        <v>11</v>
      </c>
      <c r="Y81" s="3">
        <f t="shared" si="10"/>
        <v>0.12</v>
      </c>
      <c r="Z81" s="1">
        <f t="shared" si="36"/>
        <v>967857.14285714249</v>
      </c>
      <c r="AA81" s="1">
        <f t="shared" si="37"/>
        <v>19357.142857142851</v>
      </c>
      <c r="AB81" s="1">
        <f t="shared" si="38"/>
        <v>987214.28571428533</v>
      </c>
      <c r="AC81" s="1">
        <f t="shared" si="39"/>
        <v>967857.14285714249</v>
      </c>
      <c r="AD81" s="1">
        <f t="shared" si="29"/>
        <v>132280663.1606548</v>
      </c>
    </row>
    <row r="82" spans="12:30" x14ac:dyDescent="0.25">
      <c r="L82">
        <f t="shared" si="57"/>
        <v>68</v>
      </c>
      <c r="M82" s="2">
        <v>7.5499999999999998E-2</v>
      </c>
      <c r="N82" s="1">
        <f t="shared" si="63"/>
        <v>1026957.6379974337</v>
      </c>
      <c r="O82" s="1">
        <f t="shared" si="64"/>
        <v>1117800.5990586232</v>
      </c>
      <c r="P82" s="1">
        <f t="shared" si="65"/>
        <v>2144758.237056057</v>
      </c>
      <c r="Q82" s="1">
        <f t="shared" si="66"/>
        <v>176636713.73555857</v>
      </c>
      <c r="S82" s="16"/>
      <c r="W82">
        <f t="shared" si="35"/>
        <v>11</v>
      </c>
      <c r="X82">
        <f t="shared" si="20"/>
        <v>12</v>
      </c>
      <c r="Y82" s="3">
        <f t="shared" si="10"/>
        <v>0.12</v>
      </c>
      <c r="Z82" s="1">
        <f t="shared" si="36"/>
        <v>967857.14285714249</v>
      </c>
      <c r="AA82" s="1">
        <f t="shared" si="37"/>
        <v>9678.5714285714257</v>
      </c>
      <c r="AB82" s="1">
        <f t="shared" si="38"/>
        <v>977535.71428571397</v>
      </c>
      <c r="AC82" s="1">
        <f t="shared" si="39"/>
        <v>11850000</v>
      </c>
      <c r="AD82" s="1">
        <f t="shared" si="29"/>
        <v>132780525.24381694</v>
      </c>
    </row>
    <row r="83" spans="12:30" x14ac:dyDescent="0.25">
      <c r="L83">
        <f t="shared" si="57"/>
        <v>69</v>
      </c>
      <c r="M83" s="2">
        <v>7.5499999999999998E-2</v>
      </c>
      <c r="N83" s="1">
        <f t="shared" si="63"/>
        <v>1026957.6379974335</v>
      </c>
      <c r="O83" s="1">
        <f t="shared" si="64"/>
        <v>1111339.3239195561</v>
      </c>
      <c r="P83" s="1">
        <f t="shared" si="65"/>
        <v>2138296.9619169896</v>
      </c>
      <c r="Q83" s="1">
        <f t="shared" si="66"/>
        <v>175609756.09756112</v>
      </c>
      <c r="S83" s="16">
        <v>12</v>
      </c>
      <c r="T83" t="s">
        <v>45</v>
      </c>
      <c r="U83" s="5">
        <f>12%</f>
        <v>0.12</v>
      </c>
      <c r="W83">
        <f t="shared" ref="W83" si="71">W71+1</f>
        <v>12</v>
      </c>
      <c r="X83">
        <f t="shared" si="20"/>
        <v>1</v>
      </c>
      <c r="Y83" s="3">
        <f t="shared" si="10"/>
        <v>0.12</v>
      </c>
      <c r="Z83" s="1">
        <f t="shared" si="36"/>
        <v>987500</v>
      </c>
      <c r="AA83" s="1">
        <f t="shared" si="37"/>
        <v>118500</v>
      </c>
      <c r="AB83" s="1">
        <f t="shared" si="38"/>
        <v>1106000</v>
      </c>
      <c r="AC83" s="1">
        <f t="shared" si="39"/>
        <v>10862500</v>
      </c>
      <c r="AD83" s="1">
        <f t="shared" ref="AD83" si="72">-FV($U$12,1,0,AD82+AC82-HLOOKUP(W83,$S$23:$U$214,9+((W83-$S$11-1)*12)),1)</f>
        <v>142798099.22327116</v>
      </c>
    </row>
    <row r="84" spans="12:30" x14ac:dyDescent="0.25">
      <c r="L84">
        <f t="shared" si="57"/>
        <v>70</v>
      </c>
      <c r="M84" s="2">
        <v>7.5499999999999998E-2</v>
      </c>
      <c r="N84" s="1">
        <f t="shared" si="63"/>
        <v>1026957.6379974334</v>
      </c>
      <c r="O84" s="1">
        <f t="shared" si="64"/>
        <v>1104878.0487804888</v>
      </c>
      <c r="P84" s="1">
        <f t="shared" si="65"/>
        <v>2131835.6867779223</v>
      </c>
      <c r="Q84" s="1">
        <f t="shared" si="66"/>
        <v>174582798.4595637</v>
      </c>
      <c r="S84" s="16"/>
      <c r="T84" t="s">
        <v>43</v>
      </c>
      <c r="U84">
        <f t="shared" ref="U84" si="73">U85/12</f>
        <v>1</v>
      </c>
      <c r="W84">
        <f t="shared" ref="W84" si="74">W83</f>
        <v>12</v>
      </c>
      <c r="X84">
        <f t="shared" si="20"/>
        <v>2</v>
      </c>
      <c r="Y84" s="3">
        <f t="shared" si="10"/>
        <v>0.12</v>
      </c>
      <c r="Z84" s="1">
        <f t="shared" si="36"/>
        <v>987500</v>
      </c>
      <c r="AA84" s="1">
        <f t="shared" si="37"/>
        <v>108625</v>
      </c>
      <c r="AB84" s="1">
        <f t="shared" si="38"/>
        <v>1096125</v>
      </c>
      <c r="AC84" s="1">
        <f t="shared" si="39"/>
        <v>9875000</v>
      </c>
      <c r="AD84" s="1">
        <f t="shared" ref="AD84" si="75">-FV($U$12,1,0,AD83,1)</f>
        <v>143337704.58692622</v>
      </c>
    </row>
    <row r="85" spans="12:30" x14ac:dyDescent="0.25">
      <c r="L85">
        <f t="shared" si="57"/>
        <v>71</v>
      </c>
      <c r="M85" s="2">
        <v>7.5499999999999998E-2</v>
      </c>
      <c r="N85" s="1">
        <f t="shared" si="63"/>
        <v>1026957.6379974335</v>
      </c>
      <c r="O85" s="1">
        <f t="shared" si="64"/>
        <v>1098416.7736414217</v>
      </c>
      <c r="P85" s="1">
        <f t="shared" si="65"/>
        <v>2125374.411638855</v>
      </c>
      <c r="Q85" s="1">
        <f t="shared" si="66"/>
        <v>173555840.82156628</v>
      </c>
      <c r="S85" s="16"/>
      <c r="T85" t="s">
        <v>44</v>
      </c>
      <c r="U85">
        <f>12</f>
        <v>12</v>
      </c>
      <c r="W85">
        <f t="shared" si="35"/>
        <v>12</v>
      </c>
      <c r="X85">
        <f t="shared" si="20"/>
        <v>3</v>
      </c>
      <c r="Y85" s="3">
        <f t="shared" si="10"/>
        <v>0.12</v>
      </c>
      <c r="Z85" s="1">
        <f t="shared" si="36"/>
        <v>987500</v>
      </c>
      <c r="AA85" s="1">
        <f t="shared" si="37"/>
        <v>98750</v>
      </c>
      <c r="AB85" s="1">
        <f t="shared" si="38"/>
        <v>1086250</v>
      </c>
      <c r="AC85" s="1">
        <f t="shared" si="39"/>
        <v>8887500</v>
      </c>
      <c r="AD85" s="1">
        <f t="shared" si="25"/>
        <v>143879349.01097542</v>
      </c>
    </row>
    <row r="86" spans="12:30" x14ac:dyDescent="0.25">
      <c r="L86">
        <f t="shared" si="57"/>
        <v>72</v>
      </c>
      <c r="M86" s="2">
        <v>7.5499999999999998E-2</v>
      </c>
      <c r="N86" s="1">
        <f t="shared" si="63"/>
        <v>1026957.6379974337</v>
      </c>
      <c r="O86" s="1">
        <f t="shared" si="64"/>
        <v>1091955.4985023546</v>
      </c>
      <c r="P86" s="1">
        <f t="shared" si="65"/>
        <v>2118913.1364997881</v>
      </c>
      <c r="Q86" s="1">
        <f t="shared" si="66"/>
        <v>172528883.18356884</v>
      </c>
      <c r="S86" s="16"/>
      <c r="W86">
        <f t="shared" si="35"/>
        <v>12</v>
      </c>
      <c r="X86">
        <f t="shared" si="20"/>
        <v>4</v>
      </c>
      <c r="Y86" s="3">
        <f t="shared" si="10"/>
        <v>0.12</v>
      </c>
      <c r="Z86" s="1">
        <f t="shared" si="36"/>
        <v>987500</v>
      </c>
      <c r="AA86" s="1">
        <f t="shared" si="37"/>
        <v>88875</v>
      </c>
      <c r="AB86" s="1">
        <f t="shared" si="38"/>
        <v>1076375</v>
      </c>
      <c r="AC86" s="1">
        <f t="shared" si="39"/>
        <v>7900000</v>
      </c>
      <c r="AD86" s="1">
        <f t="shared" si="25"/>
        <v>144423040.20061886</v>
      </c>
    </row>
    <row r="87" spans="12:30" x14ac:dyDescent="0.25">
      <c r="L87">
        <f t="shared" si="57"/>
        <v>73</v>
      </c>
      <c r="M87" s="2">
        <v>9.5500000000000002E-2</v>
      </c>
      <c r="N87" s="1">
        <f t="shared" si="63"/>
        <v>1026957.6379974335</v>
      </c>
      <c r="O87" s="1">
        <f t="shared" si="64"/>
        <v>1373042.3620025686</v>
      </c>
      <c r="P87" s="1">
        <f t="shared" si="65"/>
        <v>2400000.0000000019</v>
      </c>
      <c r="Q87" s="1">
        <f t="shared" si="66"/>
        <v>171501925.54557139</v>
      </c>
      <c r="S87" s="16"/>
      <c r="T87" t="s">
        <v>35</v>
      </c>
      <c r="U87" s="1">
        <f t="shared" ref="U87" si="76">ROUNDUP(U75*(1+$T$2),-3)</f>
        <v>1106000</v>
      </c>
      <c r="W87">
        <f t="shared" si="35"/>
        <v>12</v>
      </c>
      <c r="X87">
        <f t="shared" si="20"/>
        <v>5</v>
      </c>
      <c r="Y87" s="3">
        <f t="shared" si="10"/>
        <v>0.12</v>
      </c>
      <c r="Z87" s="1">
        <f t="shared" si="36"/>
        <v>987500</v>
      </c>
      <c r="AA87" s="1">
        <f t="shared" si="37"/>
        <v>79000</v>
      </c>
      <c r="AB87" s="1">
        <f t="shared" si="38"/>
        <v>1066500</v>
      </c>
      <c r="AC87" s="1">
        <f t="shared" si="39"/>
        <v>6912500</v>
      </c>
      <c r="AD87" s="1">
        <f t="shared" si="25"/>
        <v>144968785.89017302</v>
      </c>
    </row>
    <row r="88" spans="12:30" x14ac:dyDescent="0.25">
      <c r="L88">
        <f t="shared" si="57"/>
        <v>74</v>
      </c>
      <c r="M88" s="2">
        <v>9.5500000000000002E-2</v>
      </c>
      <c r="N88" s="1">
        <f t="shared" si="63"/>
        <v>1026957.6379974334</v>
      </c>
      <c r="O88" s="1">
        <f t="shared" si="64"/>
        <v>1364869.4908001723</v>
      </c>
      <c r="P88" s="1">
        <f t="shared" si="65"/>
        <v>2391827.1287976056</v>
      </c>
      <c r="Q88" s="1">
        <f t="shared" si="66"/>
        <v>170474967.90757397</v>
      </c>
      <c r="S88" s="16"/>
      <c r="W88">
        <f t="shared" si="35"/>
        <v>12</v>
      </c>
      <c r="X88">
        <f t="shared" si="20"/>
        <v>6</v>
      </c>
      <c r="Y88" s="3">
        <f t="shared" ref="Y88:Y151" si="77">HLOOKUP(W88,$S$23:$U$214,1+((W88-$S$11-1)*12))</f>
        <v>0.12</v>
      </c>
      <c r="Z88" s="1">
        <f t="shared" si="36"/>
        <v>987500</v>
      </c>
      <c r="AA88" s="1">
        <f t="shared" si="37"/>
        <v>69125</v>
      </c>
      <c r="AB88" s="1">
        <f t="shared" si="38"/>
        <v>1056625</v>
      </c>
      <c r="AC88" s="1">
        <f t="shared" si="39"/>
        <v>5925000</v>
      </c>
      <c r="AD88" s="1">
        <f t="shared" si="25"/>
        <v>145516593.84318078</v>
      </c>
    </row>
    <row r="89" spans="12:30" x14ac:dyDescent="0.25">
      <c r="L89">
        <f t="shared" si="57"/>
        <v>75</v>
      </c>
      <c r="M89" s="2">
        <v>9.5500000000000002E-2</v>
      </c>
      <c r="N89" s="1">
        <f t="shared" si="63"/>
        <v>1026957.6379974335</v>
      </c>
      <c r="O89" s="1">
        <f t="shared" si="64"/>
        <v>1356696.6195977761</v>
      </c>
      <c r="P89" s="1">
        <f t="shared" si="65"/>
        <v>2383654.2575952094</v>
      </c>
      <c r="Q89" s="1">
        <f t="shared" si="66"/>
        <v>169448010.26957655</v>
      </c>
      <c r="S89" s="16"/>
      <c r="T89" t="s">
        <v>15</v>
      </c>
      <c r="U89" s="1">
        <f t="shared" si="42"/>
        <v>11850000</v>
      </c>
      <c r="W89">
        <f t="shared" si="35"/>
        <v>12</v>
      </c>
      <c r="X89">
        <f t="shared" si="20"/>
        <v>7</v>
      </c>
      <c r="Y89" s="3">
        <f t="shared" si="77"/>
        <v>0.12</v>
      </c>
      <c r="Z89" s="1">
        <f t="shared" si="36"/>
        <v>987500</v>
      </c>
      <c r="AA89" s="1">
        <f t="shared" si="37"/>
        <v>59250</v>
      </c>
      <c r="AB89" s="1">
        <f t="shared" si="38"/>
        <v>1046750</v>
      </c>
      <c r="AC89" s="1">
        <f t="shared" si="39"/>
        <v>4937500</v>
      </c>
      <c r="AD89" s="1">
        <f t="shared" ref="AD89" si="78">-FV($U$12,1,0,AD88-HLOOKUP(W89,$S$23:$U$214,9+((W89-$S$11-1)*12)),1)</f>
        <v>143687516.09807691</v>
      </c>
    </row>
    <row r="90" spans="12:30" x14ac:dyDescent="0.25">
      <c r="L90">
        <f t="shared" si="57"/>
        <v>76</v>
      </c>
      <c r="M90" s="2">
        <v>9.5500000000000002E-2</v>
      </c>
      <c r="N90" s="1">
        <f t="shared" si="63"/>
        <v>1026957.6379974337</v>
      </c>
      <c r="O90" s="1">
        <f t="shared" si="64"/>
        <v>1348523.7483953799</v>
      </c>
      <c r="P90" s="1">
        <f t="shared" si="65"/>
        <v>2375481.3863928136</v>
      </c>
      <c r="Q90" s="1">
        <f t="shared" si="66"/>
        <v>168421052.6315791</v>
      </c>
      <c r="S90" s="16"/>
      <c r="W90">
        <f t="shared" si="35"/>
        <v>12</v>
      </c>
      <c r="X90">
        <f t="shared" si="20"/>
        <v>8</v>
      </c>
      <c r="Y90" s="3">
        <f t="shared" si="77"/>
        <v>0.12</v>
      </c>
      <c r="Z90" s="1">
        <f t="shared" si="36"/>
        <v>987500</v>
      </c>
      <c r="AA90" s="1">
        <f t="shared" si="37"/>
        <v>49375</v>
      </c>
      <c r="AB90" s="1">
        <f t="shared" si="38"/>
        <v>1036875</v>
      </c>
      <c r="AC90" s="1">
        <f t="shared" si="39"/>
        <v>3950000</v>
      </c>
      <c r="AD90" s="1">
        <f t="shared" ref="AD90" si="79">-FV($U$12,1,0,AD89,1)</f>
        <v>144230482.38963494</v>
      </c>
    </row>
    <row r="91" spans="12:30" x14ac:dyDescent="0.25">
      <c r="L91">
        <f t="shared" si="57"/>
        <v>77</v>
      </c>
      <c r="M91" s="2">
        <v>9.5500000000000002E-2</v>
      </c>
      <c r="N91" s="1">
        <f t="shared" si="63"/>
        <v>1026957.6379974335</v>
      </c>
      <c r="O91" s="1">
        <f t="shared" si="64"/>
        <v>1340350.8771929836</v>
      </c>
      <c r="P91" s="1">
        <f t="shared" si="65"/>
        <v>2367308.5151904169</v>
      </c>
      <c r="Q91" s="1">
        <f t="shared" si="66"/>
        <v>167394094.99358165</v>
      </c>
      <c r="S91" s="16"/>
      <c r="T91" t="s">
        <v>46</v>
      </c>
      <c r="U91" s="1">
        <f t="shared" ref="U91" si="80">ROUNDUP($T$4*1000*(1+$T$2)^(S83-$S$11),-3)*6</f>
        <v>2370000</v>
      </c>
      <c r="W91">
        <f t="shared" si="35"/>
        <v>12</v>
      </c>
      <c r="X91">
        <f t="shared" si="20"/>
        <v>9</v>
      </c>
      <c r="Y91" s="3">
        <f t="shared" si="77"/>
        <v>0.12</v>
      </c>
      <c r="Z91" s="1">
        <f t="shared" si="36"/>
        <v>987500</v>
      </c>
      <c r="AA91" s="1">
        <f t="shared" si="37"/>
        <v>39500</v>
      </c>
      <c r="AB91" s="1">
        <f t="shared" si="38"/>
        <v>1027000</v>
      </c>
      <c r="AC91" s="1">
        <f t="shared" si="39"/>
        <v>2962500</v>
      </c>
      <c r="AD91" s="1">
        <f t="shared" si="29"/>
        <v>144775500.44185928</v>
      </c>
    </row>
    <row r="92" spans="12:30" x14ac:dyDescent="0.25">
      <c r="L92">
        <f t="shared" si="57"/>
        <v>78</v>
      </c>
      <c r="M92" s="2">
        <v>9.5500000000000002E-2</v>
      </c>
      <c r="N92" s="1">
        <f t="shared" si="63"/>
        <v>1026957.6379974334</v>
      </c>
      <c r="O92" s="1">
        <f t="shared" si="64"/>
        <v>1332178.0059905872</v>
      </c>
      <c r="P92" s="1">
        <f t="shared" si="65"/>
        <v>2359135.6439880207</v>
      </c>
      <c r="Q92" s="1">
        <f t="shared" si="66"/>
        <v>166367137.35558423</v>
      </c>
      <c r="S92" s="16"/>
      <c r="W92">
        <f t="shared" si="35"/>
        <v>12</v>
      </c>
      <c r="X92">
        <f t="shared" si="20"/>
        <v>10</v>
      </c>
      <c r="Y92" s="3">
        <f t="shared" si="77"/>
        <v>0.12</v>
      </c>
      <c r="Z92" s="1">
        <f t="shared" si="36"/>
        <v>987500</v>
      </c>
      <c r="AA92" s="1">
        <f t="shared" si="37"/>
        <v>29625</v>
      </c>
      <c r="AB92" s="1">
        <f t="shared" si="38"/>
        <v>1017125</v>
      </c>
      <c r="AC92" s="1">
        <f t="shared" si="39"/>
        <v>1975000</v>
      </c>
      <c r="AD92" s="1">
        <f t="shared" si="29"/>
        <v>145322578.00794178</v>
      </c>
    </row>
    <row r="93" spans="12:30" x14ac:dyDescent="0.25">
      <c r="L93">
        <f t="shared" si="57"/>
        <v>79</v>
      </c>
      <c r="M93" s="2">
        <v>9.5500000000000002E-2</v>
      </c>
      <c r="N93" s="1">
        <f t="shared" si="63"/>
        <v>1026957.6379974335</v>
      </c>
      <c r="O93" s="1">
        <f t="shared" si="64"/>
        <v>1324005.1347881912</v>
      </c>
      <c r="P93" s="1">
        <f t="shared" si="65"/>
        <v>2350962.7727856245</v>
      </c>
      <c r="Q93" s="1">
        <f t="shared" si="66"/>
        <v>165340179.71758682</v>
      </c>
      <c r="S93" s="16"/>
      <c r="T93" t="s">
        <v>47</v>
      </c>
      <c r="U93" s="1">
        <f t="shared" si="47"/>
        <v>4740000</v>
      </c>
      <c r="W93">
        <f t="shared" si="35"/>
        <v>12</v>
      </c>
      <c r="X93">
        <f t="shared" si="20"/>
        <v>11</v>
      </c>
      <c r="Y93" s="3">
        <f t="shared" si="77"/>
        <v>0.12</v>
      </c>
      <c r="Z93" s="1">
        <f t="shared" si="36"/>
        <v>987500</v>
      </c>
      <c r="AA93" s="1">
        <f t="shared" si="37"/>
        <v>19750</v>
      </c>
      <c r="AB93" s="1">
        <f t="shared" si="38"/>
        <v>1007250</v>
      </c>
      <c r="AC93" s="1">
        <f t="shared" si="39"/>
        <v>987500</v>
      </c>
      <c r="AD93" s="1">
        <f t="shared" si="29"/>
        <v>145871722.87037206</v>
      </c>
    </row>
    <row r="94" spans="12:30" x14ac:dyDescent="0.25">
      <c r="L94">
        <f t="shared" si="57"/>
        <v>80</v>
      </c>
      <c r="M94" s="2">
        <v>9.5500000000000002E-2</v>
      </c>
      <c r="N94" s="1">
        <f t="shared" si="63"/>
        <v>1026957.6379974337</v>
      </c>
      <c r="O94" s="1">
        <f t="shared" si="64"/>
        <v>1315832.2635857949</v>
      </c>
      <c r="P94" s="1">
        <f t="shared" si="65"/>
        <v>2342789.9015832287</v>
      </c>
      <c r="Q94" s="1">
        <f t="shared" si="66"/>
        <v>164313222.07958937</v>
      </c>
      <c r="S94" s="16"/>
      <c r="W94">
        <f t="shared" si="35"/>
        <v>12</v>
      </c>
      <c r="X94">
        <f t="shared" si="20"/>
        <v>12</v>
      </c>
      <c r="Y94" s="3">
        <f t="shared" si="77"/>
        <v>0.12</v>
      </c>
      <c r="Z94" s="1">
        <f t="shared" si="36"/>
        <v>987500</v>
      </c>
      <c r="AA94" s="1">
        <f t="shared" si="37"/>
        <v>9875</v>
      </c>
      <c r="AB94" s="1">
        <f t="shared" si="38"/>
        <v>997375</v>
      </c>
      <c r="AC94" s="1">
        <f t="shared" si="39"/>
        <v>12096428.571428573</v>
      </c>
      <c r="AD94" s="1">
        <f t="shared" si="29"/>
        <v>146422942.84104818</v>
      </c>
    </row>
    <row r="95" spans="12:30" x14ac:dyDescent="0.25">
      <c r="L95">
        <f t="shared" si="57"/>
        <v>81</v>
      </c>
      <c r="M95" s="2">
        <v>9.5500000000000002E-2</v>
      </c>
      <c r="N95" s="1">
        <f t="shared" si="63"/>
        <v>1026957.6379974335</v>
      </c>
      <c r="O95" s="1">
        <f t="shared" si="64"/>
        <v>1307659.3923833987</v>
      </c>
      <c r="P95" s="1">
        <f t="shared" si="65"/>
        <v>2334617.030380832</v>
      </c>
      <c r="Q95" s="1">
        <f t="shared" si="66"/>
        <v>163286264.44159192</v>
      </c>
      <c r="S95" s="16">
        <v>13</v>
      </c>
      <c r="T95" t="s">
        <v>45</v>
      </c>
      <c r="U95" s="5">
        <f>12%</f>
        <v>0.12</v>
      </c>
      <c r="W95">
        <f t="shared" ref="W95" si="81">W83+1</f>
        <v>13</v>
      </c>
      <c r="X95">
        <f t="shared" si="20"/>
        <v>1</v>
      </c>
      <c r="Y95" s="3">
        <f t="shared" si="77"/>
        <v>0.12</v>
      </c>
      <c r="Z95" s="1">
        <f t="shared" si="36"/>
        <v>1008035.7142857144</v>
      </c>
      <c r="AA95" s="1">
        <f t="shared" si="37"/>
        <v>120964.28571428572</v>
      </c>
      <c r="AB95" s="1">
        <f t="shared" si="38"/>
        <v>1129000.0000000002</v>
      </c>
      <c r="AC95" s="1">
        <f t="shared" si="39"/>
        <v>11088392.857142858</v>
      </c>
      <c r="AD95" s="1">
        <f t="shared" ref="AD95" si="82">-FV($U$12,1,0,AD94+AC94-HLOOKUP(W95,$S$23:$U$214,9+((W95-$S$11-1)*12)),1)</f>
        <v>156004662.47360089</v>
      </c>
    </row>
    <row r="96" spans="12:30" x14ac:dyDescent="0.25">
      <c r="L96">
        <f t="shared" si="57"/>
        <v>82</v>
      </c>
      <c r="M96" s="2">
        <v>9.5500000000000002E-2</v>
      </c>
      <c r="N96" s="1">
        <f t="shared" si="63"/>
        <v>1026957.6379974334</v>
      </c>
      <c r="O96" s="1">
        <f t="shared" si="64"/>
        <v>1299486.5211810023</v>
      </c>
      <c r="P96" s="1">
        <f t="shared" si="65"/>
        <v>2326444.1591784358</v>
      </c>
      <c r="Q96" s="1">
        <f t="shared" si="66"/>
        <v>162259306.8035945</v>
      </c>
      <c r="S96" s="16"/>
      <c r="T96" t="s">
        <v>43</v>
      </c>
      <c r="U96">
        <f t="shared" ref="U96" si="83">U97/12</f>
        <v>1</v>
      </c>
      <c r="W96">
        <f t="shared" ref="W96" si="84">W95</f>
        <v>13</v>
      </c>
      <c r="X96">
        <f t="shared" si="20"/>
        <v>2</v>
      </c>
      <c r="Y96" s="3">
        <f t="shared" si="77"/>
        <v>0.12</v>
      </c>
      <c r="Z96" s="1">
        <f t="shared" si="36"/>
        <v>1008035.7142857144</v>
      </c>
      <c r="AA96" s="1">
        <f t="shared" si="37"/>
        <v>110883.92857142858</v>
      </c>
      <c r="AB96" s="1">
        <f t="shared" si="38"/>
        <v>1118919.642857143</v>
      </c>
      <c r="AC96" s="1">
        <f t="shared" si="39"/>
        <v>10080357.142857144</v>
      </c>
      <c r="AD96" s="1">
        <f t="shared" ref="AD96" si="85">-FV($U$12,1,0,AD95,1)</f>
        <v>156594172.78980148</v>
      </c>
    </row>
    <row r="97" spans="12:30" x14ac:dyDescent="0.25">
      <c r="L97">
        <f t="shared" si="57"/>
        <v>83</v>
      </c>
      <c r="M97" s="2">
        <v>9.5500000000000002E-2</v>
      </c>
      <c r="N97" s="1">
        <f t="shared" si="63"/>
        <v>1026957.6379974335</v>
      </c>
      <c r="O97" s="1">
        <f t="shared" si="64"/>
        <v>1291313.6499786063</v>
      </c>
      <c r="P97" s="1">
        <f t="shared" si="65"/>
        <v>2318271.2879760396</v>
      </c>
      <c r="Q97" s="1">
        <f t="shared" si="66"/>
        <v>161232349.16559708</v>
      </c>
      <c r="S97" s="16"/>
      <c r="T97" t="s">
        <v>44</v>
      </c>
      <c r="U97">
        <f>12</f>
        <v>12</v>
      </c>
      <c r="W97">
        <f t="shared" si="35"/>
        <v>13</v>
      </c>
      <c r="X97">
        <f t="shared" si="20"/>
        <v>3</v>
      </c>
      <c r="Y97" s="3">
        <f t="shared" si="77"/>
        <v>0.12</v>
      </c>
      <c r="Z97" s="1">
        <f t="shared" si="36"/>
        <v>1008035.7142857143</v>
      </c>
      <c r="AA97" s="1">
        <f t="shared" si="37"/>
        <v>100803.57142857143</v>
      </c>
      <c r="AB97" s="1">
        <f t="shared" si="38"/>
        <v>1108839.2857142857</v>
      </c>
      <c r="AC97" s="1">
        <f t="shared" si="39"/>
        <v>9072321.4285714291</v>
      </c>
      <c r="AD97" s="1">
        <f t="shared" si="25"/>
        <v>157185910.74719813</v>
      </c>
    </row>
    <row r="98" spans="12:30" x14ac:dyDescent="0.25">
      <c r="L98">
        <f t="shared" si="57"/>
        <v>84</v>
      </c>
      <c r="M98" s="2">
        <v>9.5500000000000002E-2</v>
      </c>
      <c r="N98" s="1">
        <f t="shared" si="63"/>
        <v>1026957.6379974337</v>
      </c>
      <c r="O98" s="1">
        <f t="shared" si="64"/>
        <v>1283140.77877621</v>
      </c>
      <c r="P98" s="1">
        <f t="shared" si="65"/>
        <v>2310098.4167736438</v>
      </c>
      <c r="Q98" s="1">
        <f t="shared" si="66"/>
        <v>160205391.52759963</v>
      </c>
      <c r="S98" s="16"/>
      <c r="W98">
        <f t="shared" si="35"/>
        <v>13</v>
      </c>
      <c r="X98">
        <f t="shared" si="20"/>
        <v>4</v>
      </c>
      <c r="Y98" s="3">
        <f t="shared" si="77"/>
        <v>0.12</v>
      </c>
      <c r="Z98" s="1">
        <f t="shared" si="36"/>
        <v>1008035.7142857143</v>
      </c>
      <c r="AA98" s="1">
        <f t="shared" si="37"/>
        <v>90723.21428571429</v>
      </c>
      <c r="AB98" s="1">
        <f t="shared" si="38"/>
        <v>1098758.9285714286</v>
      </c>
      <c r="AC98" s="1">
        <f t="shared" si="39"/>
        <v>8064285.7142857146</v>
      </c>
      <c r="AD98" s="1">
        <f t="shared" si="25"/>
        <v>157779884.76359996</v>
      </c>
    </row>
    <row r="99" spans="12:30" x14ac:dyDescent="0.25">
      <c r="L99">
        <f t="shared" si="57"/>
        <v>85</v>
      </c>
      <c r="M99" s="2">
        <v>9.5500000000000002E-2</v>
      </c>
      <c r="N99" s="1">
        <f t="shared" si="63"/>
        <v>1026957.6379974335</v>
      </c>
      <c r="O99" s="1">
        <f t="shared" si="64"/>
        <v>1274967.9075738136</v>
      </c>
      <c r="P99" s="1">
        <f t="shared" si="65"/>
        <v>2301925.5455712471</v>
      </c>
      <c r="Q99" s="1">
        <f t="shared" si="66"/>
        <v>159178433.88960218</v>
      </c>
      <c r="S99" s="16"/>
      <c r="T99" t="s">
        <v>35</v>
      </c>
      <c r="U99" s="1">
        <f t="shared" ref="U99" si="86">ROUNDUP(U87*(1+$T$2),-3)</f>
        <v>1129000</v>
      </c>
      <c r="W99">
        <f t="shared" si="35"/>
        <v>13</v>
      </c>
      <c r="X99">
        <f t="shared" si="20"/>
        <v>5</v>
      </c>
      <c r="Y99" s="3">
        <f t="shared" si="77"/>
        <v>0.12</v>
      </c>
      <c r="Z99" s="1">
        <f t="shared" si="36"/>
        <v>1008035.7142857143</v>
      </c>
      <c r="AA99" s="1">
        <f t="shared" si="37"/>
        <v>80642.857142857145</v>
      </c>
      <c r="AB99" s="1">
        <f t="shared" si="38"/>
        <v>1088678.5714285714</v>
      </c>
      <c r="AC99" s="1">
        <f t="shared" si="39"/>
        <v>7056250</v>
      </c>
      <c r="AD99" s="1">
        <f t="shared" si="25"/>
        <v>158376103.28862527</v>
      </c>
    </row>
    <row r="100" spans="12:30" x14ac:dyDescent="0.25">
      <c r="L100">
        <f t="shared" si="57"/>
        <v>86</v>
      </c>
      <c r="M100" s="2">
        <v>9.5500000000000002E-2</v>
      </c>
      <c r="N100" s="1">
        <f t="shared" si="63"/>
        <v>1026957.6379974334</v>
      </c>
      <c r="O100" s="1">
        <f t="shared" si="64"/>
        <v>1266795.0363714173</v>
      </c>
      <c r="P100" s="1">
        <f t="shared" si="65"/>
        <v>2293752.6743688509</v>
      </c>
      <c r="Q100" s="1">
        <f t="shared" si="66"/>
        <v>158151476.25160477</v>
      </c>
      <c r="S100" s="16"/>
      <c r="W100">
        <f t="shared" si="35"/>
        <v>13</v>
      </c>
      <c r="X100">
        <f t="shared" ref="X100:X163" si="87">X88</f>
        <v>6</v>
      </c>
      <c r="Y100" s="3">
        <f t="shared" si="77"/>
        <v>0.12</v>
      </c>
      <c r="Z100" s="1">
        <f t="shared" si="36"/>
        <v>1008035.7142857143</v>
      </c>
      <c r="AA100" s="1">
        <f t="shared" si="37"/>
        <v>70562.5</v>
      </c>
      <c r="AB100" s="1">
        <f t="shared" si="38"/>
        <v>1078598.2142857143</v>
      </c>
      <c r="AC100" s="1">
        <f t="shared" si="39"/>
        <v>6048214.2857142854</v>
      </c>
      <c r="AD100" s="1">
        <f t="shared" ref="AD100:AD160" si="88">-FV($U$12,1,0,AD99,1)</f>
        <v>158974574.80382177</v>
      </c>
    </row>
    <row r="101" spans="12:30" x14ac:dyDescent="0.25">
      <c r="L101">
        <f t="shared" si="57"/>
        <v>87</v>
      </c>
      <c r="M101" s="2">
        <v>9.5500000000000002E-2</v>
      </c>
      <c r="N101" s="1">
        <f t="shared" si="63"/>
        <v>1026957.6379974335</v>
      </c>
      <c r="O101" s="1">
        <f t="shared" si="64"/>
        <v>1258622.1651690211</v>
      </c>
      <c r="P101" s="1">
        <f t="shared" si="65"/>
        <v>2285579.8031664547</v>
      </c>
      <c r="Q101" s="1">
        <f t="shared" si="66"/>
        <v>157124518.61360735</v>
      </c>
      <c r="S101" s="16"/>
      <c r="T101" t="s">
        <v>15</v>
      </c>
      <c r="U101" s="1">
        <f t="shared" si="42"/>
        <v>12096428.571428573</v>
      </c>
      <c r="W101">
        <f t="shared" si="35"/>
        <v>13</v>
      </c>
      <c r="X101">
        <f t="shared" si="87"/>
        <v>7</v>
      </c>
      <c r="Y101" s="3">
        <f t="shared" si="77"/>
        <v>0.12</v>
      </c>
      <c r="Z101" s="1">
        <f t="shared" si="36"/>
        <v>1008035.7142857142</v>
      </c>
      <c r="AA101" s="1">
        <f t="shared" si="37"/>
        <v>60482.142857142855</v>
      </c>
      <c r="AB101" s="1">
        <f t="shared" si="38"/>
        <v>1068517.857142857</v>
      </c>
      <c r="AC101" s="1">
        <f t="shared" si="39"/>
        <v>5040178.5714285709</v>
      </c>
      <c r="AD101" s="1">
        <f t="shared" ref="AD101" si="89">-FV($U$12,1,0,AD100-HLOOKUP(W101,$S$23:$U$214,9+((W101-$S$11-1)*12)),1)</f>
        <v>156461585.98722246</v>
      </c>
    </row>
    <row r="102" spans="12:30" x14ac:dyDescent="0.25">
      <c r="L102">
        <f t="shared" si="57"/>
        <v>88</v>
      </c>
      <c r="M102" s="2">
        <v>9.5500000000000002E-2</v>
      </c>
      <c r="N102" s="1">
        <f t="shared" si="63"/>
        <v>1026957.6379974337</v>
      </c>
      <c r="O102" s="1">
        <f t="shared" si="64"/>
        <v>1250449.2939666251</v>
      </c>
      <c r="P102" s="1">
        <f t="shared" si="65"/>
        <v>2277406.9319640589</v>
      </c>
      <c r="Q102" s="1">
        <f t="shared" si="66"/>
        <v>156097560.9756099</v>
      </c>
      <c r="S102" s="16"/>
      <c r="W102">
        <f t="shared" si="35"/>
        <v>13</v>
      </c>
      <c r="X102">
        <f t="shared" si="87"/>
        <v>8</v>
      </c>
      <c r="Y102" s="3">
        <f t="shared" si="77"/>
        <v>0.12</v>
      </c>
      <c r="Z102" s="1">
        <f t="shared" si="36"/>
        <v>1008035.7142857142</v>
      </c>
      <c r="AA102" s="1">
        <f t="shared" si="37"/>
        <v>50401.78571428571</v>
      </c>
      <c r="AB102" s="1">
        <f t="shared" si="38"/>
        <v>1058437.5</v>
      </c>
      <c r="AC102" s="1">
        <f t="shared" si="39"/>
        <v>4032142.8571428568</v>
      </c>
      <c r="AD102" s="1">
        <f t="shared" ref="AD102" si="90">-FV($U$12,1,0,AD101,1)</f>
        <v>157052822.92569652</v>
      </c>
    </row>
    <row r="103" spans="12:30" x14ac:dyDescent="0.25">
      <c r="L103">
        <f t="shared" si="57"/>
        <v>89</v>
      </c>
      <c r="M103" s="2">
        <v>9.5500000000000002E-2</v>
      </c>
      <c r="N103" s="1">
        <f t="shared" si="63"/>
        <v>1026957.6379974335</v>
      </c>
      <c r="O103" s="1">
        <f t="shared" si="64"/>
        <v>1242276.4227642287</v>
      </c>
      <c r="P103" s="1">
        <f t="shared" si="65"/>
        <v>2269234.0607616622</v>
      </c>
      <c r="Q103" s="1">
        <f t="shared" si="66"/>
        <v>155070603.33761245</v>
      </c>
      <c r="S103" s="16"/>
      <c r="T103" t="s">
        <v>46</v>
      </c>
      <c r="U103" s="1">
        <f>ROUNDUP($T$5*1000*(1+$T$2)^(S95-$S$11),-3)*6</f>
        <v>3102000</v>
      </c>
      <c r="W103">
        <f t="shared" si="35"/>
        <v>13</v>
      </c>
      <c r="X103">
        <f t="shared" si="87"/>
        <v>9</v>
      </c>
      <c r="Y103" s="3">
        <f t="shared" si="77"/>
        <v>0.12</v>
      </c>
      <c r="Z103" s="1">
        <f t="shared" si="36"/>
        <v>1008035.7142857142</v>
      </c>
      <c r="AA103" s="1">
        <f t="shared" si="37"/>
        <v>40321.428571428572</v>
      </c>
      <c r="AB103" s="1">
        <f t="shared" si="38"/>
        <v>1048357.1428571427</v>
      </c>
      <c r="AC103" s="1">
        <f t="shared" si="39"/>
        <v>3024107.1428571427</v>
      </c>
      <c r="AD103" s="1">
        <f t="shared" si="29"/>
        <v>157646294.02992579</v>
      </c>
    </row>
    <row r="104" spans="12:30" x14ac:dyDescent="0.25">
      <c r="L104">
        <f t="shared" si="57"/>
        <v>90</v>
      </c>
      <c r="M104" s="2">
        <v>9.5500000000000002E-2</v>
      </c>
      <c r="N104" s="1">
        <f t="shared" si="63"/>
        <v>1026957.6379974334</v>
      </c>
      <c r="O104" s="1">
        <f t="shared" si="64"/>
        <v>1234103.5515618324</v>
      </c>
      <c r="P104" s="1">
        <f t="shared" si="65"/>
        <v>2261061.189559266</v>
      </c>
      <c r="Q104" s="1">
        <f t="shared" si="66"/>
        <v>154043645.69961503</v>
      </c>
      <c r="S104" s="16"/>
      <c r="W104">
        <f t="shared" si="35"/>
        <v>13</v>
      </c>
      <c r="X104">
        <f t="shared" si="87"/>
        <v>10</v>
      </c>
      <c r="Y104" s="3">
        <f t="shared" si="77"/>
        <v>0.12</v>
      </c>
      <c r="Z104" s="1">
        <f t="shared" si="36"/>
        <v>1008035.7142857142</v>
      </c>
      <c r="AA104" s="1">
        <f t="shared" si="37"/>
        <v>30241.071428571428</v>
      </c>
      <c r="AB104" s="1">
        <f t="shared" si="38"/>
        <v>1038276.7857142857</v>
      </c>
      <c r="AC104" s="1">
        <f t="shared" si="39"/>
        <v>2016071.4285714286</v>
      </c>
      <c r="AD104" s="1">
        <f t="shared" si="29"/>
        <v>158242007.74237436</v>
      </c>
    </row>
    <row r="105" spans="12:30" x14ac:dyDescent="0.25">
      <c r="L105">
        <f t="shared" si="57"/>
        <v>91</v>
      </c>
      <c r="M105" s="2">
        <v>9.5500000000000002E-2</v>
      </c>
      <c r="N105" s="1">
        <f t="shared" si="63"/>
        <v>1026957.6379974335</v>
      </c>
      <c r="O105" s="1">
        <f t="shared" si="64"/>
        <v>1225930.6803594362</v>
      </c>
      <c r="P105" s="1">
        <f t="shared" si="65"/>
        <v>2252888.3183568697</v>
      </c>
      <c r="Q105" s="1">
        <f t="shared" si="66"/>
        <v>153016688.06161761</v>
      </c>
      <c r="S105" s="16"/>
      <c r="T105" t="s">
        <v>47</v>
      </c>
      <c r="U105" s="1">
        <f t="shared" si="47"/>
        <v>6204000</v>
      </c>
      <c r="W105">
        <f t="shared" si="35"/>
        <v>13</v>
      </c>
      <c r="X105">
        <f t="shared" si="87"/>
        <v>11</v>
      </c>
      <c r="Y105" s="3">
        <f t="shared" si="77"/>
        <v>0.12</v>
      </c>
      <c r="Z105" s="1">
        <f t="shared" si="36"/>
        <v>1008035.7142857143</v>
      </c>
      <c r="AA105" s="1">
        <f t="shared" si="37"/>
        <v>20160.714285714286</v>
      </c>
      <c r="AB105" s="1">
        <f t="shared" si="38"/>
        <v>1028196.4285714286</v>
      </c>
      <c r="AC105" s="1">
        <f t="shared" si="39"/>
        <v>1008035.7142857143</v>
      </c>
      <c r="AD105" s="1">
        <f t="shared" si="29"/>
        <v>158839972.53740868</v>
      </c>
    </row>
    <row r="106" spans="12:30" x14ac:dyDescent="0.25">
      <c r="L106">
        <f t="shared" si="57"/>
        <v>92</v>
      </c>
      <c r="M106" s="2">
        <v>9.5500000000000002E-2</v>
      </c>
      <c r="N106" s="1">
        <f t="shared" si="63"/>
        <v>1026957.6379974337</v>
      </c>
      <c r="O106" s="1">
        <f t="shared" si="64"/>
        <v>1217757.8091570402</v>
      </c>
      <c r="P106" s="1">
        <f t="shared" si="65"/>
        <v>2244715.447154474</v>
      </c>
      <c r="Q106" s="1">
        <f t="shared" si="66"/>
        <v>151989730.42362016</v>
      </c>
      <c r="S106" s="16"/>
      <c r="W106">
        <f t="shared" si="35"/>
        <v>13</v>
      </c>
      <c r="X106">
        <f t="shared" si="87"/>
        <v>12</v>
      </c>
      <c r="Y106" s="3">
        <f t="shared" si="77"/>
        <v>0.12</v>
      </c>
      <c r="Z106" s="1">
        <f t="shared" si="36"/>
        <v>1008035.7142857143</v>
      </c>
      <c r="AA106" s="1">
        <f t="shared" si="37"/>
        <v>10080.357142857143</v>
      </c>
      <c r="AB106" s="1">
        <f t="shared" si="38"/>
        <v>1018116.0714285715</v>
      </c>
      <c r="AC106" s="1">
        <f t="shared" si="39"/>
        <v>12342857.142857144</v>
      </c>
      <c r="AD106" s="1">
        <f t="shared" ref="AD106:AD166" si="91">-FV($U$12,1,0,AD105,1)</f>
        <v>159440196.92141813</v>
      </c>
    </row>
    <row r="107" spans="12:30" x14ac:dyDescent="0.25">
      <c r="L107">
        <f t="shared" si="57"/>
        <v>93</v>
      </c>
      <c r="M107" s="2">
        <v>9.5500000000000002E-2</v>
      </c>
      <c r="N107" s="1">
        <f t="shared" si="63"/>
        <v>1026957.6379974335</v>
      </c>
      <c r="O107" s="1">
        <f t="shared" si="64"/>
        <v>1209584.9379546437</v>
      </c>
      <c r="P107" s="1">
        <f t="shared" si="65"/>
        <v>2236542.5759520773</v>
      </c>
      <c r="Q107" s="1">
        <f t="shared" si="66"/>
        <v>150962772.78562272</v>
      </c>
      <c r="S107" s="16">
        <v>14</v>
      </c>
      <c r="T107" t="s">
        <v>45</v>
      </c>
      <c r="U107" s="5">
        <f>12%</f>
        <v>0.12</v>
      </c>
      <c r="W107">
        <f t="shared" ref="W107" si="92">W95+1</f>
        <v>14</v>
      </c>
      <c r="X107">
        <f t="shared" si="87"/>
        <v>1</v>
      </c>
      <c r="Y107" s="3">
        <f t="shared" si="77"/>
        <v>0.12</v>
      </c>
      <c r="Z107" s="1">
        <f t="shared" si="36"/>
        <v>1028571.4285714286</v>
      </c>
      <c r="AA107" s="1">
        <f t="shared" si="37"/>
        <v>123428.57142857143</v>
      </c>
      <c r="AB107" s="1">
        <f t="shared" si="38"/>
        <v>1152000</v>
      </c>
      <c r="AC107" s="1">
        <f t="shared" si="39"/>
        <v>11314285.714285715</v>
      </c>
      <c r="AD107" s="1">
        <f t="shared" ref="AD107" si="93">-FV($U$12,1,0,AD106+AC106-HLOOKUP(W107,$S$23:$U$214,9+((W107-$S$11-1)*12)),1)</f>
        <v>169252216.51994503</v>
      </c>
    </row>
    <row r="108" spans="12:30" x14ac:dyDescent="0.25">
      <c r="L108">
        <f t="shared" si="57"/>
        <v>94</v>
      </c>
      <c r="M108" s="2">
        <v>9.5500000000000002E-2</v>
      </c>
      <c r="N108" s="1">
        <f t="shared" si="63"/>
        <v>1026957.6379974334</v>
      </c>
      <c r="O108" s="1">
        <f t="shared" si="64"/>
        <v>1201412.0667522473</v>
      </c>
      <c r="P108" s="1">
        <f t="shared" si="65"/>
        <v>2228369.7047496806</v>
      </c>
      <c r="Q108" s="1">
        <f t="shared" si="66"/>
        <v>149935815.1476253</v>
      </c>
      <c r="S108" s="16"/>
      <c r="T108" t="s">
        <v>43</v>
      </c>
      <c r="U108">
        <f t="shared" ref="U108" si="94">U109/12</f>
        <v>1</v>
      </c>
      <c r="W108">
        <f t="shared" ref="W108" si="95">W107</f>
        <v>14</v>
      </c>
      <c r="X108">
        <f t="shared" si="87"/>
        <v>2</v>
      </c>
      <c r="Y108" s="3">
        <f t="shared" si="77"/>
        <v>0.12</v>
      </c>
      <c r="Z108" s="1">
        <f t="shared" si="36"/>
        <v>1028571.4285714286</v>
      </c>
      <c r="AA108" s="1">
        <f t="shared" si="37"/>
        <v>113142.85714285714</v>
      </c>
      <c r="AB108" s="1">
        <f t="shared" si="38"/>
        <v>1141714.2857142857</v>
      </c>
      <c r="AC108" s="1">
        <f t="shared" si="39"/>
        <v>10285714.285714285</v>
      </c>
      <c r="AD108" s="1">
        <f t="shared" ref="AD108" si="96">-FV($U$12,1,0,AD107,1)</f>
        <v>169891786.68468422</v>
      </c>
    </row>
    <row r="109" spans="12:30" x14ac:dyDescent="0.25">
      <c r="L109">
        <f t="shared" si="57"/>
        <v>95</v>
      </c>
      <c r="M109" s="2">
        <v>9.5500000000000002E-2</v>
      </c>
      <c r="N109" s="1">
        <f t="shared" si="63"/>
        <v>1026957.6379974335</v>
      </c>
      <c r="O109" s="1">
        <f t="shared" si="64"/>
        <v>1193239.1955498513</v>
      </c>
      <c r="P109" s="1">
        <f t="shared" si="65"/>
        <v>2220196.8335472848</v>
      </c>
      <c r="Q109" s="1">
        <f t="shared" si="66"/>
        <v>148908857.50962788</v>
      </c>
      <c r="S109" s="16"/>
      <c r="T109" t="s">
        <v>44</v>
      </c>
      <c r="U109">
        <f>12</f>
        <v>12</v>
      </c>
      <c r="W109">
        <f t="shared" si="35"/>
        <v>14</v>
      </c>
      <c r="X109">
        <f t="shared" si="87"/>
        <v>3</v>
      </c>
      <c r="Y109" s="3">
        <f t="shared" si="77"/>
        <v>0.12</v>
      </c>
      <c r="Z109" s="1">
        <f t="shared" si="36"/>
        <v>1028571.4285714285</v>
      </c>
      <c r="AA109" s="1">
        <f t="shared" si="37"/>
        <v>102857.14285714286</v>
      </c>
      <c r="AB109" s="1">
        <f t="shared" si="38"/>
        <v>1131428.5714285714</v>
      </c>
      <c r="AC109" s="1">
        <f t="shared" si="39"/>
        <v>9257142.8571428563</v>
      </c>
      <c r="AD109" s="1">
        <f t="shared" si="88"/>
        <v>170533773.6567423</v>
      </c>
    </row>
    <row r="110" spans="12:30" x14ac:dyDescent="0.25">
      <c r="L110">
        <f t="shared" si="57"/>
        <v>96</v>
      </c>
      <c r="M110" s="2">
        <v>9.5500000000000002E-2</v>
      </c>
      <c r="N110" s="1">
        <f t="shared" si="63"/>
        <v>1026957.6379974337</v>
      </c>
      <c r="O110" s="1">
        <f t="shared" si="64"/>
        <v>1185066.3243474551</v>
      </c>
      <c r="P110" s="1">
        <f t="shared" si="65"/>
        <v>2212023.9623448886</v>
      </c>
      <c r="Q110" s="1">
        <f t="shared" si="66"/>
        <v>147881899.87163043</v>
      </c>
      <c r="S110" s="16"/>
      <c r="W110">
        <f t="shared" si="35"/>
        <v>14</v>
      </c>
      <c r="X110">
        <f t="shared" si="87"/>
        <v>4</v>
      </c>
      <c r="Y110" s="3">
        <f t="shared" si="77"/>
        <v>0.12</v>
      </c>
      <c r="Z110" s="1">
        <f t="shared" si="36"/>
        <v>1028571.4285714285</v>
      </c>
      <c r="AA110" s="1">
        <f t="shared" si="37"/>
        <v>92571.428571428565</v>
      </c>
      <c r="AB110" s="1">
        <f t="shared" si="38"/>
        <v>1121142.857142857</v>
      </c>
      <c r="AC110" s="1">
        <f t="shared" si="39"/>
        <v>8228571.4285714282</v>
      </c>
      <c r="AD110" s="1">
        <f t="shared" si="88"/>
        <v>171178186.56874919</v>
      </c>
    </row>
    <row r="111" spans="12:30" x14ac:dyDescent="0.25">
      <c r="L111">
        <f t="shared" si="57"/>
        <v>97</v>
      </c>
      <c r="M111" s="2">
        <v>9.5500000000000002E-2</v>
      </c>
      <c r="N111" s="1">
        <f t="shared" si="63"/>
        <v>1026957.6379974335</v>
      </c>
      <c r="O111" s="1">
        <f t="shared" si="64"/>
        <v>1176893.4531450588</v>
      </c>
      <c r="P111" s="1">
        <f t="shared" si="65"/>
        <v>2203851.0911424924</v>
      </c>
      <c r="Q111" s="1">
        <f t="shared" si="66"/>
        <v>146854942.23363298</v>
      </c>
      <c r="S111" s="16"/>
      <c r="T111" t="s">
        <v>35</v>
      </c>
      <c r="U111" s="1">
        <f t="shared" ref="U111:U123" si="97">ROUNDUP(U99*(1+$T$2),-3)</f>
        <v>1152000</v>
      </c>
      <c r="W111">
        <f t="shared" si="35"/>
        <v>14</v>
      </c>
      <c r="X111">
        <f t="shared" si="87"/>
        <v>5</v>
      </c>
      <c r="Y111" s="3">
        <f t="shared" si="77"/>
        <v>0.12</v>
      </c>
      <c r="Z111" s="1">
        <f t="shared" si="36"/>
        <v>1028571.4285714285</v>
      </c>
      <c r="AA111" s="1">
        <f t="shared" si="37"/>
        <v>82285.71428571429</v>
      </c>
      <c r="AB111" s="1">
        <f t="shared" si="38"/>
        <v>1110857.1428571427</v>
      </c>
      <c r="AC111" s="1">
        <f t="shared" si="39"/>
        <v>7200000</v>
      </c>
      <c r="AD111" s="1">
        <f t="shared" si="88"/>
        <v>171825034.58784518</v>
      </c>
    </row>
    <row r="112" spans="12:30" x14ac:dyDescent="0.25">
      <c r="L112">
        <f t="shared" si="57"/>
        <v>98</v>
      </c>
      <c r="M112" s="2">
        <v>9.5500000000000002E-2</v>
      </c>
      <c r="N112" s="1">
        <f t="shared" si="63"/>
        <v>1026957.6379974334</v>
      </c>
      <c r="O112" s="1">
        <f t="shared" si="64"/>
        <v>1168720.5819426624</v>
      </c>
      <c r="P112" s="1">
        <f t="shared" si="65"/>
        <v>2195678.2199400957</v>
      </c>
      <c r="Q112" s="1">
        <f t="shared" si="66"/>
        <v>145827984.59563556</v>
      </c>
      <c r="S112" s="16"/>
      <c r="W112">
        <f t="shared" ref="W112:W175" si="98">W111</f>
        <v>14</v>
      </c>
      <c r="X112">
        <f t="shared" si="87"/>
        <v>6</v>
      </c>
      <c r="Y112" s="3">
        <f t="shared" si="77"/>
        <v>0.12</v>
      </c>
      <c r="Z112" s="1">
        <f t="shared" ref="Z112:Z175" si="99">AC111/(HLOOKUP(W112,$S$23:$U$214,3+((W112-$S$11-1)*12))+1-X112)</f>
        <v>1028571.4285714285</v>
      </c>
      <c r="AA112" s="1">
        <f t="shared" ref="AA112:AA175" si="100">AC111*(Y112/12)</f>
        <v>72000</v>
      </c>
      <c r="AB112" s="1">
        <f t="shared" ref="AB112:AB175" si="101">Z112+AA112</f>
        <v>1100571.4285714286</v>
      </c>
      <c r="AC112" s="1">
        <f t="shared" ref="AC112:AC175" si="102">IFERROR(IF(AC111-Z112&lt;1,HLOOKUP(W113,$S$23:$U$214,7+((W113-$S$11-1)*12)),AC111-Z112),0)</f>
        <v>6171428.5714285718</v>
      </c>
      <c r="AD112" s="1">
        <f t="shared" si="88"/>
        <v>172474326.91581133</v>
      </c>
    </row>
    <row r="113" spans="12:30" x14ac:dyDescent="0.25">
      <c r="L113">
        <f t="shared" si="57"/>
        <v>99</v>
      </c>
      <c r="M113" s="2">
        <v>9.5500000000000002E-2</v>
      </c>
      <c r="N113" s="1">
        <f t="shared" si="63"/>
        <v>1026957.6379974335</v>
      </c>
      <c r="O113" s="1">
        <f t="shared" si="64"/>
        <v>1160547.7107402664</v>
      </c>
      <c r="P113" s="1">
        <f t="shared" si="65"/>
        <v>2187505.3487376999</v>
      </c>
      <c r="Q113" s="1">
        <f t="shared" si="66"/>
        <v>144801026.95763814</v>
      </c>
      <c r="S113" s="16"/>
      <c r="T113" t="s">
        <v>15</v>
      </c>
      <c r="U113" s="1">
        <f t="shared" si="42"/>
        <v>12342857.142857144</v>
      </c>
      <c r="W113">
        <f t="shared" si="98"/>
        <v>14</v>
      </c>
      <c r="X113">
        <f t="shared" si="87"/>
        <v>7</v>
      </c>
      <c r="Y113" s="3">
        <f t="shared" si="77"/>
        <v>0.12</v>
      </c>
      <c r="Z113" s="1">
        <f t="shared" si="99"/>
        <v>1028571.4285714286</v>
      </c>
      <c r="AA113" s="1">
        <f t="shared" si="100"/>
        <v>61714.285714285717</v>
      </c>
      <c r="AB113" s="1">
        <f t="shared" si="101"/>
        <v>1090285.7142857143</v>
      </c>
      <c r="AC113" s="1">
        <f t="shared" si="102"/>
        <v>5142857.1428571437</v>
      </c>
      <c r="AD113" s="1">
        <f t="shared" ref="AD113" si="103">-FV($U$12,1,0,AD112-HLOOKUP(W113,$S$23:$U$214,9+((W113-$S$11-1)*12)),1)</f>
        <v>169946101.55287892</v>
      </c>
    </row>
    <row r="114" spans="12:30" x14ac:dyDescent="0.25">
      <c r="L114">
        <f t="shared" si="57"/>
        <v>100</v>
      </c>
      <c r="M114" s="2">
        <v>9.5500000000000002E-2</v>
      </c>
      <c r="N114" s="1">
        <f t="shared" si="63"/>
        <v>1026957.6379974337</v>
      </c>
      <c r="O114" s="1">
        <f t="shared" si="64"/>
        <v>1152374.8395378701</v>
      </c>
      <c r="P114" s="1">
        <f t="shared" si="65"/>
        <v>2179332.4775353037</v>
      </c>
      <c r="Q114" s="1">
        <f t="shared" si="66"/>
        <v>143774069.3196407</v>
      </c>
      <c r="S114" s="16"/>
      <c r="W114">
        <f t="shared" si="98"/>
        <v>14</v>
      </c>
      <c r="X114">
        <f t="shared" si="87"/>
        <v>8</v>
      </c>
      <c r="Y114" s="3">
        <f t="shared" si="77"/>
        <v>0.12</v>
      </c>
      <c r="Z114" s="1">
        <f t="shared" si="99"/>
        <v>1028571.4285714288</v>
      </c>
      <c r="AA114" s="1">
        <f t="shared" si="100"/>
        <v>51428.571428571435</v>
      </c>
      <c r="AB114" s="1">
        <f t="shared" si="101"/>
        <v>1080000.0000000002</v>
      </c>
      <c r="AC114" s="1">
        <f t="shared" si="102"/>
        <v>4114285.714285715</v>
      </c>
      <c r="AD114" s="1">
        <f t="shared" ref="AD114" si="104">-FV($U$12,1,0,AD113,1)</f>
        <v>170588293.7699253</v>
      </c>
    </row>
    <row r="115" spans="12:30" x14ac:dyDescent="0.25">
      <c r="L115">
        <f t="shared" si="57"/>
        <v>101</v>
      </c>
      <c r="M115" s="2">
        <v>9.5500000000000002E-2</v>
      </c>
      <c r="N115" s="1">
        <f t="shared" si="63"/>
        <v>1026957.6379974335</v>
      </c>
      <c r="O115" s="1">
        <f t="shared" si="64"/>
        <v>1144201.9683354739</v>
      </c>
      <c r="P115" s="1">
        <f t="shared" si="65"/>
        <v>2171159.6063329075</v>
      </c>
      <c r="Q115" s="1">
        <f t="shared" si="66"/>
        <v>142747111.68164325</v>
      </c>
      <c r="S115" s="16"/>
      <c r="T115" t="s">
        <v>46</v>
      </c>
      <c r="U115" s="1">
        <f t="shared" ref="U115" si="105">ROUNDUP($T$5*1000*(1+$T$2)^(S107-$S$11),-3)*6</f>
        <v>3168000</v>
      </c>
      <c r="W115">
        <f t="shared" si="98"/>
        <v>14</v>
      </c>
      <c r="X115">
        <f t="shared" si="87"/>
        <v>9</v>
      </c>
      <c r="Y115" s="3">
        <f t="shared" si="77"/>
        <v>0.12</v>
      </c>
      <c r="Z115" s="1">
        <f t="shared" si="99"/>
        <v>1028571.4285714288</v>
      </c>
      <c r="AA115" s="1">
        <f t="shared" si="100"/>
        <v>41142.857142857152</v>
      </c>
      <c r="AB115" s="1">
        <f t="shared" si="101"/>
        <v>1069714.2857142859</v>
      </c>
      <c r="AC115" s="1">
        <f t="shared" si="102"/>
        <v>3085714.2857142864</v>
      </c>
      <c r="AD115" s="1">
        <f t="shared" si="91"/>
        <v>171232912.7025001</v>
      </c>
    </row>
    <row r="116" spans="12:30" x14ac:dyDescent="0.25">
      <c r="L116">
        <f t="shared" si="57"/>
        <v>102</v>
      </c>
      <c r="M116" s="2">
        <v>9.5500000000000002E-2</v>
      </c>
      <c r="N116" s="1">
        <f t="shared" si="63"/>
        <v>1026957.6379974334</v>
      </c>
      <c r="O116" s="1">
        <f t="shared" si="64"/>
        <v>1136029.0971330774</v>
      </c>
      <c r="P116" s="1">
        <f t="shared" si="65"/>
        <v>2162986.7351305108</v>
      </c>
      <c r="Q116" s="1">
        <f t="shared" si="66"/>
        <v>141720154.04364583</v>
      </c>
      <c r="S116" s="16"/>
      <c r="W116">
        <f t="shared" si="98"/>
        <v>14</v>
      </c>
      <c r="X116">
        <f t="shared" si="87"/>
        <v>10</v>
      </c>
      <c r="Y116" s="3">
        <f t="shared" si="77"/>
        <v>0.12</v>
      </c>
      <c r="Z116" s="1">
        <f t="shared" si="99"/>
        <v>1028571.4285714288</v>
      </c>
      <c r="AA116" s="1">
        <f t="shared" si="100"/>
        <v>30857.142857142866</v>
      </c>
      <c r="AB116" s="1">
        <f t="shared" si="101"/>
        <v>1059428.5714285716</v>
      </c>
      <c r="AC116" s="1">
        <f t="shared" si="102"/>
        <v>2057142.8571428577</v>
      </c>
      <c r="AD116" s="1">
        <f t="shared" si="91"/>
        <v>171879967.52067441</v>
      </c>
    </row>
    <row r="117" spans="12:30" x14ac:dyDescent="0.25">
      <c r="L117">
        <f t="shared" si="57"/>
        <v>103</v>
      </c>
      <c r="M117" s="2">
        <v>9.5500000000000002E-2</v>
      </c>
      <c r="N117" s="1">
        <f t="shared" si="63"/>
        <v>1026957.6379974335</v>
      </c>
      <c r="O117" s="1">
        <f t="shared" si="64"/>
        <v>1127856.2259306812</v>
      </c>
      <c r="P117" s="1">
        <f t="shared" si="65"/>
        <v>2154813.863928115</v>
      </c>
      <c r="Q117" s="1">
        <f t="shared" si="66"/>
        <v>140693196.40564841</v>
      </c>
      <c r="S117" s="16"/>
      <c r="T117" t="s">
        <v>47</v>
      </c>
      <c r="U117" s="1">
        <f t="shared" si="47"/>
        <v>6336000</v>
      </c>
      <c r="W117">
        <f t="shared" si="98"/>
        <v>14</v>
      </c>
      <c r="X117">
        <f t="shared" si="87"/>
        <v>11</v>
      </c>
      <c r="Y117" s="3">
        <f t="shared" si="77"/>
        <v>0.12</v>
      </c>
      <c r="Z117" s="1">
        <f t="shared" si="99"/>
        <v>1028571.4285714289</v>
      </c>
      <c r="AA117" s="1">
        <f t="shared" si="100"/>
        <v>20571.428571428576</v>
      </c>
      <c r="AB117" s="1">
        <f t="shared" si="101"/>
        <v>1049142.8571428575</v>
      </c>
      <c r="AC117" s="1">
        <f t="shared" si="102"/>
        <v>1028571.4285714289</v>
      </c>
      <c r="AD117" s="1">
        <f t="shared" si="91"/>
        <v>172529467.42917109</v>
      </c>
    </row>
    <row r="118" spans="12:30" x14ac:dyDescent="0.25">
      <c r="L118">
        <f t="shared" si="57"/>
        <v>104</v>
      </c>
      <c r="M118" s="2">
        <v>9.5500000000000002E-2</v>
      </c>
      <c r="N118" s="1">
        <f t="shared" si="63"/>
        <v>1026957.6379974337</v>
      </c>
      <c r="O118" s="1">
        <f t="shared" si="64"/>
        <v>1119683.3547282852</v>
      </c>
      <c r="P118" s="1">
        <f t="shared" si="65"/>
        <v>2146640.9927257188</v>
      </c>
      <c r="Q118" s="1">
        <f t="shared" si="66"/>
        <v>139666238.76765096</v>
      </c>
      <c r="S118" s="16"/>
      <c r="W118">
        <f t="shared" si="98"/>
        <v>14</v>
      </c>
      <c r="X118">
        <f t="shared" si="87"/>
        <v>12</v>
      </c>
      <c r="Y118" s="3">
        <f t="shared" si="77"/>
        <v>0.12</v>
      </c>
      <c r="Z118" s="1">
        <f t="shared" si="99"/>
        <v>1028571.4285714289</v>
      </c>
      <c r="AA118" s="1">
        <f t="shared" si="100"/>
        <v>10285.714285714288</v>
      </c>
      <c r="AB118" s="1">
        <f t="shared" si="101"/>
        <v>1038857.1428571432</v>
      </c>
      <c r="AC118" s="1">
        <f t="shared" si="102"/>
        <v>12600000</v>
      </c>
      <c r="AD118" s="1">
        <f t="shared" si="91"/>
        <v>173181421.66749585</v>
      </c>
    </row>
    <row r="119" spans="12:30" x14ac:dyDescent="0.25">
      <c r="L119">
        <f t="shared" si="57"/>
        <v>105</v>
      </c>
      <c r="M119" s="2">
        <v>9.5500000000000002E-2</v>
      </c>
      <c r="N119" s="1">
        <f t="shared" si="63"/>
        <v>1026957.6379974335</v>
      </c>
      <c r="O119" s="1">
        <f t="shared" si="64"/>
        <v>1111510.4835258888</v>
      </c>
      <c r="P119" s="1">
        <f t="shared" si="65"/>
        <v>2138468.1215233225</v>
      </c>
      <c r="Q119" s="1">
        <f t="shared" si="66"/>
        <v>138639281.12965351</v>
      </c>
      <c r="S119" s="16">
        <v>15</v>
      </c>
      <c r="T119" t="s">
        <v>45</v>
      </c>
      <c r="U119" s="5">
        <f>12%</f>
        <v>0.12</v>
      </c>
      <c r="W119">
        <f t="shared" ref="W119" si="106">W107+1</f>
        <v>15</v>
      </c>
      <c r="X119">
        <f t="shared" si="87"/>
        <v>1</v>
      </c>
      <c r="Y119" s="3">
        <f t="shared" si="77"/>
        <v>0.12</v>
      </c>
      <c r="Z119" s="1">
        <f t="shared" si="99"/>
        <v>1050000</v>
      </c>
      <c r="AA119" s="1">
        <f t="shared" si="100"/>
        <v>126000</v>
      </c>
      <c r="AB119" s="1">
        <f t="shared" si="101"/>
        <v>1176000</v>
      </c>
      <c r="AC119" s="1">
        <f t="shared" si="102"/>
        <v>11550000</v>
      </c>
      <c r="AD119" s="1">
        <f t="shared" ref="AD119" si="107">-FV($U$12,1,0,AD118+AC118-HLOOKUP(W119,$S$23:$U$214,9+((W119-$S$11-1)*12)),1)</f>
        <v>183243254.41751969</v>
      </c>
    </row>
    <row r="120" spans="12:30" x14ac:dyDescent="0.25">
      <c r="L120">
        <f t="shared" si="57"/>
        <v>106</v>
      </c>
      <c r="M120" s="2">
        <v>9.5500000000000002E-2</v>
      </c>
      <c r="N120" s="1">
        <f t="shared" si="63"/>
        <v>1026957.6379974334</v>
      </c>
      <c r="O120" s="1">
        <f t="shared" si="64"/>
        <v>1103337.6123234925</v>
      </c>
      <c r="P120" s="1">
        <f t="shared" si="65"/>
        <v>2130295.2503209258</v>
      </c>
      <c r="Q120" s="1">
        <f t="shared" si="66"/>
        <v>137612323.49165609</v>
      </c>
      <c r="S120" s="16"/>
      <c r="T120" t="s">
        <v>43</v>
      </c>
      <c r="U120">
        <f t="shared" ref="U120" si="108">U121/12</f>
        <v>1</v>
      </c>
      <c r="W120">
        <f t="shared" ref="W120" si="109">W119</f>
        <v>15</v>
      </c>
      <c r="X120">
        <f t="shared" si="87"/>
        <v>2</v>
      </c>
      <c r="Y120" s="3">
        <f t="shared" si="77"/>
        <v>0.12</v>
      </c>
      <c r="Z120" s="1">
        <f t="shared" si="99"/>
        <v>1050000</v>
      </c>
      <c r="AA120" s="1">
        <f t="shared" si="100"/>
        <v>115500</v>
      </c>
      <c r="AB120" s="1">
        <f t="shared" si="101"/>
        <v>1165500</v>
      </c>
      <c r="AC120" s="1">
        <f t="shared" si="102"/>
        <v>10500000</v>
      </c>
      <c r="AD120" s="1">
        <f t="shared" ref="AD120" si="110">-FV($U$12,1,0,AD119,1)</f>
        <v>183935693.90708673</v>
      </c>
    </row>
    <row r="121" spans="12:30" x14ac:dyDescent="0.25">
      <c r="L121">
        <f t="shared" si="57"/>
        <v>107</v>
      </c>
      <c r="M121" s="2">
        <v>9.5500000000000002E-2</v>
      </c>
      <c r="N121" s="1">
        <f t="shared" si="63"/>
        <v>1026957.6379974335</v>
      </c>
      <c r="O121" s="1">
        <f t="shared" si="64"/>
        <v>1095164.7411210963</v>
      </c>
      <c r="P121" s="1">
        <f t="shared" si="65"/>
        <v>2122122.3791185301</v>
      </c>
      <c r="Q121" s="1">
        <f t="shared" si="66"/>
        <v>136585365.85365868</v>
      </c>
      <c r="S121" s="16"/>
      <c r="T121" t="s">
        <v>44</v>
      </c>
      <c r="U121">
        <f>12</f>
        <v>12</v>
      </c>
      <c r="W121">
        <f t="shared" si="98"/>
        <v>15</v>
      </c>
      <c r="X121">
        <f t="shared" si="87"/>
        <v>3</v>
      </c>
      <c r="Y121" s="3">
        <f t="shared" si="77"/>
        <v>0.12</v>
      </c>
      <c r="Z121" s="1">
        <f t="shared" si="99"/>
        <v>1050000</v>
      </c>
      <c r="AA121" s="1">
        <f t="shared" si="100"/>
        <v>105000</v>
      </c>
      <c r="AB121" s="1">
        <f t="shared" si="101"/>
        <v>1155000</v>
      </c>
      <c r="AC121" s="1">
        <f t="shared" si="102"/>
        <v>9450000</v>
      </c>
      <c r="AD121" s="1">
        <f t="shared" si="88"/>
        <v>184630749.98654261</v>
      </c>
    </row>
    <row r="122" spans="12:30" x14ac:dyDescent="0.25">
      <c r="L122">
        <f t="shared" si="57"/>
        <v>108</v>
      </c>
      <c r="M122" s="2">
        <v>9.5500000000000002E-2</v>
      </c>
      <c r="N122" s="1">
        <f t="shared" si="63"/>
        <v>1026957.6379974337</v>
      </c>
      <c r="O122" s="1">
        <f t="shared" si="64"/>
        <v>1086991.8699187003</v>
      </c>
      <c r="P122" s="1">
        <f t="shared" si="65"/>
        <v>2113949.5079161339</v>
      </c>
      <c r="Q122" s="1">
        <f t="shared" si="66"/>
        <v>135558408.21566123</v>
      </c>
      <c r="S122" s="16"/>
      <c r="W122">
        <f t="shared" si="98"/>
        <v>15</v>
      </c>
      <c r="X122">
        <f t="shared" si="87"/>
        <v>4</v>
      </c>
      <c r="Y122" s="3">
        <f t="shared" si="77"/>
        <v>0.12</v>
      </c>
      <c r="Z122" s="1">
        <f t="shared" si="99"/>
        <v>1050000</v>
      </c>
      <c r="AA122" s="1">
        <f t="shared" si="100"/>
        <v>94500</v>
      </c>
      <c r="AB122" s="1">
        <f t="shared" si="101"/>
        <v>1144500</v>
      </c>
      <c r="AC122" s="1">
        <f t="shared" si="102"/>
        <v>8400000</v>
      </c>
      <c r="AD122" s="1">
        <f t="shared" si="88"/>
        <v>185328432.54345554</v>
      </c>
    </row>
    <row r="123" spans="12:30" x14ac:dyDescent="0.25">
      <c r="L123">
        <f t="shared" si="57"/>
        <v>109</v>
      </c>
      <c r="M123" s="2">
        <v>9.5500000000000002E-2</v>
      </c>
      <c r="N123" s="1">
        <f t="shared" si="63"/>
        <v>1026957.6379974335</v>
      </c>
      <c r="O123" s="1">
        <f t="shared" si="64"/>
        <v>1078818.9987163038</v>
      </c>
      <c r="P123" s="1">
        <f t="shared" si="65"/>
        <v>2105776.6367137376</v>
      </c>
      <c r="Q123" s="1">
        <f t="shared" si="66"/>
        <v>134531450.57766378</v>
      </c>
      <c r="S123" s="16"/>
      <c r="T123" t="s">
        <v>35</v>
      </c>
      <c r="U123" s="1">
        <f t="shared" si="97"/>
        <v>1176000</v>
      </c>
      <c r="W123">
        <f t="shared" si="98"/>
        <v>15</v>
      </c>
      <c r="X123">
        <f t="shared" si="87"/>
        <v>5</v>
      </c>
      <c r="Y123" s="3">
        <f t="shared" si="77"/>
        <v>0.12</v>
      </c>
      <c r="Z123" s="1">
        <f t="shared" si="99"/>
        <v>1050000</v>
      </c>
      <c r="AA123" s="1">
        <f t="shared" si="100"/>
        <v>84000</v>
      </c>
      <c r="AB123" s="1">
        <f t="shared" si="101"/>
        <v>1134000</v>
      </c>
      <c r="AC123" s="1">
        <f t="shared" si="102"/>
        <v>7350000</v>
      </c>
      <c r="AD123" s="1">
        <f t="shared" si="88"/>
        <v>186028751.50275677</v>
      </c>
    </row>
    <row r="124" spans="12:30" x14ac:dyDescent="0.25">
      <c r="L124">
        <f t="shared" si="57"/>
        <v>110</v>
      </c>
      <c r="M124" s="2">
        <v>9.5500000000000002E-2</v>
      </c>
      <c r="N124" s="1">
        <f t="shared" si="63"/>
        <v>1026957.6379974334</v>
      </c>
      <c r="O124" s="1">
        <f t="shared" si="64"/>
        <v>1070646.1275139076</v>
      </c>
      <c r="P124" s="1">
        <f t="shared" si="65"/>
        <v>2097603.7655113409</v>
      </c>
      <c r="Q124" s="1">
        <f t="shared" si="66"/>
        <v>133504492.93966635</v>
      </c>
      <c r="S124" s="16"/>
      <c r="W124">
        <f t="shared" si="98"/>
        <v>15</v>
      </c>
      <c r="X124">
        <f t="shared" si="87"/>
        <v>6</v>
      </c>
      <c r="Y124" s="3">
        <f t="shared" si="77"/>
        <v>0.12</v>
      </c>
      <c r="Z124" s="1">
        <f t="shared" si="99"/>
        <v>1050000</v>
      </c>
      <c r="AA124" s="1">
        <f t="shared" si="100"/>
        <v>73500</v>
      </c>
      <c r="AB124" s="1">
        <f t="shared" si="101"/>
        <v>1123500</v>
      </c>
      <c r="AC124" s="1">
        <f t="shared" si="102"/>
        <v>6300000</v>
      </c>
      <c r="AD124" s="1">
        <f t="shared" si="88"/>
        <v>186731716.82688195</v>
      </c>
    </row>
    <row r="125" spans="12:30" x14ac:dyDescent="0.25">
      <c r="L125">
        <f t="shared" si="57"/>
        <v>111</v>
      </c>
      <c r="M125" s="2">
        <v>9.5500000000000002E-2</v>
      </c>
      <c r="N125" s="1">
        <f t="shared" si="63"/>
        <v>1026957.6379974334</v>
      </c>
      <c r="O125" s="1">
        <f t="shared" si="64"/>
        <v>1062473.2563115114</v>
      </c>
      <c r="P125" s="1">
        <f t="shared" si="65"/>
        <v>2089430.8943089447</v>
      </c>
      <c r="Q125" s="1">
        <f t="shared" si="66"/>
        <v>132477535.30166891</v>
      </c>
      <c r="S125" s="16"/>
      <c r="T125" t="s">
        <v>15</v>
      </c>
      <c r="U125" s="1">
        <f t="shared" ref="U125" si="111">(12*U121*U123)/(12+U121*U119)</f>
        <v>12600000</v>
      </c>
      <c r="W125">
        <f t="shared" si="98"/>
        <v>15</v>
      </c>
      <c r="X125">
        <f t="shared" si="87"/>
        <v>7</v>
      </c>
      <c r="Y125" s="3">
        <f t="shared" si="77"/>
        <v>0.12</v>
      </c>
      <c r="Z125" s="1">
        <f t="shared" si="99"/>
        <v>1050000</v>
      </c>
      <c r="AA125" s="1">
        <f t="shared" si="100"/>
        <v>63000</v>
      </c>
      <c r="AB125" s="1">
        <f t="shared" si="101"/>
        <v>1113000</v>
      </c>
      <c r="AC125" s="1">
        <f t="shared" si="102"/>
        <v>5250000</v>
      </c>
      <c r="AD125" s="1">
        <f t="shared" ref="AD125" si="112">-FV($U$12,1,0,AD124-HLOOKUP(W125,$S$23:$U$214,9+((W125-$S$11-1)*12)),1)</f>
        <v>184197140.55163059</v>
      </c>
    </row>
    <row r="126" spans="12:30" x14ac:dyDescent="0.25">
      <c r="L126">
        <f t="shared" si="57"/>
        <v>112</v>
      </c>
      <c r="M126" s="2">
        <v>9.5500000000000002E-2</v>
      </c>
      <c r="N126" s="1">
        <f t="shared" si="63"/>
        <v>1026957.6379974334</v>
      </c>
      <c r="O126" s="1">
        <f t="shared" si="64"/>
        <v>1054300.3851091149</v>
      </c>
      <c r="P126" s="1">
        <f t="shared" si="65"/>
        <v>2081258.0231065485</v>
      </c>
      <c r="Q126" s="1">
        <f t="shared" si="66"/>
        <v>131450577.66367148</v>
      </c>
      <c r="S126" s="16"/>
      <c r="W126">
        <f t="shared" si="98"/>
        <v>15</v>
      </c>
      <c r="X126">
        <f t="shared" si="87"/>
        <v>8</v>
      </c>
      <c r="Y126" s="3">
        <f t="shared" si="77"/>
        <v>0.12</v>
      </c>
      <c r="Z126" s="1">
        <f t="shared" si="99"/>
        <v>1050000</v>
      </c>
      <c r="AA126" s="1">
        <f t="shared" si="100"/>
        <v>52500</v>
      </c>
      <c r="AB126" s="1">
        <f t="shared" si="101"/>
        <v>1102500</v>
      </c>
      <c r="AC126" s="1">
        <f t="shared" si="102"/>
        <v>4200000</v>
      </c>
      <c r="AD126" s="1">
        <f t="shared" ref="AD126" si="113">-FV($U$12,1,0,AD125,1)</f>
        <v>184893184.58549535</v>
      </c>
    </row>
    <row r="127" spans="12:30" x14ac:dyDescent="0.25">
      <c r="L127">
        <f t="shared" si="57"/>
        <v>113</v>
      </c>
      <c r="M127" s="2">
        <v>9.5500000000000002E-2</v>
      </c>
      <c r="N127" s="1">
        <f t="shared" si="63"/>
        <v>1026957.6379974334</v>
      </c>
      <c r="O127" s="1">
        <f t="shared" si="64"/>
        <v>1046127.5139067188</v>
      </c>
      <c r="P127" s="1">
        <f t="shared" si="65"/>
        <v>2073085.1519041522</v>
      </c>
      <c r="Q127" s="1">
        <f t="shared" si="66"/>
        <v>130423620.02567405</v>
      </c>
      <c r="S127" s="16"/>
      <c r="T127" t="s">
        <v>46</v>
      </c>
      <c r="U127" s="1">
        <f t="shared" ref="U127" si="114">ROUNDUP($T$5*1000*(1+$T$2)^(S119-$S$11),-3)*6</f>
        <v>3228000</v>
      </c>
      <c r="W127">
        <f t="shared" si="98"/>
        <v>15</v>
      </c>
      <c r="X127">
        <f t="shared" si="87"/>
        <v>9</v>
      </c>
      <c r="Y127" s="3">
        <f t="shared" si="77"/>
        <v>0.12</v>
      </c>
      <c r="Z127" s="1">
        <f t="shared" si="99"/>
        <v>1050000</v>
      </c>
      <c r="AA127" s="1">
        <f t="shared" si="100"/>
        <v>42000</v>
      </c>
      <c r="AB127" s="1">
        <f t="shared" si="101"/>
        <v>1092000</v>
      </c>
      <c r="AC127" s="1">
        <f t="shared" si="102"/>
        <v>3150000</v>
      </c>
      <c r="AD127" s="1">
        <f t="shared" si="91"/>
        <v>185591858.8300986</v>
      </c>
    </row>
    <row r="128" spans="12:30" x14ac:dyDescent="0.25">
      <c r="L128">
        <f t="shared" si="57"/>
        <v>114</v>
      </c>
      <c r="M128" s="2">
        <v>9.5500000000000002E-2</v>
      </c>
      <c r="N128" s="1">
        <f t="shared" si="63"/>
        <v>1026957.6379974334</v>
      </c>
      <c r="O128" s="1">
        <f t="shared" si="64"/>
        <v>1037954.6427043226</v>
      </c>
      <c r="P128" s="1">
        <f t="shared" si="65"/>
        <v>2064912.280701756</v>
      </c>
      <c r="Q128" s="1">
        <f t="shared" si="66"/>
        <v>129396662.38767661</v>
      </c>
      <c r="S128" s="16"/>
      <c r="W128">
        <f t="shared" si="98"/>
        <v>15</v>
      </c>
      <c r="X128">
        <f t="shared" si="87"/>
        <v>10</v>
      </c>
      <c r="Y128" s="3">
        <f t="shared" si="77"/>
        <v>0.12</v>
      </c>
      <c r="Z128" s="1">
        <f t="shared" si="99"/>
        <v>1050000</v>
      </c>
      <c r="AA128" s="1">
        <f t="shared" si="100"/>
        <v>31500</v>
      </c>
      <c r="AB128" s="1">
        <f t="shared" si="101"/>
        <v>1081500</v>
      </c>
      <c r="AC128" s="1">
        <f t="shared" si="102"/>
        <v>2100000</v>
      </c>
      <c r="AD128" s="1">
        <f t="shared" si="91"/>
        <v>186293173.22447896</v>
      </c>
    </row>
    <row r="129" spans="12:30" x14ac:dyDescent="0.25">
      <c r="L129">
        <f t="shared" si="57"/>
        <v>115</v>
      </c>
      <c r="M129" s="2">
        <v>9.5500000000000002E-2</v>
      </c>
      <c r="N129" s="1">
        <f t="shared" si="63"/>
        <v>1026957.6379974334</v>
      </c>
      <c r="O129" s="1">
        <f t="shared" si="64"/>
        <v>1029781.7715019264</v>
      </c>
      <c r="P129" s="1">
        <f t="shared" si="65"/>
        <v>2056739.4094993598</v>
      </c>
      <c r="Q129" s="1">
        <f t="shared" si="66"/>
        <v>128369704.74967918</v>
      </c>
      <c r="S129" s="16"/>
      <c r="T129" t="s">
        <v>47</v>
      </c>
      <c r="U129" s="1">
        <f t="shared" ref="U129" si="115">U127*2</f>
        <v>6456000</v>
      </c>
      <c r="W129">
        <f t="shared" si="98"/>
        <v>15</v>
      </c>
      <c r="X129">
        <f t="shared" si="87"/>
        <v>11</v>
      </c>
      <c r="Y129" s="3">
        <f t="shared" si="77"/>
        <v>0.12</v>
      </c>
      <c r="Z129" s="1">
        <f t="shared" si="99"/>
        <v>1050000</v>
      </c>
      <c r="AA129" s="1">
        <f t="shared" si="100"/>
        <v>21000</v>
      </c>
      <c r="AB129" s="1">
        <f t="shared" si="101"/>
        <v>1071000</v>
      </c>
      <c r="AC129" s="1">
        <f t="shared" si="102"/>
        <v>1050000</v>
      </c>
      <c r="AD129" s="1">
        <f t="shared" si="91"/>
        <v>186997137.74523267</v>
      </c>
    </row>
    <row r="130" spans="12:30" x14ac:dyDescent="0.25">
      <c r="L130">
        <f t="shared" si="57"/>
        <v>116</v>
      </c>
      <c r="M130" s="2">
        <v>9.5500000000000002E-2</v>
      </c>
      <c r="N130" s="1">
        <f t="shared" si="63"/>
        <v>1026957.6379974334</v>
      </c>
      <c r="O130" s="1">
        <f t="shared" si="64"/>
        <v>1021608.90029953</v>
      </c>
      <c r="P130" s="1">
        <f t="shared" si="65"/>
        <v>2048566.5382969636</v>
      </c>
      <c r="Q130" s="1">
        <f t="shared" si="66"/>
        <v>127342747.11168174</v>
      </c>
      <c r="S130" s="16"/>
      <c r="W130">
        <f t="shared" si="98"/>
        <v>15</v>
      </c>
      <c r="X130">
        <f t="shared" si="87"/>
        <v>12</v>
      </c>
      <c r="Y130" s="3">
        <f t="shared" si="77"/>
        <v>0.12</v>
      </c>
      <c r="Z130" s="1">
        <f t="shared" si="99"/>
        <v>1050000</v>
      </c>
      <c r="AA130" s="1">
        <f t="shared" si="100"/>
        <v>10500</v>
      </c>
      <c r="AB130" s="1">
        <f t="shared" si="101"/>
        <v>1060500</v>
      </c>
      <c r="AC130" s="1">
        <f t="shared" si="102"/>
        <v>12857142.857142858</v>
      </c>
      <c r="AD130" s="1">
        <f t="shared" si="91"/>
        <v>187703762.40665555</v>
      </c>
    </row>
    <row r="131" spans="12:30" x14ac:dyDescent="0.25">
      <c r="L131">
        <f t="shared" si="57"/>
        <v>117</v>
      </c>
      <c r="M131" s="2">
        <v>9.5500000000000002E-2</v>
      </c>
      <c r="N131" s="1">
        <f t="shared" si="63"/>
        <v>1026957.6379974334</v>
      </c>
      <c r="O131" s="1">
        <f t="shared" si="64"/>
        <v>1013436.0290971338</v>
      </c>
      <c r="P131" s="1">
        <f t="shared" si="65"/>
        <v>2040393.6670945673</v>
      </c>
      <c r="Q131" s="1">
        <f t="shared" si="66"/>
        <v>126315789.47368431</v>
      </c>
      <c r="S131" s="16">
        <v>16</v>
      </c>
      <c r="T131" t="s">
        <v>45</v>
      </c>
      <c r="U131" s="5">
        <f>12%</f>
        <v>0.12</v>
      </c>
      <c r="W131">
        <f t="shared" ref="W131" si="116">W119+1</f>
        <v>16</v>
      </c>
      <c r="X131">
        <f t="shared" si="87"/>
        <v>1</v>
      </c>
      <c r="Y131" s="3">
        <f t="shared" si="77"/>
        <v>0.12</v>
      </c>
      <c r="Z131" s="1">
        <f t="shared" si="99"/>
        <v>1071428.5714285716</v>
      </c>
      <c r="AA131" s="1">
        <f t="shared" si="100"/>
        <v>128571.42857142858</v>
      </c>
      <c r="AB131" s="1">
        <f t="shared" si="101"/>
        <v>1200000.0000000002</v>
      </c>
      <c r="AC131" s="1">
        <f t="shared" si="102"/>
        <v>11785714.285714287</v>
      </c>
      <c r="AD131" s="1">
        <f t="shared" ref="AD131" si="117">-FV($U$12,1,0,AD130+AC130-HLOOKUP(W131,$S$23:$U$214,9+((W131-$S$11-1)*12)),1)</f>
        <v>197277571.23486272</v>
      </c>
    </row>
    <row r="132" spans="12:30" x14ac:dyDescent="0.25">
      <c r="L132">
        <f t="shared" si="57"/>
        <v>118</v>
      </c>
      <c r="M132" s="2">
        <v>9.5500000000000002E-2</v>
      </c>
      <c r="N132" s="1">
        <f t="shared" si="63"/>
        <v>1026957.6379974334</v>
      </c>
      <c r="O132" s="1">
        <f t="shared" si="64"/>
        <v>1005263.1578947376</v>
      </c>
      <c r="P132" s="1">
        <f t="shared" si="65"/>
        <v>2032220.7958921711</v>
      </c>
      <c r="Q132" s="1">
        <f t="shared" si="66"/>
        <v>125288831.83568688</v>
      </c>
      <c r="S132" s="16"/>
      <c r="T132" t="s">
        <v>43</v>
      </c>
      <c r="U132">
        <f t="shared" ref="U132" si="118">U133/12</f>
        <v>1</v>
      </c>
      <c r="W132">
        <f t="shared" ref="W132" si="119">W131</f>
        <v>16</v>
      </c>
      <c r="X132">
        <f t="shared" si="87"/>
        <v>2</v>
      </c>
      <c r="Y132" s="3">
        <f t="shared" si="77"/>
        <v>0.12</v>
      </c>
      <c r="Z132" s="1">
        <f t="shared" si="99"/>
        <v>1071428.5714285716</v>
      </c>
      <c r="AA132" s="1">
        <f t="shared" si="100"/>
        <v>117857.14285714287</v>
      </c>
      <c r="AB132" s="1">
        <f t="shared" si="101"/>
        <v>1189285.7142857146</v>
      </c>
      <c r="AC132" s="1">
        <f t="shared" si="102"/>
        <v>10714285.714285716</v>
      </c>
      <c r="AD132" s="1">
        <f t="shared" ref="AD132" si="120">-FV($U$12,1,0,AD131,1)</f>
        <v>198023043.59161121</v>
      </c>
    </row>
    <row r="133" spans="12:30" x14ac:dyDescent="0.25">
      <c r="L133">
        <f t="shared" ref="L133:L196" si="121">L132+1</f>
        <v>119</v>
      </c>
      <c r="M133" s="2">
        <v>9.5500000000000002E-2</v>
      </c>
      <c r="N133" s="1">
        <f t="shared" si="63"/>
        <v>1026957.6379974334</v>
      </c>
      <c r="O133" s="1">
        <f t="shared" si="64"/>
        <v>997090.28669234132</v>
      </c>
      <c r="P133" s="1">
        <f t="shared" si="65"/>
        <v>2024047.9246897749</v>
      </c>
      <c r="Q133" s="1">
        <f t="shared" si="66"/>
        <v>124261874.19768944</v>
      </c>
      <c r="S133" s="16"/>
      <c r="T133" t="s">
        <v>44</v>
      </c>
      <c r="U133">
        <f>12</f>
        <v>12</v>
      </c>
      <c r="W133">
        <f t="shared" si="98"/>
        <v>16</v>
      </c>
      <c r="X133">
        <f t="shared" si="87"/>
        <v>3</v>
      </c>
      <c r="Y133" s="3">
        <f t="shared" si="77"/>
        <v>0.12</v>
      </c>
      <c r="Z133" s="1">
        <f t="shared" si="99"/>
        <v>1071428.5714285716</v>
      </c>
      <c r="AA133" s="1">
        <f t="shared" si="100"/>
        <v>107142.85714285716</v>
      </c>
      <c r="AB133" s="1">
        <f t="shared" si="101"/>
        <v>1178571.4285714286</v>
      </c>
      <c r="AC133" s="1">
        <f t="shared" si="102"/>
        <v>9642857.1428571455</v>
      </c>
      <c r="AD133" s="1">
        <f t="shared" si="88"/>
        <v>198771332.93881229</v>
      </c>
    </row>
    <row r="134" spans="12:30" x14ac:dyDescent="0.25">
      <c r="L134">
        <f t="shared" si="121"/>
        <v>120</v>
      </c>
      <c r="M134" s="2">
        <v>9.5500000000000002E-2</v>
      </c>
      <c r="N134" s="1">
        <f t="shared" si="63"/>
        <v>1026957.6379974334</v>
      </c>
      <c r="O134" s="1">
        <f t="shared" si="64"/>
        <v>988917.4154899451</v>
      </c>
      <c r="P134" s="1">
        <f t="shared" si="65"/>
        <v>2015875.0534873786</v>
      </c>
      <c r="Q134" s="1">
        <f t="shared" si="66"/>
        <v>123234916.55969201</v>
      </c>
      <c r="S134" s="16"/>
      <c r="W134">
        <f t="shared" si="98"/>
        <v>16</v>
      </c>
      <c r="X134">
        <f t="shared" si="87"/>
        <v>4</v>
      </c>
      <c r="Y134" s="3">
        <f t="shared" si="77"/>
        <v>0.12</v>
      </c>
      <c r="Z134" s="1">
        <f t="shared" si="99"/>
        <v>1071428.5714285718</v>
      </c>
      <c r="AA134" s="1">
        <f t="shared" si="100"/>
        <v>96428.571428571464</v>
      </c>
      <c r="AB134" s="1">
        <f t="shared" si="101"/>
        <v>1167857.1428571432</v>
      </c>
      <c r="AC134" s="1">
        <f t="shared" si="102"/>
        <v>8571428.5714285746</v>
      </c>
      <c r="AD134" s="1">
        <f t="shared" si="88"/>
        <v>199522449.92130759</v>
      </c>
    </row>
    <row r="135" spans="12:30" x14ac:dyDescent="0.25">
      <c r="L135">
        <f t="shared" si="121"/>
        <v>121</v>
      </c>
      <c r="M135" s="2">
        <v>9.5500000000000002E-2</v>
      </c>
      <c r="N135" s="1">
        <f t="shared" si="63"/>
        <v>1026957.6379974334</v>
      </c>
      <c r="O135" s="1">
        <f t="shared" si="64"/>
        <v>980744.54428754887</v>
      </c>
      <c r="P135" s="1">
        <f t="shared" si="65"/>
        <v>2007702.1822849824</v>
      </c>
      <c r="Q135" s="1">
        <f t="shared" si="66"/>
        <v>122207958.92169458</v>
      </c>
      <c r="S135" s="16"/>
      <c r="T135" t="s">
        <v>35</v>
      </c>
      <c r="U135" s="1">
        <f t="shared" ref="U135" si="122">ROUNDUP(U123*(1+$T$2),-3)</f>
        <v>1200000</v>
      </c>
      <c r="W135">
        <f t="shared" si="98"/>
        <v>16</v>
      </c>
      <c r="X135">
        <f t="shared" si="87"/>
        <v>5</v>
      </c>
      <c r="Y135" s="3">
        <f t="shared" si="77"/>
        <v>0.12</v>
      </c>
      <c r="Z135" s="1">
        <f t="shared" si="99"/>
        <v>1071428.5714285718</v>
      </c>
      <c r="AA135" s="1">
        <f t="shared" si="100"/>
        <v>85714.285714285754</v>
      </c>
      <c r="AB135" s="1">
        <f t="shared" si="101"/>
        <v>1157142.8571428575</v>
      </c>
      <c r="AC135" s="1">
        <f t="shared" si="102"/>
        <v>7500000.0000000028</v>
      </c>
      <c r="AD135" s="1">
        <f t="shared" si="88"/>
        <v>200276405.22416356</v>
      </c>
    </row>
    <row r="136" spans="12:30" x14ac:dyDescent="0.25">
      <c r="L136">
        <f t="shared" si="121"/>
        <v>122</v>
      </c>
      <c r="M136" s="2">
        <v>9.5500000000000002E-2</v>
      </c>
      <c r="N136" s="1">
        <f t="shared" si="63"/>
        <v>1026957.6379974334</v>
      </c>
      <c r="O136" s="1">
        <f t="shared" si="64"/>
        <v>972571.67308515264</v>
      </c>
      <c r="P136" s="1">
        <f t="shared" si="65"/>
        <v>1999529.3110825862</v>
      </c>
      <c r="Q136" s="1">
        <f t="shared" si="66"/>
        <v>121181001.28369714</v>
      </c>
      <c r="S136" s="16"/>
      <c r="W136">
        <f t="shared" si="98"/>
        <v>16</v>
      </c>
      <c r="X136">
        <f t="shared" si="87"/>
        <v>6</v>
      </c>
      <c r="Y136" s="3">
        <f t="shared" si="77"/>
        <v>0.12</v>
      </c>
      <c r="Z136" s="1">
        <f t="shared" si="99"/>
        <v>1071428.5714285718</v>
      </c>
      <c r="AA136" s="1">
        <f t="shared" si="100"/>
        <v>75000.000000000029</v>
      </c>
      <c r="AB136" s="1">
        <f t="shared" si="101"/>
        <v>1146428.5714285718</v>
      </c>
      <c r="AC136" s="1">
        <f t="shared" si="102"/>
        <v>6428571.428571431</v>
      </c>
      <c r="AD136" s="1">
        <f t="shared" si="88"/>
        <v>201033209.57282329</v>
      </c>
    </row>
    <row r="137" spans="12:30" x14ac:dyDescent="0.25">
      <c r="L137">
        <f t="shared" si="121"/>
        <v>123</v>
      </c>
      <c r="M137" s="2">
        <v>9.5500000000000002E-2</v>
      </c>
      <c r="N137" s="1">
        <f t="shared" si="63"/>
        <v>1026957.6379974334</v>
      </c>
      <c r="O137" s="1">
        <f t="shared" si="64"/>
        <v>964398.80188275641</v>
      </c>
      <c r="P137" s="1">
        <f t="shared" si="65"/>
        <v>1991356.43988019</v>
      </c>
      <c r="Q137" s="1">
        <f t="shared" si="66"/>
        <v>120154043.64569971</v>
      </c>
      <c r="S137" s="16"/>
      <c r="T137" t="s">
        <v>15</v>
      </c>
      <c r="U137" s="1">
        <f t="shared" ref="U137:U185" si="123">(12*U133*U135)/(12+U133*U131)</f>
        <v>12857142.857142858</v>
      </c>
      <c r="W137">
        <f t="shared" si="98"/>
        <v>16</v>
      </c>
      <c r="X137">
        <f t="shared" si="87"/>
        <v>7</v>
      </c>
      <c r="Y137" s="3">
        <f t="shared" si="77"/>
        <v>0.12</v>
      </c>
      <c r="Z137" s="1">
        <f t="shared" si="99"/>
        <v>1071428.5714285718</v>
      </c>
      <c r="AA137" s="1">
        <f t="shared" si="100"/>
        <v>64285.714285714312</v>
      </c>
      <c r="AB137" s="1">
        <f t="shared" si="101"/>
        <v>1135714.2857142861</v>
      </c>
      <c r="AC137" s="1">
        <f t="shared" si="102"/>
        <v>5357142.8571428591</v>
      </c>
      <c r="AD137" s="1">
        <f t="shared" ref="AD137" si="124">-FV($U$12,1,0,AD136-HLOOKUP(W137,$S$23:$U$214,9+((W137-$S$11-1)*12)),1)</f>
        <v>197751660.28710064</v>
      </c>
    </row>
    <row r="138" spans="12:30" x14ac:dyDescent="0.25">
      <c r="L138">
        <f t="shared" si="121"/>
        <v>124</v>
      </c>
      <c r="M138" s="2">
        <v>9.5500000000000002E-2</v>
      </c>
      <c r="N138" s="1">
        <f t="shared" si="63"/>
        <v>1026957.6379974334</v>
      </c>
      <c r="O138" s="1">
        <f t="shared" si="64"/>
        <v>956225.93068036018</v>
      </c>
      <c r="P138" s="1">
        <f t="shared" si="65"/>
        <v>1983183.5686777937</v>
      </c>
      <c r="Q138" s="1">
        <f t="shared" si="66"/>
        <v>119127086.00770228</v>
      </c>
      <c r="S138" s="16"/>
      <c r="W138">
        <f t="shared" si="98"/>
        <v>16</v>
      </c>
      <c r="X138">
        <f t="shared" si="87"/>
        <v>8</v>
      </c>
      <c r="Y138" s="3">
        <f t="shared" si="77"/>
        <v>0.12</v>
      </c>
      <c r="Z138" s="1">
        <f t="shared" si="99"/>
        <v>1071428.5714285718</v>
      </c>
      <c r="AA138" s="1">
        <f t="shared" si="100"/>
        <v>53571.428571428594</v>
      </c>
      <c r="AB138" s="1">
        <f t="shared" si="101"/>
        <v>1125000.0000000005</v>
      </c>
      <c r="AC138" s="1">
        <f t="shared" si="102"/>
        <v>4285714.2857142873</v>
      </c>
      <c r="AD138" s="1">
        <f t="shared" ref="AD138" si="125">-FV($U$12,1,0,AD137,1)</f>
        <v>198498924.13124868</v>
      </c>
    </row>
    <row r="139" spans="12:30" x14ac:dyDescent="0.25">
      <c r="L139">
        <f t="shared" si="121"/>
        <v>125</v>
      </c>
      <c r="M139" s="2">
        <v>9.5500000000000002E-2</v>
      </c>
      <c r="N139" s="1">
        <f t="shared" ref="N139:N202" si="126">IFERROR(Q138/($M$10+1-L139),0)</f>
        <v>1026957.6379974334</v>
      </c>
      <c r="O139" s="1">
        <f t="shared" ref="O139:O202" si="127">Q138*(M139/12)</f>
        <v>948053.05947796395</v>
      </c>
      <c r="P139" s="1">
        <f t="shared" ref="P139:P202" si="128">N139+O139</f>
        <v>1975010.6974753975</v>
      </c>
      <c r="Q139" s="1">
        <f t="shared" ref="Q139:Q202" si="129">Q138-N139</f>
        <v>118100128.36970484</v>
      </c>
      <c r="S139" s="16"/>
      <c r="T139" t="s">
        <v>46</v>
      </c>
      <c r="U139" s="1">
        <f>ROUNDUP($T$6*1000*(1+$T$2)^(S131-$S$11),-3)*6</f>
        <v>4026000</v>
      </c>
      <c r="W139">
        <f t="shared" si="98"/>
        <v>16</v>
      </c>
      <c r="X139">
        <f t="shared" si="87"/>
        <v>9</v>
      </c>
      <c r="Y139" s="3">
        <f t="shared" si="77"/>
        <v>0.12</v>
      </c>
      <c r="Z139" s="1">
        <f t="shared" si="99"/>
        <v>1071428.5714285718</v>
      </c>
      <c r="AA139" s="1">
        <f t="shared" si="100"/>
        <v>42857.142857142877</v>
      </c>
      <c r="AB139" s="1">
        <f t="shared" si="101"/>
        <v>1114285.7142857148</v>
      </c>
      <c r="AC139" s="1">
        <f t="shared" si="102"/>
        <v>3214285.7142857155</v>
      </c>
      <c r="AD139" s="1">
        <f t="shared" si="91"/>
        <v>199249011.73552069</v>
      </c>
    </row>
    <row r="140" spans="12:30" x14ac:dyDescent="0.25">
      <c r="L140">
        <f t="shared" si="121"/>
        <v>126</v>
      </c>
      <c r="M140" s="2">
        <v>9.5500000000000002E-2</v>
      </c>
      <c r="N140" s="1">
        <f t="shared" si="126"/>
        <v>1026957.6379974334</v>
      </c>
      <c r="O140" s="1">
        <f t="shared" si="127"/>
        <v>939880.18827556761</v>
      </c>
      <c r="P140" s="1">
        <f t="shared" si="128"/>
        <v>1966837.826273001</v>
      </c>
      <c r="Q140" s="1">
        <f t="shared" si="129"/>
        <v>117073170.73170741</v>
      </c>
      <c r="S140" s="16"/>
      <c r="W140">
        <f t="shared" si="98"/>
        <v>16</v>
      </c>
      <c r="X140">
        <f t="shared" si="87"/>
        <v>10</v>
      </c>
      <c r="Y140" s="3">
        <f t="shared" si="77"/>
        <v>0.12</v>
      </c>
      <c r="Z140" s="1">
        <f t="shared" si="99"/>
        <v>1071428.5714285718</v>
      </c>
      <c r="AA140" s="1">
        <f t="shared" si="100"/>
        <v>32142.857142857156</v>
      </c>
      <c r="AB140" s="1">
        <f t="shared" si="101"/>
        <v>1103571.4285714289</v>
      </c>
      <c r="AC140" s="1">
        <f t="shared" si="102"/>
        <v>2142857.1428571437</v>
      </c>
      <c r="AD140" s="1">
        <f t="shared" si="91"/>
        <v>200001933.77033961</v>
      </c>
    </row>
    <row r="141" spans="12:30" x14ac:dyDescent="0.25">
      <c r="L141">
        <f t="shared" si="121"/>
        <v>127</v>
      </c>
      <c r="M141" s="2">
        <v>9.5500000000000002E-2</v>
      </c>
      <c r="N141" s="1">
        <f t="shared" si="126"/>
        <v>1026957.6379974334</v>
      </c>
      <c r="O141" s="1">
        <f t="shared" si="127"/>
        <v>931707.31707317138</v>
      </c>
      <c r="P141" s="1">
        <f t="shared" si="128"/>
        <v>1958664.9550706048</v>
      </c>
      <c r="Q141" s="1">
        <f t="shared" si="129"/>
        <v>116046213.09370998</v>
      </c>
      <c r="S141" s="16"/>
      <c r="T141" t="s">
        <v>47</v>
      </c>
      <c r="U141" s="1">
        <f t="shared" ref="U141:U189" si="130">U139*2</f>
        <v>8052000</v>
      </c>
      <c r="W141">
        <f t="shared" si="98"/>
        <v>16</v>
      </c>
      <c r="X141">
        <f t="shared" si="87"/>
        <v>11</v>
      </c>
      <c r="Y141" s="3">
        <f t="shared" si="77"/>
        <v>0.12</v>
      </c>
      <c r="Z141" s="1">
        <f t="shared" si="99"/>
        <v>1071428.5714285718</v>
      </c>
      <c r="AA141" s="1">
        <f t="shared" si="100"/>
        <v>21428.571428571438</v>
      </c>
      <c r="AB141" s="1">
        <f t="shared" si="101"/>
        <v>1092857.1428571432</v>
      </c>
      <c r="AC141" s="1">
        <f t="shared" si="102"/>
        <v>1071428.5714285718</v>
      </c>
      <c r="AD141" s="1">
        <f t="shared" si="91"/>
        <v>200757700.9464497</v>
      </c>
    </row>
    <row r="142" spans="12:30" x14ac:dyDescent="0.25">
      <c r="L142">
        <f t="shared" si="121"/>
        <v>128</v>
      </c>
      <c r="M142" s="2">
        <v>9.5500000000000002E-2</v>
      </c>
      <c r="N142" s="1">
        <f t="shared" si="126"/>
        <v>1026957.6379974334</v>
      </c>
      <c r="O142" s="1">
        <f t="shared" si="127"/>
        <v>923534.44587077515</v>
      </c>
      <c r="P142" s="1">
        <f t="shared" si="128"/>
        <v>1950492.0838682086</v>
      </c>
      <c r="Q142" s="1">
        <f t="shared" si="129"/>
        <v>115019255.45571254</v>
      </c>
      <c r="S142" s="16"/>
      <c r="W142">
        <f t="shared" si="98"/>
        <v>16</v>
      </c>
      <c r="X142">
        <f t="shared" si="87"/>
        <v>12</v>
      </c>
      <c r="Y142" s="3">
        <f t="shared" si="77"/>
        <v>0.12</v>
      </c>
      <c r="Z142" s="1">
        <f t="shared" si="99"/>
        <v>1071428.5714285718</v>
      </c>
      <c r="AA142" s="1">
        <f t="shared" si="100"/>
        <v>10714.285714285719</v>
      </c>
      <c r="AB142" s="1">
        <f t="shared" si="101"/>
        <v>1082142.8571428575</v>
      </c>
      <c r="AC142" s="1">
        <f t="shared" si="102"/>
        <v>13114285.714285715</v>
      </c>
      <c r="AD142" s="1">
        <f t="shared" si="91"/>
        <v>201516324.01506901</v>
      </c>
    </row>
    <row r="143" spans="12:30" x14ac:dyDescent="0.25">
      <c r="L143">
        <f t="shared" si="121"/>
        <v>129</v>
      </c>
      <c r="M143" s="2">
        <v>9.5500000000000002E-2</v>
      </c>
      <c r="N143" s="1">
        <f t="shared" si="126"/>
        <v>1026957.6379974334</v>
      </c>
      <c r="O143" s="1">
        <f t="shared" si="127"/>
        <v>915361.57466837892</v>
      </c>
      <c r="P143" s="1">
        <f t="shared" si="128"/>
        <v>1942319.2126658123</v>
      </c>
      <c r="Q143" s="1">
        <f t="shared" si="129"/>
        <v>113992297.81771511</v>
      </c>
      <c r="S143" s="16">
        <v>17</v>
      </c>
      <c r="T143" t="s">
        <v>45</v>
      </c>
      <c r="U143" s="5">
        <f>12%</f>
        <v>0.12</v>
      </c>
      <c r="W143">
        <f t="shared" ref="W143" si="131">W131+1</f>
        <v>17</v>
      </c>
      <c r="X143">
        <f t="shared" si="87"/>
        <v>1</v>
      </c>
      <c r="Y143" s="3">
        <f t="shared" si="77"/>
        <v>0.12</v>
      </c>
      <c r="Z143" s="1">
        <f t="shared" si="99"/>
        <v>1092857.142857143</v>
      </c>
      <c r="AA143" s="1">
        <f t="shared" si="100"/>
        <v>131142.85714285716</v>
      </c>
      <c r="AB143" s="1">
        <f t="shared" si="101"/>
        <v>1224000</v>
      </c>
      <c r="AC143" s="1">
        <f t="shared" si="102"/>
        <v>12021428.571428571</v>
      </c>
      <c r="AD143" s="1">
        <f t="shared" ref="AD143" si="132">-FV($U$12,1,0,AD142+AC142-HLOOKUP(W143,$S$23:$U$214,9+((W143-$S$11-1)*12)),1)</f>
        <v>211322147.54407349</v>
      </c>
    </row>
    <row r="144" spans="12:30" x14ac:dyDescent="0.25">
      <c r="L144">
        <f t="shared" si="121"/>
        <v>130</v>
      </c>
      <c r="M144" s="2">
        <v>9.5500000000000002E-2</v>
      </c>
      <c r="N144" s="1">
        <f t="shared" si="126"/>
        <v>1026957.6379974334</v>
      </c>
      <c r="O144" s="1">
        <f t="shared" si="127"/>
        <v>907188.70346598269</v>
      </c>
      <c r="P144" s="1">
        <f t="shared" si="128"/>
        <v>1934146.3414634161</v>
      </c>
      <c r="Q144" s="1">
        <f t="shared" si="129"/>
        <v>112965340.17971767</v>
      </c>
      <c r="S144" s="16"/>
      <c r="T144" t="s">
        <v>43</v>
      </c>
      <c r="U144">
        <f t="shared" ref="U144" si="133">U145/12</f>
        <v>1</v>
      </c>
      <c r="W144">
        <f t="shared" ref="W144" si="134">W143</f>
        <v>17</v>
      </c>
      <c r="X144">
        <f t="shared" si="87"/>
        <v>2</v>
      </c>
      <c r="Y144" s="3">
        <f t="shared" si="77"/>
        <v>0.12</v>
      </c>
      <c r="Z144" s="1">
        <f t="shared" si="99"/>
        <v>1092857.1428571427</v>
      </c>
      <c r="AA144" s="1">
        <f t="shared" si="100"/>
        <v>120214.28571428571</v>
      </c>
      <c r="AB144" s="1">
        <f t="shared" si="101"/>
        <v>1213071.4285714284</v>
      </c>
      <c r="AC144" s="1">
        <f t="shared" si="102"/>
        <v>10928571.428571429</v>
      </c>
      <c r="AD144" s="1">
        <f t="shared" ref="AD144" si="135">-FV($U$12,1,0,AD143,1)</f>
        <v>212120691.53656459</v>
      </c>
    </row>
    <row r="145" spans="12:30" x14ac:dyDescent="0.25">
      <c r="L145">
        <f t="shared" si="121"/>
        <v>131</v>
      </c>
      <c r="M145" s="2">
        <v>9.5500000000000002E-2</v>
      </c>
      <c r="N145" s="1">
        <f t="shared" si="126"/>
        <v>1026957.6379974334</v>
      </c>
      <c r="O145" s="1">
        <f t="shared" si="127"/>
        <v>899015.83226358646</v>
      </c>
      <c r="P145" s="1">
        <f t="shared" si="128"/>
        <v>1925973.4702610199</v>
      </c>
      <c r="Q145" s="1">
        <f t="shared" si="129"/>
        <v>111938382.54172024</v>
      </c>
      <c r="S145" s="16"/>
      <c r="T145" t="s">
        <v>44</v>
      </c>
      <c r="U145">
        <f>12</f>
        <v>12</v>
      </c>
      <c r="W145">
        <f t="shared" si="98"/>
        <v>17</v>
      </c>
      <c r="X145">
        <f t="shared" si="87"/>
        <v>3</v>
      </c>
      <c r="Y145" s="3">
        <f t="shared" si="77"/>
        <v>0.12</v>
      </c>
      <c r="Z145" s="1">
        <f t="shared" si="99"/>
        <v>1092857.142857143</v>
      </c>
      <c r="AA145" s="1">
        <f t="shared" si="100"/>
        <v>109285.71428571429</v>
      </c>
      <c r="AB145" s="1">
        <f t="shared" si="101"/>
        <v>1202142.8571428573</v>
      </c>
      <c r="AC145" s="1">
        <f t="shared" si="102"/>
        <v>9835714.2857142854</v>
      </c>
      <c r="AD145" s="1">
        <f t="shared" si="88"/>
        <v>212922253.06657058</v>
      </c>
    </row>
    <row r="146" spans="12:30" x14ac:dyDescent="0.25">
      <c r="L146">
        <f t="shared" si="121"/>
        <v>132</v>
      </c>
      <c r="M146" s="2">
        <v>9.5500000000000002E-2</v>
      </c>
      <c r="N146" s="1">
        <f t="shared" si="126"/>
        <v>1026957.6379974334</v>
      </c>
      <c r="O146" s="1">
        <f t="shared" si="127"/>
        <v>890842.96106119023</v>
      </c>
      <c r="P146" s="1">
        <f t="shared" si="128"/>
        <v>1917800.5990586237</v>
      </c>
      <c r="Q146" s="1">
        <f t="shared" si="129"/>
        <v>110911424.90372281</v>
      </c>
      <c r="S146" s="16"/>
      <c r="W146">
        <f t="shared" si="98"/>
        <v>17</v>
      </c>
      <c r="X146">
        <f t="shared" si="87"/>
        <v>4</v>
      </c>
      <c r="Y146" s="3">
        <f t="shared" si="77"/>
        <v>0.12</v>
      </c>
      <c r="Z146" s="1">
        <f t="shared" si="99"/>
        <v>1092857.1428571427</v>
      </c>
      <c r="AA146" s="1">
        <f t="shared" si="100"/>
        <v>98357.142857142855</v>
      </c>
      <c r="AB146" s="1">
        <f t="shared" si="101"/>
        <v>1191214.2857142857</v>
      </c>
      <c r="AC146" s="1">
        <f t="shared" si="102"/>
        <v>8742857.1428571418</v>
      </c>
      <c r="AD146" s="1">
        <f t="shared" si="88"/>
        <v>213726843.53676024</v>
      </c>
    </row>
    <row r="147" spans="12:30" x14ac:dyDescent="0.25">
      <c r="L147">
        <f t="shared" si="121"/>
        <v>133</v>
      </c>
      <c r="M147" s="2">
        <v>9.5500000000000002E-2</v>
      </c>
      <c r="N147" s="1">
        <f t="shared" si="126"/>
        <v>1026957.6379974334</v>
      </c>
      <c r="O147" s="1">
        <f t="shared" si="127"/>
        <v>882670.089858794</v>
      </c>
      <c r="P147" s="1">
        <f t="shared" si="128"/>
        <v>1909627.7278562274</v>
      </c>
      <c r="Q147" s="1">
        <f t="shared" si="129"/>
        <v>109884467.26572537</v>
      </c>
      <c r="S147" s="16"/>
      <c r="T147" t="s">
        <v>35</v>
      </c>
      <c r="U147" s="1">
        <f t="shared" ref="U147:U159" si="136">ROUNDUP(U135*(1+$T$2),-3)</f>
        <v>1224000</v>
      </c>
      <c r="W147">
        <f t="shared" si="98"/>
        <v>17</v>
      </c>
      <c r="X147">
        <f t="shared" si="87"/>
        <v>5</v>
      </c>
      <c r="Y147" s="3">
        <f t="shared" si="77"/>
        <v>0.12</v>
      </c>
      <c r="Z147" s="1">
        <f t="shared" si="99"/>
        <v>1092857.1428571427</v>
      </c>
      <c r="AA147" s="1">
        <f t="shared" si="100"/>
        <v>87428.57142857142</v>
      </c>
      <c r="AB147" s="1">
        <f t="shared" si="101"/>
        <v>1180285.7142857141</v>
      </c>
      <c r="AC147" s="1">
        <f t="shared" si="102"/>
        <v>7649999.9999999991</v>
      </c>
      <c r="AD147" s="1">
        <f t="shared" si="88"/>
        <v>214534474.39289078</v>
      </c>
    </row>
    <row r="148" spans="12:30" x14ac:dyDescent="0.25">
      <c r="L148">
        <f t="shared" si="121"/>
        <v>134</v>
      </c>
      <c r="M148" s="2">
        <v>9.5500000000000002E-2</v>
      </c>
      <c r="N148" s="1">
        <f t="shared" si="126"/>
        <v>1026957.6379974334</v>
      </c>
      <c r="O148" s="1">
        <f t="shared" si="127"/>
        <v>874497.21865639777</v>
      </c>
      <c r="P148" s="1">
        <f t="shared" si="128"/>
        <v>1901454.8566538312</v>
      </c>
      <c r="Q148" s="1">
        <f t="shared" si="129"/>
        <v>108857509.62772794</v>
      </c>
      <c r="S148" s="16"/>
      <c r="W148">
        <f t="shared" si="98"/>
        <v>17</v>
      </c>
      <c r="X148">
        <f t="shared" si="87"/>
        <v>6</v>
      </c>
      <c r="Y148" s="3">
        <f t="shared" si="77"/>
        <v>0.12</v>
      </c>
      <c r="Z148" s="1">
        <f t="shared" si="99"/>
        <v>1092857.1428571427</v>
      </c>
      <c r="AA148" s="1">
        <f t="shared" si="100"/>
        <v>76499.999999999985</v>
      </c>
      <c r="AB148" s="1">
        <f t="shared" si="101"/>
        <v>1169357.1428571427</v>
      </c>
      <c r="AC148" s="1">
        <f t="shared" si="102"/>
        <v>6557142.8571428563</v>
      </c>
      <c r="AD148" s="1">
        <f t="shared" si="88"/>
        <v>215345157.12397057</v>
      </c>
    </row>
    <row r="149" spans="12:30" x14ac:dyDescent="0.25">
      <c r="L149">
        <f t="shared" si="121"/>
        <v>135</v>
      </c>
      <c r="M149" s="2">
        <v>9.5500000000000002E-2</v>
      </c>
      <c r="N149" s="1">
        <f t="shared" si="126"/>
        <v>1026957.6379974334</v>
      </c>
      <c r="O149" s="1">
        <f t="shared" si="127"/>
        <v>866324.34745400143</v>
      </c>
      <c r="P149" s="1">
        <f t="shared" si="128"/>
        <v>1893281.9854514347</v>
      </c>
      <c r="Q149" s="1">
        <f t="shared" si="129"/>
        <v>107830551.98973051</v>
      </c>
      <c r="S149" s="16"/>
      <c r="T149" t="s">
        <v>15</v>
      </c>
      <c r="U149" s="1">
        <f t="shared" si="123"/>
        <v>13114285.714285715</v>
      </c>
      <c r="W149">
        <f t="shared" si="98"/>
        <v>17</v>
      </c>
      <c r="X149">
        <f t="shared" si="87"/>
        <v>7</v>
      </c>
      <c r="Y149" s="3">
        <f t="shared" si="77"/>
        <v>0.12</v>
      </c>
      <c r="Z149" s="1">
        <f t="shared" si="99"/>
        <v>1092857.1428571427</v>
      </c>
      <c r="AA149" s="1">
        <f t="shared" si="100"/>
        <v>65571.428571428565</v>
      </c>
      <c r="AB149" s="1">
        <f t="shared" si="101"/>
        <v>1158428.5714285714</v>
      </c>
      <c r="AC149" s="1">
        <f t="shared" si="102"/>
        <v>5464285.7142857136</v>
      </c>
      <c r="AD149" s="1">
        <f t="shared" ref="AD149" si="137">-FV($U$12,1,0,AD148-HLOOKUP(W149,$S$23:$U$214,9+((W149-$S$11-1)*12)),1)</f>
        <v>212039395.06991529</v>
      </c>
    </row>
    <row r="150" spans="12:30" x14ac:dyDescent="0.25">
      <c r="L150">
        <f t="shared" si="121"/>
        <v>136</v>
      </c>
      <c r="M150" s="2">
        <v>9.5500000000000002E-2</v>
      </c>
      <c r="N150" s="1">
        <f t="shared" si="126"/>
        <v>1026957.6379974334</v>
      </c>
      <c r="O150" s="1">
        <f t="shared" si="127"/>
        <v>858151.4762516052</v>
      </c>
      <c r="P150" s="1">
        <f t="shared" si="128"/>
        <v>1885109.1142490385</v>
      </c>
      <c r="Q150" s="1">
        <f t="shared" si="129"/>
        <v>106803594.35173307</v>
      </c>
      <c r="S150" s="16"/>
      <c r="W150">
        <f t="shared" si="98"/>
        <v>17</v>
      </c>
      <c r="X150">
        <f t="shared" si="87"/>
        <v>8</v>
      </c>
      <c r="Y150" s="3">
        <f t="shared" si="77"/>
        <v>0.12</v>
      </c>
      <c r="Z150" s="1">
        <f t="shared" si="99"/>
        <v>1092857.1428571427</v>
      </c>
      <c r="AA150" s="1">
        <f t="shared" si="100"/>
        <v>54642.857142857138</v>
      </c>
      <c r="AB150" s="1">
        <f t="shared" si="101"/>
        <v>1147499.9999999998</v>
      </c>
      <c r="AC150" s="1">
        <f t="shared" si="102"/>
        <v>4371428.5714285709</v>
      </c>
      <c r="AD150" s="1">
        <f t="shared" ref="AD150" si="138">-FV($U$12,1,0,AD149,1)</f>
        <v>212840649.39688644</v>
      </c>
    </row>
    <row r="151" spans="12:30" x14ac:dyDescent="0.25">
      <c r="L151">
        <f t="shared" si="121"/>
        <v>137</v>
      </c>
      <c r="M151" s="2">
        <v>9.5500000000000002E-2</v>
      </c>
      <c r="N151" s="1">
        <f t="shared" si="126"/>
        <v>1026957.6379974334</v>
      </c>
      <c r="O151" s="1">
        <f t="shared" si="127"/>
        <v>849978.60504920897</v>
      </c>
      <c r="P151" s="1">
        <f t="shared" si="128"/>
        <v>1876936.2430466423</v>
      </c>
      <c r="Q151" s="1">
        <f t="shared" si="129"/>
        <v>105776636.71373564</v>
      </c>
      <c r="S151" s="16"/>
      <c r="T151" t="s">
        <v>46</v>
      </c>
      <c r="U151" s="1">
        <f t="shared" ref="U151" si="139">ROUNDUP($T$6*1000*(1+$T$2)^(S143-$S$11),-3)*6</f>
        <v>4104000</v>
      </c>
      <c r="W151">
        <f t="shared" si="98"/>
        <v>17</v>
      </c>
      <c r="X151">
        <f t="shared" si="87"/>
        <v>9</v>
      </c>
      <c r="Y151" s="3">
        <f t="shared" si="77"/>
        <v>0.12</v>
      </c>
      <c r="Z151" s="1">
        <f t="shared" si="99"/>
        <v>1092857.1428571427</v>
      </c>
      <c r="AA151" s="1">
        <f t="shared" si="100"/>
        <v>43714.28571428571</v>
      </c>
      <c r="AB151" s="1">
        <f t="shared" si="101"/>
        <v>1136571.4285714284</v>
      </c>
      <c r="AC151" s="1">
        <f t="shared" si="102"/>
        <v>3278571.4285714282</v>
      </c>
      <c r="AD151" s="1">
        <f t="shared" si="91"/>
        <v>213644931.50318265</v>
      </c>
    </row>
    <row r="152" spans="12:30" x14ac:dyDescent="0.25">
      <c r="L152">
        <f t="shared" si="121"/>
        <v>138</v>
      </c>
      <c r="M152" s="2">
        <v>9.5500000000000002E-2</v>
      </c>
      <c r="N152" s="1">
        <f t="shared" si="126"/>
        <v>1026957.6379974334</v>
      </c>
      <c r="O152" s="1">
        <f t="shared" si="127"/>
        <v>841805.73384681274</v>
      </c>
      <c r="P152" s="1">
        <f t="shared" si="128"/>
        <v>1868763.3718442461</v>
      </c>
      <c r="Q152" s="1">
        <f t="shared" si="129"/>
        <v>104749679.07573821</v>
      </c>
      <c r="S152" s="16"/>
      <c r="W152">
        <f t="shared" si="98"/>
        <v>17</v>
      </c>
      <c r="X152">
        <f t="shared" si="87"/>
        <v>10</v>
      </c>
      <c r="Y152" s="3">
        <f t="shared" ref="Y152:Y214" si="140">HLOOKUP(W152,$S$23:$U$214,1+((W152-$S$11-1)*12))</f>
        <v>0.12</v>
      </c>
      <c r="Z152" s="1">
        <f t="shared" si="99"/>
        <v>1092857.1428571427</v>
      </c>
      <c r="AA152" s="1">
        <f t="shared" si="100"/>
        <v>32785.714285714283</v>
      </c>
      <c r="AB152" s="1">
        <f t="shared" si="101"/>
        <v>1125642.857142857</v>
      </c>
      <c r="AC152" s="1">
        <f t="shared" si="102"/>
        <v>2185714.2857142854</v>
      </c>
      <c r="AD152" s="1">
        <f t="shared" si="91"/>
        <v>214452252.83017445</v>
      </c>
    </row>
    <row r="153" spans="12:30" x14ac:dyDescent="0.25">
      <c r="L153">
        <f t="shared" si="121"/>
        <v>139</v>
      </c>
      <c r="M153" s="2">
        <v>9.5500000000000002E-2</v>
      </c>
      <c r="N153" s="1">
        <f t="shared" si="126"/>
        <v>1026957.6379974334</v>
      </c>
      <c r="O153" s="1">
        <f t="shared" si="127"/>
        <v>833632.86264441651</v>
      </c>
      <c r="P153" s="1">
        <f t="shared" si="128"/>
        <v>1860590.5006418498</v>
      </c>
      <c r="Q153" s="1">
        <f t="shared" si="129"/>
        <v>103722721.43774077</v>
      </c>
      <c r="S153" s="16"/>
      <c r="T153" t="s">
        <v>47</v>
      </c>
      <c r="U153" s="1">
        <f t="shared" si="130"/>
        <v>8208000</v>
      </c>
      <c r="W153">
        <f t="shared" si="98"/>
        <v>17</v>
      </c>
      <c r="X153">
        <f t="shared" si="87"/>
        <v>11</v>
      </c>
      <c r="Y153" s="3">
        <f t="shared" si="140"/>
        <v>0.12</v>
      </c>
      <c r="Z153" s="1">
        <f t="shared" si="99"/>
        <v>1092857.1428571427</v>
      </c>
      <c r="AA153" s="1">
        <f t="shared" si="100"/>
        <v>21857.142857142855</v>
      </c>
      <c r="AB153" s="1">
        <f t="shared" si="101"/>
        <v>1114714.2857142857</v>
      </c>
      <c r="AC153" s="1">
        <f t="shared" si="102"/>
        <v>1092857.1428571427</v>
      </c>
      <c r="AD153" s="1">
        <f t="shared" si="91"/>
        <v>215262624.86246699</v>
      </c>
    </row>
    <row r="154" spans="12:30" x14ac:dyDescent="0.25">
      <c r="L154">
        <f t="shared" si="121"/>
        <v>140</v>
      </c>
      <c r="M154" s="2">
        <v>9.5500000000000002E-2</v>
      </c>
      <c r="N154" s="1">
        <f t="shared" si="126"/>
        <v>1026957.6379974334</v>
      </c>
      <c r="O154" s="1">
        <f t="shared" si="127"/>
        <v>825459.99144202028</v>
      </c>
      <c r="P154" s="1">
        <f t="shared" si="128"/>
        <v>1852417.6294394536</v>
      </c>
      <c r="Q154" s="1">
        <f t="shared" si="129"/>
        <v>102695763.79974334</v>
      </c>
      <c r="S154" s="16"/>
      <c r="W154">
        <f t="shared" si="98"/>
        <v>17</v>
      </c>
      <c r="X154">
        <f t="shared" si="87"/>
        <v>12</v>
      </c>
      <c r="Y154" s="3">
        <f t="shared" si="140"/>
        <v>0.12</v>
      </c>
      <c r="Z154" s="1">
        <f t="shared" si="99"/>
        <v>1092857.1428571427</v>
      </c>
      <c r="AA154" s="1">
        <f t="shared" si="100"/>
        <v>10928.571428571428</v>
      </c>
      <c r="AB154" s="1">
        <f t="shared" si="101"/>
        <v>1103785.7142857141</v>
      </c>
      <c r="AC154" s="1">
        <f t="shared" si="102"/>
        <v>13382142.857142858</v>
      </c>
      <c r="AD154" s="1">
        <f t="shared" si="91"/>
        <v>216076059.12806347</v>
      </c>
    </row>
    <row r="155" spans="12:30" x14ac:dyDescent="0.25">
      <c r="L155">
        <f t="shared" si="121"/>
        <v>141</v>
      </c>
      <c r="M155" s="2">
        <v>9.5500000000000002E-2</v>
      </c>
      <c r="N155" s="1">
        <f t="shared" si="126"/>
        <v>1026957.6379974334</v>
      </c>
      <c r="O155" s="1">
        <f t="shared" si="127"/>
        <v>817287.12023962406</v>
      </c>
      <c r="P155" s="1">
        <f t="shared" si="128"/>
        <v>1844244.7582370574</v>
      </c>
      <c r="Q155" s="1">
        <f t="shared" si="129"/>
        <v>101668806.16174591</v>
      </c>
      <c r="S155" s="16">
        <v>18</v>
      </c>
      <c r="T155" t="s">
        <v>45</v>
      </c>
      <c r="U155" s="5">
        <f>12%</f>
        <v>0.12</v>
      </c>
      <c r="W155">
        <f t="shared" ref="W155" si="141">W143+1</f>
        <v>18</v>
      </c>
      <c r="X155">
        <f t="shared" si="87"/>
        <v>1</v>
      </c>
      <c r="Y155" s="3">
        <f t="shared" si="140"/>
        <v>0.12</v>
      </c>
      <c r="Z155" s="1">
        <f t="shared" si="99"/>
        <v>1115178.5714285716</v>
      </c>
      <c r="AA155" s="1">
        <f t="shared" si="100"/>
        <v>133821.42857142858</v>
      </c>
      <c r="AB155" s="1">
        <f t="shared" si="101"/>
        <v>1249000.0000000002</v>
      </c>
      <c r="AC155" s="1">
        <f t="shared" si="102"/>
        <v>12266964.285714287</v>
      </c>
      <c r="AD155" s="1">
        <f t="shared" ref="AD155" si="142">-FV($U$12,1,0,AD154+AC154-HLOOKUP(W155,$S$23:$U$214,9+((W155-$S$11-1)*12)),1)</f>
        <v>226121452.87666824</v>
      </c>
    </row>
    <row r="156" spans="12:30" x14ac:dyDescent="0.25">
      <c r="L156">
        <f t="shared" si="121"/>
        <v>142</v>
      </c>
      <c r="M156" s="2">
        <v>9.5500000000000002E-2</v>
      </c>
      <c r="N156" s="1">
        <f t="shared" si="126"/>
        <v>1026957.6379974334</v>
      </c>
      <c r="O156" s="1">
        <f t="shared" si="127"/>
        <v>809114.24903722783</v>
      </c>
      <c r="P156" s="1">
        <f t="shared" si="128"/>
        <v>1836071.8870346611</v>
      </c>
      <c r="Q156" s="1">
        <f t="shared" si="129"/>
        <v>100641848.52374847</v>
      </c>
      <c r="S156" s="16"/>
      <c r="T156" t="s">
        <v>43</v>
      </c>
      <c r="U156">
        <f t="shared" ref="U156" si="143">U157/12</f>
        <v>1</v>
      </c>
      <c r="W156">
        <f t="shared" ref="W156" si="144">W155</f>
        <v>18</v>
      </c>
      <c r="X156">
        <f t="shared" si="87"/>
        <v>2</v>
      </c>
      <c r="Y156" s="3">
        <f t="shared" si="140"/>
        <v>0.12</v>
      </c>
      <c r="Z156" s="1">
        <f t="shared" si="99"/>
        <v>1115178.5714285716</v>
      </c>
      <c r="AA156" s="1">
        <f t="shared" si="100"/>
        <v>122669.64285714287</v>
      </c>
      <c r="AB156" s="1">
        <f t="shared" si="101"/>
        <v>1237848.2142857146</v>
      </c>
      <c r="AC156" s="1">
        <f t="shared" si="102"/>
        <v>11151785.714285716</v>
      </c>
      <c r="AD156" s="1">
        <f t="shared" ref="AD156" si="145">-FV($U$12,1,0,AD155,1)</f>
        <v>226975920.47444031</v>
      </c>
    </row>
    <row r="157" spans="12:30" x14ac:dyDescent="0.25">
      <c r="L157">
        <f t="shared" si="121"/>
        <v>143</v>
      </c>
      <c r="M157" s="2">
        <v>9.5500000000000002E-2</v>
      </c>
      <c r="N157" s="1">
        <f t="shared" si="126"/>
        <v>1026957.6379974334</v>
      </c>
      <c r="O157" s="1">
        <f t="shared" si="127"/>
        <v>800941.3778348316</v>
      </c>
      <c r="P157" s="1">
        <f t="shared" si="128"/>
        <v>1827899.0158322649</v>
      </c>
      <c r="Q157" s="1">
        <f t="shared" si="129"/>
        <v>99614890.885751039</v>
      </c>
      <c r="S157" s="16"/>
      <c r="T157" t="s">
        <v>44</v>
      </c>
      <c r="U157">
        <f>12</f>
        <v>12</v>
      </c>
      <c r="W157">
        <f t="shared" si="98"/>
        <v>18</v>
      </c>
      <c r="X157">
        <f t="shared" si="87"/>
        <v>3</v>
      </c>
      <c r="Y157" s="3">
        <f t="shared" si="140"/>
        <v>0.12</v>
      </c>
      <c r="Z157" s="1">
        <f t="shared" si="99"/>
        <v>1115178.5714285716</v>
      </c>
      <c r="AA157" s="1">
        <f t="shared" si="100"/>
        <v>111517.85714285716</v>
      </c>
      <c r="AB157" s="1">
        <f t="shared" si="101"/>
        <v>1226696.4285714286</v>
      </c>
      <c r="AC157" s="1">
        <f t="shared" si="102"/>
        <v>10036607.142857146</v>
      </c>
      <c r="AD157" s="1">
        <f t="shared" si="88"/>
        <v>227833616.93381023</v>
      </c>
    </row>
    <row r="158" spans="12:30" x14ac:dyDescent="0.25">
      <c r="L158">
        <f t="shared" si="121"/>
        <v>144</v>
      </c>
      <c r="M158" s="2">
        <v>9.5500000000000002E-2</v>
      </c>
      <c r="N158" s="1">
        <f t="shared" si="126"/>
        <v>1026957.6379974334</v>
      </c>
      <c r="O158" s="1">
        <f t="shared" si="127"/>
        <v>792768.50663243525</v>
      </c>
      <c r="P158" s="1">
        <f t="shared" si="128"/>
        <v>1819726.1446298687</v>
      </c>
      <c r="Q158" s="1">
        <f t="shared" si="129"/>
        <v>98587933.247753605</v>
      </c>
      <c r="S158" s="16"/>
      <c r="W158">
        <f t="shared" si="98"/>
        <v>18</v>
      </c>
      <c r="X158">
        <f t="shared" si="87"/>
        <v>4</v>
      </c>
      <c r="Y158" s="3">
        <f t="shared" si="140"/>
        <v>0.12</v>
      </c>
      <c r="Z158" s="1">
        <f t="shared" si="99"/>
        <v>1115178.5714285718</v>
      </c>
      <c r="AA158" s="1">
        <f t="shared" si="100"/>
        <v>100366.07142857146</v>
      </c>
      <c r="AB158" s="1">
        <f t="shared" si="101"/>
        <v>1215544.6428571432</v>
      </c>
      <c r="AC158" s="1">
        <f t="shared" si="102"/>
        <v>8921428.5714285746</v>
      </c>
      <c r="AD158" s="1">
        <f t="shared" si="88"/>
        <v>228694554.45599809</v>
      </c>
    </row>
    <row r="159" spans="12:30" x14ac:dyDescent="0.25">
      <c r="L159">
        <f t="shared" si="121"/>
        <v>145</v>
      </c>
      <c r="M159" s="2">
        <v>9.5500000000000002E-2</v>
      </c>
      <c r="N159" s="1">
        <f t="shared" si="126"/>
        <v>1026957.6379974334</v>
      </c>
      <c r="O159" s="1">
        <f t="shared" si="127"/>
        <v>784595.63543003902</v>
      </c>
      <c r="P159" s="1">
        <f t="shared" si="128"/>
        <v>1811553.2734274724</v>
      </c>
      <c r="Q159" s="1">
        <f t="shared" si="129"/>
        <v>97560975.609756172</v>
      </c>
      <c r="S159" s="16"/>
      <c r="T159" t="s">
        <v>35</v>
      </c>
      <c r="U159" s="1">
        <f t="shared" si="136"/>
        <v>1249000</v>
      </c>
      <c r="W159">
        <f t="shared" si="98"/>
        <v>18</v>
      </c>
      <c r="X159">
        <f t="shared" si="87"/>
        <v>5</v>
      </c>
      <c r="Y159" s="3">
        <f t="shared" si="140"/>
        <v>0.12</v>
      </c>
      <c r="Z159" s="1">
        <f t="shared" si="99"/>
        <v>1115178.5714285718</v>
      </c>
      <c r="AA159" s="1">
        <f t="shared" si="100"/>
        <v>89214.285714285754</v>
      </c>
      <c r="AB159" s="1">
        <f t="shared" si="101"/>
        <v>1204392.8571428575</v>
      </c>
      <c r="AC159" s="1">
        <f t="shared" si="102"/>
        <v>7806250.0000000028</v>
      </c>
      <c r="AD159" s="1">
        <f t="shared" si="88"/>
        <v>229558745.28832993</v>
      </c>
    </row>
    <row r="160" spans="12:30" x14ac:dyDescent="0.25">
      <c r="L160">
        <f t="shared" si="121"/>
        <v>146</v>
      </c>
      <c r="M160" s="2">
        <v>9.5500000000000002E-2</v>
      </c>
      <c r="N160" s="1">
        <f t="shared" si="126"/>
        <v>1026957.6379974334</v>
      </c>
      <c r="O160" s="1">
        <f t="shared" si="127"/>
        <v>776422.76422764279</v>
      </c>
      <c r="P160" s="1">
        <f t="shared" si="128"/>
        <v>1803380.4022250762</v>
      </c>
      <c r="Q160" s="1">
        <f t="shared" si="129"/>
        <v>96534017.971758738</v>
      </c>
      <c r="S160" s="16"/>
      <c r="W160">
        <f t="shared" si="98"/>
        <v>18</v>
      </c>
      <c r="X160">
        <f t="shared" si="87"/>
        <v>6</v>
      </c>
      <c r="Y160" s="3">
        <f t="shared" si="140"/>
        <v>0.12</v>
      </c>
      <c r="Z160" s="1">
        <f t="shared" si="99"/>
        <v>1115178.5714285718</v>
      </c>
      <c r="AA160" s="1">
        <f t="shared" si="100"/>
        <v>78062.500000000029</v>
      </c>
      <c r="AB160" s="1">
        <f t="shared" si="101"/>
        <v>1193241.0714285718</v>
      </c>
      <c r="AC160" s="1">
        <f t="shared" si="102"/>
        <v>6691071.428571431</v>
      </c>
      <c r="AD160" s="1">
        <f t="shared" si="88"/>
        <v>230426201.72441199</v>
      </c>
    </row>
    <row r="161" spans="12:30" x14ac:dyDescent="0.25">
      <c r="L161">
        <f t="shared" si="121"/>
        <v>147</v>
      </c>
      <c r="M161" s="2">
        <v>9.5500000000000002E-2</v>
      </c>
      <c r="N161" s="1">
        <f t="shared" si="126"/>
        <v>1026957.6379974334</v>
      </c>
      <c r="O161" s="1">
        <f t="shared" si="127"/>
        <v>768249.89302524657</v>
      </c>
      <c r="P161" s="1">
        <f t="shared" si="128"/>
        <v>1795207.53102268</v>
      </c>
      <c r="Q161" s="1">
        <f t="shared" si="129"/>
        <v>95507060.333761305</v>
      </c>
      <c r="S161" s="16"/>
      <c r="T161" t="s">
        <v>15</v>
      </c>
      <c r="U161" s="1">
        <f t="shared" si="123"/>
        <v>13382142.857142858</v>
      </c>
      <c r="W161">
        <f t="shared" si="98"/>
        <v>18</v>
      </c>
      <c r="X161">
        <f t="shared" si="87"/>
        <v>7</v>
      </c>
      <c r="Y161" s="3">
        <f t="shared" si="140"/>
        <v>0.12</v>
      </c>
      <c r="Z161" s="1">
        <f t="shared" si="99"/>
        <v>1115178.5714285718</v>
      </c>
      <c r="AA161" s="1">
        <f t="shared" si="100"/>
        <v>66910.714285714304</v>
      </c>
      <c r="AB161" s="1">
        <f t="shared" si="101"/>
        <v>1182089.2857142861</v>
      </c>
      <c r="AC161" s="1">
        <f t="shared" si="102"/>
        <v>5575892.8571428591</v>
      </c>
      <c r="AD161" s="1">
        <f t="shared" ref="AD161" si="146">-FV($U$12,1,0,AD160-HLOOKUP(W161,$S$23:$U$214,9+((W161-$S$11-1)*12)),1)</f>
        <v>227093110.49265331</v>
      </c>
    </row>
    <row r="162" spans="12:30" x14ac:dyDescent="0.25">
      <c r="L162">
        <f t="shared" si="121"/>
        <v>148</v>
      </c>
      <c r="M162" s="2">
        <v>9.5500000000000002E-2</v>
      </c>
      <c r="N162" s="1">
        <f t="shared" si="126"/>
        <v>1026957.6379974334</v>
      </c>
      <c r="O162" s="1">
        <f t="shared" si="127"/>
        <v>760077.02182285034</v>
      </c>
      <c r="P162" s="1">
        <f t="shared" si="128"/>
        <v>1787034.6598202838</v>
      </c>
      <c r="Q162" s="1">
        <f t="shared" si="129"/>
        <v>94480102.695763871</v>
      </c>
      <c r="S162" s="16"/>
      <c r="W162">
        <f t="shared" si="98"/>
        <v>18</v>
      </c>
      <c r="X162">
        <f t="shared" si="87"/>
        <v>8</v>
      </c>
      <c r="Y162" s="3">
        <f t="shared" si="140"/>
        <v>0.12</v>
      </c>
      <c r="Z162" s="1">
        <f t="shared" si="99"/>
        <v>1115178.5714285718</v>
      </c>
      <c r="AA162" s="1">
        <f t="shared" si="100"/>
        <v>55758.928571428594</v>
      </c>
      <c r="AB162" s="1">
        <f t="shared" si="101"/>
        <v>1170937.5000000005</v>
      </c>
      <c r="AC162" s="1">
        <f t="shared" si="102"/>
        <v>4460714.2857142873</v>
      </c>
      <c r="AD162" s="1">
        <f t="shared" ref="AD162" si="147">-FV($U$12,1,0,AD161,1)</f>
        <v>227951249.78958717</v>
      </c>
    </row>
    <row r="163" spans="12:30" x14ac:dyDescent="0.25">
      <c r="L163">
        <f t="shared" si="121"/>
        <v>149</v>
      </c>
      <c r="M163" s="2">
        <v>9.5500000000000002E-2</v>
      </c>
      <c r="N163" s="1">
        <f t="shared" si="126"/>
        <v>1026957.6379974334</v>
      </c>
      <c r="O163" s="1">
        <f t="shared" si="127"/>
        <v>751904.15062045411</v>
      </c>
      <c r="P163" s="1">
        <f t="shared" si="128"/>
        <v>1778861.7886178875</v>
      </c>
      <c r="Q163" s="1">
        <f t="shared" si="129"/>
        <v>93453145.057766438</v>
      </c>
      <c r="S163" s="16"/>
      <c r="T163" t="s">
        <v>46</v>
      </c>
      <c r="U163" s="1">
        <f t="shared" ref="U163" si="148">ROUNDUP($T$6*1000*(1+$T$2)^(S155-$S$11),-3)*6</f>
        <v>4188000</v>
      </c>
      <c r="W163">
        <f t="shared" si="98"/>
        <v>18</v>
      </c>
      <c r="X163">
        <f t="shared" si="87"/>
        <v>9</v>
      </c>
      <c r="Y163" s="3">
        <f t="shared" si="140"/>
        <v>0.12</v>
      </c>
      <c r="Z163" s="1">
        <f t="shared" si="99"/>
        <v>1115178.5714285718</v>
      </c>
      <c r="AA163" s="1">
        <f t="shared" si="100"/>
        <v>44607.142857142877</v>
      </c>
      <c r="AB163" s="1">
        <f t="shared" si="101"/>
        <v>1159785.7142857148</v>
      </c>
      <c r="AC163" s="1">
        <f t="shared" si="102"/>
        <v>3345535.7142857155</v>
      </c>
      <c r="AD163" s="1">
        <f t="shared" si="91"/>
        <v>228812631.82273325</v>
      </c>
    </row>
    <row r="164" spans="12:30" x14ac:dyDescent="0.25">
      <c r="L164">
        <f t="shared" si="121"/>
        <v>150</v>
      </c>
      <c r="M164" s="2">
        <v>9.5500000000000002E-2</v>
      </c>
      <c r="N164" s="1">
        <f t="shared" si="126"/>
        <v>1026957.6379974334</v>
      </c>
      <c r="O164" s="1">
        <f t="shared" si="127"/>
        <v>743731.27941805788</v>
      </c>
      <c r="P164" s="1">
        <f t="shared" si="128"/>
        <v>1770688.9174154913</v>
      </c>
      <c r="Q164" s="1">
        <f t="shared" si="129"/>
        <v>92426187.419769004</v>
      </c>
      <c r="S164" s="16"/>
      <c r="W164">
        <f t="shared" si="98"/>
        <v>18</v>
      </c>
      <c r="X164">
        <f t="shared" ref="X164:X214" si="149">X152</f>
        <v>10</v>
      </c>
      <c r="Y164" s="3">
        <f t="shared" si="140"/>
        <v>0.12</v>
      </c>
      <c r="Z164" s="1">
        <f t="shared" si="99"/>
        <v>1115178.5714285718</v>
      </c>
      <c r="AA164" s="1">
        <f t="shared" si="100"/>
        <v>33455.357142857152</v>
      </c>
      <c r="AB164" s="1">
        <f t="shared" si="101"/>
        <v>1148633.9285714289</v>
      </c>
      <c r="AC164" s="1">
        <f t="shared" si="102"/>
        <v>2230357.1428571437</v>
      </c>
      <c r="AD164" s="1">
        <f t="shared" si="91"/>
        <v>229677268.84574103</v>
      </c>
    </row>
    <row r="165" spans="12:30" x14ac:dyDescent="0.25">
      <c r="L165">
        <f t="shared" si="121"/>
        <v>151</v>
      </c>
      <c r="M165" s="2">
        <v>9.5500000000000002E-2</v>
      </c>
      <c r="N165" s="1">
        <f t="shared" si="126"/>
        <v>1026957.6379974334</v>
      </c>
      <c r="O165" s="1">
        <f t="shared" si="127"/>
        <v>735558.40821566165</v>
      </c>
      <c r="P165" s="1">
        <f t="shared" si="128"/>
        <v>1762516.0462130951</v>
      </c>
      <c r="Q165" s="1">
        <f t="shared" si="129"/>
        <v>91399229.78177157</v>
      </c>
      <c r="S165" s="16"/>
      <c r="T165" t="s">
        <v>47</v>
      </c>
      <c r="U165" s="1">
        <f t="shared" si="130"/>
        <v>8376000</v>
      </c>
      <c r="W165">
        <f t="shared" si="98"/>
        <v>18</v>
      </c>
      <c r="X165">
        <f t="shared" si="149"/>
        <v>11</v>
      </c>
      <c r="Y165" s="3">
        <f t="shared" si="140"/>
        <v>0.12</v>
      </c>
      <c r="Z165" s="1">
        <f t="shared" si="99"/>
        <v>1115178.5714285718</v>
      </c>
      <c r="AA165" s="1">
        <f t="shared" si="100"/>
        <v>22303.571428571438</v>
      </c>
      <c r="AB165" s="1">
        <f t="shared" si="101"/>
        <v>1137482.1428571432</v>
      </c>
      <c r="AC165" s="1">
        <f t="shared" si="102"/>
        <v>1115178.5714285718</v>
      </c>
      <c r="AD165" s="1">
        <f t="shared" si="91"/>
        <v>230545173.15856406</v>
      </c>
    </row>
    <row r="166" spans="12:30" x14ac:dyDescent="0.25">
      <c r="L166">
        <f t="shared" si="121"/>
        <v>152</v>
      </c>
      <c r="M166" s="2">
        <v>9.5500000000000002E-2</v>
      </c>
      <c r="N166" s="1">
        <f t="shared" si="126"/>
        <v>1026957.6379974334</v>
      </c>
      <c r="O166" s="1">
        <f t="shared" si="127"/>
        <v>727385.53701326542</v>
      </c>
      <c r="P166" s="1">
        <f t="shared" si="128"/>
        <v>1754343.1750106988</v>
      </c>
      <c r="Q166" s="1">
        <f t="shared" si="129"/>
        <v>90372272.143774137</v>
      </c>
      <c r="S166" s="16"/>
      <c r="W166">
        <f t="shared" si="98"/>
        <v>18</v>
      </c>
      <c r="X166">
        <f t="shared" si="149"/>
        <v>12</v>
      </c>
      <c r="Y166" s="3">
        <f t="shared" si="140"/>
        <v>0.12</v>
      </c>
      <c r="Z166" s="1">
        <f t="shared" si="99"/>
        <v>1115178.5714285718</v>
      </c>
      <c r="AA166" s="1">
        <f t="shared" si="100"/>
        <v>11151.785714285719</v>
      </c>
      <c r="AB166" s="1">
        <f t="shared" si="101"/>
        <v>1126330.3571428575</v>
      </c>
      <c r="AC166" s="1">
        <f t="shared" si="102"/>
        <v>13650000</v>
      </c>
      <c r="AD166" s="1">
        <f t="shared" si="91"/>
        <v>231416357.10763496</v>
      </c>
    </row>
    <row r="167" spans="12:30" x14ac:dyDescent="0.25">
      <c r="L167">
        <f t="shared" si="121"/>
        <v>153</v>
      </c>
      <c r="M167" s="2">
        <v>9.5500000000000002E-2</v>
      </c>
      <c r="N167" s="1">
        <f t="shared" si="126"/>
        <v>1026957.6379974334</v>
      </c>
      <c r="O167" s="1">
        <f t="shared" si="127"/>
        <v>719212.66581086908</v>
      </c>
      <c r="P167" s="1">
        <f t="shared" si="128"/>
        <v>1746170.3038083026</v>
      </c>
      <c r="Q167" s="1">
        <f t="shared" si="129"/>
        <v>89345314.505776703</v>
      </c>
      <c r="S167" s="16">
        <v>19</v>
      </c>
      <c r="T167" t="s">
        <v>45</v>
      </c>
      <c r="U167" s="5">
        <f>12%</f>
        <v>0.12</v>
      </c>
      <c r="W167">
        <f t="shared" ref="W167" si="150">W155+1</f>
        <v>19</v>
      </c>
      <c r="X167">
        <f t="shared" si="149"/>
        <v>1</v>
      </c>
      <c r="Y167" s="3">
        <f t="shared" si="140"/>
        <v>0.12</v>
      </c>
      <c r="Z167" s="1">
        <f t="shared" si="99"/>
        <v>1137500</v>
      </c>
      <c r="AA167" s="1">
        <f t="shared" si="100"/>
        <v>136500</v>
      </c>
      <c r="AB167" s="1">
        <f t="shared" si="101"/>
        <v>1274000</v>
      </c>
      <c r="AC167" s="1">
        <f t="shared" si="102"/>
        <v>12512500</v>
      </c>
      <c r="AD167" s="1">
        <f t="shared" ref="AD167" si="151">-FV($U$12,1,0,AD166+AC166-HLOOKUP(W167,$S$23:$U$214,9+((W167-$S$11-1)*12)),1)</f>
        <v>220021644.82166055</v>
      </c>
    </row>
    <row r="168" spans="12:30" x14ac:dyDescent="0.25">
      <c r="L168">
        <f t="shared" si="121"/>
        <v>154</v>
      </c>
      <c r="M168" s="2">
        <v>9.5500000000000002E-2</v>
      </c>
      <c r="N168" s="1">
        <f t="shared" si="126"/>
        <v>1026957.6379974334</v>
      </c>
      <c r="O168" s="1">
        <f t="shared" si="127"/>
        <v>711039.79460847285</v>
      </c>
      <c r="P168" s="1">
        <f t="shared" si="128"/>
        <v>1737997.4326059064</v>
      </c>
      <c r="Q168" s="1">
        <f t="shared" si="129"/>
        <v>88318356.86777927</v>
      </c>
      <c r="S168" s="16"/>
      <c r="T168" t="s">
        <v>43</v>
      </c>
      <c r="U168">
        <f t="shared" ref="U168" si="152">U169/12</f>
        <v>1</v>
      </c>
      <c r="W168">
        <f t="shared" ref="W168" si="153">W167</f>
        <v>19</v>
      </c>
      <c r="X168">
        <f t="shared" si="149"/>
        <v>2</v>
      </c>
      <c r="Y168" s="3">
        <f t="shared" si="140"/>
        <v>0.12</v>
      </c>
      <c r="Z168" s="1">
        <f t="shared" si="99"/>
        <v>1137500</v>
      </c>
      <c r="AA168" s="1">
        <f t="shared" si="100"/>
        <v>125125</v>
      </c>
      <c r="AB168" s="1">
        <f t="shared" si="101"/>
        <v>1262625</v>
      </c>
      <c r="AC168" s="1">
        <f t="shared" si="102"/>
        <v>11375000</v>
      </c>
      <c r="AD168" s="1">
        <f t="shared" ref="AD168:AD208" si="154">-FV($U$12,1,0,AD167,1)</f>
        <v>220853062.46875644</v>
      </c>
    </row>
    <row r="169" spans="12:30" x14ac:dyDescent="0.25">
      <c r="L169">
        <f t="shared" si="121"/>
        <v>155</v>
      </c>
      <c r="M169" s="2">
        <v>9.5500000000000002E-2</v>
      </c>
      <c r="N169" s="1">
        <f t="shared" si="126"/>
        <v>1026957.6379974334</v>
      </c>
      <c r="O169" s="1">
        <f t="shared" si="127"/>
        <v>702866.92340607662</v>
      </c>
      <c r="P169" s="1">
        <f t="shared" si="128"/>
        <v>1729824.5614035102</v>
      </c>
      <c r="Q169" s="1">
        <f t="shared" si="129"/>
        <v>87291399.229781836</v>
      </c>
      <c r="S169" s="16"/>
      <c r="T169" t="s">
        <v>44</v>
      </c>
      <c r="U169">
        <f>12</f>
        <v>12</v>
      </c>
      <c r="W169">
        <f t="shared" si="98"/>
        <v>19</v>
      </c>
      <c r="X169">
        <f t="shared" si="149"/>
        <v>3</v>
      </c>
      <c r="Y169" s="3">
        <f t="shared" si="140"/>
        <v>0.12</v>
      </c>
      <c r="Z169" s="1">
        <f t="shared" si="99"/>
        <v>1137500</v>
      </c>
      <c r="AA169" s="1">
        <f t="shared" si="100"/>
        <v>113750</v>
      </c>
      <c r="AB169" s="1">
        <f t="shared" si="101"/>
        <v>1251250</v>
      </c>
      <c r="AC169" s="1">
        <f t="shared" si="102"/>
        <v>10237500</v>
      </c>
      <c r="AD169" s="1">
        <f t="shared" si="154"/>
        <v>221687621.87631169</v>
      </c>
    </row>
    <row r="170" spans="12:30" x14ac:dyDescent="0.25">
      <c r="L170">
        <f t="shared" si="121"/>
        <v>156</v>
      </c>
      <c r="M170" s="2">
        <v>9.5500000000000002E-2</v>
      </c>
      <c r="N170" s="1">
        <f t="shared" si="126"/>
        <v>1026957.6379974333</v>
      </c>
      <c r="O170" s="1">
        <f t="shared" si="127"/>
        <v>694694.05220368039</v>
      </c>
      <c r="P170" s="1">
        <f t="shared" si="128"/>
        <v>1721651.6902011137</v>
      </c>
      <c r="Q170" s="1">
        <f t="shared" si="129"/>
        <v>86264441.591784403</v>
      </c>
      <c r="S170" s="16"/>
      <c r="W170">
        <f t="shared" si="98"/>
        <v>19</v>
      </c>
      <c r="X170">
        <f t="shared" si="149"/>
        <v>4</v>
      </c>
      <c r="Y170" s="3">
        <f t="shared" si="140"/>
        <v>0.12</v>
      </c>
      <c r="Z170" s="1">
        <f t="shared" si="99"/>
        <v>1137500</v>
      </c>
      <c r="AA170" s="1">
        <f t="shared" si="100"/>
        <v>102375</v>
      </c>
      <c r="AB170" s="1">
        <f t="shared" si="101"/>
        <v>1239875</v>
      </c>
      <c r="AC170" s="1">
        <f t="shared" si="102"/>
        <v>9100000</v>
      </c>
      <c r="AD170" s="1">
        <f t="shared" si="154"/>
        <v>222525334.91640866</v>
      </c>
    </row>
    <row r="171" spans="12:30" x14ac:dyDescent="0.25">
      <c r="L171">
        <f t="shared" si="121"/>
        <v>157</v>
      </c>
      <c r="M171" s="2">
        <v>9.5500000000000002E-2</v>
      </c>
      <c r="N171" s="1">
        <f t="shared" si="126"/>
        <v>1026957.6379974333</v>
      </c>
      <c r="O171" s="1">
        <f t="shared" si="127"/>
        <v>686521.18100128416</v>
      </c>
      <c r="P171" s="1">
        <f t="shared" si="128"/>
        <v>1713478.8189987175</v>
      </c>
      <c r="Q171" s="1">
        <f t="shared" si="129"/>
        <v>85237483.953786969</v>
      </c>
      <c r="S171" s="16"/>
      <c r="T171" t="s">
        <v>35</v>
      </c>
      <c r="U171" s="1">
        <f t="shared" ref="U171" si="155">ROUNDUP(U159*(1+$T$2),-3)</f>
        <v>1274000</v>
      </c>
      <c r="W171">
        <f t="shared" si="98"/>
        <v>19</v>
      </c>
      <c r="X171">
        <f t="shared" si="149"/>
        <v>5</v>
      </c>
      <c r="Y171" s="3">
        <f t="shared" si="140"/>
        <v>0.12</v>
      </c>
      <c r="Z171" s="1">
        <f t="shared" si="99"/>
        <v>1137500</v>
      </c>
      <c r="AA171" s="1">
        <f t="shared" si="100"/>
        <v>91000</v>
      </c>
      <c r="AB171" s="1">
        <f t="shared" si="101"/>
        <v>1228500</v>
      </c>
      <c r="AC171" s="1">
        <f t="shared" si="102"/>
        <v>7962500</v>
      </c>
      <c r="AD171" s="1">
        <f t="shared" si="154"/>
        <v>223366213.50599191</v>
      </c>
    </row>
    <row r="172" spans="12:30" x14ac:dyDescent="0.25">
      <c r="L172">
        <f t="shared" si="121"/>
        <v>158</v>
      </c>
      <c r="M172" s="2">
        <v>9.5500000000000002E-2</v>
      </c>
      <c r="N172" s="1">
        <f t="shared" si="126"/>
        <v>1026957.6379974333</v>
      </c>
      <c r="O172" s="1">
        <f t="shared" si="127"/>
        <v>678348.30979888793</v>
      </c>
      <c r="P172" s="1">
        <f t="shared" si="128"/>
        <v>1705305.9477963212</v>
      </c>
      <c r="Q172" s="1">
        <f t="shared" si="129"/>
        <v>84210526.315789536</v>
      </c>
      <c r="S172" s="16"/>
      <c r="W172">
        <f t="shared" si="98"/>
        <v>19</v>
      </c>
      <c r="X172">
        <f t="shared" si="149"/>
        <v>6</v>
      </c>
      <c r="Y172" s="3">
        <f t="shared" si="140"/>
        <v>0.12</v>
      </c>
      <c r="Z172" s="1">
        <f t="shared" si="99"/>
        <v>1137500</v>
      </c>
      <c r="AA172" s="1">
        <f t="shared" si="100"/>
        <v>79625</v>
      </c>
      <c r="AB172" s="1">
        <f t="shared" si="101"/>
        <v>1217125</v>
      </c>
      <c r="AC172" s="1">
        <f t="shared" si="102"/>
        <v>6825000</v>
      </c>
      <c r="AD172" s="1">
        <f t="shared" si="154"/>
        <v>224210269.60703778</v>
      </c>
    </row>
    <row r="173" spans="12:30" x14ac:dyDescent="0.25">
      <c r="L173">
        <f t="shared" si="121"/>
        <v>159</v>
      </c>
      <c r="M173" s="2">
        <v>9.5500000000000002E-2</v>
      </c>
      <c r="N173" s="1">
        <f t="shared" si="126"/>
        <v>1026957.6379974333</v>
      </c>
      <c r="O173" s="1">
        <f t="shared" si="127"/>
        <v>670175.4385964917</v>
      </c>
      <c r="P173" s="1">
        <f t="shared" si="128"/>
        <v>1697133.076593925</v>
      </c>
      <c r="Q173" s="1">
        <f t="shared" si="129"/>
        <v>83183568.677792102</v>
      </c>
      <c r="S173" s="16"/>
      <c r="T173" t="s">
        <v>15</v>
      </c>
      <c r="U173" s="1">
        <f t="shared" si="123"/>
        <v>13650000</v>
      </c>
      <c r="W173">
        <f t="shared" si="98"/>
        <v>19</v>
      </c>
      <c r="X173">
        <f t="shared" si="149"/>
        <v>7</v>
      </c>
      <c r="Y173" s="3">
        <f t="shared" si="140"/>
        <v>0.12</v>
      </c>
      <c r="Z173" s="1">
        <f t="shared" si="99"/>
        <v>1137500</v>
      </c>
      <c r="AA173" s="1">
        <f t="shared" si="100"/>
        <v>68250</v>
      </c>
      <c r="AB173" s="1">
        <f t="shared" si="101"/>
        <v>1205750</v>
      </c>
      <c r="AC173" s="1">
        <f t="shared" si="102"/>
        <v>5687500</v>
      </c>
      <c r="AD173" s="1">
        <f t="shared" ref="AD173" si="156">-FV($U$12,1,0,AD172-HLOOKUP(W173,$S$23:$U$214,9+((W173-$S$11-1)*12)),1)</f>
        <v>199086746.35129979</v>
      </c>
    </row>
    <row r="174" spans="12:30" x14ac:dyDescent="0.25">
      <c r="L174">
        <f t="shared" si="121"/>
        <v>160</v>
      </c>
      <c r="M174" s="2">
        <v>9.5500000000000002E-2</v>
      </c>
      <c r="N174" s="1">
        <f t="shared" si="126"/>
        <v>1026957.6379974333</v>
      </c>
      <c r="O174" s="1">
        <f t="shared" si="127"/>
        <v>662002.56739409547</v>
      </c>
      <c r="P174" s="1">
        <f t="shared" si="128"/>
        <v>1688960.2053915288</v>
      </c>
      <c r="Q174" s="1">
        <f t="shared" si="129"/>
        <v>82156611.039794669</v>
      </c>
      <c r="S174" s="16"/>
      <c r="W174">
        <f t="shared" si="98"/>
        <v>19</v>
      </c>
      <c r="X174">
        <f t="shared" si="149"/>
        <v>8</v>
      </c>
      <c r="Y174" s="3">
        <f t="shared" si="140"/>
        <v>0.12</v>
      </c>
      <c r="Z174" s="1">
        <f t="shared" si="99"/>
        <v>1137500</v>
      </c>
      <c r="AA174" s="1">
        <f t="shared" si="100"/>
        <v>56875</v>
      </c>
      <c r="AB174" s="1">
        <f t="shared" si="101"/>
        <v>1194375</v>
      </c>
      <c r="AC174" s="1">
        <f t="shared" si="102"/>
        <v>4550000</v>
      </c>
      <c r="AD174" s="1">
        <f t="shared" ref="AD174:AD214" si="157">-FV($U$12,1,0,AD173,1)</f>
        <v>199839055.21779126</v>
      </c>
    </row>
    <row r="175" spans="12:30" x14ac:dyDescent="0.25">
      <c r="L175">
        <f t="shared" si="121"/>
        <v>161</v>
      </c>
      <c r="M175" s="2">
        <v>9.5500000000000002E-2</v>
      </c>
      <c r="N175" s="1">
        <f t="shared" si="126"/>
        <v>1026957.6379974333</v>
      </c>
      <c r="O175" s="1">
        <f t="shared" si="127"/>
        <v>653829.69619169924</v>
      </c>
      <c r="P175" s="1">
        <f t="shared" si="128"/>
        <v>1680787.3341891326</v>
      </c>
      <c r="Q175" s="1">
        <f t="shared" si="129"/>
        <v>81129653.401797235</v>
      </c>
      <c r="S175" s="16"/>
      <c r="T175" t="s">
        <v>46</v>
      </c>
      <c r="U175" s="1">
        <f>ROUNDUP($T$7*1000*(1+$T$2)^(S167-$S$11),-3)</f>
        <v>25873000</v>
      </c>
      <c r="W175">
        <f t="shared" si="98"/>
        <v>19</v>
      </c>
      <c r="X175">
        <f t="shared" si="149"/>
        <v>9</v>
      </c>
      <c r="Y175" s="3">
        <f t="shared" si="140"/>
        <v>0.12</v>
      </c>
      <c r="Z175" s="1">
        <f t="shared" si="99"/>
        <v>1137500</v>
      </c>
      <c r="AA175" s="1">
        <f t="shared" si="100"/>
        <v>45500</v>
      </c>
      <c r="AB175" s="1">
        <f t="shared" si="101"/>
        <v>1183000</v>
      </c>
      <c r="AC175" s="1">
        <f t="shared" si="102"/>
        <v>3412500</v>
      </c>
      <c r="AD175" s="1">
        <f t="shared" si="157"/>
        <v>200594206.90853384</v>
      </c>
    </row>
    <row r="176" spans="12:30" x14ac:dyDescent="0.25">
      <c r="L176">
        <f t="shared" si="121"/>
        <v>162</v>
      </c>
      <c r="M176" s="2">
        <v>9.5500000000000002E-2</v>
      </c>
      <c r="N176" s="1">
        <f t="shared" si="126"/>
        <v>1026957.6379974333</v>
      </c>
      <c r="O176" s="1">
        <f t="shared" si="127"/>
        <v>645656.82498930302</v>
      </c>
      <c r="P176" s="1">
        <f t="shared" si="128"/>
        <v>1672614.4629867363</v>
      </c>
      <c r="Q176" s="1">
        <f t="shared" si="129"/>
        <v>80102695.763799801</v>
      </c>
      <c r="S176" s="16"/>
      <c r="W176">
        <f t="shared" ref="W176:W214" si="158">W175</f>
        <v>19</v>
      </c>
      <c r="X176">
        <f t="shared" si="149"/>
        <v>10</v>
      </c>
      <c r="Y176" s="3">
        <f t="shared" si="140"/>
        <v>0.12</v>
      </c>
      <c r="Z176" s="1">
        <f t="shared" ref="Z176:Z214" si="159">AC175/(HLOOKUP(W176,$S$23:$U$214,3+((W176-$S$11-1)*12))+1-X176)</f>
        <v>1137500</v>
      </c>
      <c r="AA176" s="1">
        <f t="shared" ref="AA176:AA214" si="160">AC175*(Y176/12)</f>
        <v>34125</v>
      </c>
      <c r="AB176" s="1">
        <f t="shared" ref="AB176:AB214" si="161">Z176+AA176</f>
        <v>1171625</v>
      </c>
      <c r="AC176" s="1">
        <f t="shared" ref="AC176:AC214" si="162">IFERROR(IF(AC175-Z176&lt;1,HLOOKUP(W177,$S$23:$U$214,7+((W177-$S$11-1)*12)),AC175-Z176),0)</f>
        <v>2275000</v>
      </c>
      <c r="AD176" s="1">
        <f t="shared" si="157"/>
        <v>201352212.16598997</v>
      </c>
    </row>
    <row r="177" spans="12:30" x14ac:dyDescent="0.25">
      <c r="L177">
        <f t="shared" si="121"/>
        <v>163</v>
      </c>
      <c r="M177" s="2">
        <v>9.5500000000000002E-2</v>
      </c>
      <c r="N177" s="1">
        <f t="shared" si="126"/>
        <v>1026957.6379974333</v>
      </c>
      <c r="O177" s="1">
        <f t="shared" si="127"/>
        <v>637483.95378690667</v>
      </c>
      <c r="P177" s="1">
        <f t="shared" si="128"/>
        <v>1664441.5917843399</v>
      </c>
      <c r="Q177" s="1">
        <f t="shared" si="129"/>
        <v>79075738.125802368</v>
      </c>
      <c r="S177" s="16"/>
      <c r="T177" t="s">
        <v>47</v>
      </c>
      <c r="U177" s="1">
        <f t="shared" si="130"/>
        <v>51746000</v>
      </c>
      <c r="W177">
        <f t="shared" si="158"/>
        <v>19</v>
      </c>
      <c r="X177">
        <f t="shared" si="149"/>
        <v>11</v>
      </c>
      <c r="Y177" s="3">
        <f t="shared" si="140"/>
        <v>0.12</v>
      </c>
      <c r="Z177" s="1">
        <f t="shared" si="159"/>
        <v>1137500</v>
      </c>
      <c r="AA177" s="1">
        <f t="shared" si="160"/>
        <v>22750</v>
      </c>
      <c r="AB177" s="1">
        <f t="shared" si="161"/>
        <v>1160250</v>
      </c>
      <c r="AC177" s="1">
        <f t="shared" si="162"/>
        <v>1137500</v>
      </c>
      <c r="AD177" s="1">
        <f t="shared" si="157"/>
        <v>202113081.77321562</v>
      </c>
    </row>
    <row r="178" spans="12:30" x14ac:dyDescent="0.25">
      <c r="L178">
        <f t="shared" si="121"/>
        <v>164</v>
      </c>
      <c r="M178" s="2">
        <v>9.5500000000000002E-2</v>
      </c>
      <c r="N178" s="1">
        <f t="shared" si="126"/>
        <v>1026957.6379974333</v>
      </c>
      <c r="O178" s="1">
        <f t="shared" si="127"/>
        <v>629311.08258451044</v>
      </c>
      <c r="P178" s="1">
        <f t="shared" si="128"/>
        <v>1656268.7205819436</v>
      </c>
      <c r="Q178" s="1">
        <f t="shared" si="129"/>
        <v>78048780.487804934</v>
      </c>
      <c r="S178" s="16"/>
      <c r="W178">
        <f t="shared" si="158"/>
        <v>19</v>
      </c>
      <c r="X178">
        <f t="shared" si="149"/>
        <v>12</v>
      </c>
      <c r="Y178" s="3">
        <f t="shared" si="140"/>
        <v>0.12</v>
      </c>
      <c r="Z178" s="1">
        <f t="shared" si="159"/>
        <v>1137500</v>
      </c>
      <c r="AA178" s="1">
        <f t="shared" si="160"/>
        <v>11375</v>
      </c>
      <c r="AB178" s="1">
        <f t="shared" si="161"/>
        <v>1148875</v>
      </c>
      <c r="AC178" s="1">
        <f t="shared" si="162"/>
        <v>13928571.428571429</v>
      </c>
      <c r="AD178" s="1">
        <f t="shared" si="157"/>
        <v>202876826.55401385</v>
      </c>
    </row>
    <row r="179" spans="12:30" x14ac:dyDescent="0.25">
      <c r="L179">
        <f t="shared" si="121"/>
        <v>165</v>
      </c>
      <c r="M179" s="2">
        <v>9.5500000000000002E-2</v>
      </c>
      <c r="N179" s="1">
        <f t="shared" si="126"/>
        <v>1026957.6379974333</v>
      </c>
      <c r="O179" s="1">
        <f t="shared" si="127"/>
        <v>621138.21138211421</v>
      </c>
      <c r="P179" s="1">
        <f t="shared" si="128"/>
        <v>1648095.8493795474</v>
      </c>
      <c r="Q179" s="1">
        <f t="shared" si="129"/>
        <v>77021822.849807501</v>
      </c>
      <c r="S179" s="16">
        <v>20</v>
      </c>
      <c r="T179" t="s">
        <v>45</v>
      </c>
      <c r="U179" s="5">
        <f>12%</f>
        <v>0.12</v>
      </c>
      <c r="W179">
        <f t="shared" ref="W179" si="163">W167+1</f>
        <v>20</v>
      </c>
      <c r="X179">
        <f t="shared" si="149"/>
        <v>1</v>
      </c>
      <c r="Y179" s="3">
        <f t="shared" si="140"/>
        <v>0.12</v>
      </c>
      <c r="Z179" s="1">
        <f t="shared" si="159"/>
        <v>1160714.2857142857</v>
      </c>
      <c r="AA179" s="1">
        <f t="shared" si="160"/>
        <v>139285.71428571429</v>
      </c>
      <c r="AB179" s="1">
        <f t="shared" si="161"/>
        <v>1300000</v>
      </c>
      <c r="AC179" s="1">
        <f t="shared" si="162"/>
        <v>12767857.142857144</v>
      </c>
      <c r="AD179" s="1">
        <f t="shared" ref="AD179" si="164">-FV($U$12,1,0,AD178+AC178-HLOOKUP(W179,$S$23:$U$214,9+((W179-$S$11-1)*12)),1)</f>
        <v>191134939.56355032</v>
      </c>
    </row>
    <row r="180" spans="12:30" x14ac:dyDescent="0.25">
      <c r="L180">
        <f t="shared" si="121"/>
        <v>166</v>
      </c>
      <c r="M180" s="2">
        <v>9.5500000000000002E-2</v>
      </c>
      <c r="N180" s="1">
        <f t="shared" si="126"/>
        <v>1026957.6379974333</v>
      </c>
      <c r="O180" s="1">
        <f t="shared" si="127"/>
        <v>612965.34017971798</v>
      </c>
      <c r="P180" s="1">
        <f t="shared" si="128"/>
        <v>1639922.9781771512</v>
      </c>
      <c r="Q180" s="1">
        <f t="shared" si="129"/>
        <v>75994865.211810067</v>
      </c>
      <c r="S180" s="16"/>
      <c r="T180" t="s">
        <v>43</v>
      </c>
      <c r="U180">
        <f t="shared" ref="U180" si="165">U181/12</f>
        <v>1</v>
      </c>
      <c r="W180">
        <f t="shared" ref="W180" si="166">W179</f>
        <v>20</v>
      </c>
      <c r="X180">
        <f t="shared" si="149"/>
        <v>2</v>
      </c>
      <c r="Y180" s="3">
        <f t="shared" si="140"/>
        <v>0.12</v>
      </c>
      <c r="Z180" s="1">
        <f t="shared" si="159"/>
        <v>1160714.2857142857</v>
      </c>
      <c r="AA180" s="1">
        <f t="shared" si="160"/>
        <v>127678.57142857143</v>
      </c>
      <c r="AB180" s="1">
        <f t="shared" si="161"/>
        <v>1288392.857142857</v>
      </c>
      <c r="AC180" s="1">
        <f t="shared" si="162"/>
        <v>11607142.857142858</v>
      </c>
      <c r="AD180" s="1">
        <f t="shared" ref="AD180" si="167">-FV($U$12,1,0,AD179,1)</f>
        <v>191857200.14776945</v>
      </c>
    </row>
    <row r="181" spans="12:30" x14ac:dyDescent="0.25">
      <c r="L181">
        <f t="shared" si="121"/>
        <v>167</v>
      </c>
      <c r="M181" s="2">
        <v>9.5500000000000002E-2</v>
      </c>
      <c r="N181" s="1">
        <f t="shared" si="126"/>
        <v>1026957.6379974333</v>
      </c>
      <c r="O181" s="1">
        <f t="shared" si="127"/>
        <v>604792.46897732175</v>
      </c>
      <c r="P181" s="1">
        <f t="shared" si="128"/>
        <v>1631750.1069747549</v>
      </c>
      <c r="Q181" s="1">
        <f t="shared" si="129"/>
        <v>74967907.573812634</v>
      </c>
      <c r="S181" s="16"/>
      <c r="T181" t="s">
        <v>44</v>
      </c>
      <c r="U181">
        <f>12</f>
        <v>12</v>
      </c>
      <c r="W181">
        <f t="shared" si="158"/>
        <v>20</v>
      </c>
      <c r="X181">
        <f t="shared" si="149"/>
        <v>3</v>
      </c>
      <c r="Y181" s="3">
        <f t="shared" si="140"/>
        <v>0.12</v>
      </c>
      <c r="Z181" s="1">
        <f t="shared" si="159"/>
        <v>1160714.2857142859</v>
      </c>
      <c r="AA181" s="1">
        <f t="shared" si="160"/>
        <v>116071.42857142858</v>
      </c>
      <c r="AB181" s="1">
        <f t="shared" si="161"/>
        <v>1276785.7142857146</v>
      </c>
      <c r="AC181" s="1">
        <f t="shared" si="162"/>
        <v>10446428.571428573</v>
      </c>
      <c r="AD181" s="1">
        <f t="shared" si="154"/>
        <v>192582190.00981033</v>
      </c>
    </row>
    <row r="182" spans="12:30" x14ac:dyDescent="0.25">
      <c r="L182">
        <f t="shared" si="121"/>
        <v>168</v>
      </c>
      <c r="M182" s="2">
        <v>9.5500000000000002E-2</v>
      </c>
      <c r="N182" s="1">
        <f t="shared" si="126"/>
        <v>1026957.6379974333</v>
      </c>
      <c r="O182" s="1">
        <f t="shared" si="127"/>
        <v>596619.59777492553</v>
      </c>
      <c r="P182" s="1">
        <f t="shared" si="128"/>
        <v>1623577.2357723587</v>
      </c>
      <c r="Q182" s="1">
        <f t="shared" si="129"/>
        <v>73940949.9358152</v>
      </c>
      <c r="S182" s="16"/>
      <c r="W182">
        <f t="shared" si="158"/>
        <v>20</v>
      </c>
      <c r="X182">
        <f t="shared" si="149"/>
        <v>4</v>
      </c>
      <c r="Y182" s="3">
        <f t="shared" si="140"/>
        <v>0.12</v>
      </c>
      <c r="Z182" s="1">
        <f t="shared" si="159"/>
        <v>1160714.2857142859</v>
      </c>
      <c r="AA182" s="1">
        <f t="shared" si="160"/>
        <v>104464.28571428572</v>
      </c>
      <c r="AB182" s="1">
        <f t="shared" si="161"/>
        <v>1265178.5714285716</v>
      </c>
      <c r="AC182" s="1">
        <f t="shared" si="162"/>
        <v>9285714.2857142873</v>
      </c>
      <c r="AD182" s="1">
        <f t="shared" si="154"/>
        <v>193309919.46306622</v>
      </c>
    </row>
    <row r="183" spans="12:30" x14ac:dyDescent="0.25">
      <c r="L183">
        <f t="shared" si="121"/>
        <v>169</v>
      </c>
      <c r="M183" s="2">
        <v>9.5500000000000002E-2</v>
      </c>
      <c r="N183" s="1">
        <f t="shared" si="126"/>
        <v>1026957.6379974333</v>
      </c>
      <c r="O183" s="1">
        <f t="shared" si="127"/>
        <v>588446.7265725293</v>
      </c>
      <c r="P183" s="1">
        <f t="shared" si="128"/>
        <v>1615404.3645699625</v>
      </c>
      <c r="Q183" s="1">
        <f t="shared" si="129"/>
        <v>72913992.297817767</v>
      </c>
      <c r="S183" s="16"/>
      <c r="T183" t="s">
        <v>35</v>
      </c>
      <c r="U183" s="1">
        <f t="shared" ref="U183:U207" si="168">ROUNDUP(U171*(1+$T$2),-3)</f>
        <v>1300000</v>
      </c>
      <c r="W183">
        <f t="shared" si="158"/>
        <v>20</v>
      </c>
      <c r="X183">
        <f t="shared" si="149"/>
        <v>5</v>
      </c>
      <c r="Y183" s="3">
        <f t="shared" si="140"/>
        <v>0.12</v>
      </c>
      <c r="Z183" s="1">
        <f t="shared" si="159"/>
        <v>1160714.2857142859</v>
      </c>
      <c r="AA183" s="1">
        <f t="shared" si="160"/>
        <v>92857.14285714287</v>
      </c>
      <c r="AB183" s="1">
        <f t="shared" si="161"/>
        <v>1253571.4285714289</v>
      </c>
      <c r="AC183" s="1">
        <f t="shared" si="162"/>
        <v>8125000.0000000019</v>
      </c>
      <c r="AD183" s="1">
        <f t="shared" si="154"/>
        <v>194040398.85990262</v>
      </c>
    </row>
    <row r="184" spans="12:30" x14ac:dyDescent="0.25">
      <c r="L184">
        <f t="shared" si="121"/>
        <v>170</v>
      </c>
      <c r="M184" s="2">
        <v>9.5500000000000002E-2</v>
      </c>
      <c r="N184" s="1">
        <f t="shared" si="126"/>
        <v>1026957.6379974333</v>
      </c>
      <c r="O184" s="1">
        <f t="shared" si="127"/>
        <v>580273.85537013307</v>
      </c>
      <c r="P184" s="1">
        <f t="shared" si="128"/>
        <v>1607231.4933675663</v>
      </c>
      <c r="Q184" s="1">
        <f t="shared" si="129"/>
        <v>71887034.659820333</v>
      </c>
      <c r="S184" s="16"/>
      <c r="W184">
        <f t="shared" si="158"/>
        <v>20</v>
      </c>
      <c r="X184">
        <f t="shared" si="149"/>
        <v>6</v>
      </c>
      <c r="Y184" s="3">
        <f t="shared" si="140"/>
        <v>0.12</v>
      </c>
      <c r="Z184" s="1">
        <f t="shared" si="159"/>
        <v>1160714.2857142859</v>
      </c>
      <c r="AA184" s="1">
        <f t="shared" si="160"/>
        <v>81250.000000000015</v>
      </c>
      <c r="AB184" s="1">
        <f t="shared" si="161"/>
        <v>1241964.2857142859</v>
      </c>
      <c r="AC184" s="1">
        <f t="shared" si="162"/>
        <v>6964285.7142857164</v>
      </c>
      <c r="AD184" s="1">
        <f t="shared" si="154"/>
        <v>194773638.5918045</v>
      </c>
    </row>
    <row r="185" spans="12:30" x14ac:dyDescent="0.25">
      <c r="L185">
        <f t="shared" si="121"/>
        <v>171</v>
      </c>
      <c r="M185" s="2">
        <v>9.5500000000000002E-2</v>
      </c>
      <c r="N185" s="1">
        <f t="shared" si="126"/>
        <v>1026957.6379974333</v>
      </c>
      <c r="O185" s="1">
        <f t="shared" si="127"/>
        <v>572100.98416773684</v>
      </c>
      <c r="P185" s="1">
        <f t="shared" si="128"/>
        <v>1599058.62216517</v>
      </c>
      <c r="Q185" s="1">
        <f t="shared" si="129"/>
        <v>70860077.0218229</v>
      </c>
      <c r="S185" s="16"/>
      <c r="T185" t="s">
        <v>15</v>
      </c>
      <c r="U185" s="1">
        <f t="shared" si="123"/>
        <v>13928571.428571429</v>
      </c>
      <c r="W185">
        <f t="shared" si="158"/>
        <v>20</v>
      </c>
      <c r="X185">
        <f t="shared" si="149"/>
        <v>7</v>
      </c>
      <c r="Y185" s="3">
        <f t="shared" si="140"/>
        <v>0.12</v>
      </c>
      <c r="Z185" s="1">
        <f t="shared" si="159"/>
        <v>1160714.2857142861</v>
      </c>
      <c r="AA185" s="1">
        <f t="shared" si="160"/>
        <v>69642.857142857159</v>
      </c>
      <c r="AB185" s="1">
        <f t="shared" si="161"/>
        <v>1230357.1428571432</v>
      </c>
      <c r="AC185" s="1">
        <f t="shared" si="162"/>
        <v>5803571.42857143</v>
      </c>
      <c r="AD185" s="1">
        <f t="shared" ref="AD185" si="169">-FV($U$12,1,0,AD184-HLOOKUP(W185,$S$23:$U$214,9+((W185-$S$11-1)*12)),1)</f>
        <v>169019926.57483873</v>
      </c>
    </row>
    <row r="186" spans="12:30" x14ac:dyDescent="0.25">
      <c r="L186">
        <f t="shared" si="121"/>
        <v>172</v>
      </c>
      <c r="M186" s="2">
        <v>9.5500000000000002E-2</v>
      </c>
      <c r="N186" s="1">
        <f t="shared" si="126"/>
        <v>1026957.6379974333</v>
      </c>
      <c r="O186" s="1">
        <f t="shared" si="127"/>
        <v>563928.11296534049</v>
      </c>
      <c r="P186" s="1">
        <f t="shared" si="128"/>
        <v>1590885.7509627738</v>
      </c>
      <c r="Q186" s="1">
        <f t="shared" si="129"/>
        <v>69833119.383825466</v>
      </c>
      <c r="S186" s="16"/>
      <c r="W186">
        <f t="shared" si="158"/>
        <v>20</v>
      </c>
      <c r="X186">
        <f t="shared" si="149"/>
        <v>8</v>
      </c>
      <c r="Y186" s="3">
        <f t="shared" si="140"/>
        <v>0.12</v>
      </c>
      <c r="Z186" s="1">
        <f t="shared" si="159"/>
        <v>1160714.2857142859</v>
      </c>
      <c r="AA186" s="1">
        <f t="shared" si="160"/>
        <v>58035.714285714304</v>
      </c>
      <c r="AB186" s="1">
        <f t="shared" si="161"/>
        <v>1218750.0000000002</v>
      </c>
      <c r="AC186" s="1">
        <f t="shared" si="162"/>
        <v>4642857.1428571437</v>
      </c>
      <c r="AD186" s="1">
        <f t="shared" ref="AD186" si="170">-FV($U$12,1,0,AD185,1)</f>
        <v>169658618.96248576</v>
      </c>
    </row>
    <row r="187" spans="12:30" x14ac:dyDescent="0.25">
      <c r="L187">
        <f t="shared" si="121"/>
        <v>173</v>
      </c>
      <c r="M187" s="2">
        <v>9.5500000000000002E-2</v>
      </c>
      <c r="N187" s="1">
        <f t="shared" si="126"/>
        <v>1026957.6379974333</v>
      </c>
      <c r="O187" s="1">
        <f t="shared" si="127"/>
        <v>555755.24176294426</v>
      </c>
      <c r="P187" s="1">
        <f t="shared" si="128"/>
        <v>1582712.8797603776</v>
      </c>
      <c r="Q187" s="1">
        <f t="shared" si="129"/>
        <v>68806161.745828032</v>
      </c>
      <c r="S187" s="16"/>
      <c r="T187" t="s">
        <v>46</v>
      </c>
      <c r="U187" s="1">
        <f t="shared" ref="U187" si="171">ROUNDUP($T$7*1000*(1+$T$2)^(S179-$S$11),-3)</f>
        <v>26390000</v>
      </c>
      <c r="W187">
        <f t="shared" si="158"/>
        <v>20</v>
      </c>
      <c r="X187">
        <f t="shared" si="149"/>
        <v>9</v>
      </c>
      <c r="Y187" s="3">
        <f t="shared" si="140"/>
        <v>0.12</v>
      </c>
      <c r="Z187" s="1">
        <f t="shared" si="159"/>
        <v>1160714.2857142859</v>
      </c>
      <c r="AA187" s="1">
        <f t="shared" si="160"/>
        <v>46428.571428571435</v>
      </c>
      <c r="AB187" s="1">
        <f t="shared" si="161"/>
        <v>1207142.8571428573</v>
      </c>
      <c r="AC187" s="1">
        <f t="shared" si="162"/>
        <v>3482142.8571428577</v>
      </c>
      <c r="AD187" s="1">
        <f t="shared" si="157"/>
        <v>170299724.84050819</v>
      </c>
    </row>
    <row r="188" spans="12:30" x14ac:dyDescent="0.25">
      <c r="L188">
        <f t="shared" si="121"/>
        <v>174</v>
      </c>
      <c r="M188" s="2">
        <v>9.5500000000000002E-2</v>
      </c>
      <c r="N188" s="1">
        <f t="shared" si="126"/>
        <v>1026957.6379974333</v>
      </c>
      <c r="O188" s="1">
        <f t="shared" si="127"/>
        <v>547582.37056054804</v>
      </c>
      <c r="P188" s="1">
        <f t="shared" si="128"/>
        <v>1574540.0085579813</v>
      </c>
      <c r="Q188" s="1">
        <f t="shared" si="129"/>
        <v>67779204.107830599</v>
      </c>
      <c r="S188" s="16"/>
      <c r="W188">
        <f t="shared" si="158"/>
        <v>20</v>
      </c>
      <c r="X188">
        <f t="shared" si="149"/>
        <v>10</v>
      </c>
      <c r="Y188" s="3">
        <f t="shared" si="140"/>
        <v>0.12</v>
      </c>
      <c r="Z188" s="1">
        <f t="shared" si="159"/>
        <v>1160714.2857142859</v>
      </c>
      <c r="AA188" s="1">
        <f t="shared" si="160"/>
        <v>34821.42857142858</v>
      </c>
      <c r="AB188" s="1">
        <f t="shared" si="161"/>
        <v>1195535.7142857146</v>
      </c>
      <c r="AC188" s="1">
        <f t="shared" si="162"/>
        <v>2321428.5714285718</v>
      </c>
      <c r="AD188" s="1">
        <f t="shared" si="157"/>
        <v>170943253.32900187</v>
      </c>
    </row>
    <row r="189" spans="12:30" x14ac:dyDescent="0.25">
      <c r="L189">
        <f t="shared" si="121"/>
        <v>175</v>
      </c>
      <c r="M189" s="2">
        <v>9.5500000000000002E-2</v>
      </c>
      <c r="N189" s="1">
        <f t="shared" si="126"/>
        <v>1026957.6379974333</v>
      </c>
      <c r="O189" s="1">
        <f t="shared" si="127"/>
        <v>539409.49935815181</v>
      </c>
      <c r="P189" s="1">
        <f t="shared" si="128"/>
        <v>1566367.1373555851</v>
      </c>
      <c r="Q189" s="1">
        <f t="shared" si="129"/>
        <v>66752246.469833165</v>
      </c>
      <c r="S189" s="16"/>
      <c r="T189" t="s">
        <v>47</v>
      </c>
      <c r="U189" s="1">
        <f t="shared" si="130"/>
        <v>52780000</v>
      </c>
      <c r="W189">
        <f t="shared" si="158"/>
        <v>20</v>
      </c>
      <c r="X189">
        <f t="shared" si="149"/>
        <v>11</v>
      </c>
      <c r="Y189" s="3">
        <f t="shared" si="140"/>
        <v>0.12</v>
      </c>
      <c r="Z189" s="1">
        <f t="shared" si="159"/>
        <v>1160714.2857142859</v>
      </c>
      <c r="AA189" s="1">
        <f t="shared" si="160"/>
        <v>23214.285714285717</v>
      </c>
      <c r="AB189" s="1">
        <f t="shared" si="161"/>
        <v>1183928.5714285716</v>
      </c>
      <c r="AC189" s="1">
        <f t="shared" si="162"/>
        <v>1160714.2857142859</v>
      </c>
      <c r="AD189" s="1">
        <f t="shared" si="157"/>
        <v>171589213.58252564</v>
      </c>
    </row>
    <row r="190" spans="12:30" x14ac:dyDescent="0.25">
      <c r="L190">
        <f t="shared" si="121"/>
        <v>176</v>
      </c>
      <c r="M190" s="2">
        <v>9.5500000000000002E-2</v>
      </c>
      <c r="N190" s="1">
        <f t="shared" si="126"/>
        <v>1026957.6379974333</v>
      </c>
      <c r="O190" s="1">
        <f t="shared" si="127"/>
        <v>531236.62815575558</v>
      </c>
      <c r="P190" s="1">
        <f t="shared" si="128"/>
        <v>1558194.2661531889</v>
      </c>
      <c r="Q190" s="1">
        <f t="shared" si="129"/>
        <v>65725288.831835732</v>
      </c>
      <c r="S190" s="16"/>
      <c r="W190">
        <f t="shared" si="158"/>
        <v>20</v>
      </c>
      <c r="X190">
        <f t="shared" si="149"/>
        <v>12</v>
      </c>
      <c r="Y190" s="3">
        <f t="shared" si="140"/>
        <v>0.12</v>
      </c>
      <c r="Z190" s="1">
        <f t="shared" si="159"/>
        <v>1160714.2857142859</v>
      </c>
      <c r="AA190" s="1">
        <f t="shared" si="160"/>
        <v>11607.142857142859</v>
      </c>
      <c r="AB190" s="1">
        <f t="shared" si="161"/>
        <v>1172321.4285714289</v>
      </c>
      <c r="AC190" s="1">
        <f t="shared" si="162"/>
        <v>14207142.857142858</v>
      </c>
      <c r="AD190" s="1">
        <f t="shared" si="157"/>
        <v>172237614.79023162</v>
      </c>
    </row>
    <row r="191" spans="12:30" x14ac:dyDescent="0.25">
      <c r="L191">
        <f t="shared" si="121"/>
        <v>177</v>
      </c>
      <c r="M191" s="2">
        <v>9.5500000000000002E-2</v>
      </c>
      <c r="N191" s="1">
        <f t="shared" si="126"/>
        <v>1026957.6379974333</v>
      </c>
      <c r="O191" s="1">
        <f t="shared" si="127"/>
        <v>523063.75695335935</v>
      </c>
      <c r="P191" s="1">
        <f t="shared" si="128"/>
        <v>1550021.3949507927</v>
      </c>
      <c r="Q191" s="1">
        <f t="shared" si="129"/>
        <v>64698331.193838298</v>
      </c>
      <c r="S191" s="16">
        <v>21</v>
      </c>
      <c r="T191" t="s">
        <v>45</v>
      </c>
      <c r="U191" s="5">
        <f>12%</f>
        <v>0.12</v>
      </c>
      <c r="W191">
        <f t="shared" ref="W191" si="172">W179+1</f>
        <v>21</v>
      </c>
      <c r="X191">
        <f t="shared" si="149"/>
        <v>1</v>
      </c>
      <c r="Y191" s="3">
        <f t="shared" si="140"/>
        <v>0.12</v>
      </c>
      <c r="Z191" s="1">
        <f t="shared" si="159"/>
        <v>1183928.5714285716</v>
      </c>
      <c r="AA191" s="1">
        <f t="shared" si="160"/>
        <v>142071.42857142858</v>
      </c>
      <c r="AB191" s="1">
        <f t="shared" si="161"/>
        <v>1326000.0000000002</v>
      </c>
      <c r="AC191" s="1">
        <f t="shared" si="162"/>
        <v>13023214.285714287</v>
      </c>
      <c r="AD191" s="1">
        <f t="shared" ref="AD191" si="173">-FV($U$12,1,0,AD190+AC190-HLOOKUP(W191,$S$23:$U$214,9+((W191-$S$11-1)*12)),1)</f>
        <v>160129577.25450689</v>
      </c>
    </row>
    <row r="192" spans="12:30" x14ac:dyDescent="0.25">
      <c r="L192">
        <f t="shared" si="121"/>
        <v>178</v>
      </c>
      <c r="M192" s="2">
        <v>9.5500000000000002E-2</v>
      </c>
      <c r="N192" s="1">
        <f t="shared" si="126"/>
        <v>1026957.6379974333</v>
      </c>
      <c r="O192" s="1">
        <f t="shared" si="127"/>
        <v>514890.88575096312</v>
      </c>
      <c r="P192" s="1">
        <f t="shared" si="128"/>
        <v>1541848.5237483964</v>
      </c>
      <c r="Q192" s="1">
        <f t="shared" si="129"/>
        <v>63671373.555840865</v>
      </c>
      <c r="S192" s="16"/>
      <c r="T192" t="s">
        <v>43</v>
      </c>
      <c r="U192">
        <f t="shared" ref="U192" si="174">U193/12</f>
        <v>1</v>
      </c>
      <c r="W192">
        <f t="shared" ref="W192" si="175">W191</f>
        <v>21</v>
      </c>
      <c r="X192">
        <f t="shared" si="149"/>
        <v>2</v>
      </c>
      <c r="Y192" s="3">
        <f t="shared" si="140"/>
        <v>0.12</v>
      </c>
      <c r="Z192" s="1">
        <f t="shared" si="159"/>
        <v>1183928.5714285716</v>
      </c>
      <c r="AA192" s="1">
        <f t="shared" si="160"/>
        <v>130232.14285714287</v>
      </c>
      <c r="AB192" s="1">
        <f t="shared" si="161"/>
        <v>1314160.7142857146</v>
      </c>
      <c r="AC192" s="1">
        <f t="shared" si="162"/>
        <v>11839285.714285716</v>
      </c>
      <c r="AD192" s="1">
        <f t="shared" ref="AD192" si="176">-FV($U$12,1,0,AD191,1)</f>
        <v>160734674.79597521</v>
      </c>
    </row>
    <row r="193" spans="12:30" x14ac:dyDescent="0.25">
      <c r="L193">
        <f t="shared" si="121"/>
        <v>179</v>
      </c>
      <c r="M193" s="2">
        <v>9.5500000000000002E-2</v>
      </c>
      <c r="N193" s="1">
        <f t="shared" si="126"/>
        <v>1026957.6379974333</v>
      </c>
      <c r="O193" s="1">
        <f t="shared" si="127"/>
        <v>506718.01454856683</v>
      </c>
      <c r="P193" s="1">
        <f t="shared" si="128"/>
        <v>1533675.6525460002</v>
      </c>
      <c r="Q193" s="1">
        <f t="shared" si="129"/>
        <v>62644415.917843431</v>
      </c>
      <c r="S193" s="16"/>
      <c r="T193" t="s">
        <v>44</v>
      </c>
      <c r="U193">
        <f>12</f>
        <v>12</v>
      </c>
      <c r="W193">
        <f t="shared" si="158"/>
        <v>21</v>
      </c>
      <c r="X193">
        <f t="shared" si="149"/>
        <v>3</v>
      </c>
      <c r="Y193" s="3">
        <f t="shared" si="140"/>
        <v>0.12</v>
      </c>
      <c r="Z193" s="1">
        <f t="shared" si="159"/>
        <v>1183928.5714285716</v>
      </c>
      <c r="AA193" s="1">
        <f t="shared" si="160"/>
        <v>118392.85714285716</v>
      </c>
      <c r="AB193" s="1">
        <f t="shared" si="161"/>
        <v>1302321.4285714286</v>
      </c>
      <c r="AC193" s="1">
        <f t="shared" si="162"/>
        <v>10655357.142857146</v>
      </c>
      <c r="AD193" s="1">
        <f t="shared" si="154"/>
        <v>161342058.87963623</v>
      </c>
    </row>
    <row r="194" spans="12:30" x14ac:dyDescent="0.25">
      <c r="L194">
        <f t="shared" si="121"/>
        <v>180</v>
      </c>
      <c r="M194" s="2">
        <v>9.5500000000000002E-2</v>
      </c>
      <c r="N194" s="1">
        <f t="shared" si="126"/>
        <v>1026957.6379974333</v>
      </c>
      <c r="O194" s="1">
        <f t="shared" si="127"/>
        <v>498545.1433461706</v>
      </c>
      <c r="P194" s="1">
        <f t="shared" si="128"/>
        <v>1525502.781343604</v>
      </c>
      <c r="Q194" s="1">
        <f t="shared" si="129"/>
        <v>61617458.279845998</v>
      </c>
      <c r="S194" s="16"/>
      <c r="W194">
        <f t="shared" si="158"/>
        <v>21</v>
      </c>
      <c r="X194">
        <f t="shared" si="149"/>
        <v>4</v>
      </c>
      <c r="Y194" s="3">
        <f t="shared" si="140"/>
        <v>0.12</v>
      </c>
      <c r="Z194" s="1">
        <f t="shared" si="159"/>
        <v>1183928.5714285718</v>
      </c>
      <c r="AA194" s="1">
        <f t="shared" si="160"/>
        <v>106553.57142857146</v>
      </c>
      <c r="AB194" s="1">
        <f t="shared" si="161"/>
        <v>1290482.1428571432</v>
      </c>
      <c r="AC194" s="1">
        <f t="shared" si="162"/>
        <v>9471428.5714285746</v>
      </c>
      <c r="AD194" s="1">
        <f t="shared" si="154"/>
        <v>161951738.14587408</v>
      </c>
    </row>
    <row r="195" spans="12:30" x14ac:dyDescent="0.25">
      <c r="L195">
        <f t="shared" si="121"/>
        <v>181</v>
      </c>
      <c r="M195" s="2">
        <v>9.5500000000000002E-2</v>
      </c>
      <c r="N195" s="1">
        <f t="shared" si="126"/>
        <v>1026957.6379974333</v>
      </c>
      <c r="O195" s="1">
        <f t="shared" si="127"/>
        <v>490372.27214377437</v>
      </c>
      <c r="P195" s="1">
        <f t="shared" si="128"/>
        <v>1517329.9101412077</v>
      </c>
      <c r="Q195" s="1">
        <f t="shared" si="129"/>
        <v>60590500.641848564</v>
      </c>
      <c r="S195" s="16"/>
      <c r="T195" t="s">
        <v>35</v>
      </c>
      <c r="U195" s="1">
        <f t="shared" si="168"/>
        <v>1326000</v>
      </c>
      <c r="W195">
        <f t="shared" si="158"/>
        <v>21</v>
      </c>
      <c r="X195">
        <f t="shared" si="149"/>
        <v>5</v>
      </c>
      <c r="Y195" s="3">
        <f t="shared" si="140"/>
        <v>0.12</v>
      </c>
      <c r="Z195" s="1">
        <f t="shared" si="159"/>
        <v>1183928.5714285718</v>
      </c>
      <c r="AA195" s="1">
        <f t="shared" si="160"/>
        <v>94714.285714285754</v>
      </c>
      <c r="AB195" s="1">
        <f t="shared" si="161"/>
        <v>1278642.8571428575</v>
      </c>
      <c r="AC195" s="1">
        <f t="shared" si="162"/>
        <v>8287500.0000000028</v>
      </c>
      <c r="AD195" s="1">
        <f t="shared" si="154"/>
        <v>162563721.26772317</v>
      </c>
    </row>
    <row r="196" spans="12:30" x14ac:dyDescent="0.25">
      <c r="L196">
        <f t="shared" si="121"/>
        <v>182</v>
      </c>
      <c r="M196" s="2">
        <v>9.5500000000000002E-2</v>
      </c>
      <c r="N196" s="1">
        <f t="shared" si="126"/>
        <v>1026957.6379974333</v>
      </c>
      <c r="O196" s="1">
        <f t="shared" si="127"/>
        <v>482199.40094137815</v>
      </c>
      <c r="P196" s="1">
        <f t="shared" si="128"/>
        <v>1509157.0389388115</v>
      </c>
      <c r="Q196" s="1">
        <f t="shared" si="129"/>
        <v>59563543.003851131</v>
      </c>
      <c r="S196" s="16"/>
      <c r="W196">
        <f t="shared" si="158"/>
        <v>21</v>
      </c>
      <c r="X196">
        <f t="shared" si="149"/>
        <v>6</v>
      </c>
      <c r="Y196" s="3">
        <f t="shared" si="140"/>
        <v>0.12</v>
      </c>
      <c r="Z196" s="1">
        <f t="shared" si="159"/>
        <v>1183928.5714285718</v>
      </c>
      <c r="AA196" s="1">
        <f t="shared" si="160"/>
        <v>82875.000000000029</v>
      </c>
      <c r="AB196" s="1">
        <f t="shared" si="161"/>
        <v>1266803.5714285718</v>
      </c>
      <c r="AC196" s="1">
        <f t="shared" si="162"/>
        <v>7103571.428571431</v>
      </c>
      <c r="AD196" s="1">
        <f t="shared" si="154"/>
        <v>163178016.9509916</v>
      </c>
    </row>
    <row r="197" spans="12:30" x14ac:dyDescent="0.25">
      <c r="L197">
        <f t="shared" ref="L197:L254" si="177">L196+1</f>
        <v>183</v>
      </c>
      <c r="M197" s="2">
        <v>9.5500000000000002E-2</v>
      </c>
      <c r="N197" s="1">
        <f t="shared" si="126"/>
        <v>1026957.6379974333</v>
      </c>
      <c r="O197" s="1">
        <f t="shared" si="127"/>
        <v>474026.52973898186</v>
      </c>
      <c r="P197" s="1">
        <f t="shared" si="128"/>
        <v>1500984.1677364153</v>
      </c>
      <c r="Q197" s="1">
        <f t="shared" si="129"/>
        <v>58536585.365853697</v>
      </c>
      <c r="S197" s="16"/>
      <c r="T197" t="s">
        <v>15</v>
      </c>
      <c r="U197" s="1">
        <f t="shared" ref="U197:U209" si="178">(12*U193*U195)/(12+U193*U191)</f>
        <v>14207142.857142858</v>
      </c>
      <c r="W197">
        <f t="shared" si="158"/>
        <v>21</v>
      </c>
      <c r="X197">
        <f t="shared" si="149"/>
        <v>7</v>
      </c>
      <c r="Y197" s="3">
        <f t="shared" si="140"/>
        <v>0.12</v>
      </c>
      <c r="Z197" s="1">
        <f t="shared" si="159"/>
        <v>1183928.5714285718</v>
      </c>
      <c r="AA197" s="1">
        <f t="shared" si="160"/>
        <v>71035.714285714304</v>
      </c>
      <c r="AB197" s="1">
        <f t="shared" si="161"/>
        <v>1254964.2857142861</v>
      </c>
      <c r="AC197" s="1">
        <f t="shared" si="162"/>
        <v>5919642.8571428591</v>
      </c>
      <c r="AD197" s="1">
        <f t="shared" ref="AD197" si="179">-FV($U$12,1,0,AD196-HLOOKUP(W197,$S$23:$U$214,9+((W197-$S$11-1)*12)),1)</f>
        <v>136774916.21364582</v>
      </c>
    </row>
    <row r="198" spans="12:30" x14ac:dyDescent="0.25">
      <c r="L198">
        <f t="shared" si="177"/>
        <v>184</v>
      </c>
      <c r="M198" s="2">
        <v>9.5500000000000002E-2</v>
      </c>
      <c r="N198" s="1">
        <f t="shared" si="126"/>
        <v>1026957.6379974333</v>
      </c>
      <c r="O198" s="1">
        <f t="shared" si="127"/>
        <v>465853.65853658563</v>
      </c>
      <c r="P198" s="1">
        <f t="shared" si="128"/>
        <v>1492811.2965340191</v>
      </c>
      <c r="Q198" s="1">
        <f t="shared" si="129"/>
        <v>57509627.727856264</v>
      </c>
      <c r="S198" s="16"/>
      <c r="W198">
        <f t="shared" si="158"/>
        <v>21</v>
      </c>
      <c r="X198">
        <f t="shared" si="149"/>
        <v>8</v>
      </c>
      <c r="Y198" s="3">
        <f t="shared" si="140"/>
        <v>0.12</v>
      </c>
      <c r="Z198" s="1">
        <f t="shared" si="159"/>
        <v>1183928.5714285718</v>
      </c>
      <c r="AA198" s="1">
        <f t="shared" si="160"/>
        <v>59196.428571428594</v>
      </c>
      <c r="AB198" s="1">
        <f t="shared" si="161"/>
        <v>1243125.0000000005</v>
      </c>
      <c r="AC198" s="1">
        <f t="shared" si="162"/>
        <v>4735714.2857142873</v>
      </c>
      <c r="AD198" s="1">
        <f t="shared" ref="AD198" si="180">-FV($U$12,1,0,AD197,1)</f>
        <v>137291761.17729592</v>
      </c>
    </row>
    <row r="199" spans="12:30" x14ac:dyDescent="0.25">
      <c r="L199">
        <f t="shared" si="177"/>
        <v>185</v>
      </c>
      <c r="M199" s="2">
        <v>9.5500000000000002E-2</v>
      </c>
      <c r="N199" s="1">
        <f t="shared" si="126"/>
        <v>1026957.6379974333</v>
      </c>
      <c r="O199" s="1">
        <f t="shared" si="127"/>
        <v>457680.7873341894</v>
      </c>
      <c r="P199" s="1">
        <f t="shared" si="128"/>
        <v>1484638.4253316228</v>
      </c>
      <c r="Q199" s="1">
        <f t="shared" si="129"/>
        <v>56482670.08985883</v>
      </c>
      <c r="S199" s="16"/>
      <c r="T199" t="s">
        <v>46</v>
      </c>
      <c r="U199" s="1">
        <f t="shared" ref="U199" si="181">ROUNDUP($T$7*1000*(1+$T$2)^(S191-$S$11),-3)</f>
        <v>26918000</v>
      </c>
      <c r="W199">
        <f t="shared" si="158"/>
        <v>21</v>
      </c>
      <c r="X199">
        <f t="shared" si="149"/>
        <v>9</v>
      </c>
      <c r="Y199" s="3">
        <f t="shared" si="140"/>
        <v>0.12</v>
      </c>
      <c r="Z199" s="1">
        <f t="shared" si="159"/>
        <v>1183928.5714285718</v>
      </c>
      <c r="AA199" s="1">
        <f t="shared" si="160"/>
        <v>47357.142857142877</v>
      </c>
      <c r="AB199" s="1">
        <f t="shared" si="161"/>
        <v>1231285.7142857148</v>
      </c>
      <c r="AC199" s="1">
        <f t="shared" si="162"/>
        <v>3551785.7142857155</v>
      </c>
      <c r="AD199" s="1">
        <f t="shared" si="157"/>
        <v>137810559.19435558</v>
      </c>
    </row>
    <row r="200" spans="12:30" x14ac:dyDescent="0.25">
      <c r="L200">
        <f t="shared" si="177"/>
        <v>186</v>
      </c>
      <c r="M200" s="2">
        <v>9.5500000000000002E-2</v>
      </c>
      <c r="N200" s="1">
        <f t="shared" si="126"/>
        <v>1026957.6379974333</v>
      </c>
      <c r="O200" s="1">
        <f t="shared" si="127"/>
        <v>449507.91613179317</v>
      </c>
      <c r="P200" s="1">
        <f t="shared" si="128"/>
        <v>1476465.5541292266</v>
      </c>
      <c r="Q200" s="1">
        <f t="shared" si="129"/>
        <v>55455712.451861396</v>
      </c>
      <c r="S200" s="16"/>
      <c r="W200">
        <f t="shared" si="158"/>
        <v>21</v>
      </c>
      <c r="X200">
        <f t="shared" si="149"/>
        <v>10</v>
      </c>
      <c r="Y200" s="3">
        <f t="shared" si="140"/>
        <v>0.12</v>
      </c>
      <c r="Z200" s="1">
        <f t="shared" si="159"/>
        <v>1183928.5714285718</v>
      </c>
      <c r="AA200" s="1">
        <f t="shared" si="160"/>
        <v>35517.857142857152</v>
      </c>
      <c r="AB200" s="1">
        <f t="shared" si="161"/>
        <v>1219446.4285714289</v>
      </c>
      <c r="AC200" s="1">
        <f t="shared" si="162"/>
        <v>2367857.1428571437</v>
      </c>
      <c r="AD200" s="1">
        <f t="shared" si="157"/>
        <v>138331317.64502171</v>
      </c>
    </row>
    <row r="201" spans="12:30" x14ac:dyDescent="0.25">
      <c r="L201">
        <f t="shared" si="177"/>
        <v>187</v>
      </c>
      <c r="M201" s="2">
        <v>9.5500000000000002E-2</v>
      </c>
      <c r="N201" s="1">
        <f t="shared" si="126"/>
        <v>1026957.6379974333</v>
      </c>
      <c r="O201" s="1">
        <f t="shared" si="127"/>
        <v>441335.04492939694</v>
      </c>
      <c r="P201" s="1">
        <f t="shared" si="128"/>
        <v>1468292.6829268304</v>
      </c>
      <c r="Q201" s="1">
        <f t="shared" si="129"/>
        <v>54428754.813863963</v>
      </c>
      <c r="S201" s="16"/>
      <c r="T201" t="s">
        <v>47</v>
      </c>
      <c r="U201" s="1">
        <f t="shared" ref="U201:U213" si="182">U199*2</f>
        <v>53836000</v>
      </c>
      <c r="W201">
        <f t="shared" si="158"/>
        <v>21</v>
      </c>
      <c r="X201">
        <f t="shared" si="149"/>
        <v>11</v>
      </c>
      <c r="Y201" s="3">
        <f t="shared" si="140"/>
        <v>0.12</v>
      </c>
      <c r="Z201" s="1">
        <f t="shared" si="159"/>
        <v>1183928.5714285718</v>
      </c>
      <c r="AA201" s="1">
        <f t="shared" si="160"/>
        <v>23678.571428571438</v>
      </c>
      <c r="AB201" s="1">
        <f t="shared" si="161"/>
        <v>1207607.1428571432</v>
      </c>
      <c r="AC201" s="1">
        <f t="shared" si="162"/>
        <v>1183928.5714285718</v>
      </c>
      <c r="AD201" s="1">
        <f t="shared" si="157"/>
        <v>138854043.93737954</v>
      </c>
    </row>
    <row r="202" spans="12:30" x14ac:dyDescent="0.25">
      <c r="L202">
        <f t="shared" si="177"/>
        <v>188</v>
      </c>
      <c r="M202" s="2">
        <v>9.5500000000000002E-2</v>
      </c>
      <c r="N202" s="1">
        <f t="shared" si="126"/>
        <v>1026957.6379974333</v>
      </c>
      <c r="O202" s="1">
        <f t="shared" si="127"/>
        <v>433162.17372700066</v>
      </c>
      <c r="P202" s="1">
        <f t="shared" si="128"/>
        <v>1460119.8117244339</v>
      </c>
      <c r="Q202" s="1">
        <f t="shared" si="129"/>
        <v>53401797.175866529</v>
      </c>
      <c r="S202" s="16"/>
      <c r="W202">
        <f t="shared" si="158"/>
        <v>21</v>
      </c>
      <c r="X202">
        <f t="shared" si="149"/>
        <v>12</v>
      </c>
      <c r="Y202" s="3">
        <f t="shared" si="140"/>
        <v>0.12</v>
      </c>
      <c r="Z202" s="1">
        <f t="shared" si="159"/>
        <v>1183928.5714285718</v>
      </c>
      <c r="AA202" s="1">
        <f t="shared" si="160"/>
        <v>11839.285714285719</v>
      </c>
      <c r="AB202" s="1">
        <f t="shared" si="161"/>
        <v>1195767.8571428575</v>
      </c>
      <c r="AC202" s="1">
        <f t="shared" si="162"/>
        <v>14496428.571428573</v>
      </c>
      <c r="AD202" s="1">
        <f t="shared" si="157"/>
        <v>139378745.50750798</v>
      </c>
    </row>
    <row r="203" spans="12:30" x14ac:dyDescent="0.25">
      <c r="L203">
        <f t="shared" si="177"/>
        <v>189</v>
      </c>
      <c r="M203" s="2">
        <v>9.5500000000000002E-2</v>
      </c>
      <c r="N203" s="1">
        <f t="shared" ref="N203:N254" si="183">IFERROR(Q202/($M$10+1-L203),0)</f>
        <v>1026957.6379974333</v>
      </c>
      <c r="O203" s="1">
        <f t="shared" ref="O203:O254" si="184">Q202*(M203/12)</f>
        <v>424989.30252460443</v>
      </c>
      <c r="P203" s="1">
        <f t="shared" ref="P203:P254" si="185">N203+O203</f>
        <v>1451946.9405220377</v>
      </c>
      <c r="Q203" s="1">
        <f t="shared" ref="Q203:Q254" si="186">Q202-N203</f>
        <v>52374839.537869096</v>
      </c>
      <c r="S203" s="16">
        <v>22</v>
      </c>
      <c r="T203" t="s">
        <v>45</v>
      </c>
      <c r="U203" s="5">
        <f>12%</f>
        <v>0.12</v>
      </c>
      <c r="W203">
        <f t="shared" ref="W203" si="187">W191+1</f>
        <v>22</v>
      </c>
      <c r="X203">
        <f t="shared" si="149"/>
        <v>1</v>
      </c>
      <c r="Y203" s="3">
        <f t="shared" si="140"/>
        <v>0.12</v>
      </c>
      <c r="Z203" s="1">
        <f t="shared" si="159"/>
        <v>1208035.7142857143</v>
      </c>
      <c r="AA203" s="1">
        <f t="shared" si="160"/>
        <v>144964.28571428574</v>
      </c>
      <c r="AB203" s="1">
        <f t="shared" si="161"/>
        <v>1353000</v>
      </c>
      <c r="AC203" s="1">
        <f t="shared" si="162"/>
        <v>13288392.857142858</v>
      </c>
      <c r="AD203" s="1">
        <f t="shared" ref="AD203" si="188">-FV($U$12,1,0,AD202+AC202-HLOOKUP(W203,$S$23:$U$214,9+((W203-$S$11-1)*12)),1)</f>
        <v>126896886.77100241</v>
      </c>
    </row>
    <row r="204" spans="12:30" x14ac:dyDescent="0.25">
      <c r="L204">
        <f t="shared" si="177"/>
        <v>190</v>
      </c>
      <c r="M204" s="2">
        <v>9.5500000000000002E-2</v>
      </c>
      <c r="N204" s="1">
        <f t="shared" si="183"/>
        <v>1026957.6379974332</v>
      </c>
      <c r="O204" s="1">
        <f t="shared" si="184"/>
        <v>416816.4313222082</v>
      </c>
      <c r="P204" s="1">
        <f t="shared" si="185"/>
        <v>1443774.0693196415</v>
      </c>
      <c r="Q204" s="1">
        <f t="shared" si="186"/>
        <v>51347881.899871662</v>
      </c>
      <c r="S204" s="16"/>
      <c r="T204" t="s">
        <v>43</v>
      </c>
      <c r="U204">
        <f t="shared" ref="U204" si="189">U205/12</f>
        <v>1</v>
      </c>
      <c r="W204">
        <f t="shared" ref="W204" si="190">W203</f>
        <v>22</v>
      </c>
      <c r="X204">
        <f t="shared" si="149"/>
        <v>2</v>
      </c>
      <c r="Y204" s="3">
        <f t="shared" si="140"/>
        <v>0.12</v>
      </c>
      <c r="Z204" s="1">
        <f t="shared" si="159"/>
        <v>1208035.7142857143</v>
      </c>
      <c r="AA204" s="1">
        <f t="shared" si="160"/>
        <v>132883.92857142858</v>
      </c>
      <c r="AB204" s="1">
        <f t="shared" si="161"/>
        <v>1340919.642857143</v>
      </c>
      <c r="AC204" s="1">
        <f t="shared" si="162"/>
        <v>12080357.142857144</v>
      </c>
      <c r="AD204" s="1">
        <f t="shared" ref="AD204" si="191">-FV($U$12,1,0,AD203,1)</f>
        <v>127376404.64347564</v>
      </c>
    </row>
    <row r="205" spans="12:30" x14ac:dyDescent="0.25">
      <c r="L205">
        <f t="shared" si="177"/>
        <v>191</v>
      </c>
      <c r="M205" s="2">
        <v>9.5500000000000002E-2</v>
      </c>
      <c r="N205" s="1">
        <f t="shared" si="183"/>
        <v>1026957.6379974332</v>
      </c>
      <c r="O205" s="1">
        <f t="shared" si="184"/>
        <v>408643.56011981197</v>
      </c>
      <c r="P205" s="1">
        <f t="shared" si="185"/>
        <v>1435601.1981172452</v>
      </c>
      <c r="Q205" s="1">
        <f t="shared" si="186"/>
        <v>50320924.261874229</v>
      </c>
      <c r="S205" s="16"/>
      <c r="T205" t="s">
        <v>44</v>
      </c>
      <c r="U205">
        <f>12</f>
        <v>12</v>
      </c>
      <c r="W205">
        <f t="shared" si="158"/>
        <v>22</v>
      </c>
      <c r="X205">
        <f t="shared" si="149"/>
        <v>3</v>
      </c>
      <c r="Y205" s="3">
        <f t="shared" si="140"/>
        <v>0.12</v>
      </c>
      <c r="Z205" s="1">
        <f t="shared" si="159"/>
        <v>1208035.7142857143</v>
      </c>
      <c r="AA205" s="1">
        <f t="shared" si="160"/>
        <v>120803.57142857143</v>
      </c>
      <c r="AB205" s="1">
        <f t="shared" si="161"/>
        <v>1328839.2857142857</v>
      </c>
      <c r="AC205" s="1">
        <f t="shared" si="162"/>
        <v>10872321.428571429</v>
      </c>
      <c r="AD205" s="1">
        <f t="shared" si="154"/>
        <v>127857734.51777075</v>
      </c>
    </row>
    <row r="206" spans="12:30" x14ac:dyDescent="0.25">
      <c r="L206">
        <f t="shared" si="177"/>
        <v>192</v>
      </c>
      <c r="M206" s="2">
        <v>9.5500000000000002E-2</v>
      </c>
      <c r="N206" s="1">
        <f t="shared" si="183"/>
        <v>1026957.6379974332</v>
      </c>
      <c r="O206" s="1">
        <f t="shared" si="184"/>
        <v>400470.68891741574</v>
      </c>
      <c r="P206" s="1">
        <f t="shared" si="185"/>
        <v>1427428.326914849</v>
      </c>
      <c r="Q206" s="1">
        <f t="shared" si="186"/>
        <v>49293966.623876795</v>
      </c>
      <c r="S206" s="16"/>
      <c r="W206">
        <f t="shared" si="158"/>
        <v>22</v>
      </c>
      <c r="X206">
        <f t="shared" si="149"/>
        <v>4</v>
      </c>
      <c r="Y206" s="3">
        <f t="shared" si="140"/>
        <v>0.12</v>
      </c>
      <c r="Z206" s="1">
        <f t="shared" si="159"/>
        <v>1208035.7142857143</v>
      </c>
      <c r="AA206" s="1">
        <f t="shared" si="160"/>
        <v>108723.21428571429</v>
      </c>
      <c r="AB206" s="1">
        <f t="shared" si="161"/>
        <v>1316758.9285714286</v>
      </c>
      <c r="AC206" s="1">
        <f t="shared" si="162"/>
        <v>9664285.7142857146</v>
      </c>
      <c r="AD206" s="1">
        <f t="shared" si="154"/>
        <v>128340883.24107905</v>
      </c>
    </row>
    <row r="207" spans="12:30" x14ac:dyDescent="0.25">
      <c r="L207">
        <f t="shared" si="177"/>
        <v>193</v>
      </c>
      <c r="M207" s="2">
        <v>9.5500000000000002E-2</v>
      </c>
      <c r="N207" s="1">
        <f t="shared" si="183"/>
        <v>1026957.6379974332</v>
      </c>
      <c r="O207" s="1">
        <f t="shared" si="184"/>
        <v>392297.81771501945</v>
      </c>
      <c r="P207" s="1">
        <f t="shared" si="185"/>
        <v>1419255.4557124525</v>
      </c>
      <c r="Q207" s="1">
        <f t="shared" si="186"/>
        <v>48267008.985879362</v>
      </c>
      <c r="S207" s="16"/>
      <c r="T207" t="s">
        <v>35</v>
      </c>
      <c r="U207" s="1">
        <f t="shared" si="168"/>
        <v>1353000</v>
      </c>
      <c r="W207">
        <f t="shared" si="158"/>
        <v>22</v>
      </c>
      <c r="X207">
        <f t="shared" si="149"/>
        <v>5</v>
      </c>
      <c r="Y207" s="3">
        <f t="shared" si="140"/>
        <v>0.12</v>
      </c>
      <c r="Z207" s="1">
        <f t="shared" si="159"/>
        <v>1208035.7142857143</v>
      </c>
      <c r="AA207" s="1">
        <f t="shared" si="160"/>
        <v>96642.857142857145</v>
      </c>
      <c r="AB207" s="1">
        <f t="shared" si="161"/>
        <v>1304678.5714285714</v>
      </c>
      <c r="AC207" s="1">
        <f t="shared" si="162"/>
        <v>8456250</v>
      </c>
      <c r="AD207" s="1">
        <f t="shared" si="154"/>
        <v>128825857.68646598</v>
      </c>
    </row>
    <row r="208" spans="12:30" x14ac:dyDescent="0.25">
      <c r="L208">
        <f t="shared" si="177"/>
        <v>194</v>
      </c>
      <c r="M208" s="2">
        <v>9.5500000000000002E-2</v>
      </c>
      <c r="N208" s="1">
        <f t="shared" si="183"/>
        <v>1026957.6379974332</v>
      </c>
      <c r="O208" s="1">
        <f t="shared" si="184"/>
        <v>384124.94651262322</v>
      </c>
      <c r="P208" s="1">
        <f t="shared" si="185"/>
        <v>1411082.5845100563</v>
      </c>
      <c r="Q208" s="1">
        <f t="shared" si="186"/>
        <v>47240051.347881928</v>
      </c>
      <c r="S208" s="16"/>
      <c r="W208">
        <f t="shared" si="158"/>
        <v>22</v>
      </c>
      <c r="X208">
        <f t="shared" si="149"/>
        <v>6</v>
      </c>
      <c r="Y208" s="3">
        <f t="shared" si="140"/>
        <v>0.12</v>
      </c>
      <c r="Z208" s="1">
        <f t="shared" si="159"/>
        <v>1208035.7142857143</v>
      </c>
      <c r="AA208" s="1">
        <f t="shared" si="160"/>
        <v>84562.5</v>
      </c>
      <c r="AB208" s="1">
        <f t="shared" si="161"/>
        <v>1292598.2142857143</v>
      </c>
      <c r="AC208" s="1">
        <f t="shared" si="162"/>
        <v>7248214.2857142854</v>
      </c>
      <c r="AD208" s="1">
        <f t="shared" si="154"/>
        <v>129312664.75296895</v>
      </c>
    </row>
    <row r="209" spans="12:30" x14ac:dyDescent="0.25">
      <c r="L209">
        <f t="shared" si="177"/>
        <v>195</v>
      </c>
      <c r="M209" s="2">
        <v>9.5500000000000002E-2</v>
      </c>
      <c r="N209" s="1">
        <f t="shared" si="183"/>
        <v>1026957.6379974332</v>
      </c>
      <c r="O209" s="1">
        <f t="shared" si="184"/>
        <v>375952.075310227</v>
      </c>
      <c r="P209" s="1">
        <f t="shared" si="185"/>
        <v>1402909.7133076601</v>
      </c>
      <c r="Q209" s="1">
        <f t="shared" si="186"/>
        <v>46213093.709884495</v>
      </c>
      <c r="S209" s="16"/>
      <c r="T209" t="s">
        <v>15</v>
      </c>
      <c r="U209" s="1">
        <f t="shared" si="178"/>
        <v>14496428.571428573</v>
      </c>
      <c r="W209">
        <f t="shared" si="158"/>
        <v>22</v>
      </c>
      <c r="X209">
        <f t="shared" si="149"/>
        <v>7</v>
      </c>
      <c r="Y209" s="3">
        <f t="shared" si="140"/>
        <v>0.12</v>
      </c>
      <c r="Z209" s="1">
        <f t="shared" si="159"/>
        <v>1208035.7142857143</v>
      </c>
      <c r="AA209" s="1">
        <f t="shared" si="160"/>
        <v>72482.142857142855</v>
      </c>
      <c r="AB209" s="1">
        <f t="shared" si="161"/>
        <v>1280517.8571428573</v>
      </c>
      <c r="AC209" s="1">
        <f t="shared" si="162"/>
        <v>6040178.5714285709</v>
      </c>
      <c r="AD209" s="1">
        <f t="shared" ref="AD209" si="192">-FV($U$12,1,0,AD208-HLOOKUP(W209,$S$23:$U$214,9+((W209-$S$11-1)*12)),1)</f>
        <v>102241560.65090932</v>
      </c>
    </row>
    <row r="210" spans="12:30" x14ac:dyDescent="0.25">
      <c r="L210">
        <f t="shared" si="177"/>
        <v>196</v>
      </c>
      <c r="M210" s="2">
        <v>9.5500000000000002E-2</v>
      </c>
      <c r="N210" s="1">
        <f t="shared" si="183"/>
        <v>1026957.6379974332</v>
      </c>
      <c r="O210" s="1">
        <f t="shared" si="184"/>
        <v>367779.20410783077</v>
      </c>
      <c r="P210" s="1">
        <f t="shared" si="185"/>
        <v>1394736.8421052638</v>
      </c>
      <c r="Q210" s="1">
        <f t="shared" si="186"/>
        <v>45186136.071887061</v>
      </c>
      <c r="S210" s="16"/>
      <c r="W210">
        <f t="shared" si="158"/>
        <v>22</v>
      </c>
      <c r="X210">
        <f t="shared" si="149"/>
        <v>8</v>
      </c>
      <c r="Y210" s="3">
        <f t="shared" si="140"/>
        <v>0.12</v>
      </c>
      <c r="Z210" s="1">
        <f t="shared" si="159"/>
        <v>1208035.7142857141</v>
      </c>
      <c r="AA210" s="1">
        <f t="shared" si="160"/>
        <v>60401.78571428571</v>
      </c>
      <c r="AB210" s="1">
        <f t="shared" si="161"/>
        <v>1268437.4999999998</v>
      </c>
      <c r="AC210" s="1">
        <f t="shared" si="162"/>
        <v>4832142.8571428563</v>
      </c>
      <c r="AD210" s="1">
        <f t="shared" ref="AD210" si="193">-FV($U$12,1,0,AD209,1)</f>
        <v>102627910.99321629</v>
      </c>
    </row>
    <row r="211" spans="12:30" x14ac:dyDescent="0.25">
      <c r="L211">
        <f t="shared" si="177"/>
        <v>197</v>
      </c>
      <c r="M211" s="2">
        <v>9.5500000000000002E-2</v>
      </c>
      <c r="N211" s="1">
        <f t="shared" si="183"/>
        <v>1026957.6379974332</v>
      </c>
      <c r="O211" s="1">
        <f t="shared" si="184"/>
        <v>359606.33290543448</v>
      </c>
      <c r="P211" s="1">
        <f t="shared" si="185"/>
        <v>1386563.9709028676</v>
      </c>
      <c r="Q211" s="1">
        <f t="shared" si="186"/>
        <v>44159178.433889627</v>
      </c>
      <c r="S211" s="16"/>
      <c r="T211" t="s">
        <v>46</v>
      </c>
      <c r="U211" s="1">
        <f t="shared" ref="U211" si="194">ROUNDUP($T$7*1000*(1+$T$2)^(S203-$S$11),-3)</f>
        <v>27456000</v>
      </c>
      <c r="W211">
        <f t="shared" si="158"/>
        <v>22</v>
      </c>
      <c r="X211">
        <f t="shared" si="149"/>
        <v>9</v>
      </c>
      <c r="Y211" s="3">
        <f t="shared" si="140"/>
        <v>0.12</v>
      </c>
      <c r="Z211" s="1">
        <f t="shared" si="159"/>
        <v>1208035.7142857141</v>
      </c>
      <c r="AA211" s="1">
        <f t="shared" si="160"/>
        <v>48321.428571428565</v>
      </c>
      <c r="AB211" s="1">
        <f t="shared" si="161"/>
        <v>1256357.1428571427</v>
      </c>
      <c r="AC211" s="1">
        <f t="shared" si="162"/>
        <v>3624107.1428571423</v>
      </c>
      <c r="AD211" s="1">
        <f t="shared" si="157"/>
        <v>103015721.27594328</v>
      </c>
    </row>
    <row r="212" spans="12:30" x14ac:dyDescent="0.25">
      <c r="L212">
        <f t="shared" si="177"/>
        <v>198</v>
      </c>
      <c r="M212" s="2">
        <v>9.5500000000000002E-2</v>
      </c>
      <c r="N212" s="1">
        <f t="shared" si="183"/>
        <v>1026957.6379974332</v>
      </c>
      <c r="O212" s="1">
        <f t="shared" si="184"/>
        <v>351433.46170303825</v>
      </c>
      <c r="P212" s="1">
        <f t="shared" si="185"/>
        <v>1378391.0997004714</v>
      </c>
      <c r="Q212" s="1">
        <f t="shared" si="186"/>
        <v>43132220.795892194</v>
      </c>
      <c r="S212" s="16"/>
      <c r="W212">
        <f t="shared" si="158"/>
        <v>22</v>
      </c>
      <c r="X212">
        <f t="shared" si="149"/>
        <v>10</v>
      </c>
      <c r="Y212" s="3">
        <f t="shared" si="140"/>
        <v>0.12</v>
      </c>
      <c r="Z212" s="1">
        <f t="shared" si="159"/>
        <v>1208035.7142857141</v>
      </c>
      <c r="AA212" s="1">
        <f t="shared" si="160"/>
        <v>36241.07142857142</v>
      </c>
      <c r="AB212" s="1">
        <f t="shared" si="161"/>
        <v>1244276.7857142854</v>
      </c>
      <c r="AC212" s="1">
        <f t="shared" si="162"/>
        <v>2416071.4285714282</v>
      </c>
      <c r="AD212" s="1">
        <f t="shared" si="157"/>
        <v>103404997.0159122</v>
      </c>
    </row>
    <row r="213" spans="12:30" x14ac:dyDescent="0.25">
      <c r="L213">
        <f t="shared" si="177"/>
        <v>199</v>
      </c>
      <c r="M213" s="2">
        <v>9.5500000000000002E-2</v>
      </c>
      <c r="N213" s="1">
        <f t="shared" si="183"/>
        <v>1026957.6379974332</v>
      </c>
      <c r="O213" s="1">
        <f t="shared" si="184"/>
        <v>343260.59050064202</v>
      </c>
      <c r="P213" s="1">
        <f t="shared" si="185"/>
        <v>1370218.2284980752</v>
      </c>
      <c r="Q213" s="1">
        <f t="shared" si="186"/>
        <v>42105263.15789476</v>
      </c>
      <c r="S213" s="16"/>
      <c r="T213" t="s">
        <v>47</v>
      </c>
      <c r="U213" s="1">
        <f t="shared" si="182"/>
        <v>54912000</v>
      </c>
      <c r="W213">
        <f t="shared" si="158"/>
        <v>22</v>
      </c>
      <c r="X213">
        <f t="shared" si="149"/>
        <v>11</v>
      </c>
      <c r="Y213" s="3">
        <f t="shared" si="140"/>
        <v>0.12</v>
      </c>
      <c r="Z213" s="1">
        <f t="shared" si="159"/>
        <v>1208035.7142857141</v>
      </c>
      <c r="AA213" s="1">
        <f t="shared" si="160"/>
        <v>24160.714285714283</v>
      </c>
      <c r="AB213" s="1">
        <f t="shared" si="161"/>
        <v>1232196.4285714284</v>
      </c>
      <c r="AC213" s="1">
        <f t="shared" si="162"/>
        <v>1208035.7142857141</v>
      </c>
      <c r="AD213" s="1">
        <f t="shared" si="157"/>
        <v>103795743.75079192</v>
      </c>
    </row>
    <row r="214" spans="12:30" x14ac:dyDescent="0.25">
      <c r="L214">
        <f t="shared" si="177"/>
        <v>200</v>
      </c>
      <c r="M214" s="2">
        <v>9.5500000000000002E-2</v>
      </c>
      <c r="N214" s="1">
        <f t="shared" si="183"/>
        <v>1026957.6379974332</v>
      </c>
      <c r="O214" s="1">
        <f t="shared" si="184"/>
        <v>335087.71929824579</v>
      </c>
      <c r="P214" s="1">
        <f t="shared" si="185"/>
        <v>1362045.3572956789</v>
      </c>
      <c r="Q214" s="1">
        <f t="shared" si="186"/>
        <v>41078305.519897327</v>
      </c>
      <c r="S214" s="16"/>
      <c r="W214">
        <f t="shared" si="158"/>
        <v>22</v>
      </c>
      <c r="X214">
        <f t="shared" si="149"/>
        <v>12</v>
      </c>
      <c r="Y214" s="3">
        <f t="shared" si="140"/>
        <v>0.12</v>
      </c>
      <c r="Z214" s="1">
        <f t="shared" si="159"/>
        <v>1208035.7142857141</v>
      </c>
      <c r="AA214" s="1">
        <f t="shared" si="160"/>
        <v>12080.357142857141</v>
      </c>
      <c r="AB214" s="1">
        <f t="shared" si="161"/>
        <v>1220116.0714285711</v>
      </c>
      <c r="AC214" s="1">
        <f t="shared" si="162"/>
        <v>0</v>
      </c>
      <c r="AD214" s="1">
        <f t="shared" si="157"/>
        <v>104187967.03917703</v>
      </c>
    </row>
    <row r="215" spans="12:30" x14ac:dyDescent="0.25">
      <c r="L215">
        <f t="shared" si="177"/>
        <v>201</v>
      </c>
      <c r="M215" s="2">
        <v>9.5500000000000002E-2</v>
      </c>
      <c r="N215" s="1">
        <f t="shared" si="183"/>
        <v>1026957.6379974332</v>
      </c>
      <c r="O215" s="1">
        <f t="shared" si="184"/>
        <v>326914.84809584956</v>
      </c>
      <c r="P215" s="1">
        <f t="shared" si="185"/>
        <v>1353872.4860932827</v>
      </c>
      <c r="Q215" s="1">
        <f t="shared" si="186"/>
        <v>40051347.881899893</v>
      </c>
    </row>
    <row r="216" spans="12:30" x14ac:dyDescent="0.25">
      <c r="L216">
        <f t="shared" si="177"/>
        <v>202</v>
      </c>
      <c r="M216" s="2">
        <v>9.5500000000000002E-2</v>
      </c>
      <c r="N216" s="1">
        <f t="shared" si="183"/>
        <v>1026957.6379974332</v>
      </c>
      <c r="O216" s="1">
        <f t="shared" si="184"/>
        <v>318741.97689345328</v>
      </c>
      <c r="P216" s="1">
        <f t="shared" si="185"/>
        <v>1345699.6148908865</v>
      </c>
      <c r="Q216" s="1">
        <f t="shared" si="186"/>
        <v>39024390.24390246</v>
      </c>
    </row>
    <row r="217" spans="12:30" x14ac:dyDescent="0.25">
      <c r="L217">
        <f t="shared" si="177"/>
        <v>203</v>
      </c>
      <c r="M217" s="2">
        <v>9.5500000000000002E-2</v>
      </c>
      <c r="N217" s="1">
        <f t="shared" si="183"/>
        <v>1026957.6379974332</v>
      </c>
      <c r="O217" s="1">
        <f t="shared" si="184"/>
        <v>310569.10569105705</v>
      </c>
      <c r="P217" s="1">
        <f t="shared" si="185"/>
        <v>1337526.7436884902</v>
      </c>
      <c r="Q217" s="1">
        <f t="shared" si="186"/>
        <v>37997432.605905026</v>
      </c>
    </row>
    <row r="218" spans="12:30" x14ac:dyDescent="0.25">
      <c r="L218">
        <f t="shared" si="177"/>
        <v>204</v>
      </c>
      <c r="M218" s="2">
        <v>9.5500000000000002E-2</v>
      </c>
      <c r="N218" s="1">
        <f t="shared" si="183"/>
        <v>1026957.6379974332</v>
      </c>
      <c r="O218" s="1">
        <f t="shared" si="184"/>
        <v>302396.23448866082</v>
      </c>
      <c r="P218" s="1">
        <f t="shared" si="185"/>
        <v>1329353.872486094</v>
      </c>
      <c r="Q218" s="1">
        <f t="shared" si="186"/>
        <v>36970474.967907593</v>
      </c>
    </row>
    <row r="219" spans="12:30" x14ac:dyDescent="0.25">
      <c r="L219">
        <f t="shared" si="177"/>
        <v>205</v>
      </c>
      <c r="M219" s="2">
        <v>9.5500000000000002E-2</v>
      </c>
      <c r="N219" s="1">
        <f t="shared" si="183"/>
        <v>1026957.6379974331</v>
      </c>
      <c r="O219" s="1">
        <f t="shared" si="184"/>
        <v>294223.36328626459</v>
      </c>
      <c r="P219" s="1">
        <f t="shared" si="185"/>
        <v>1321181.0012836978</v>
      </c>
      <c r="Q219" s="1">
        <f t="shared" si="186"/>
        <v>35943517.329910159</v>
      </c>
    </row>
    <row r="220" spans="12:30" x14ac:dyDescent="0.25">
      <c r="L220">
        <f t="shared" si="177"/>
        <v>206</v>
      </c>
      <c r="M220" s="2">
        <v>9.5500000000000002E-2</v>
      </c>
      <c r="N220" s="1">
        <f t="shared" si="183"/>
        <v>1026957.6379974331</v>
      </c>
      <c r="O220" s="1">
        <f t="shared" si="184"/>
        <v>286050.49208386836</v>
      </c>
      <c r="P220" s="1">
        <f t="shared" si="185"/>
        <v>1313008.1300813016</v>
      </c>
      <c r="Q220" s="1">
        <f t="shared" si="186"/>
        <v>34916559.691912726</v>
      </c>
    </row>
    <row r="221" spans="12:30" x14ac:dyDescent="0.25">
      <c r="L221">
        <f t="shared" si="177"/>
        <v>207</v>
      </c>
      <c r="M221" s="2">
        <v>9.5500000000000002E-2</v>
      </c>
      <c r="N221" s="1">
        <f t="shared" si="183"/>
        <v>1026957.6379974331</v>
      </c>
      <c r="O221" s="1">
        <f t="shared" si="184"/>
        <v>277877.62088147207</v>
      </c>
      <c r="P221" s="1">
        <f t="shared" si="185"/>
        <v>1304835.2588789051</v>
      </c>
      <c r="Q221" s="1">
        <f t="shared" si="186"/>
        <v>33889602.053915292</v>
      </c>
    </row>
    <row r="222" spans="12:30" x14ac:dyDescent="0.25">
      <c r="L222">
        <f t="shared" si="177"/>
        <v>208</v>
      </c>
      <c r="M222" s="2">
        <v>9.5500000000000002E-2</v>
      </c>
      <c r="N222" s="1">
        <f t="shared" si="183"/>
        <v>1026957.6379974331</v>
      </c>
      <c r="O222" s="1">
        <f t="shared" si="184"/>
        <v>269704.74967907585</v>
      </c>
      <c r="P222" s="1">
        <f t="shared" si="185"/>
        <v>1296662.3876765089</v>
      </c>
      <c r="Q222" s="1">
        <f t="shared" si="186"/>
        <v>32862644.415917858</v>
      </c>
    </row>
    <row r="223" spans="12:30" x14ac:dyDescent="0.25">
      <c r="L223">
        <f t="shared" si="177"/>
        <v>209</v>
      </c>
      <c r="M223" s="2">
        <v>9.5500000000000002E-2</v>
      </c>
      <c r="N223" s="1">
        <f t="shared" si="183"/>
        <v>1026957.6379974331</v>
      </c>
      <c r="O223" s="1">
        <f t="shared" si="184"/>
        <v>261531.87847667962</v>
      </c>
      <c r="P223" s="1">
        <f t="shared" si="185"/>
        <v>1288489.5164741126</v>
      </c>
      <c r="Q223" s="1">
        <f t="shared" si="186"/>
        <v>31835686.777920425</v>
      </c>
    </row>
    <row r="224" spans="12:30" x14ac:dyDescent="0.25">
      <c r="L224">
        <f t="shared" si="177"/>
        <v>210</v>
      </c>
      <c r="M224" s="2">
        <v>9.5500000000000002E-2</v>
      </c>
      <c r="N224" s="1">
        <f t="shared" si="183"/>
        <v>1026957.6379974331</v>
      </c>
      <c r="O224" s="1">
        <f t="shared" si="184"/>
        <v>253359.00727428336</v>
      </c>
      <c r="P224" s="1">
        <f t="shared" si="185"/>
        <v>1280316.6452717164</v>
      </c>
      <c r="Q224" s="1">
        <f t="shared" si="186"/>
        <v>30808729.139922991</v>
      </c>
    </row>
    <row r="225" spans="12:17" x14ac:dyDescent="0.25">
      <c r="L225">
        <f t="shared" si="177"/>
        <v>211</v>
      </c>
      <c r="M225" s="2">
        <v>9.5500000000000002E-2</v>
      </c>
      <c r="N225" s="1">
        <f t="shared" si="183"/>
        <v>1026957.6379974331</v>
      </c>
      <c r="O225" s="1">
        <f t="shared" si="184"/>
        <v>245186.13607188713</v>
      </c>
      <c r="P225" s="1">
        <f t="shared" si="185"/>
        <v>1272143.7740693202</v>
      </c>
      <c r="Q225" s="1">
        <f t="shared" si="186"/>
        <v>29781771.501925558</v>
      </c>
    </row>
    <row r="226" spans="12:17" x14ac:dyDescent="0.25">
      <c r="L226">
        <f t="shared" si="177"/>
        <v>212</v>
      </c>
      <c r="M226" s="2">
        <v>9.5500000000000002E-2</v>
      </c>
      <c r="N226" s="1">
        <f t="shared" si="183"/>
        <v>1026957.6379974331</v>
      </c>
      <c r="O226" s="1">
        <f t="shared" si="184"/>
        <v>237013.26486949087</v>
      </c>
      <c r="P226" s="1">
        <f t="shared" si="185"/>
        <v>1263970.9028669239</v>
      </c>
      <c r="Q226" s="1">
        <f t="shared" si="186"/>
        <v>28754813.863928124</v>
      </c>
    </row>
    <row r="227" spans="12:17" x14ac:dyDescent="0.25">
      <c r="L227">
        <f t="shared" si="177"/>
        <v>213</v>
      </c>
      <c r="M227" s="2">
        <v>9.5500000000000002E-2</v>
      </c>
      <c r="N227" s="1">
        <f t="shared" si="183"/>
        <v>1026957.637997433</v>
      </c>
      <c r="O227" s="1">
        <f t="shared" si="184"/>
        <v>228840.39366709464</v>
      </c>
      <c r="P227" s="1">
        <f t="shared" si="185"/>
        <v>1255798.0316645275</v>
      </c>
      <c r="Q227" s="1">
        <f t="shared" si="186"/>
        <v>27727856.225930691</v>
      </c>
    </row>
    <row r="228" spans="12:17" x14ac:dyDescent="0.25">
      <c r="L228">
        <f t="shared" si="177"/>
        <v>214</v>
      </c>
      <c r="M228" s="2">
        <v>9.5500000000000002E-2</v>
      </c>
      <c r="N228" s="1">
        <f t="shared" si="183"/>
        <v>1026957.637997433</v>
      </c>
      <c r="O228" s="1">
        <f t="shared" si="184"/>
        <v>220667.52246469841</v>
      </c>
      <c r="P228" s="1">
        <f t="shared" si="185"/>
        <v>1247625.1604621313</v>
      </c>
      <c r="Q228" s="1">
        <f t="shared" si="186"/>
        <v>26700898.587933257</v>
      </c>
    </row>
    <row r="229" spans="12:17" x14ac:dyDescent="0.25">
      <c r="L229">
        <f t="shared" si="177"/>
        <v>215</v>
      </c>
      <c r="M229" s="2">
        <v>9.5500000000000002E-2</v>
      </c>
      <c r="N229" s="1">
        <f t="shared" si="183"/>
        <v>1026957.637997433</v>
      </c>
      <c r="O229" s="1">
        <f t="shared" si="184"/>
        <v>212494.65126230216</v>
      </c>
      <c r="P229" s="1">
        <f t="shared" si="185"/>
        <v>1239452.289259735</v>
      </c>
      <c r="Q229" s="1">
        <f t="shared" si="186"/>
        <v>25673940.949935824</v>
      </c>
    </row>
    <row r="230" spans="12:17" x14ac:dyDescent="0.25">
      <c r="L230">
        <f t="shared" si="177"/>
        <v>216</v>
      </c>
      <c r="M230" s="2">
        <v>9.5500000000000002E-2</v>
      </c>
      <c r="N230" s="1">
        <f t="shared" si="183"/>
        <v>1026957.637997433</v>
      </c>
      <c r="O230" s="1">
        <f t="shared" si="184"/>
        <v>204321.78005990593</v>
      </c>
      <c r="P230" s="1">
        <f t="shared" si="185"/>
        <v>1231279.4180573388</v>
      </c>
      <c r="Q230" s="1">
        <f t="shared" si="186"/>
        <v>24646983.31193839</v>
      </c>
    </row>
    <row r="231" spans="12:17" x14ac:dyDescent="0.25">
      <c r="L231">
        <f t="shared" si="177"/>
        <v>217</v>
      </c>
      <c r="M231" s="2">
        <v>9.5500000000000002E-2</v>
      </c>
      <c r="N231" s="1">
        <f t="shared" si="183"/>
        <v>1026957.637997433</v>
      </c>
      <c r="O231" s="1">
        <f t="shared" si="184"/>
        <v>196148.90885750967</v>
      </c>
      <c r="P231" s="1">
        <f t="shared" si="185"/>
        <v>1223106.5468549426</v>
      </c>
      <c r="Q231" s="1">
        <f t="shared" si="186"/>
        <v>23620025.673940957</v>
      </c>
    </row>
    <row r="232" spans="12:17" x14ac:dyDescent="0.25">
      <c r="L232">
        <f t="shared" si="177"/>
        <v>218</v>
      </c>
      <c r="M232" s="2">
        <v>9.5500000000000002E-2</v>
      </c>
      <c r="N232" s="1">
        <f t="shared" si="183"/>
        <v>1026957.6379974328</v>
      </c>
      <c r="O232" s="1">
        <f t="shared" si="184"/>
        <v>187976.03765511344</v>
      </c>
      <c r="P232" s="1">
        <f t="shared" si="185"/>
        <v>1214933.6756525463</v>
      </c>
      <c r="Q232" s="1">
        <f t="shared" si="186"/>
        <v>22593068.035943523</v>
      </c>
    </row>
    <row r="233" spans="12:17" x14ac:dyDescent="0.25">
      <c r="L233">
        <f t="shared" si="177"/>
        <v>219</v>
      </c>
      <c r="M233" s="2">
        <v>9.5500000000000002E-2</v>
      </c>
      <c r="N233" s="1">
        <f t="shared" si="183"/>
        <v>1026957.6379974328</v>
      </c>
      <c r="O233" s="1">
        <f t="shared" si="184"/>
        <v>179803.16645271718</v>
      </c>
      <c r="P233" s="1">
        <f t="shared" si="185"/>
        <v>1206760.8044501501</v>
      </c>
      <c r="Q233" s="1">
        <f t="shared" si="186"/>
        <v>21566110.39794609</v>
      </c>
    </row>
    <row r="234" spans="12:17" x14ac:dyDescent="0.25">
      <c r="L234">
        <f t="shared" si="177"/>
        <v>220</v>
      </c>
      <c r="M234" s="2">
        <v>9.5500000000000002E-2</v>
      </c>
      <c r="N234" s="1">
        <f t="shared" si="183"/>
        <v>1026957.6379974328</v>
      </c>
      <c r="O234" s="1">
        <f t="shared" si="184"/>
        <v>171630.29525032095</v>
      </c>
      <c r="P234" s="1">
        <f t="shared" si="185"/>
        <v>1198587.9332477539</v>
      </c>
      <c r="Q234" s="1">
        <f t="shared" si="186"/>
        <v>20539152.759948656</v>
      </c>
    </row>
    <row r="235" spans="12:17" x14ac:dyDescent="0.25">
      <c r="L235">
        <f t="shared" si="177"/>
        <v>221</v>
      </c>
      <c r="M235" s="2">
        <v>9.5500000000000002E-2</v>
      </c>
      <c r="N235" s="1">
        <f t="shared" si="183"/>
        <v>1026957.6379974328</v>
      </c>
      <c r="O235" s="1">
        <f t="shared" si="184"/>
        <v>163457.42404792472</v>
      </c>
      <c r="P235" s="1">
        <f t="shared" si="185"/>
        <v>1190415.0620453577</v>
      </c>
      <c r="Q235" s="1">
        <f t="shared" si="186"/>
        <v>19512195.121951222</v>
      </c>
    </row>
    <row r="236" spans="12:17" x14ac:dyDescent="0.25">
      <c r="L236">
        <f t="shared" si="177"/>
        <v>222</v>
      </c>
      <c r="M236" s="2">
        <v>9.5500000000000002E-2</v>
      </c>
      <c r="N236" s="1">
        <f t="shared" si="183"/>
        <v>1026957.6379974327</v>
      </c>
      <c r="O236" s="1">
        <f t="shared" si="184"/>
        <v>155284.55284552847</v>
      </c>
      <c r="P236" s="1">
        <f t="shared" si="185"/>
        <v>1182242.1908429612</v>
      </c>
      <c r="Q236" s="1">
        <f t="shared" si="186"/>
        <v>18485237.483953789</v>
      </c>
    </row>
    <row r="237" spans="12:17" x14ac:dyDescent="0.25">
      <c r="L237">
        <f t="shared" si="177"/>
        <v>223</v>
      </c>
      <c r="M237" s="2">
        <v>9.5500000000000002E-2</v>
      </c>
      <c r="N237" s="1">
        <f t="shared" si="183"/>
        <v>1026957.6379974327</v>
      </c>
      <c r="O237" s="1">
        <f t="shared" si="184"/>
        <v>147111.68164313224</v>
      </c>
      <c r="P237" s="1">
        <f t="shared" si="185"/>
        <v>1174069.319640565</v>
      </c>
      <c r="Q237" s="1">
        <f t="shared" si="186"/>
        <v>17458279.845956355</v>
      </c>
    </row>
    <row r="238" spans="12:17" x14ac:dyDescent="0.25">
      <c r="L238">
        <f t="shared" si="177"/>
        <v>224</v>
      </c>
      <c r="M238" s="2">
        <v>9.5500000000000002E-2</v>
      </c>
      <c r="N238" s="1">
        <f t="shared" si="183"/>
        <v>1026957.6379974326</v>
      </c>
      <c r="O238" s="1">
        <f t="shared" si="184"/>
        <v>138938.81044073598</v>
      </c>
      <c r="P238" s="1">
        <f t="shared" si="185"/>
        <v>1165896.4484381685</v>
      </c>
      <c r="Q238" s="1">
        <f t="shared" si="186"/>
        <v>16431322.207958922</v>
      </c>
    </row>
    <row r="239" spans="12:17" x14ac:dyDescent="0.25">
      <c r="L239">
        <f t="shared" si="177"/>
        <v>225</v>
      </c>
      <c r="M239" s="2">
        <v>9.5500000000000002E-2</v>
      </c>
      <c r="N239" s="1">
        <f t="shared" si="183"/>
        <v>1026957.6379974326</v>
      </c>
      <c r="O239" s="1">
        <f t="shared" si="184"/>
        <v>130765.93923833975</v>
      </c>
      <c r="P239" s="1">
        <f t="shared" si="185"/>
        <v>1157723.5772357723</v>
      </c>
      <c r="Q239" s="1">
        <f t="shared" si="186"/>
        <v>15404364.569961488</v>
      </c>
    </row>
    <row r="240" spans="12:17" x14ac:dyDescent="0.25">
      <c r="L240">
        <f t="shared" si="177"/>
        <v>226</v>
      </c>
      <c r="M240" s="2">
        <v>9.5500000000000002E-2</v>
      </c>
      <c r="N240" s="1">
        <f t="shared" si="183"/>
        <v>1026957.6379974325</v>
      </c>
      <c r="O240" s="1">
        <f t="shared" si="184"/>
        <v>122593.06803594351</v>
      </c>
      <c r="P240" s="1">
        <f t="shared" si="185"/>
        <v>1149550.706033376</v>
      </c>
      <c r="Q240" s="1">
        <f t="shared" si="186"/>
        <v>14377406.931964057</v>
      </c>
    </row>
    <row r="241" spans="12:17" x14ac:dyDescent="0.25">
      <c r="L241">
        <f t="shared" si="177"/>
        <v>227</v>
      </c>
      <c r="M241" s="2">
        <v>9.5500000000000002E-2</v>
      </c>
      <c r="N241" s="1">
        <f t="shared" si="183"/>
        <v>1026957.6379974326</v>
      </c>
      <c r="O241" s="1">
        <f t="shared" si="184"/>
        <v>114420.19683354728</v>
      </c>
      <c r="P241" s="1">
        <f t="shared" si="185"/>
        <v>1141377.8348309798</v>
      </c>
      <c r="Q241" s="1">
        <f t="shared" si="186"/>
        <v>13350449.293966625</v>
      </c>
    </row>
    <row r="242" spans="12:17" x14ac:dyDescent="0.25">
      <c r="L242">
        <f t="shared" si="177"/>
        <v>228</v>
      </c>
      <c r="M242" s="2">
        <v>9.5500000000000002E-2</v>
      </c>
      <c r="N242" s="1">
        <f t="shared" si="183"/>
        <v>1026957.6379974327</v>
      </c>
      <c r="O242" s="1">
        <f t="shared" si="184"/>
        <v>106247.32563115105</v>
      </c>
      <c r="P242" s="1">
        <f t="shared" si="185"/>
        <v>1133204.9636285838</v>
      </c>
      <c r="Q242" s="1">
        <f t="shared" si="186"/>
        <v>12323491.655969191</v>
      </c>
    </row>
    <row r="243" spans="12:17" x14ac:dyDescent="0.25">
      <c r="L243">
        <f t="shared" si="177"/>
        <v>229</v>
      </c>
      <c r="M243" s="2">
        <v>9.5500000000000002E-2</v>
      </c>
      <c r="N243" s="1">
        <f t="shared" si="183"/>
        <v>1026957.6379974326</v>
      </c>
      <c r="O243" s="1">
        <f t="shared" si="184"/>
        <v>98074.454428754805</v>
      </c>
      <c r="P243" s="1">
        <f t="shared" si="185"/>
        <v>1125032.0924261874</v>
      </c>
      <c r="Q243" s="1">
        <f t="shared" si="186"/>
        <v>11296534.017971758</v>
      </c>
    </row>
    <row r="244" spans="12:17" x14ac:dyDescent="0.25">
      <c r="L244">
        <f t="shared" si="177"/>
        <v>230</v>
      </c>
      <c r="M244" s="2">
        <v>9.5500000000000002E-2</v>
      </c>
      <c r="N244" s="1">
        <f t="shared" si="183"/>
        <v>1026957.6379974325</v>
      </c>
      <c r="O244" s="1">
        <f t="shared" si="184"/>
        <v>89901.583226358562</v>
      </c>
      <c r="P244" s="1">
        <f t="shared" si="185"/>
        <v>1116859.2212237911</v>
      </c>
      <c r="Q244" s="1">
        <f t="shared" si="186"/>
        <v>10269576.379974326</v>
      </c>
    </row>
    <row r="245" spans="12:17" x14ac:dyDescent="0.25">
      <c r="L245">
        <f t="shared" si="177"/>
        <v>231</v>
      </c>
      <c r="M245" s="2">
        <v>9.5500000000000002E-2</v>
      </c>
      <c r="N245" s="1">
        <f t="shared" si="183"/>
        <v>1026957.6379974326</v>
      </c>
      <c r="O245" s="1">
        <f t="shared" si="184"/>
        <v>81728.712023962347</v>
      </c>
      <c r="P245" s="1">
        <f t="shared" si="185"/>
        <v>1108686.3500213949</v>
      </c>
      <c r="Q245" s="1">
        <f t="shared" si="186"/>
        <v>9242618.7419768944</v>
      </c>
    </row>
    <row r="246" spans="12:17" x14ac:dyDescent="0.25">
      <c r="L246">
        <f t="shared" si="177"/>
        <v>232</v>
      </c>
      <c r="M246" s="2">
        <v>9.5500000000000002E-2</v>
      </c>
      <c r="N246" s="1">
        <f t="shared" si="183"/>
        <v>1026957.6379974327</v>
      </c>
      <c r="O246" s="1">
        <f t="shared" si="184"/>
        <v>73555.840821566118</v>
      </c>
      <c r="P246" s="1">
        <f t="shared" si="185"/>
        <v>1100513.4788189989</v>
      </c>
      <c r="Q246" s="1">
        <f t="shared" si="186"/>
        <v>8215661.1039794618</v>
      </c>
    </row>
    <row r="247" spans="12:17" x14ac:dyDescent="0.25">
      <c r="L247">
        <f t="shared" si="177"/>
        <v>233</v>
      </c>
      <c r="M247" s="2">
        <v>9.5500000000000002E-2</v>
      </c>
      <c r="N247" s="1">
        <f t="shared" si="183"/>
        <v>1026957.6379974327</v>
      </c>
      <c r="O247" s="1">
        <f t="shared" si="184"/>
        <v>65382.969619169882</v>
      </c>
      <c r="P247" s="1">
        <f t="shared" si="185"/>
        <v>1092340.6076166027</v>
      </c>
      <c r="Q247" s="1">
        <f t="shared" si="186"/>
        <v>7188703.4659820292</v>
      </c>
    </row>
    <row r="248" spans="12:17" x14ac:dyDescent="0.25">
      <c r="L248">
        <f t="shared" si="177"/>
        <v>234</v>
      </c>
      <c r="M248" s="2">
        <v>9.5500000000000002E-2</v>
      </c>
      <c r="N248" s="1">
        <f t="shared" si="183"/>
        <v>1026957.6379974327</v>
      </c>
      <c r="O248" s="1">
        <f t="shared" si="184"/>
        <v>57210.098416773646</v>
      </c>
      <c r="P248" s="1">
        <f t="shared" si="185"/>
        <v>1084167.7364142064</v>
      </c>
      <c r="Q248" s="1">
        <f t="shared" si="186"/>
        <v>6161745.8279845966</v>
      </c>
    </row>
    <row r="249" spans="12:17" x14ac:dyDescent="0.25">
      <c r="L249">
        <f t="shared" si="177"/>
        <v>235</v>
      </c>
      <c r="M249" s="2">
        <v>9.5500000000000002E-2</v>
      </c>
      <c r="N249" s="1">
        <f t="shared" si="183"/>
        <v>1026957.6379974327</v>
      </c>
      <c r="O249" s="1">
        <f t="shared" si="184"/>
        <v>49037.22721437741</v>
      </c>
      <c r="P249" s="1">
        <f t="shared" si="185"/>
        <v>1075994.8652118102</v>
      </c>
      <c r="Q249" s="1">
        <f t="shared" si="186"/>
        <v>5134788.189987164</v>
      </c>
    </row>
    <row r="250" spans="12:17" x14ac:dyDescent="0.25">
      <c r="L250">
        <f t="shared" si="177"/>
        <v>236</v>
      </c>
      <c r="M250" s="2">
        <v>9.5500000000000002E-2</v>
      </c>
      <c r="N250" s="1">
        <f t="shared" si="183"/>
        <v>1026957.6379974328</v>
      </c>
      <c r="O250" s="1">
        <f t="shared" si="184"/>
        <v>40864.356011981181</v>
      </c>
      <c r="P250" s="1">
        <f t="shared" si="185"/>
        <v>1067821.994009414</v>
      </c>
      <c r="Q250" s="1">
        <f t="shared" si="186"/>
        <v>4107830.5519897314</v>
      </c>
    </row>
    <row r="251" spans="12:17" x14ac:dyDescent="0.25">
      <c r="L251">
        <f t="shared" si="177"/>
        <v>237</v>
      </c>
      <c r="M251" s="2">
        <v>9.5500000000000002E-2</v>
      </c>
      <c r="N251" s="1">
        <f t="shared" si="183"/>
        <v>1026957.6379974328</v>
      </c>
      <c r="O251" s="1">
        <f t="shared" si="184"/>
        <v>32691.484809584945</v>
      </c>
      <c r="P251" s="1">
        <f t="shared" si="185"/>
        <v>1059649.1228070178</v>
      </c>
      <c r="Q251" s="1">
        <f t="shared" si="186"/>
        <v>3080872.9139922988</v>
      </c>
    </row>
    <row r="252" spans="12:17" x14ac:dyDescent="0.25">
      <c r="L252">
        <f t="shared" si="177"/>
        <v>238</v>
      </c>
      <c r="M252" s="2">
        <v>9.5500000000000002E-2</v>
      </c>
      <c r="N252" s="1">
        <f t="shared" si="183"/>
        <v>1026957.637997433</v>
      </c>
      <c r="O252" s="1">
        <f t="shared" si="184"/>
        <v>24518.613607188709</v>
      </c>
      <c r="P252" s="1">
        <f t="shared" si="185"/>
        <v>1051476.2516046218</v>
      </c>
      <c r="Q252" s="1">
        <f t="shared" si="186"/>
        <v>2053915.2759948657</v>
      </c>
    </row>
    <row r="253" spans="12:17" x14ac:dyDescent="0.25">
      <c r="L253">
        <f t="shared" si="177"/>
        <v>239</v>
      </c>
      <c r="M253" s="2">
        <v>9.5500000000000002E-2</v>
      </c>
      <c r="N253" s="1">
        <f t="shared" si="183"/>
        <v>1026957.6379974328</v>
      </c>
      <c r="O253" s="1">
        <f t="shared" si="184"/>
        <v>16345.742404792472</v>
      </c>
      <c r="P253" s="1">
        <f t="shared" si="185"/>
        <v>1043303.3804022253</v>
      </c>
      <c r="Q253" s="1">
        <f t="shared" si="186"/>
        <v>1026957.6379974328</v>
      </c>
    </row>
    <row r="254" spans="12:17" x14ac:dyDescent="0.25">
      <c r="L254">
        <f t="shared" si="177"/>
        <v>240</v>
      </c>
      <c r="M254" s="2">
        <v>9.5500000000000002E-2</v>
      </c>
      <c r="N254" s="1">
        <f t="shared" si="183"/>
        <v>1026957.6379974328</v>
      </c>
      <c r="O254" s="1">
        <f t="shared" si="184"/>
        <v>8172.8712023962362</v>
      </c>
      <c r="P254" s="1">
        <f t="shared" si="185"/>
        <v>1035130.5091998291</v>
      </c>
      <c r="Q254" s="1">
        <f t="shared" si="186"/>
        <v>0</v>
      </c>
    </row>
  </sheetData>
  <mergeCells count="21">
    <mergeCell ref="W20:X20"/>
    <mergeCell ref="Y20:AA20"/>
    <mergeCell ref="S167:S178"/>
    <mergeCell ref="S179:S190"/>
    <mergeCell ref="S191:S202"/>
    <mergeCell ref="E12:H12"/>
    <mergeCell ref="L12:O12"/>
    <mergeCell ref="S203:S214"/>
    <mergeCell ref="S11:S22"/>
    <mergeCell ref="S23:S34"/>
    <mergeCell ref="S35:S46"/>
    <mergeCell ref="S47:S58"/>
    <mergeCell ref="S59:S70"/>
    <mergeCell ref="S71:S82"/>
    <mergeCell ref="S83:S94"/>
    <mergeCell ref="S95:S106"/>
    <mergeCell ref="S107:S118"/>
    <mergeCell ref="S119:S130"/>
    <mergeCell ref="S131:S142"/>
    <mergeCell ref="S143:S154"/>
    <mergeCell ref="S155:S1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539A-3EAE-40B7-B739-845C4F160249}">
  <dimension ref="B2:AD254"/>
  <sheetViews>
    <sheetView topLeftCell="R177" zoomScaleNormal="100" workbookViewId="0">
      <selection activeCell="AD214" sqref="AD214"/>
    </sheetView>
  </sheetViews>
  <sheetFormatPr defaultRowHeight="15" x14ac:dyDescent="0.25"/>
  <cols>
    <col min="1" max="22" width="18.28515625" customWidth="1"/>
    <col min="23" max="24" width="9.140625" customWidth="1"/>
    <col min="25" max="52" width="18.28515625" customWidth="1"/>
  </cols>
  <sheetData>
    <row r="2" spans="2:21" x14ac:dyDescent="0.25">
      <c r="B2" t="s">
        <v>0</v>
      </c>
      <c r="C2" s="1">
        <v>8000000</v>
      </c>
      <c r="E2" t="s">
        <v>8</v>
      </c>
      <c r="F2" s="1">
        <f>F4+F9</f>
        <v>62980576.850562647</v>
      </c>
      <c r="L2" t="s">
        <v>25</v>
      </c>
      <c r="M2" s="1">
        <f>M4+M9</f>
        <v>443373546.15776789</v>
      </c>
      <c r="O2" t="s">
        <v>27</v>
      </c>
      <c r="P2">
        <v>250</v>
      </c>
      <c r="S2" t="s">
        <v>34</v>
      </c>
      <c r="T2" s="5">
        <v>0.03</v>
      </c>
    </row>
    <row r="3" spans="2:21" x14ac:dyDescent="0.25">
      <c r="B3" t="s">
        <v>1</v>
      </c>
      <c r="C3" s="1">
        <f>C2*0.5</f>
        <v>4000000</v>
      </c>
      <c r="E3" t="s">
        <v>9</v>
      </c>
      <c r="F3" s="3">
        <f>F4/F2</f>
        <v>0.51858524588906096</v>
      </c>
      <c r="L3" t="s">
        <v>9</v>
      </c>
      <c r="M3" s="3">
        <f>M4/M2</f>
        <v>0.44410343094380006</v>
      </c>
      <c r="O3" t="s">
        <v>28</v>
      </c>
      <c r="P3">
        <v>70</v>
      </c>
      <c r="S3" t="s">
        <v>35</v>
      </c>
      <c r="T3" s="9">
        <v>500</v>
      </c>
      <c r="U3" t="s">
        <v>39</v>
      </c>
    </row>
    <row r="4" spans="2:21" x14ac:dyDescent="0.25">
      <c r="B4" t="s">
        <v>2</v>
      </c>
      <c r="C4" s="1">
        <f>C3*0.6</f>
        <v>2400000</v>
      </c>
      <c r="E4" t="s">
        <v>10</v>
      </c>
      <c r="F4" s="1">
        <f>-FV(F5,F6,F7,0,1)</f>
        <v>32660797.93228393</v>
      </c>
      <c r="L4" t="s">
        <v>10</v>
      </c>
      <c r="M4" s="1">
        <f>-FV(M5,M6,M7,0,1)</f>
        <v>196903713.03838402</v>
      </c>
      <c r="O4" t="s">
        <v>31</v>
      </c>
      <c r="P4" s="1">
        <v>1000000</v>
      </c>
      <c r="S4" t="s">
        <v>51</v>
      </c>
      <c r="T4" s="9">
        <v>350</v>
      </c>
      <c r="U4" t="s">
        <v>39</v>
      </c>
    </row>
    <row r="5" spans="2:21" x14ac:dyDescent="0.25">
      <c r="B5" t="s">
        <v>3</v>
      </c>
      <c r="C5" s="1">
        <f>C3*0.4</f>
        <v>1600000</v>
      </c>
      <c r="E5" t="s">
        <v>11</v>
      </c>
      <c r="F5" s="3">
        <f>(1+6%)^(1/12)-1</f>
        <v>4.8675505653430484E-3</v>
      </c>
      <c r="L5" t="s">
        <v>11</v>
      </c>
      <c r="M5" s="3">
        <f>(1+6%)^(1/12)-1</f>
        <v>4.8675505653430484E-3</v>
      </c>
      <c r="O5" t="s">
        <v>32</v>
      </c>
      <c r="P5" s="1">
        <v>3000000</v>
      </c>
      <c r="S5" t="s">
        <v>36</v>
      </c>
      <c r="T5" s="9">
        <v>450</v>
      </c>
      <c r="U5" t="s">
        <v>39</v>
      </c>
    </row>
    <row r="6" spans="2:21" x14ac:dyDescent="0.25">
      <c r="B6" t="s">
        <v>4</v>
      </c>
      <c r="C6" s="1">
        <f>C2*0.2</f>
        <v>1600000</v>
      </c>
      <c r="E6" t="s">
        <v>12</v>
      </c>
      <c r="F6">
        <v>24</v>
      </c>
      <c r="L6" t="s">
        <v>12</v>
      </c>
      <c r="M6">
        <v>60</v>
      </c>
      <c r="O6" t="s">
        <v>29</v>
      </c>
      <c r="P6" s="4">
        <f>P2*P4</f>
        <v>250000000</v>
      </c>
      <c r="S6" t="s">
        <v>37</v>
      </c>
      <c r="T6" s="9">
        <v>550</v>
      </c>
      <c r="U6" t="s">
        <v>39</v>
      </c>
    </row>
    <row r="7" spans="2:21" x14ac:dyDescent="0.25">
      <c r="B7" t="s">
        <v>5</v>
      </c>
      <c r="C7" s="1">
        <f>C6*0.8</f>
        <v>1280000</v>
      </c>
      <c r="E7" t="s">
        <v>13</v>
      </c>
      <c r="F7" s="1">
        <v>1280000</v>
      </c>
      <c r="L7" t="s">
        <v>13</v>
      </c>
      <c r="M7" s="1">
        <f>(C4-C13)+C11</f>
        <v>2820000</v>
      </c>
      <c r="O7" t="s">
        <v>30</v>
      </c>
      <c r="P7" s="4">
        <f>P3*P5</f>
        <v>210000000</v>
      </c>
      <c r="S7" t="s">
        <v>38</v>
      </c>
      <c r="T7" s="9">
        <v>5000</v>
      </c>
      <c r="U7" t="s">
        <v>39</v>
      </c>
    </row>
    <row r="8" spans="2:21" x14ac:dyDescent="0.25">
      <c r="B8" t="s">
        <v>6</v>
      </c>
      <c r="C8" s="1">
        <f>C6*0.2</f>
        <v>320000</v>
      </c>
      <c r="E8" t="s">
        <v>14</v>
      </c>
      <c r="F8" s="1">
        <v>640000</v>
      </c>
      <c r="L8" t="s">
        <v>14</v>
      </c>
      <c r="M8" s="1">
        <f>C4</f>
        <v>2400000</v>
      </c>
      <c r="O8" t="s">
        <v>33</v>
      </c>
      <c r="P8" s="4">
        <f>P6+P7</f>
        <v>460000000</v>
      </c>
    </row>
    <row r="9" spans="2:21" x14ac:dyDescent="0.25">
      <c r="B9" t="s">
        <v>7</v>
      </c>
      <c r="C9" s="1">
        <f>C2*0.3</f>
        <v>2400000</v>
      </c>
      <c r="E9" t="s">
        <v>15</v>
      </c>
      <c r="F9" s="1">
        <f>IF((12*($F$10+1-E15)*F8)/(12+(($F$10+1-E15)*F15))*(F15/12)&gt;(12*($F$10+1-E51)*F8)/(12+(($F$10+1-E51)*F51))*(F51/12),(12*($F$10+1-E15)*F8)/(12+(($F$10+1-E15)*F15)),(12*($F$10+1-E51)*F8)/(12+(($F$10+1-E51)*F51))+((12*($F$10+1-E51)*F8)/(12+(($F$10+1-E51)*F51))/($F$10+1-E51))*(E51-1))</f>
        <v>30319778.91827872</v>
      </c>
      <c r="G9" s="4"/>
      <c r="H9" s="4"/>
      <c r="L9" t="s">
        <v>15</v>
      </c>
      <c r="M9" s="1">
        <f>IF((12*($M$10+1-L15)*M8)/(12+(($M$10+1-L15)*M15))*(M15/12)&gt;(12*($M$10+1-L51)*M8)/(12+(($M$10+1-L51)*M51))*(M51/12),(12*(M10+1-L15)*M8)/(12+((M10+1-L15)*M15)),IF((12*($M$10+1-L51)*M8)/(12+(($M$10+1-L51)*M51))*(M51/12)&gt;(12*($M$10+1-L87)*M8)/(12+(($M$10+1-L87)*M87))*(M87/12),(12*($M$10+1-L51)*M8)/(12+(($M$10+1-L51)*M51))+((12*($M$10+1-L51)*M8)/(12+(($M$10+1-L51)*M51))/($M$10+1-L51))*(L51-1),(12*($M$10+1-L87)*M8)/(12+(($M$10+1-L87)*M87))+((12*($M$10+1-L87)*M8)/(12+(($M$10+1-L87)*M87))/($M$10+1-L87))*(L87-1)))</f>
        <v>246469833.11938384</v>
      </c>
      <c r="N9" s="4"/>
      <c r="O9" s="4"/>
      <c r="P9" s="4"/>
    </row>
    <row r="10" spans="2:21" x14ac:dyDescent="0.25">
      <c r="B10" t="s">
        <v>5</v>
      </c>
      <c r="C10" s="1">
        <f>C9*0.2</f>
        <v>480000</v>
      </c>
      <c r="E10" t="s">
        <v>16</v>
      </c>
      <c r="F10">
        <v>60</v>
      </c>
      <c r="G10" s="4"/>
      <c r="H10" s="4"/>
      <c r="L10" t="s">
        <v>16</v>
      </c>
      <c r="M10">
        <v>240</v>
      </c>
      <c r="N10" s="4"/>
      <c r="O10" s="4"/>
      <c r="P10" s="4"/>
    </row>
    <row r="11" spans="2:21" x14ac:dyDescent="0.25">
      <c r="B11" t="s">
        <v>6</v>
      </c>
      <c r="C11" s="1">
        <f>C9*0.8</f>
        <v>1920000</v>
      </c>
      <c r="S11" s="16">
        <v>6</v>
      </c>
      <c r="T11" t="s">
        <v>40</v>
      </c>
      <c r="U11" s="2">
        <f>5.88%-1.25%</f>
        <v>4.6299999999999994E-2</v>
      </c>
    </row>
    <row r="12" spans="2:21" x14ac:dyDescent="0.25">
      <c r="E12" s="15" t="s">
        <v>21</v>
      </c>
      <c r="F12" s="15"/>
      <c r="G12" s="15"/>
      <c r="H12" s="15"/>
      <c r="I12" t="s">
        <v>24</v>
      </c>
      <c r="J12" t="s">
        <v>23</v>
      </c>
      <c r="L12" s="15" t="s">
        <v>21</v>
      </c>
      <c r="M12" s="15"/>
      <c r="N12" s="15"/>
      <c r="O12" s="15"/>
      <c r="P12" t="s">
        <v>24</v>
      </c>
      <c r="Q12" t="s">
        <v>23</v>
      </c>
      <c r="S12" s="16"/>
      <c r="T12" t="s">
        <v>41</v>
      </c>
      <c r="U12" s="3">
        <f>(1+U11)^(1/12)-1</f>
        <v>3.7787993439000189E-3</v>
      </c>
    </row>
    <row r="13" spans="2:21" x14ac:dyDescent="0.25">
      <c r="B13" t="s">
        <v>26</v>
      </c>
      <c r="C13" s="1">
        <v>1500000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L13" t="s">
        <v>17</v>
      </c>
      <c r="M13" t="s">
        <v>18</v>
      </c>
      <c r="N13" t="s">
        <v>19</v>
      </c>
      <c r="O13" t="s">
        <v>20</v>
      </c>
      <c r="P13" t="s">
        <v>21</v>
      </c>
      <c r="Q13" t="s">
        <v>22</v>
      </c>
      <c r="S13" s="16"/>
    </row>
    <row r="14" spans="2:21" x14ac:dyDescent="0.25">
      <c r="G14" s="1"/>
      <c r="H14" s="1"/>
      <c r="I14" s="1"/>
      <c r="J14" s="1">
        <f>F9</f>
        <v>30319778.91827872</v>
      </c>
      <c r="N14" s="1"/>
      <c r="O14" s="1"/>
      <c r="P14" s="1"/>
      <c r="Q14" s="1">
        <f>M9</f>
        <v>246469833.11938384</v>
      </c>
      <c r="S14" s="16"/>
      <c r="T14" t="s">
        <v>43</v>
      </c>
      <c r="U14" s="6">
        <f>U15/12</f>
        <v>5.5</v>
      </c>
    </row>
    <row r="15" spans="2:21" x14ac:dyDescent="0.25">
      <c r="E15">
        <v>1</v>
      </c>
      <c r="F15" s="2">
        <v>5.33E-2</v>
      </c>
      <c r="G15" s="1">
        <f>IFERROR(J14/($F$10+1-E15),0)</f>
        <v>505329.64863797865</v>
      </c>
      <c r="H15" s="1">
        <f>J14*(F15/12)</f>
        <v>134670.35136202132</v>
      </c>
      <c r="I15" s="1">
        <f>G15+H15</f>
        <v>640000</v>
      </c>
      <c r="J15" s="1">
        <f>J14-G15</f>
        <v>29814449.26964074</v>
      </c>
      <c r="L15">
        <v>1</v>
      </c>
      <c r="M15" s="2">
        <v>4.2500000000000003E-2</v>
      </c>
      <c r="N15" s="1">
        <f t="shared" ref="N15:N46" si="0">IFERROR(Q14/($M$10+1-L15),0)</f>
        <v>1026957.6379974327</v>
      </c>
      <c r="O15" s="1">
        <f>Q14*(M15/12)</f>
        <v>872913.99229781784</v>
      </c>
      <c r="P15" s="1">
        <f>N15+O15</f>
        <v>1899871.6302952506</v>
      </c>
      <c r="Q15" s="1">
        <f>Q14-N15</f>
        <v>245442875.48138642</v>
      </c>
      <c r="S15" s="16"/>
      <c r="T15" t="s">
        <v>44</v>
      </c>
      <c r="U15" s="6">
        <v>66</v>
      </c>
    </row>
    <row r="16" spans="2:21" x14ac:dyDescent="0.25">
      <c r="E16">
        <f t="shared" ref="E16:E74" si="1">E15+1</f>
        <v>2</v>
      </c>
      <c r="F16" s="2">
        <v>5.33E-2</v>
      </c>
      <c r="G16" s="1">
        <f t="shared" ref="G16:G74" si="2">IFERROR(J15/($F$10+1-E16),0)</f>
        <v>505329.64863797865</v>
      </c>
      <c r="H16" s="1">
        <f t="shared" ref="H16:H74" si="3">J15*(F16/12)</f>
        <v>132425.84550598761</v>
      </c>
      <c r="I16" s="1">
        <f t="shared" ref="I16:I74" si="4">G16+H16</f>
        <v>637755.49414396624</v>
      </c>
      <c r="J16" s="1">
        <f t="shared" ref="J16:J74" si="5">J15-G16</f>
        <v>29309119.62100276</v>
      </c>
      <c r="L16">
        <f t="shared" ref="L16:L55" si="6">L15+1</f>
        <v>2</v>
      </c>
      <c r="M16" s="2">
        <v>4.2500000000000003E-2</v>
      </c>
      <c r="N16" s="1">
        <f t="shared" si="0"/>
        <v>1026957.6379974327</v>
      </c>
      <c r="O16" s="1">
        <f t="shared" ref="O16:O79" si="7">Q15*(M16/12)</f>
        <v>869276.85066324368</v>
      </c>
      <c r="P16" s="1">
        <f t="shared" ref="P16:P79" si="8">N16+O16</f>
        <v>1896234.4886606764</v>
      </c>
      <c r="Q16" s="1">
        <f t="shared" ref="Q16:Q79" si="9">Q15-N16</f>
        <v>244415917.843389</v>
      </c>
      <c r="S16" s="16"/>
      <c r="T16" t="s">
        <v>35</v>
      </c>
      <c r="U16" s="1">
        <f>T3*1000</f>
        <v>500000</v>
      </c>
    </row>
    <row r="17" spans="5:30" x14ac:dyDescent="0.25">
      <c r="E17">
        <f t="shared" si="1"/>
        <v>3</v>
      </c>
      <c r="F17" s="2">
        <v>5.33E-2</v>
      </c>
      <c r="G17" s="1">
        <f t="shared" si="2"/>
        <v>505329.64863797859</v>
      </c>
      <c r="H17" s="1">
        <f t="shared" si="3"/>
        <v>130181.33964995392</v>
      </c>
      <c r="I17" s="1">
        <f t="shared" si="4"/>
        <v>635510.98828793247</v>
      </c>
      <c r="J17" s="1">
        <f t="shared" si="5"/>
        <v>28803789.97236478</v>
      </c>
      <c r="L17">
        <f t="shared" si="6"/>
        <v>3</v>
      </c>
      <c r="M17" s="2">
        <v>4.2500000000000003E-2</v>
      </c>
      <c r="N17" s="1">
        <f t="shared" si="0"/>
        <v>1026957.6379974328</v>
      </c>
      <c r="O17" s="1">
        <f t="shared" si="7"/>
        <v>865639.7090286694</v>
      </c>
      <c r="P17" s="1">
        <f t="shared" si="8"/>
        <v>1892597.3470261022</v>
      </c>
      <c r="Q17" s="1">
        <f t="shared" si="9"/>
        <v>243388960.20539159</v>
      </c>
      <c r="S17" s="16"/>
      <c r="T17" t="s">
        <v>42</v>
      </c>
      <c r="U17" s="1">
        <f>-FV(U12,U15,U16,0,1)</f>
        <v>37541191.668956436</v>
      </c>
    </row>
    <row r="18" spans="5:30" x14ac:dyDescent="0.25">
      <c r="E18">
        <f t="shared" si="1"/>
        <v>4</v>
      </c>
      <c r="F18" s="2">
        <v>5.33E-2</v>
      </c>
      <c r="G18" s="1">
        <f t="shared" si="2"/>
        <v>505329.64863797859</v>
      </c>
      <c r="H18" s="1">
        <f t="shared" si="3"/>
        <v>127936.83379392023</v>
      </c>
      <c r="I18" s="1">
        <f t="shared" si="4"/>
        <v>633266.48243189882</v>
      </c>
      <c r="J18" s="1">
        <f t="shared" si="5"/>
        <v>28298460.323726799</v>
      </c>
      <c r="L18">
        <f t="shared" si="6"/>
        <v>4</v>
      </c>
      <c r="M18" s="2">
        <v>4.2500000000000003E-2</v>
      </c>
      <c r="N18" s="1">
        <f t="shared" si="0"/>
        <v>1026957.6379974328</v>
      </c>
      <c r="O18" s="1">
        <f t="shared" si="7"/>
        <v>862002.56739409524</v>
      </c>
      <c r="P18" s="1">
        <f t="shared" si="8"/>
        <v>1888960.2053915281</v>
      </c>
      <c r="Q18" s="1">
        <f t="shared" si="9"/>
        <v>242362002.56739417</v>
      </c>
      <c r="S18" s="16"/>
    </row>
    <row r="19" spans="5:30" x14ac:dyDescent="0.25">
      <c r="E19">
        <f t="shared" si="1"/>
        <v>5</v>
      </c>
      <c r="F19" s="2">
        <v>5.33E-2</v>
      </c>
      <c r="G19" s="1">
        <f t="shared" si="2"/>
        <v>505329.64863797853</v>
      </c>
      <c r="H19" s="1">
        <f t="shared" si="3"/>
        <v>125692.32793788654</v>
      </c>
      <c r="I19" s="1">
        <f t="shared" si="4"/>
        <v>631021.97657586506</v>
      </c>
      <c r="J19" s="1">
        <f t="shared" si="5"/>
        <v>27793130.675088819</v>
      </c>
      <c r="L19">
        <f t="shared" si="6"/>
        <v>5</v>
      </c>
      <c r="M19" s="2">
        <v>4.2500000000000003E-2</v>
      </c>
      <c r="N19" s="1">
        <f t="shared" si="0"/>
        <v>1026957.637997433</v>
      </c>
      <c r="O19" s="1">
        <f t="shared" si="7"/>
        <v>858365.42575952108</v>
      </c>
      <c r="P19" s="1">
        <f t="shared" si="8"/>
        <v>1885323.0637569539</v>
      </c>
      <c r="Q19" s="1">
        <f t="shared" si="9"/>
        <v>241335044.92939675</v>
      </c>
      <c r="S19" s="16"/>
      <c r="T19" t="s">
        <v>43</v>
      </c>
      <c r="U19" s="6">
        <f>U20/12</f>
        <v>21.5</v>
      </c>
    </row>
    <row r="20" spans="5:30" x14ac:dyDescent="0.25">
      <c r="E20">
        <f t="shared" si="1"/>
        <v>6</v>
      </c>
      <c r="F20" s="2">
        <v>5.33E-2</v>
      </c>
      <c r="G20" s="1">
        <f t="shared" si="2"/>
        <v>505329.64863797853</v>
      </c>
      <c r="H20" s="1">
        <f t="shared" si="3"/>
        <v>123447.82208185284</v>
      </c>
      <c r="I20" s="1">
        <f t="shared" si="4"/>
        <v>628777.47071983141</v>
      </c>
      <c r="J20" s="1">
        <f t="shared" si="5"/>
        <v>27287801.026450839</v>
      </c>
      <c r="L20">
        <f t="shared" si="6"/>
        <v>6</v>
      </c>
      <c r="M20" s="2">
        <v>4.2500000000000003E-2</v>
      </c>
      <c r="N20" s="1">
        <f t="shared" si="0"/>
        <v>1026957.637997433</v>
      </c>
      <c r="O20" s="1">
        <f t="shared" si="7"/>
        <v>854728.28412494692</v>
      </c>
      <c r="P20" s="1">
        <f t="shared" si="8"/>
        <v>1881685.9221223798</v>
      </c>
      <c r="Q20" s="1">
        <f t="shared" si="9"/>
        <v>240308087.29139933</v>
      </c>
      <c r="S20" s="16"/>
      <c r="T20" t="s">
        <v>44</v>
      </c>
      <c r="U20" s="7">
        <v>258</v>
      </c>
      <c r="V20" s="4"/>
      <c r="W20" s="16" t="s">
        <v>17</v>
      </c>
      <c r="X20" s="16"/>
      <c r="Y20" s="16" t="s">
        <v>21</v>
      </c>
      <c r="Z20" s="16"/>
      <c r="AA20" s="16"/>
      <c r="AB20" s="8" t="s">
        <v>24</v>
      </c>
      <c r="AC20" s="8" t="s">
        <v>23</v>
      </c>
      <c r="AD20" s="8" t="s">
        <v>24</v>
      </c>
    </row>
    <row r="21" spans="5:30" x14ac:dyDescent="0.25">
      <c r="E21">
        <f t="shared" si="1"/>
        <v>7</v>
      </c>
      <c r="F21" s="2">
        <v>5.33E-2</v>
      </c>
      <c r="G21" s="1">
        <f t="shared" si="2"/>
        <v>505329.64863797848</v>
      </c>
      <c r="H21" s="1">
        <f t="shared" si="3"/>
        <v>121203.31622581914</v>
      </c>
      <c r="I21" s="1">
        <f t="shared" si="4"/>
        <v>626532.96486379765</v>
      </c>
      <c r="J21" s="1">
        <f t="shared" si="5"/>
        <v>26782471.377812859</v>
      </c>
      <c r="L21">
        <f t="shared" si="6"/>
        <v>7</v>
      </c>
      <c r="M21" s="2">
        <v>4.2500000000000003E-2</v>
      </c>
      <c r="N21" s="1">
        <f t="shared" si="0"/>
        <v>1026957.6379974331</v>
      </c>
      <c r="O21" s="1">
        <f t="shared" si="7"/>
        <v>851091.14249037264</v>
      </c>
      <c r="P21" s="1">
        <f t="shared" si="8"/>
        <v>1878048.7804878056</v>
      </c>
      <c r="Q21" s="1">
        <f t="shared" si="9"/>
        <v>239281129.65340191</v>
      </c>
      <c r="S21" s="16"/>
      <c r="T21" t="s">
        <v>42</v>
      </c>
      <c r="U21" s="1">
        <f>-FV(U12,U20,U16,0,1)</f>
        <v>218632425.42067119</v>
      </c>
      <c r="W21" s="8" t="s">
        <v>48</v>
      </c>
      <c r="X21" s="8" t="s">
        <v>49</v>
      </c>
      <c r="Y21" s="8" t="s">
        <v>18</v>
      </c>
      <c r="Z21" s="8" t="s">
        <v>19</v>
      </c>
      <c r="AA21" s="8" t="s">
        <v>20</v>
      </c>
      <c r="AB21" s="8" t="s">
        <v>21</v>
      </c>
      <c r="AC21" s="8" t="s">
        <v>15</v>
      </c>
      <c r="AD21" s="8" t="s">
        <v>50</v>
      </c>
    </row>
    <row r="22" spans="5:30" x14ac:dyDescent="0.25">
      <c r="E22">
        <f t="shared" si="1"/>
        <v>8</v>
      </c>
      <c r="F22" s="2">
        <v>5.33E-2</v>
      </c>
      <c r="G22" s="1">
        <f t="shared" si="2"/>
        <v>505329.64863797848</v>
      </c>
      <c r="H22" s="1">
        <f t="shared" si="3"/>
        <v>118958.81036978545</v>
      </c>
      <c r="I22" s="1">
        <f t="shared" si="4"/>
        <v>624288.45900776389</v>
      </c>
      <c r="J22" s="1">
        <f t="shared" si="5"/>
        <v>26277141.729174878</v>
      </c>
      <c r="L22">
        <f t="shared" si="6"/>
        <v>8</v>
      </c>
      <c r="M22" s="2">
        <v>4.2500000000000003E-2</v>
      </c>
      <c r="N22" s="1">
        <f t="shared" si="0"/>
        <v>1026957.6379974331</v>
      </c>
      <c r="O22" s="1">
        <f t="shared" si="7"/>
        <v>847454.00085579848</v>
      </c>
      <c r="P22" s="1">
        <f t="shared" si="8"/>
        <v>1874411.6388532314</v>
      </c>
      <c r="Q22" s="1">
        <f t="shared" si="9"/>
        <v>238254172.01540449</v>
      </c>
      <c r="S22" s="16"/>
      <c r="Z22" s="1"/>
      <c r="AA22" s="1"/>
      <c r="AB22" s="1"/>
      <c r="AC22" s="1">
        <f>U29</f>
        <v>5357142.8571428573</v>
      </c>
      <c r="AD22" s="1">
        <f>U17</f>
        <v>37541191.668956436</v>
      </c>
    </row>
    <row r="23" spans="5:30" x14ac:dyDescent="0.25">
      <c r="E23">
        <f t="shared" si="1"/>
        <v>9</v>
      </c>
      <c r="F23" s="2">
        <v>5.33E-2</v>
      </c>
      <c r="G23" s="1">
        <f t="shared" si="2"/>
        <v>505329.64863797842</v>
      </c>
      <c r="H23" s="1">
        <f t="shared" si="3"/>
        <v>116714.30451375175</v>
      </c>
      <c r="I23" s="1">
        <f t="shared" si="4"/>
        <v>622043.95315173012</v>
      </c>
      <c r="J23" s="1">
        <f t="shared" si="5"/>
        <v>25771812.080536898</v>
      </c>
      <c r="L23">
        <f t="shared" si="6"/>
        <v>9</v>
      </c>
      <c r="M23" s="2">
        <v>4.2500000000000003E-2</v>
      </c>
      <c r="N23" s="1">
        <f t="shared" si="0"/>
        <v>1026957.6379974332</v>
      </c>
      <c r="O23" s="1">
        <f t="shared" si="7"/>
        <v>843816.85922122432</v>
      </c>
      <c r="P23" s="1">
        <f t="shared" si="8"/>
        <v>1870774.4972186575</v>
      </c>
      <c r="Q23" s="1">
        <f t="shared" si="9"/>
        <v>237227214.37740707</v>
      </c>
      <c r="S23" s="16">
        <v>7</v>
      </c>
      <c r="T23" t="s">
        <v>45</v>
      </c>
      <c r="U23" s="5">
        <f>12%</f>
        <v>0.12</v>
      </c>
      <c r="W23">
        <v>7</v>
      </c>
      <c r="X23">
        <v>1</v>
      </c>
      <c r="Y23" s="3">
        <f>HLOOKUP(W23,$S$23:$U$214,1+((W23-$S$11-1)*12))</f>
        <v>0.12</v>
      </c>
      <c r="Z23" s="1">
        <f>AC22/(HLOOKUP(W23,$S$23:$U$214,3+((W23-$S$11-1)*12))+1-X23)</f>
        <v>446428.57142857142</v>
      </c>
      <c r="AA23" s="1">
        <f>AC22*(Y23/12)</f>
        <v>53571.428571428572</v>
      </c>
      <c r="AB23" s="1">
        <f>Z23+AA23</f>
        <v>500000</v>
      </c>
      <c r="AC23" s="1">
        <f>IFERROR(IF(AC22-Z23&lt;1,HLOOKUP(W24,$S$23:$U$214,7+((W24-$S$11-1)*12)),AC22-Z23),0)</f>
        <v>4910714.2857142854</v>
      </c>
      <c r="AD23" s="1">
        <f>-FV($U$12,1,0,AD22+AC22-HLOOKUP(W23,$S$23:$U$214,9+((W23-$S$11-1)*12)),1)</f>
        <v>40886253.845082037</v>
      </c>
    </row>
    <row r="24" spans="5:30" x14ac:dyDescent="0.25">
      <c r="E24">
        <f t="shared" si="1"/>
        <v>10</v>
      </c>
      <c r="F24" s="2">
        <v>5.33E-2</v>
      </c>
      <c r="G24" s="1">
        <f t="shared" si="2"/>
        <v>505329.64863797842</v>
      </c>
      <c r="H24" s="1">
        <f t="shared" si="3"/>
        <v>114469.79865771806</v>
      </c>
      <c r="I24" s="1">
        <f t="shared" si="4"/>
        <v>619799.44729569647</v>
      </c>
      <c r="J24" s="1">
        <f t="shared" si="5"/>
        <v>25266482.431898918</v>
      </c>
      <c r="L24">
        <f t="shared" si="6"/>
        <v>10</v>
      </c>
      <c r="M24" s="2">
        <v>4.2500000000000003E-2</v>
      </c>
      <c r="N24" s="1">
        <f t="shared" si="0"/>
        <v>1026957.6379974332</v>
      </c>
      <c r="O24" s="1">
        <f t="shared" si="7"/>
        <v>840179.71758665016</v>
      </c>
      <c r="P24" s="1">
        <f t="shared" si="8"/>
        <v>1867137.3555840834</v>
      </c>
      <c r="Q24" s="1">
        <f t="shared" si="9"/>
        <v>236200256.73940966</v>
      </c>
      <c r="S24" s="16"/>
      <c r="T24" t="s">
        <v>43</v>
      </c>
      <c r="U24">
        <f>U25/12</f>
        <v>1</v>
      </c>
      <c r="W24">
        <f>W23</f>
        <v>7</v>
      </c>
      <c r="X24">
        <v>2</v>
      </c>
      <c r="Y24" s="3">
        <f t="shared" ref="Y24:Y87" si="10">HLOOKUP(W24,$S$23:$U$214,1+((W24-$S$11-1)*12))</f>
        <v>0.12</v>
      </c>
      <c r="Z24" s="1">
        <f t="shared" ref="Z24:Z87" si="11">AC23/(HLOOKUP(W24,$S$23:$U$214,3+((W24-$S$11-1)*12))+1-X24)</f>
        <v>446428.57142857142</v>
      </c>
      <c r="AA24" s="1">
        <f t="shared" ref="AA24:AA87" si="12">AC23*(Y24/12)</f>
        <v>49107.142857142855</v>
      </c>
      <c r="AB24" s="1">
        <f t="shared" ref="AB24:AB87" si="13">Z24+AA24</f>
        <v>495535.71428571426</v>
      </c>
      <c r="AC24" s="1">
        <f t="shared" ref="AC24:AC87" si="14">IFERROR(IF(AC23-Z24&lt;1,HLOOKUP(W25,$S$23:$U$214,7+((W25-$S$11-1)*12)),AC23-Z24),0)</f>
        <v>4464285.7142857136</v>
      </c>
      <c r="AD24" s="1">
        <f>-FV($U$12,1,0,AD23,1)</f>
        <v>41040754.794286363</v>
      </c>
    </row>
    <row r="25" spans="5:30" x14ac:dyDescent="0.25">
      <c r="E25">
        <f t="shared" si="1"/>
        <v>11</v>
      </c>
      <c r="F25" s="2">
        <v>5.33E-2</v>
      </c>
      <c r="G25" s="1">
        <f t="shared" si="2"/>
        <v>505329.64863797836</v>
      </c>
      <c r="H25" s="1">
        <f t="shared" si="3"/>
        <v>112225.29280168437</v>
      </c>
      <c r="I25" s="1">
        <f t="shared" si="4"/>
        <v>617554.94143966271</v>
      </c>
      <c r="J25" s="1">
        <f t="shared" si="5"/>
        <v>24761152.783260942</v>
      </c>
      <c r="L25">
        <f t="shared" si="6"/>
        <v>11</v>
      </c>
      <c r="M25" s="2">
        <v>4.2500000000000003E-2</v>
      </c>
      <c r="N25" s="1">
        <f t="shared" si="0"/>
        <v>1026957.6379974333</v>
      </c>
      <c r="O25" s="1">
        <f t="shared" si="7"/>
        <v>836542.57595207589</v>
      </c>
      <c r="P25" s="1">
        <f t="shared" si="8"/>
        <v>1863500.2139495092</v>
      </c>
      <c r="Q25" s="1">
        <f t="shared" si="9"/>
        <v>235173299.10141224</v>
      </c>
      <c r="S25" s="16"/>
      <c r="T25" t="s">
        <v>44</v>
      </c>
      <c r="U25">
        <f>12</f>
        <v>12</v>
      </c>
      <c r="W25">
        <f t="shared" ref="W25:W34" si="15">W24</f>
        <v>7</v>
      </c>
      <c r="X25">
        <v>3</v>
      </c>
      <c r="Y25" s="3">
        <f t="shared" si="10"/>
        <v>0.12</v>
      </c>
      <c r="Z25" s="1">
        <f t="shared" si="11"/>
        <v>446428.57142857136</v>
      </c>
      <c r="AA25" s="1">
        <f t="shared" si="12"/>
        <v>44642.857142857138</v>
      </c>
      <c r="AB25" s="1">
        <f t="shared" si="13"/>
        <v>491071.42857142852</v>
      </c>
      <c r="AC25" s="1">
        <f t="shared" si="14"/>
        <v>4017857.1428571423</v>
      </c>
      <c r="AD25" s="1">
        <f t="shared" ref="AD25:AD28" si="16">-FV($U$12,1,0,AD24,1)</f>
        <v>41195839.571576171</v>
      </c>
    </row>
    <row r="26" spans="5:30" x14ac:dyDescent="0.25">
      <c r="E26">
        <f t="shared" si="1"/>
        <v>12</v>
      </c>
      <c r="F26" s="2">
        <v>5.33E-2</v>
      </c>
      <c r="G26" s="1">
        <f t="shared" si="2"/>
        <v>505329.64863797842</v>
      </c>
      <c r="H26" s="1">
        <f t="shared" si="3"/>
        <v>109980.78694565069</v>
      </c>
      <c r="I26" s="1">
        <f t="shared" si="4"/>
        <v>615310.43558362906</v>
      </c>
      <c r="J26" s="1">
        <f t="shared" si="5"/>
        <v>24255823.134622961</v>
      </c>
      <c r="L26">
        <f t="shared" si="6"/>
        <v>12</v>
      </c>
      <c r="M26" s="2">
        <v>4.2500000000000003E-2</v>
      </c>
      <c r="N26" s="1">
        <f t="shared" si="0"/>
        <v>1026957.6379974333</v>
      </c>
      <c r="O26" s="1">
        <f t="shared" si="7"/>
        <v>832905.43431750173</v>
      </c>
      <c r="P26" s="1">
        <f t="shared" si="8"/>
        <v>1859863.072314935</v>
      </c>
      <c r="Q26" s="1">
        <f t="shared" si="9"/>
        <v>234146341.46341482</v>
      </c>
      <c r="S26" s="16"/>
      <c r="W26">
        <f t="shared" si="15"/>
        <v>7</v>
      </c>
      <c r="X26">
        <v>4</v>
      </c>
      <c r="Y26" s="3">
        <f t="shared" si="10"/>
        <v>0.12</v>
      </c>
      <c r="Z26" s="1">
        <f t="shared" si="11"/>
        <v>446428.57142857136</v>
      </c>
      <c r="AA26" s="1">
        <f t="shared" si="12"/>
        <v>40178.57142857142</v>
      </c>
      <c r="AB26" s="1">
        <f t="shared" si="13"/>
        <v>486607.14285714278</v>
      </c>
      <c r="AC26" s="1">
        <f t="shared" si="14"/>
        <v>3571428.5714285709</v>
      </c>
      <c r="AD26" s="1">
        <f t="shared" si="16"/>
        <v>41351510.383120656</v>
      </c>
    </row>
    <row r="27" spans="5:30" x14ac:dyDescent="0.25">
      <c r="E27">
        <f t="shared" si="1"/>
        <v>13</v>
      </c>
      <c r="F27" s="2">
        <v>5.33E-2</v>
      </c>
      <c r="G27" s="1">
        <f t="shared" si="2"/>
        <v>505329.64863797836</v>
      </c>
      <c r="H27" s="1">
        <f t="shared" si="3"/>
        <v>107736.28108961698</v>
      </c>
      <c r="I27" s="1">
        <f t="shared" si="4"/>
        <v>613065.9297275953</v>
      </c>
      <c r="J27" s="1">
        <f t="shared" si="5"/>
        <v>23750493.485984981</v>
      </c>
      <c r="L27">
        <f t="shared" si="6"/>
        <v>13</v>
      </c>
      <c r="M27" s="2">
        <v>4.2500000000000003E-2</v>
      </c>
      <c r="N27" s="1">
        <f t="shared" si="0"/>
        <v>1026957.6379974334</v>
      </c>
      <c r="O27" s="1">
        <f t="shared" si="7"/>
        <v>829268.29268292757</v>
      </c>
      <c r="P27" s="1">
        <f t="shared" si="8"/>
        <v>1856225.9306803611</v>
      </c>
      <c r="Q27" s="1">
        <f t="shared" si="9"/>
        <v>233119383.8254174</v>
      </c>
      <c r="S27" s="16"/>
      <c r="T27" t="s">
        <v>35</v>
      </c>
      <c r="U27" s="1">
        <f>U16</f>
        <v>500000</v>
      </c>
      <c r="W27">
        <f t="shared" si="15"/>
        <v>7</v>
      </c>
      <c r="X27">
        <v>5</v>
      </c>
      <c r="Y27" s="3">
        <f t="shared" si="10"/>
        <v>0.12</v>
      </c>
      <c r="Z27" s="1">
        <f t="shared" si="11"/>
        <v>446428.57142857136</v>
      </c>
      <c r="AA27" s="1">
        <f t="shared" si="12"/>
        <v>35714.28571428571</v>
      </c>
      <c r="AB27" s="1">
        <f t="shared" si="13"/>
        <v>482142.85714285704</v>
      </c>
      <c r="AC27" s="1">
        <f t="shared" si="14"/>
        <v>3124999.9999999995</v>
      </c>
      <c r="AD27" s="1">
        <f t="shared" si="16"/>
        <v>41507769.44342567</v>
      </c>
    </row>
    <row r="28" spans="5:30" x14ac:dyDescent="0.25">
      <c r="E28">
        <f t="shared" si="1"/>
        <v>14</v>
      </c>
      <c r="F28" s="2">
        <v>5.33E-2</v>
      </c>
      <c r="G28" s="1">
        <f t="shared" si="2"/>
        <v>505329.6486379783</v>
      </c>
      <c r="H28" s="1">
        <f t="shared" si="3"/>
        <v>105491.77523358329</v>
      </c>
      <c r="I28" s="1">
        <f t="shared" si="4"/>
        <v>610821.42387156165</v>
      </c>
      <c r="J28" s="1">
        <f t="shared" si="5"/>
        <v>23245163.837347005</v>
      </c>
      <c r="L28">
        <f t="shared" si="6"/>
        <v>14</v>
      </c>
      <c r="M28" s="2">
        <v>4.2500000000000003E-2</v>
      </c>
      <c r="N28" s="1">
        <f t="shared" si="0"/>
        <v>1026957.6379974334</v>
      </c>
      <c r="O28" s="1">
        <f t="shared" si="7"/>
        <v>825631.15104835329</v>
      </c>
      <c r="P28" s="1">
        <f t="shared" si="8"/>
        <v>1852588.7890457867</v>
      </c>
      <c r="Q28" s="1">
        <f t="shared" si="9"/>
        <v>232092426.18741998</v>
      </c>
      <c r="S28" s="16"/>
      <c r="W28">
        <f t="shared" si="15"/>
        <v>7</v>
      </c>
      <c r="X28">
        <v>6</v>
      </c>
      <c r="Y28" s="3">
        <f t="shared" si="10"/>
        <v>0.12</v>
      </c>
      <c r="Z28" s="1">
        <f t="shared" si="11"/>
        <v>446428.57142857136</v>
      </c>
      <c r="AA28" s="1">
        <f t="shared" si="12"/>
        <v>31249.999999999996</v>
      </c>
      <c r="AB28" s="1">
        <f t="shared" si="13"/>
        <v>477678.57142857136</v>
      </c>
      <c r="AC28" s="1">
        <f t="shared" si="14"/>
        <v>2678571.4285714282</v>
      </c>
      <c r="AD28" s="1">
        <f t="shared" si="16"/>
        <v>41664618.975365244</v>
      </c>
    </row>
    <row r="29" spans="5:30" x14ac:dyDescent="0.25">
      <c r="E29">
        <f t="shared" si="1"/>
        <v>15</v>
      </c>
      <c r="F29" s="2">
        <v>5.33E-2</v>
      </c>
      <c r="G29" s="1">
        <f t="shared" si="2"/>
        <v>505329.64863797836</v>
      </c>
      <c r="H29" s="1">
        <f t="shared" si="3"/>
        <v>103247.26937754962</v>
      </c>
      <c r="I29" s="1">
        <f t="shared" si="4"/>
        <v>608576.918015528</v>
      </c>
      <c r="J29" s="1">
        <f t="shared" si="5"/>
        <v>22739834.188709028</v>
      </c>
      <c r="L29">
        <f t="shared" si="6"/>
        <v>15</v>
      </c>
      <c r="M29" s="2">
        <v>4.2500000000000003E-2</v>
      </c>
      <c r="N29" s="1">
        <f t="shared" si="0"/>
        <v>1026957.6379974335</v>
      </c>
      <c r="O29" s="1">
        <f t="shared" si="7"/>
        <v>821994.00941377913</v>
      </c>
      <c r="P29" s="1">
        <f t="shared" si="8"/>
        <v>1848951.6474112128</v>
      </c>
      <c r="Q29" s="1">
        <f t="shared" si="9"/>
        <v>231065468.54942256</v>
      </c>
      <c r="S29" s="16"/>
      <c r="T29" t="s">
        <v>15</v>
      </c>
      <c r="U29" s="1">
        <f>(12*U25*U27)/(12+U25*U23)</f>
        <v>5357142.8571428573</v>
      </c>
      <c r="W29">
        <f t="shared" si="15"/>
        <v>7</v>
      </c>
      <c r="X29">
        <v>7</v>
      </c>
      <c r="Y29" s="3">
        <f t="shared" si="10"/>
        <v>0.12</v>
      </c>
      <c r="Z29" s="1">
        <f t="shared" si="11"/>
        <v>446428.57142857136</v>
      </c>
      <c r="AA29" s="1">
        <f t="shared" si="12"/>
        <v>26785.714285714283</v>
      </c>
      <c r="AB29" s="1">
        <f t="shared" si="13"/>
        <v>473214.28571428562</v>
      </c>
      <c r="AC29" s="1">
        <f t="shared" si="14"/>
        <v>2232142.8571428568</v>
      </c>
      <c r="AD29" s="1">
        <f>-FV($U$12,1,0,AD28-HLOOKUP(W29,$S$23:$U$214,9+((W29-$S$11-1)*12)),1)</f>
        <v>39647876.330834314</v>
      </c>
    </row>
    <row r="30" spans="5:30" x14ac:dyDescent="0.25">
      <c r="E30">
        <f t="shared" si="1"/>
        <v>16</v>
      </c>
      <c r="F30" s="2">
        <v>5.33E-2</v>
      </c>
      <c r="G30" s="1">
        <f t="shared" si="2"/>
        <v>505329.64863797842</v>
      </c>
      <c r="H30" s="1">
        <f t="shared" si="3"/>
        <v>101002.76352151594</v>
      </c>
      <c r="I30" s="1">
        <f t="shared" si="4"/>
        <v>606332.41215949436</v>
      </c>
      <c r="J30" s="1">
        <f t="shared" si="5"/>
        <v>22234504.540071048</v>
      </c>
      <c r="L30">
        <f t="shared" si="6"/>
        <v>16</v>
      </c>
      <c r="M30" s="2">
        <v>4.2500000000000003E-2</v>
      </c>
      <c r="N30" s="1">
        <f t="shared" si="0"/>
        <v>1026957.6379974337</v>
      </c>
      <c r="O30" s="1">
        <f t="shared" si="7"/>
        <v>818356.86777920497</v>
      </c>
      <c r="P30" s="1">
        <f t="shared" si="8"/>
        <v>1845314.5057766386</v>
      </c>
      <c r="Q30" s="1">
        <f t="shared" si="9"/>
        <v>230038510.91142511</v>
      </c>
      <c r="S30" s="16"/>
      <c r="W30">
        <f t="shared" si="15"/>
        <v>7</v>
      </c>
      <c r="X30">
        <v>8</v>
      </c>
      <c r="Y30" s="3">
        <f t="shared" si="10"/>
        <v>0.12</v>
      </c>
      <c r="Z30" s="1">
        <f t="shared" si="11"/>
        <v>446428.57142857136</v>
      </c>
      <c r="AA30" s="1">
        <f t="shared" si="12"/>
        <v>22321.428571428569</v>
      </c>
      <c r="AB30" s="1">
        <f t="shared" si="13"/>
        <v>468749.99999999994</v>
      </c>
      <c r="AC30" s="1">
        <f t="shared" si="14"/>
        <v>1785714.2857142854</v>
      </c>
      <c r="AD30" s="1">
        <f>-FV($U$12,1,0,AD29,1)</f>
        <v>39797697.699900299</v>
      </c>
    </row>
    <row r="31" spans="5:30" x14ac:dyDescent="0.25">
      <c r="E31">
        <f t="shared" si="1"/>
        <v>17</v>
      </c>
      <c r="F31" s="2">
        <v>5.33E-2</v>
      </c>
      <c r="G31" s="1">
        <f t="shared" si="2"/>
        <v>505329.64863797836</v>
      </c>
      <c r="H31" s="1">
        <f t="shared" si="3"/>
        <v>98758.257665482233</v>
      </c>
      <c r="I31" s="1">
        <f t="shared" si="4"/>
        <v>604087.90630346059</v>
      </c>
      <c r="J31" s="1">
        <f t="shared" si="5"/>
        <v>21729174.891433068</v>
      </c>
      <c r="L31">
        <f t="shared" si="6"/>
        <v>17</v>
      </c>
      <c r="M31" s="2">
        <v>4.2500000000000003E-2</v>
      </c>
      <c r="N31" s="1">
        <f t="shared" si="0"/>
        <v>1026957.6379974335</v>
      </c>
      <c r="O31" s="1">
        <f t="shared" si="7"/>
        <v>814719.72614463069</v>
      </c>
      <c r="P31" s="1">
        <f t="shared" si="8"/>
        <v>1841677.3641420642</v>
      </c>
      <c r="Q31" s="1">
        <f t="shared" si="9"/>
        <v>229011553.27342767</v>
      </c>
      <c r="S31" s="16"/>
      <c r="T31" t="s">
        <v>46</v>
      </c>
      <c r="U31" s="1">
        <f>ROUNDUP($T$4*1000*(1+$T$2)^(S23-$S$11),-3)*6</f>
        <v>2166000</v>
      </c>
      <c r="W31">
        <f t="shared" si="15"/>
        <v>7</v>
      </c>
      <c r="X31">
        <v>9</v>
      </c>
      <c r="Y31" s="3">
        <f t="shared" si="10"/>
        <v>0.12</v>
      </c>
      <c r="Z31" s="1">
        <f t="shared" si="11"/>
        <v>446428.57142857136</v>
      </c>
      <c r="AA31" s="1">
        <f t="shared" si="12"/>
        <v>17857.142857142855</v>
      </c>
      <c r="AB31" s="1">
        <f t="shared" si="13"/>
        <v>464285.7142857142</v>
      </c>
      <c r="AC31" s="1">
        <f t="shared" si="14"/>
        <v>1339285.7142857141</v>
      </c>
      <c r="AD31" s="1">
        <f t="shared" ref="AD31:AD34" si="17">-FV($U$12,1,0,AD30,1)</f>
        <v>39948085.213857412</v>
      </c>
    </row>
    <row r="32" spans="5:30" x14ac:dyDescent="0.25">
      <c r="E32">
        <f t="shared" si="1"/>
        <v>18</v>
      </c>
      <c r="F32" s="2">
        <v>5.33E-2</v>
      </c>
      <c r="G32" s="1">
        <f t="shared" si="2"/>
        <v>505329.6486379783</v>
      </c>
      <c r="H32" s="1">
        <f t="shared" si="3"/>
        <v>96513.751809448542</v>
      </c>
      <c r="I32" s="1">
        <f t="shared" si="4"/>
        <v>601843.40044742683</v>
      </c>
      <c r="J32" s="1">
        <f t="shared" si="5"/>
        <v>21223845.242795091</v>
      </c>
      <c r="L32">
        <f t="shared" si="6"/>
        <v>18</v>
      </c>
      <c r="M32" s="2">
        <v>4.2500000000000003E-2</v>
      </c>
      <c r="N32" s="1">
        <f t="shared" si="0"/>
        <v>1026957.6379974334</v>
      </c>
      <c r="O32" s="1">
        <f t="shared" si="7"/>
        <v>811082.58451005642</v>
      </c>
      <c r="P32" s="1">
        <f t="shared" si="8"/>
        <v>1838040.2225074898</v>
      </c>
      <c r="Q32" s="1">
        <f t="shared" si="9"/>
        <v>227984595.63543025</v>
      </c>
      <c r="S32" s="16"/>
      <c r="W32">
        <f t="shared" si="15"/>
        <v>7</v>
      </c>
      <c r="X32">
        <v>10</v>
      </c>
      <c r="Y32" s="3">
        <f t="shared" si="10"/>
        <v>0.12</v>
      </c>
      <c r="Z32" s="1">
        <f t="shared" si="11"/>
        <v>446428.57142857136</v>
      </c>
      <c r="AA32" s="1">
        <f t="shared" si="12"/>
        <v>13392.857142857141</v>
      </c>
      <c r="AB32" s="1">
        <f t="shared" si="13"/>
        <v>459821.42857142852</v>
      </c>
      <c r="AC32" s="1">
        <f t="shared" si="14"/>
        <v>892857.14285714272</v>
      </c>
      <c r="AD32" s="1">
        <f t="shared" si="17"/>
        <v>40099041.012053601</v>
      </c>
    </row>
    <row r="33" spans="5:30" x14ac:dyDescent="0.25">
      <c r="E33">
        <f t="shared" si="1"/>
        <v>19</v>
      </c>
      <c r="F33" s="2">
        <v>5.33E-2</v>
      </c>
      <c r="G33" s="1">
        <f t="shared" si="2"/>
        <v>505329.64863797836</v>
      </c>
      <c r="H33" s="1">
        <f t="shared" si="3"/>
        <v>94269.245953414866</v>
      </c>
      <c r="I33" s="1">
        <f t="shared" si="4"/>
        <v>599598.89459139318</v>
      </c>
      <c r="J33" s="1">
        <f t="shared" si="5"/>
        <v>20718515.594157115</v>
      </c>
      <c r="L33">
        <f t="shared" si="6"/>
        <v>19</v>
      </c>
      <c r="M33" s="2">
        <v>4.2500000000000003E-2</v>
      </c>
      <c r="N33" s="1">
        <f t="shared" si="0"/>
        <v>1026957.6379974335</v>
      </c>
      <c r="O33" s="1">
        <f t="shared" si="7"/>
        <v>807445.44287548214</v>
      </c>
      <c r="P33" s="1">
        <f t="shared" si="8"/>
        <v>1834403.0808729157</v>
      </c>
      <c r="Q33" s="1">
        <f t="shared" si="9"/>
        <v>226957637.99743283</v>
      </c>
      <c r="S33" s="16"/>
      <c r="T33" t="s">
        <v>47</v>
      </c>
      <c r="U33" s="1">
        <f>U31*2</f>
        <v>4332000</v>
      </c>
      <c r="W33">
        <f t="shared" si="15"/>
        <v>7</v>
      </c>
      <c r="X33">
        <v>11</v>
      </c>
      <c r="Y33" s="3">
        <f t="shared" si="10"/>
        <v>0.12</v>
      </c>
      <c r="Z33" s="1">
        <f t="shared" si="11"/>
        <v>446428.57142857136</v>
      </c>
      <c r="AA33" s="1">
        <f t="shared" si="12"/>
        <v>8928.5714285714275</v>
      </c>
      <c r="AB33" s="1">
        <f t="shared" si="13"/>
        <v>455357.14285714278</v>
      </c>
      <c r="AC33" s="1">
        <f t="shared" si="14"/>
        <v>446428.57142857136</v>
      </c>
      <c r="AD33" s="1">
        <f t="shared" si="17"/>
        <v>40250567.24192097</v>
      </c>
    </row>
    <row r="34" spans="5:30" x14ac:dyDescent="0.25">
      <c r="E34">
        <f t="shared" si="1"/>
        <v>20</v>
      </c>
      <c r="F34" s="2">
        <v>5.33E-2</v>
      </c>
      <c r="G34" s="1">
        <f t="shared" si="2"/>
        <v>505329.64863797842</v>
      </c>
      <c r="H34" s="1">
        <f t="shared" si="3"/>
        <v>92024.740097381189</v>
      </c>
      <c r="I34" s="1">
        <f t="shared" si="4"/>
        <v>597354.38873535965</v>
      </c>
      <c r="J34" s="1">
        <f t="shared" si="5"/>
        <v>20213185.945519134</v>
      </c>
      <c r="L34">
        <f t="shared" si="6"/>
        <v>20</v>
      </c>
      <c r="M34" s="2">
        <v>4.2500000000000003E-2</v>
      </c>
      <c r="N34" s="1">
        <f t="shared" si="0"/>
        <v>1026957.6379974337</v>
      </c>
      <c r="O34" s="1">
        <f t="shared" si="7"/>
        <v>803808.30124090798</v>
      </c>
      <c r="P34" s="1">
        <f t="shared" si="8"/>
        <v>1830765.9392383415</v>
      </c>
      <c r="Q34" s="1">
        <f t="shared" si="9"/>
        <v>225930680.35943538</v>
      </c>
      <c r="S34" s="16"/>
      <c r="W34">
        <f t="shared" si="15"/>
        <v>7</v>
      </c>
      <c r="X34">
        <v>12</v>
      </c>
      <c r="Y34" s="3">
        <f t="shared" si="10"/>
        <v>0.12</v>
      </c>
      <c r="Z34" s="1">
        <f t="shared" si="11"/>
        <v>446428.57142857136</v>
      </c>
      <c r="AA34" s="1">
        <f t="shared" si="12"/>
        <v>4464.2857142857138</v>
      </c>
      <c r="AB34" s="1">
        <f t="shared" si="13"/>
        <v>450892.8571428571</v>
      </c>
      <c r="AC34" s="1">
        <f t="shared" si="14"/>
        <v>5357142.8571428573</v>
      </c>
      <c r="AD34" s="1">
        <f t="shared" si="17"/>
        <v>40402666.059006348</v>
      </c>
    </row>
    <row r="35" spans="5:30" x14ac:dyDescent="0.25">
      <c r="E35">
        <f t="shared" si="1"/>
        <v>21</v>
      </c>
      <c r="F35" s="2">
        <v>5.33E-2</v>
      </c>
      <c r="G35" s="1">
        <f t="shared" si="2"/>
        <v>505329.64863797836</v>
      </c>
      <c r="H35" s="1">
        <f t="shared" si="3"/>
        <v>89780.234241347483</v>
      </c>
      <c r="I35" s="1">
        <f t="shared" si="4"/>
        <v>595109.88287932589</v>
      </c>
      <c r="J35" s="1">
        <f t="shared" si="5"/>
        <v>19707856.296881154</v>
      </c>
      <c r="L35">
        <f t="shared" si="6"/>
        <v>21</v>
      </c>
      <c r="M35" s="2">
        <v>4.2500000000000003E-2</v>
      </c>
      <c r="N35" s="1">
        <f t="shared" si="0"/>
        <v>1026957.6379974335</v>
      </c>
      <c r="O35" s="1">
        <f t="shared" si="7"/>
        <v>800171.15960633371</v>
      </c>
      <c r="P35" s="1">
        <f t="shared" si="8"/>
        <v>1827128.7976037674</v>
      </c>
      <c r="Q35" s="1">
        <f t="shared" si="9"/>
        <v>224903722.72143793</v>
      </c>
      <c r="S35" s="16">
        <v>8</v>
      </c>
      <c r="T35" t="s">
        <v>45</v>
      </c>
      <c r="U35" s="5">
        <f>12%</f>
        <v>0.12</v>
      </c>
      <c r="W35">
        <f>W23+1</f>
        <v>8</v>
      </c>
      <c r="X35">
        <f>X23</f>
        <v>1</v>
      </c>
      <c r="Y35" s="3">
        <f t="shared" si="10"/>
        <v>0.12</v>
      </c>
      <c r="Z35" s="1">
        <f t="shared" si="11"/>
        <v>446428.57142857142</v>
      </c>
      <c r="AA35" s="1">
        <f t="shared" si="12"/>
        <v>53571.428571428572</v>
      </c>
      <c r="AB35" s="1">
        <f t="shared" si="13"/>
        <v>500000</v>
      </c>
      <c r="AC35" s="1">
        <f t="shared" si="14"/>
        <v>4910714.2857142854</v>
      </c>
      <c r="AD35" s="1">
        <f t="shared" ref="AD35" si="18">-FV($U$12,1,0,AD34+AC34-HLOOKUP(W35,$S$23:$U$214,9+((W35-$S$11-1)*12)),1)</f>
        <v>43692291.771922953</v>
      </c>
    </row>
    <row r="36" spans="5:30" x14ac:dyDescent="0.25">
      <c r="E36">
        <f t="shared" si="1"/>
        <v>22</v>
      </c>
      <c r="F36" s="2">
        <v>5.33E-2</v>
      </c>
      <c r="G36" s="1">
        <f t="shared" si="2"/>
        <v>505329.6486379783</v>
      </c>
      <c r="H36" s="1">
        <f t="shared" si="3"/>
        <v>87535.728385313792</v>
      </c>
      <c r="I36" s="1">
        <f t="shared" si="4"/>
        <v>592865.37702329212</v>
      </c>
      <c r="J36" s="1">
        <f t="shared" si="5"/>
        <v>19202526.648243178</v>
      </c>
      <c r="L36">
        <f t="shared" si="6"/>
        <v>22</v>
      </c>
      <c r="M36" s="2">
        <v>4.2500000000000003E-2</v>
      </c>
      <c r="N36" s="1">
        <f t="shared" si="0"/>
        <v>1026957.6379974334</v>
      </c>
      <c r="O36" s="1">
        <f t="shared" si="7"/>
        <v>796534.01797175943</v>
      </c>
      <c r="P36" s="1">
        <f t="shared" si="8"/>
        <v>1823491.6559691927</v>
      </c>
      <c r="Q36" s="1">
        <f t="shared" si="9"/>
        <v>223876765.08344051</v>
      </c>
      <c r="S36" s="16"/>
      <c r="T36" t="s">
        <v>43</v>
      </c>
      <c r="U36">
        <f t="shared" ref="U36" si="19">U37/12</f>
        <v>1</v>
      </c>
      <c r="W36">
        <f>W35</f>
        <v>8</v>
      </c>
      <c r="X36">
        <f t="shared" ref="X36:X99" si="20">X24</f>
        <v>2</v>
      </c>
      <c r="Y36" s="3">
        <f t="shared" si="10"/>
        <v>0.12</v>
      </c>
      <c r="Z36" s="1">
        <f t="shared" si="11"/>
        <v>446428.57142857142</v>
      </c>
      <c r="AA36" s="1">
        <f t="shared" si="12"/>
        <v>49107.142857142855</v>
      </c>
      <c r="AB36" s="1">
        <f t="shared" si="13"/>
        <v>495535.71428571426</v>
      </c>
      <c r="AC36" s="1">
        <f t="shared" si="14"/>
        <v>4464285.7142857136</v>
      </c>
      <c r="AD36" s="1">
        <f t="shared" ref="AD36:AD99" si="21">-FV($U$12,1,0,AD35,1)</f>
        <v>43857396.175404184</v>
      </c>
    </row>
    <row r="37" spans="5:30" x14ac:dyDescent="0.25">
      <c r="E37">
        <f t="shared" si="1"/>
        <v>23</v>
      </c>
      <c r="F37" s="2">
        <v>5.33E-2</v>
      </c>
      <c r="G37" s="1">
        <f t="shared" si="2"/>
        <v>505329.64863797836</v>
      </c>
      <c r="H37" s="1">
        <f t="shared" si="3"/>
        <v>85291.222529280116</v>
      </c>
      <c r="I37" s="1">
        <f t="shared" si="4"/>
        <v>590620.87116725848</v>
      </c>
      <c r="J37" s="1">
        <f t="shared" si="5"/>
        <v>18697196.999605201</v>
      </c>
      <c r="L37">
        <f t="shared" si="6"/>
        <v>23</v>
      </c>
      <c r="M37" s="2">
        <v>4.2500000000000003E-2</v>
      </c>
      <c r="N37" s="1">
        <f t="shared" si="0"/>
        <v>1026957.6379974335</v>
      </c>
      <c r="O37" s="1">
        <f t="shared" si="7"/>
        <v>792896.87633718515</v>
      </c>
      <c r="P37" s="1">
        <f t="shared" si="8"/>
        <v>1819854.5143346186</v>
      </c>
      <c r="Q37" s="1">
        <f t="shared" si="9"/>
        <v>222849807.44544309</v>
      </c>
      <c r="S37" s="16"/>
      <c r="T37" t="s">
        <v>44</v>
      </c>
      <c r="U37">
        <f>12</f>
        <v>12</v>
      </c>
      <c r="W37">
        <f t="shared" ref="W37:W46" si="22">W36</f>
        <v>8</v>
      </c>
      <c r="X37">
        <f t="shared" si="20"/>
        <v>3</v>
      </c>
      <c r="Y37" s="3">
        <f t="shared" si="10"/>
        <v>0.12</v>
      </c>
      <c r="Z37" s="1">
        <f t="shared" si="11"/>
        <v>446428.57142857136</v>
      </c>
      <c r="AA37" s="1">
        <f t="shared" si="12"/>
        <v>44642.857142857138</v>
      </c>
      <c r="AB37" s="1">
        <f t="shared" si="13"/>
        <v>491071.42857142852</v>
      </c>
      <c r="AC37" s="1">
        <f t="shared" si="14"/>
        <v>4017857.1428571423</v>
      </c>
      <c r="AD37" s="1">
        <f t="shared" si="21"/>
        <v>44023124.475296967</v>
      </c>
    </row>
    <row r="38" spans="5:30" x14ac:dyDescent="0.25">
      <c r="E38">
        <f t="shared" si="1"/>
        <v>24</v>
      </c>
      <c r="F38" s="2">
        <v>5.33E-2</v>
      </c>
      <c r="G38" s="1">
        <f t="shared" si="2"/>
        <v>505329.64863797842</v>
      </c>
      <c r="H38" s="1">
        <f t="shared" si="3"/>
        <v>83046.716673246439</v>
      </c>
      <c r="I38" s="1">
        <f t="shared" si="4"/>
        <v>588376.36531122483</v>
      </c>
      <c r="J38" s="1">
        <f t="shared" si="5"/>
        <v>18191867.350967221</v>
      </c>
      <c r="L38">
        <f t="shared" si="6"/>
        <v>24</v>
      </c>
      <c r="M38" s="2">
        <v>4.2500000000000003E-2</v>
      </c>
      <c r="N38" s="1">
        <f t="shared" si="0"/>
        <v>1026957.6379974337</v>
      </c>
      <c r="O38" s="1">
        <f t="shared" si="7"/>
        <v>789259.73470261099</v>
      </c>
      <c r="P38" s="1">
        <f t="shared" si="8"/>
        <v>1816217.3727000447</v>
      </c>
      <c r="Q38" s="1">
        <f t="shared" si="9"/>
        <v>221822849.80744565</v>
      </c>
      <c r="S38" s="16"/>
      <c r="W38">
        <f t="shared" si="22"/>
        <v>8</v>
      </c>
      <c r="X38">
        <f t="shared" si="20"/>
        <v>4</v>
      </c>
      <c r="Y38" s="3">
        <f t="shared" si="10"/>
        <v>0.12</v>
      </c>
      <c r="Z38" s="1">
        <f t="shared" si="11"/>
        <v>446428.57142857136</v>
      </c>
      <c r="AA38" s="1">
        <f t="shared" si="12"/>
        <v>40178.57142857142</v>
      </c>
      <c r="AB38" s="1">
        <f t="shared" si="13"/>
        <v>486607.14285714278</v>
      </c>
      <c r="AC38" s="1">
        <f t="shared" si="14"/>
        <v>3571428.5714285709</v>
      </c>
      <c r="AD38" s="1">
        <f t="shared" si="21"/>
        <v>44189479.029180646</v>
      </c>
    </row>
    <row r="39" spans="5:30" x14ac:dyDescent="0.25">
      <c r="E39">
        <f t="shared" si="1"/>
        <v>25</v>
      </c>
      <c r="F39" s="2">
        <v>5.33E-2</v>
      </c>
      <c r="G39" s="1">
        <f t="shared" si="2"/>
        <v>505329.64863797836</v>
      </c>
      <c r="H39" s="1">
        <f t="shared" si="3"/>
        <v>80802.210817212734</v>
      </c>
      <c r="I39" s="1">
        <f t="shared" si="4"/>
        <v>586131.85945519106</v>
      </c>
      <c r="J39" s="1">
        <f t="shared" si="5"/>
        <v>17686537.702329241</v>
      </c>
      <c r="L39">
        <f t="shared" si="6"/>
        <v>25</v>
      </c>
      <c r="M39" s="2">
        <v>4.2500000000000003E-2</v>
      </c>
      <c r="N39" s="1">
        <f t="shared" si="0"/>
        <v>1026957.6379974335</v>
      </c>
      <c r="O39" s="1">
        <f t="shared" si="7"/>
        <v>785622.59306803672</v>
      </c>
      <c r="P39" s="1">
        <f t="shared" si="8"/>
        <v>1812580.2310654703</v>
      </c>
      <c r="Q39" s="1">
        <f t="shared" si="9"/>
        <v>220795892.1694482</v>
      </c>
      <c r="S39" s="16"/>
      <c r="T39" t="s">
        <v>35</v>
      </c>
      <c r="U39" s="1">
        <f>U27</f>
        <v>500000</v>
      </c>
      <c r="W39">
        <f t="shared" si="22"/>
        <v>8</v>
      </c>
      <c r="X39">
        <f t="shared" si="20"/>
        <v>5</v>
      </c>
      <c r="Y39" s="3">
        <f t="shared" si="10"/>
        <v>0.12</v>
      </c>
      <c r="Z39" s="1">
        <f t="shared" si="11"/>
        <v>446428.57142857136</v>
      </c>
      <c r="AA39" s="1">
        <f t="shared" si="12"/>
        <v>35714.28571428571</v>
      </c>
      <c r="AB39" s="1">
        <f t="shared" si="13"/>
        <v>482142.85714285704</v>
      </c>
      <c r="AC39" s="1">
        <f t="shared" si="14"/>
        <v>3124999.9999999995</v>
      </c>
      <c r="AD39" s="1">
        <f t="shared" si="21"/>
        <v>44356462.203543395</v>
      </c>
    </row>
    <row r="40" spans="5:30" x14ac:dyDescent="0.25">
      <c r="E40">
        <f t="shared" si="1"/>
        <v>26</v>
      </c>
      <c r="F40" s="2">
        <v>5.33E-2</v>
      </c>
      <c r="G40" s="1">
        <f t="shared" si="2"/>
        <v>505329.6486379783</v>
      </c>
      <c r="H40" s="1">
        <f t="shared" si="3"/>
        <v>78557.704961179043</v>
      </c>
      <c r="I40" s="1">
        <f t="shared" si="4"/>
        <v>583887.3535991573</v>
      </c>
      <c r="J40" s="1">
        <f t="shared" si="5"/>
        <v>17181208.053691264</v>
      </c>
      <c r="L40">
        <f t="shared" si="6"/>
        <v>26</v>
      </c>
      <c r="M40" s="2">
        <v>4.2500000000000003E-2</v>
      </c>
      <c r="N40" s="1">
        <f t="shared" si="0"/>
        <v>1026957.6379974334</v>
      </c>
      <c r="O40" s="1">
        <f t="shared" si="7"/>
        <v>781985.45143346244</v>
      </c>
      <c r="P40" s="1">
        <f t="shared" si="8"/>
        <v>1808943.0894308959</v>
      </c>
      <c r="Q40" s="1">
        <f t="shared" si="9"/>
        <v>219768934.53145078</v>
      </c>
      <c r="S40" s="16"/>
      <c r="W40">
        <f t="shared" si="22"/>
        <v>8</v>
      </c>
      <c r="X40">
        <f t="shared" si="20"/>
        <v>6</v>
      </c>
      <c r="Y40" s="3">
        <f t="shared" si="10"/>
        <v>0.12</v>
      </c>
      <c r="Z40" s="1">
        <f t="shared" si="11"/>
        <v>446428.57142857136</v>
      </c>
      <c r="AA40" s="1">
        <f t="shared" si="12"/>
        <v>31249.999999999996</v>
      </c>
      <c r="AB40" s="1">
        <f t="shared" si="13"/>
        <v>477678.57142857136</v>
      </c>
      <c r="AC40" s="1">
        <f t="shared" si="14"/>
        <v>2678571.4285714282</v>
      </c>
      <c r="AD40" s="1">
        <f t="shared" si="21"/>
        <v>44524076.373815872</v>
      </c>
    </row>
    <row r="41" spans="5:30" x14ac:dyDescent="0.25">
      <c r="E41">
        <f t="shared" si="1"/>
        <v>27</v>
      </c>
      <c r="F41" s="2">
        <v>5.33E-2</v>
      </c>
      <c r="G41" s="1">
        <f t="shared" si="2"/>
        <v>505329.64863797836</v>
      </c>
      <c r="H41" s="1">
        <f t="shared" si="3"/>
        <v>76313.199105145366</v>
      </c>
      <c r="I41" s="1">
        <f t="shared" si="4"/>
        <v>581642.84774312377</v>
      </c>
      <c r="J41" s="1">
        <f t="shared" si="5"/>
        <v>16675878.405053286</v>
      </c>
      <c r="L41">
        <f t="shared" si="6"/>
        <v>27</v>
      </c>
      <c r="M41" s="2">
        <v>4.2500000000000003E-2</v>
      </c>
      <c r="N41" s="1">
        <f t="shared" si="0"/>
        <v>1026957.6379974335</v>
      </c>
      <c r="O41" s="1">
        <f t="shared" si="7"/>
        <v>778348.30979888828</v>
      </c>
      <c r="P41" s="1">
        <f t="shared" si="8"/>
        <v>1805305.9477963219</v>
      </c>
      <c r="Q41" s="1">
        <f t="shared" si="9"/>
        <v>218741976.89345336</v>
      </c>
      <c r="S41" s="16"/>
      <c r="T41" t="s">
        <v>15</v>
      </c>
      <c r="U41" s="1">
        <f t="shared" ref="U41" si="23">(12*U37*U39)/(12+U37*U35)</f>
        <v>5357142.8571428573</v>
      </c>
      <c r="W41">
        <f t="shared" si="22"/>
        <v>8</v>
      </c>
      <c r="X41">
        <f t="shared" si="20"/>
        <v>7</v>
      </c>
      <c r="Y41" s="3">
        <f t="shared" si="10"/>
        <v>0.12</v>
      </c>
      <c r="Z41" s="1">
        <f t="shared" si="11"/>
        <v>446428.57142857136</v>
      </c>
      <c r="AA41" s="1">
        <f t="shared" si="12"/>
        <v>26785.714285714283</v>
      </c>
      <c r="AB41" s="1">
        <f t="shared" si="13"/>
        <v>473214.28571428562</v>
      </c>
      <c r="AC41" s="1">
        <f t="shared" si="14"/>
        <v>2232142.8571428568</v>
      </c>
      <c r="AD41" s="1">
        <f t="shared" ref="AD41" si="24">-FV($U$12,1,0,AD40-HLOOKUP(W41,$S$23:$U$214,9+((W41-$S$11-1)*12)),1)</f>
        <v>42451889.644269414</v>
      </c>
    </row>
    <row r="42" spans="5:30" x14ac:dyDescent="0.25">
      <c r="E42">
        <f t="shared" si="1"/>
        <v>28</v>
      </c>
      <c r="F42" s="2">
        <v>5.33E-2</v>
      </c>
      <c r="G42" s="1">
        <f t="shared" si="2"/>
        <v>505329.64863797836</v>
      </c>
      <c r="H42" s="1">
        <f t="shared" si="3"/>
        <v>74068.693249111675</v>
      </c>
      <c r="I42" s="1">
        <f t="shared" si="4"/>
        <v>579398.34188709001</v>
      </c>
      <c r="J42" s="1">
        <f t="shared" si="5"/>
        <v>16170548.756415308</v>
      </c>
      <c r="L42">
        <f t="shared" si="6"/>
        <v>28</v>
      </c>
      <c r="M42" s="2">
        <v>4.2500000000000003E-2</v>
      </c>
      <c r="N42" s="1">
        <f t="shared" si="0"/>
        <v>1026957.6379974337</v>
      </c>
      <c r="O42" s="1">
        <f t="shared" si="7"/>
        <v>774711.168164314</v>
      </c>
      <c r="P42" s="1">
        <f t="shared" si="8"/>
        <v>1801668.8061617478</v>
      </c>
      <c r="Q42" s="1">
        <f t="shared" si="9"/>
        <v>217715019.25545591</v>
      </c>
      <c r="S42" s="16"/>
      <c r="W42">
        <f t="shared" si="22"/>
        <v>8</v>
      </c>
      <c r="X42">
        <f t="shared" si="20"/>
        <v>8</v>
      </c>
      <c r="Y42" s="3">
        <f t="shared" si="10"/>
        <v>0.12</v>
      </c>
      <c r="Z42" s="1">
        <f t="shared" si="11"/>
        <v>446428.57142857136</v>
      </c>
      <c r="AA42" s="1">
        <f t="shared" si="12"/>
        <v>22321.428571428569</v>
      </c>
      <c r="AB42" s="1">
        <f t="shared" si="13"/>
        <v>468749.99999999994</v>
      </c>
      <c r="AC42" s="1">
        <f t="shared" si="14"/>
        <v>1785714.2857142854</v>
      </c>
      <c r="AD42" s="1">
        <f t="shared" ref="AD42:AD105" si="25">-FV($U$12,1,0,AD41,1)</f>
        <v>42612306.817004494</v>
      </c>
    </row>
    <row r="43" spans="5:30" x14ac:dyDescent="0.25">
      <c r="E43">
        <f t="shared" si="1"/>
        <v>29</v>
      </c>
      <c r="F43" s="2">
        <v>5.33E-2</v>
      </c>
      <c r="G43" s="1">
        <f t="shared" si="2"/>
        <v>505329.64863797836</v>
      </c>
      <c r="H43" s="1">
        <f t="shared" si="3"/>
        <v>71824.187393077984</v>
      </c>
      <c r="I43" s="1">
        <f t="shared" si="4"/>
        <v>577153.83603105636</v>
      </c>
      <c r="J43" s="1">
        <f t="shared" si="5"/>
        <v>15665219.107777329</v>
      </c>
      <c r="L43">
        <f t="shared" si="6"/>
        <v>29</v>
      </c>
      <c r="M43" s="2">
        <v>4.2500000000000003E-2</v>
      </c>
      <c r="N43" s="1">
        <f t="shared" si="0"/>
        <v>1026957.6379974335</v>
      </c>
      <c r="O43" s="1">
        <f t="shared" si="7"/>
        <v>771074.02652973973</v>
      </c>
      <c r="P43" s="1">
        <f t="shared" si="8"/>
        <v>1798031.6645271732</v>
      </c>
      <c r="Q43" s="1">
        <f t="shared" si="9"/>
        <v>216688061.61745846</v>
      </c>
      <c r="S43" s="16"/>
      <c r="T43" t="s">
        <v>46</v>
      </c>
      <c r="U43" s="1">
        <f>ROUNDUP($T$4*1000*(1+$T$2)^(S35-$S$11),-3)*6</f>
        <v>2232000</v>
      </c>
      <c r="W43">
        <f t="shared" si="22"/>
        <v>8</v>
      </c>
      <c r="X43">
        <f t="shared" si="20"/>
        <v>9</v>
      </c>
      <c r="Y43" s="3">
        <f t="shared" si="10"/>
        <v>0.12</v>
      </c>
      <c r="Z43" s="1">
        <f t="shared" si="11"/>
        <v>446428.57142857136</v>
      </c>
      <c r="AA43" s="1">
        <f t="shared" si="12"/>
        <v>17857.142857142855</v>
      </c>
      <c r="AB43" s="1">
        <f t="shared" si="13"/>
        <v>464285.7142857142</v>
      </c>
      <c r="AC43" s="1">
        <f t="shared" si="14"/>
        <v>1339285.7142857141</v>
      </c>
      <c r="AD43" s="1">
        <f t="shared" si="25"/>
        <v>42773330.174046658</v>
      </c>
    </row>
    <row r="44" spans="5:30" x14ac:dyDescent="0.25">
      <c r="E44">
        <f t="shared" si="1"/>
        <v>30</v>
      </c>
      <c r="F44" s="2">
        <v>5.33E-2</v>
      </c>
      <c r="G44" s="1">
        <f t="shared" si="2"/>
        <v>505329.64863797836</v>
      </c>
      <c r="H44" s="1">
        <f t="shared" si="3"/>
        <v>69579.681537044307</v>
      </c>
      <c r="I44" s="1">
        <f t="shared" si="4"/>
        <v>574909.33017502271</v>
      </c>
      <c r="J44" s="1">
        <f t="shared" si="5"/>
        <v>15159889.459139351</v>
      </c>
      <c r="L44">
        <f t="shared" si="6"/>
        <v>30</v>
      </c>
      <c r="M44" s="2">
        <v>4.2500000000000003E-2</v>
      </c>
      <c r="N44" s="1">
        <f t="shared" si="0"/>
        <v>1026957.6379974334</v>
      </c>
      <c r="O44" s="1">
        <f t="shared" si="7"/>
        <v>767436.88489516545</v>
      </c>
      <c r="P44" s="1">
        <f t="shared" si="8"/>
        <v>1794394.522892599</v>
      </c>
      <c r="Q44" s="1">
        <f t="shared" si="9"/>
        <v>215661103.97946104</v>
      </c>
      <c r="S44" s="16"/>
      <c r="W44">
        <f t="shared" si="22"/>
        <v>8</v>
      </c>
      <c r="X44">
        <f t="shared" si="20"/>
        <v>10</v>
      </c>
      <c r="Y44" s="3">
        <f t="shared" si="10"/>
        <v>0.12</v>
      </c>
      <c r="Z44" s="1">
        <f t="shared" si="11"/>
        <v>446428.57142857136</v>
      </c>
      <c r="AA44" s="1">
        <f t="shared" si="12"/>
        <v>13392.857142857141</v>
      </c>
      <c r="AB44" s="1">
        <f t="shared" si="13"/>
        <v>459821.42857142852</v>
      </c>
      <c r="AC44" s="1">
        <f t="shared" si="14"/>
        <v>892857.14285714272</v>
      </c>
      <c r="AD44" s="1">
        <f t="shared" si="25"/>
        <v>42934962.006044768</v>
      </c>
    </row>
    <row r="45" spans="5:30" x14ac:dyDescent="0.25">
      <c r="E45">
        <f t="shared" si="1"/>
        <v>31</v>
      </c>
      <c r="F45" s="2">
        <v>5.33E-2</v>
      </c>
      <c r="G45" s="1">
        <f t="shared" si="2"/>
        <v>505329.64863797836</v>
      </c>
      <c r="H45" s="1">
        <f t="shared" si="3"/>
        <v>67335.175681010616</v>
      </c>
      <c r="I45" s="1">
        <f t="shared" si="4"/>
        <v>572664.82431898895</v>
      </c>
      <c r="J45" s="1">
        <f t="shared" si="5"/>
        <v>14654559.810501372</v>
      </c>
      <c r="L45">
        <f t="shared" si="6"/>
        <v>31</v>
      </c>
      <c r="M45" s="2">
        <v>4.2500000000000003E-2</v>
      </c>
      <c r="N45" s="1">
        <f t="shared" si="0"/>
        <v>1026957.6379974335</v>
      </c>
      <c r="O45" s="1">
        <f t="shared" si="7"/>
        <v>763799.74326059129</v>
      </c>
      <c r="P45" s="1">
        <f t="shared" si="8"/>
        <v>1790757.3812580248</v>
      </c>
      <c r="Q45" s="1">
        <f t="shared" si="9"/>
        <v>214634146.34146363</v>
      </c>
      <c r="S45" s="16"/>
      <c r="T45" t="s">
        <v>47</v>
      </c>
      <c r="U45" s="1">
        <f t="shared" ref="U45" si="26">U43*2</f>
        <v>4464000</v>
      </c>
      <c r="W45">
        <f t="shared" si="22"/>
        <v>8</v>
      </c>
      <c r="X45">
        <f t="shared" si="20"/>
        <v>11</v>
      </c>
      <c r="Y45" s="3">
        <f t="shared" si="10"/>
        <v>0.12</v>
      </c>
      <c r="Z45" s="1">
        <f t="shared" si="11"/>
        <v>446428.57142857136</v>
      </c>
      <c r="AA45" s="1">
        <f t="shared" si="12"/>
        <v>8928.5714285714275</v>
      </c>
      <c r="AB45" s="1">
        <f t="shared" si="13"/>
        <v>455357.14285714278</v>
      </c>
      <c r="AC45" s="1">
        <f t="shared" si="14"/>
        <v>446428.57142857136</v>
      </c>
      <c r="AD45" s="1">
        <f t="shared" si="25"/>
        <v>43097204.612303585</v>
      </c>
    </row>
    <row r="46" spans="5:30" x14ac:dyDescent="0.25">
      <c r="E46">
        <f t="shared" si="1"/>
        <v>32</v>
      </c>
      <c r="F46" s="2">
        <v>5.33E-2</v>
      </c>
      <c r="G46" s="1">
        <f t="shared" si="2"/>
        <v>505329.64863797836</v>
      </c>
      <c r="H46" s="1">
        <f t="shared" si="3"/>
        <v>65090.669824976932</v>
      </c>
      <c r="I46" s="1">
        <f t="shared" si="4"/>
        <v>570420.3184629553</v>
      </c>
      <c r="J46" s="1">
        <f t="shared" si="5"/>
        <v>14149230.161863394</v>
      </c>
      <c r="L46">
        <f t="shared" si="6"/>
        <v>32</v>
      </c>
      <c r="M46" s="2">
        <v>4.2500000000000003E-2</v>
      </c>
      <c r="N46" s="1">
        <f t="shared" si="0"/>
        <v>1026957.6379974337</v>
      </c>
      <c r="O46" s="1">
        <f t="shared" si="7"/>
        <v>760162.60162601701</v>
      </c>
      <c r="P46" s="1">
        <f t="shared" si="8"/>
        <v>1787120.2396234507</v>
      </c>
      <c r="Q46" s="1">
        <f t="shared" si="9"/>
        <v>213607188.70346618</v>
      </c>
      <c r="S46" s="16"/>
      <c r="W46">
        <f t="shared" si="22"/>
        <v>8</v>
      </c>
      <c r="X46">
        <f t="shared" si="20"/>
        <v>12</v>
      </c>
      <c r="Y46" s="3">
        <f t="shared" si="10"/>
        <v>0.12</v>
      </c>
      <c r="Z46" s="1">
        <f t="shared" si="11"/>
        <v>446428.57142857136</v>
      </c>
      <c r="AA46" s="1">
        <f t="shared" si="12"/>
        <v>4464.2857142857138</v>
      </c>
      <c r="AB46" s="1">
        <f t="shared" si="13"/>
        <v>450892.8571428571</v>
      </c>
      <c r="AC46" s="1">
        <f t="shared" si="14"/>
        <v>5357142.8571428573</v>
      </c>
      <c r="AD46" s="1">
        <f t="shared" si="25"/>
        <v>43260060.300816484</v>
      </c>
    </row>
    <row r="47" spans="5:30" x14ac:dyDescent="0.25">
      <c r="E47">
        <f t="shared" si="1"/>
        <v>33</v>
      </c>
      <c r="F47" s="2">
        <v>5.33E-2</v>
      </c>
      <c r="G47" s="1">
        <f t="shared" si="2"/>
        <v>505329.64863797836</v>
      </c>
      <c r="H47" s="1">
        <f t="shared" si="3"/>
        <v>62846.163968943241</v>
      </c>
      <c r="I47" s="1">
        <f t="shared" si="4"/>
        <v>568175.81260692165</v>
      </c>
      <c r="J47" s="1">
        <f t="shared" si="5"/>
        <v>13643900.513225416</v>
      </c>
      <c r="L47">
        <f t="shared" si="6"/>
        <v>33</v>
      </c>
      <c r="M47" s="2">
        <v>4.2500000000000003E-2</v>
      </c>
      <c r="N47" s="1">
        <f t="shared" ref="N47:N74" si="27">IFERROR(Q46/($M$10+1-L47),0)</f>
        <v>1026957.6379974335</v>
      </c>
      <c r="O47" s="1">
        <f t="shared" si="7"/>
        <v>756525.45999144274</v>
      </c>
      <c r="P47" s="1">
        <f t="shared" si="8"/>
        <v>1783483.0979888763</v>
      </c>
      <c r="Q47" s="1">
        <f t="shared" si="9"/>
        <v>212580231.06546873</v>
      </c>
      <c r="S47" s="16">
        <v>9</v>
      </c>
      <c r="T47" t="s">
        <v>45</v>
      </c>
      <c r="U47" s="5">
        <f>12%</f>
        <v>0.12</v>
      </c>
      <c r="W47">
        <f t="shared" ref="W47" si="28">W35+1</f>
        <v>9</v>
      </c>
      <c r="X47">
        <f t="shared" si="20"/>
        <v>1</v>
      </c>
      <c r="Y47" s="3">
        <f t="shared" si="10"/>
        <v>0.12</v>
      </c>
      <c r="Z47" s="1">
        <f t="shared" si="11"/>
        <v>446428.57142857142</v>
      </c>
      <c r="AA47" s="1">
        <f t="shared" si="12"/>
        <v>53571.428571428572</v>
      </c>
      <c r="AB47" s="1">
        <f t="shared" si="13"/>
        <v>500000</v>
      </c>
      <c r="AC47" s="1">
        <f t="shared" si="14"/>
        <v>4910714.2857142854</v>
      </c>
      <c r="AD47" s="1">
        <f t="shared" ref="AD47" si="29">-FV($U$12,1,0,AD46+AC46-HLOOKUP(W47,$S$23:$U$214,9+((W47-$S$11-1)*12)),1)</f>
        <v>46494234.132462613</v>
      </c>
    </row>
    <row r="48" spans="5:30" x14ac:dyDescent="0.25">
      <c r="E48">
        <f t="shared" si="1"/>
        <v>34</v>
      </c>
      <c r="F48" s="2">
        <v>5.33E-2</v>
      </c>
      <c r="G48" s="1">
        <f t="shared" si="2"/>
        <v>505329.64863797836</v>
      </c>
      <c r="H48" s="1">
        <f t="shared" si="3"/>
        <v>60601.658112909558</v>
      </c>
      <c r="I48" s="1">
        <f t="shared" si="4"/>
        <v>565931.30675088789</v>
      </c>
      <c r="J48" s="1">
        <f t="shared" si="5"/>
        <v>13138570.864587437</v>
      </c>
      <c r="L48">
        <f t="shared" si="6"/>
        <v>34</v>
      </c>
      <c r="M48" s="2">
        <v>4.2500000000000003E-2</v>
      </c>
      <c r="N48" s="1">
        <f t="shared" si="27"/>
        <v>1026957.6379974334</v>
      </c>
      <c r="O48" s="1">
        <f t="shared" si="7"/>
        <v>752888.31835686846</v>
      </c>
      <c r="P48" s="1">
        <f t="shared" si="8"/>
        <v>1779845.9563543019</v>
      </c>
      <c r="Q48" s="1">
        <f t="shared" si="9"/>
        <v>211553273.42747131</v>
      </c>
      <c r="S48" s="16"/>
      <c r="T48" t="s">
        <v>43</v>
      </c>
      <c r="U48">
        <f t="shared" ref="U48" si="30">U49/12</f>
        <v>1</v>
      </c>
      <c r="W48">
        <f t="shared" ref="W48:W111" si="31">W47</f>
        <v>9</v>
      </c>
      <c r="X48">
        <f t="shared" si="20"/>
        <v>2</v>
      </c>
      <c r="Y48" s="3">
        <f t="shared" si="10"/>
        <v>0.12</v>
      </c>
      <c r="Z48" s="1">
        <f t="shared" si="11"/>
        <v>446428.57142857142</v>
      </c>
      <c r="AA48" s="1">
        <f t="shared" si="12"/>
        <v>49107.142857142855</v>
      </c>
      <c r="AB48" s="1">
        <f t="shared" si="13"/>
        <v>495535.71428571426</v>
      </c>
      <c r="AC48" s="1">
        <f t="shared" si="14"/>
        <v>4464285.7142857136</v>
      </c>
      <c r="AD48" s="1">
        <f t="shared" ref="AD48" si="32">-FV($U$12,1,0,AD47,1)</f>
        <v>46669926.513897493</v>
      </c>
    </row>
    <row r="49" spans="5:30" x14ac:dyDescent="0.25">
      <c r="E49">
        <f t="shared" si="1"/>
        <v>35</v>
      </c>
      <c r="F49" s="2">
        <v>5.33E-2</v>
      </c>
      <c r="G49" s="1">
        <f t="shared" si="2"/>
        <v>505329.64863797836</v>
      </c>
      <c r="H49" s="1">
        <f t="shared" si="3"/>
        <v>58357.152256875866</v>
      </c>
      <c r="I49" s="1">
        <f t="shared" si="4"/>
        <v>563686.80089485424</v>
      </c>
      <c r="J49" s="1">
        <f t="shared" si="5"/>
        <v>12633241.215949459</v>
      </c>
      <c r="L49">
        <f t="shared" si="6"/>
        <v>35</v>
      </c>
      <c r="M49" s="2">
        <v>4.2500000000000003E-2</v>
      </c>
      <c r="N49" s="1">
        <f t="shared" si="27"/>
        <v>1026957.6379974335</v>
      </c>
      <c r="O49" s="1">
        <f t="shared" si="7"/>
        <v>749251.1767222943</v>
      </c>
      <c r="P49" s="1">
        <f t="shared" si="8"/>
        <v>1776208.8147197277</v>
      </c>
      <c r="Q49" s="1">
        <f t="shared" si="9"/>
        <v>210526315.78947389</v>
      </c>
      <c r="S49" s="16"/>
      <c r="T49" t="s">
        <v>44</v>
      </c>
      <c r="U49">
        <f>12</f>
        <v>12</v>
      </c>
      <c r="W49">
        <f t="shared" si="31"/>
        <v>9</v>
      </c>
      <c r="X49">
        <f t="shared" si="20"/>
        <v>3</v>
      </c>
      <c r="Y49" s="3">
        <f t="shared" si="10"/>
        <v>0.12</v>
      </c>
      <c r="Z49" s="1">
        <f t="shared" si="11"/>
        <v>446428.57142857136</v>
      </c>
      <c r="AA49" s="1">
        <f t="shared" si="12"/>
        <v>44642.857142857138</v>
      </c>
      <c r="AB49" s="1">
        <f t="shared" si="13"/>
        <v>491071.42857142852</v>
      </c>
      <c r="AC49" s="1">
        <f t="shared" si="14"/>
        <v>4017857.1428571423</v>
      </c>
      <c r="AD49" s="1">
        <f t="shared" si="21"/>
        <v>46846282.801588073</v>
      </c>
    </row>
    <row r="50" spans="5:30" x14ac:dyDescent="0.25">
      <c r="E50">
        <f t="shared" si="1"/>
        <v>36</v>
      </c>
      <c r="F50" s="2">
        <v>5.33E-2</v>
      </c>
      <c r="G50" s="1">
        <f t="shared" si="2"/>
        <v>505329.64863797836</v>
      </c>
      <c r="H50" s="1">
        <f t="shared" si="3"/>
        <v>56112.646400842183</v>
      </c>
      <c r="I50" s="1">
        <f t="shared" si="4"/>
        <v>561442.29503882059</v>
      </c>
      <c r="J50" s="1">
        <f t="shared" si="5"/>
        <v>12127911.567311481</v>
      </c>
      <c r="L50">
        <f t="shared" si="6"/>
        <v>36</v>
      </c>
      <c r="M50" s="2">
        <v>4.2500000000000003E-2</v>
      </c>
      <c r="N50" s="1">
        <f t="shared" si="27"/>
        <v>1026957.6379974337</v>
      </c>
      <c r="O50" s="1">
        <f t="shared" si="7"/>
        <v>745614.03508772014</v>
      </c>
      <c r="P50" s="1">
        <f t="shared" si="8"/>
        <v>1772571.6730851538</v>
      </c>
      <c r="Q50" s="1">
        <f t="shared" si="9"/>
        <v>209499358.15147644</v>
      </c>
      <c r="S50" s="16"/>
      <c r="W50">
        <f t="shared" si="31"/>
        <v>9</v>
      </c>
      <c r="X50">
        <f t="shared" si="20"/>
        <v>4</v>
      </c>
      <c r="Y50" s="3">
        <f t="shared" si="10"/>
        <v>0.12</v>
      </c>
      <c r="Z50" s="1">
        <f t="shared" si="11"/>
        <v>446428.57142857136</v>
      </c>
      <c r="AA50" s="1">
        <f t="shared" si="12"/>
        <v>40178.57142857142</v>
      </c>
      <c r="AB50" s="1">
        <f t="shared" si="13"/>
        <v>486607.14285714278</v>
      </c>
      <c r="AC50" s="1">
        <f t="shared" si="14"/>
        <v>3571428.5714285709</v>
      </c>
      <c r="AD50" s="1">
        <f t="shared" si="21"/>
        <v>47023305.504302867</v>
      </c>
    </row>
    <row r="51" spans="5:30" x14ac:dyDescent="0.25">
      <c r="E51">
        <f t="shared" si="1"/>
        <v>37</v>
      </c>
      <c r="F51" s="2">
        <v>6.7699999999999996E-2</v>
      </c>
      <c r="G51" s="1">
        <f t="shared" si="2"/>
        <v>505329.64863797836</v>
      </c>
      <c r="H51" s="1">
        <f t="shared" si="3"/>
        <v>68421.634425582262</v>
      </c>
      <c r="I51" s="1">
        <f t="shared" si="4"/>
        <v>573751.28306356061</v>
      </c>
      <c r="J51" s="1">
        <f t="shared" si="5"/>
        <v>11622581.918673502</v>
      </c>
      <c r="L51">
        <f t="shared" si="6"/>
        <v>37</v>
      </c>
      <c r="M51" s="2">
        <v>7.5499999999999998E-2</v>
      </c>
      <c r="N51" s="1">
        <f t="shared" si="27"/>
        <v>1026957.6379974335</v>
      </c>
      <c r="O51" s="1">
        <f t="shared" si="7"/>
        <v>1318100.128369706</v>
      </c>
      <c r="P51" s="1">
        <f t="shared" si="8"/>
        <v>2345057.7663671393</v>
      </c>
      <c r="Q51" s="1">
        <f t="shared" si="9"/>
        <v>208472400.51347899</v>
      </c>
      <c r="S51" s="16"/>
      <c r="T51" t="s">
        <v>35</v>
      </c>
      <c r="U51" s="1">
        <f>U39</f>
        <v>500000</v>
      </c>
      <c r="W51">
        <f t="shared" si="31"/>
        <v>9</v>
      </c>
      <c r="X51">
        <f t="shared" si="20"/>
        <v>5</v>
      </c>
      <c r="Y51" s="3">
        <f t="shared" si="10"/>
        <v>0.12</v>
      </c>
      <c r="Z51" s="1">
        <f t="shared" si="11"/>
        <v>446428.57142857136</v>
      </c>
      <c r="AA51" s="1">
        <f t="shared" si="12"/>
        <v>35714.28571428571</v>
      </c>
      <c r="AB51" s="1">
        <f t="shared" si="13"/>
        <v>482142.85714285704</v>
      </c>
      <c r="AC51" s="1">
        <f t="shared" si="14"/>
        <v>3124999.9999999995</v>
      </c>
      <c r="AD51" s="1">
        <f t="shared" si="21"/>
        <v>47200997.140290536</v>
      </c>
    </row>
    <row r="52" spans="5:30" x14ac:dyDescent="0.25">
      <c r="E52">
        <f t="shared" si="1"/>
        <v>38</v>
      </c>
      <c r="F52" s="2">
        <v>6.7699999999999996E-2</v>
      </c>
      <c r="G52" s="1">
        <f t="shared" si="2"/>
        <v>505329.64863797836</v>
      </c>
      <c r="H52" s="1">
        <f t="shared" si="3"/>
        <v>65570.732991183002</v>
      </c>
      <c r="I52" s="1">
        <f t="shared" si="4"/>
        <v>570900.3816291613</v>
      </c>
      <c r="J52" s="1">
        <f t="shared" si="5"/>
        <v>11117252.270035524</v>
      </c>
      <c r="L52">
        <f t="shared" si="6"/>
        <v>38</v>
      </c>
      <c r="M52" s="2">
        <v>7.5499999999999998E-2</v>
      </c>
      <c r="N52" s="1">
        <f t="shared" si="27"/>
        <v>1026957.6379974334</v>
      </c>
      <c r="O52" s="1">
        <f t="shared" si="7"/>
        <v>1311638.8532306387</v>
      </c>
      <c r="P52" s="1">
        <f t="shared" si="8"/>
        <v>2338596.491228072</v>
      </c>
      <c r="Q52" s="1">
        <f t="shared" si="9"/>
        <v>207445442.87548158</v>
      </c>
      <c r="S52" s="16"/>
      <c r="W52">
        <f t="shared" si="31"/>
        <v>9</v>
      </c>
      <c r="X52">
        <f t="shared" si="20"/>
        <v>6</v>
      </c>
      <c r="Y52" s="3">
        <f t="shared" si="10"/>
        <v>0.12</v>
      </c>
      <c r="Z52" s="1">
        <f t="shared" si="11"/>
        <v>446428.57142857136</v>
      </c>
      <c r="AA52" s="1">
        <f t="shared" si="12"/>
        <v>31249.999999999996</v>
      </c>
      <c r="AB52" s="1">
        <f t="shared" si="13"/>
        <v>477678.57142857136</v>
      </c>
      <c r="AC52" s="1">
        <f t="shared" si="14"/>
        <v>2678571.4285714282</v>
      </c>
      <c r="AD52" s="1">
        <f t="shared" si="21"/>
        <v>47379360.237315692</v>
      </c>
    </row>
    <row r="53" spans="5:30" x14ac:dyDescent="0.25">
      <c r="E53">
        <f t="shared" si="1"/>
        <v>39</v>
      </c>
      <c r="F53" s="2">
        <v>6.7699999999999996E-2</v>
      </c>
      <c r="G53" s="1">
        <f t="shared" si="2"/>
        <v>505329.64863797836</v>
      </c>
      <c r="H53" s="1">
        <f t="shared" si="3"/>
        <v>62719.831556783742</v>
      </c>
      <c r="I53" s="1">
        <f t="shared" si="4"/>
        <v>568049.48019476212</v>
      </c>
      <c r="J53" s="1">
        <f t="shared" si="5"/>
        <v>10611922.621397546</v>
      </c>
      <c r="L53">
        <f t="shared" si="6"/>
        <v>39</v>
      </c>
      <c r="M53" s="2">
        <v>7.5499999999999998E-2</v>
      </c>
      <c r="N53" s="1">
        <f t="shared" si="27"/>
        <v>1026957.6379974335</v>
      </c>
      <c r="O53" s="1">
        <f t="shared" si="7"/>
        <v>1305177.5780915716</v>
      </c>
      <c r="P53" s="1">
        <f t="shared" si="8"/>
        <v>2332135.2160890051</v>
      </c>
      <c r="Q53" s="1">
        <f t="shared" si="9"/>
        <v>206418485.23748416</v>
      </c>
      <c r="S53" s="16"/>
      <c r="T53" t="s">
        <v>15</v>
      </c>
      <c r="U53" s="1">
        <f t="shared" ref="U53:U113" si="33">(12*U49*U51)/(12+U49*U47)</f>
        <v>5357142.8571428573</v>
      </c>
      <c r="W53">
        <f t="shared" si="31"/>
        <v>9</v>
      </c>
      <c r="X53">
        <f t="shared" si="20"/>
        <v>7</v>
      </c>
      <c r="Y53" s="3">
        <f t="shared" si="10"/>
        <v>0.12</v>
      </c>
      <c r="Z53" s="1">
        <f t="shared" si="11"/>
        <v>446428.57142857136</v>
      </c>
      <c r="AA53" s="1">
        <f t="shared" si="12"/>
        <v>26785.714285714283</v>
      </c>
      <c r="AB53" s="1">
        <f t="shared" si="13"/>
        <v>473214.28571428562</v>
      </c>
      <c r="AC53" s="1">
        <f t="shared" si="14"/>
        <v>2232142.8571428568</v>
      </c>
      <c r="AD53" s="1">
        <f t="shared" ref="AD53" si="34">-FV($U$12,1,0,AD52-HLOOKUP(W53,$S$23:$U$214,9+((W53-$S$11-1)*12)),1)</f>
        <v>45251713.651802585</v>
      </c>
    </row>
    <row r="54" spans="5:30" x14ac:dyDescent="0.25">
      <c r="E54">
        <f t="shared" si="1"/>
        <v>40</v>
      </c>
      <c r="F54" s="2">
        <v>6.7699999999999996E-2</v>
      </c>
      <c r="G54" s="1">
        <f t="shared" si="2"/>
        <v>505329.64863797836</v>
      </c>
      <c r="H54" s="1">
        <f t="shared" si="3"/>
        <v>59868.930122384481</v>
      </c>
      <c r="I54" s="1">
        <f t="shared" si="4"/>
        <v>565198.57876036281</v>
      </c>
      <c r="J54" s="1">
        <f t="shared" si="5"/>
        <v>10106592.972759567</v>
      </c>
      <c r="L54">
        <f t="shared" si="6"/>
        <v>40</v>
      </c>
      <c r="M54" s="2">
        <v>7.5499999999999998E-2</v>
      </c>
      <c r="N54" s="1">
        <f t="shared" si="27"/>
        <v>1026957.6379974337</v>
      </c>
      <c r="O54" s="1">
        <f t="shared" si="7"/>
        <v>1298716.3029525045</v>
      </c>
      <c r="P54" s="1">
        <f t="shared" si="8"/>
        <v>2325673.9409499383</v>
      </c>
      <c r="Q54" s="1">
        <f t="shared" si="9"/>
        <v>205391527.59948671</v>
      </c>
      <c r="S54" s="16"/>
      <c r="W54">
        <f t="shared" si="31"/>
        <v>9</v>
      </c>
      <c r="X54">
        <f t="shared" si="20"/>
        <v>8</v>
      </c>
      <c r="Y54" s="3">
        <f t="shared" si="10"/>
        <v>0.12</v>
      </c>
      <c r="Z54" s="1">
        <f t="shared" si="11"/>
        <v>446428.57142857136</v>
      </c>
      <c r="AA54" s="1">
        <f t="shared" si="12"/>
        <v>22321.428571428569</v>
      </c>
      <c r="AB54" s="1">
        <f t="shared" si="13"/>
        <v>468749.99999999994</v>
      </c>
      <c r="AC54" s="1">
        <f t="shared" si="14"/>
        <v>1785714.2857142854</v>
      </c>
      <c r="AD54" s="1">
        <f t="shared" ref="AD54" si="35">-FV($U$12,1,0,AD53,1)</f>
        <v>45422710.797660366</v>
      </c>
    </row>
    <row r="55" spans="5:30" x14ac:dyDescent="0.25">
      <c r="E55">
        <f t="shared" si="1"/>
        <v>41</v>
      </c>
      <c r="F55" s="2">
        <v>6.7699999999999996E-2</v>
      </c>
      <c r="G55" s="1">
        <f t="shared" si="2"/>
        <v>505329.64863797836</v>
      </c>
      <c r="H55" s="1">
        <f t="shared" si="3"/>
        <v>57018.028687985221</v>
      </c>
      <c r="I55" s="1">
        <f t="shared" si="4"/>
        <v>562347.67732596362</v>
      </c>
      <c r="J55" s="1">
        <f t="shared" si="5"/>
        <v>9601263.3241215888</v>
      </c>
      <c r="L55">
        <f t="shared" si="6"/>
        <v>41</v>
      </c>
      <c r="M55" s="2">
        <v>7.5499999999999998E-2</v>
      </c>
      <c r="N55" s="1">
        <f t="shared" si="27"/>
        <v>1026957.6379974335</v>
      </c>
      <c r="O55" s="1">
        <f t="shared" si="7"/>
        <v>1292255.0278134372</v>
      </c>
      <c r="P55" s="1">
        <f t="shared" si="8"/>
        <v>2319212.6658108709</v>
      </c>
      <c r="Q55" s="1">
        <f t="shared" si="9"/>
        <v>204364569.96148926</v>
      </c>
      <c r="S55" s="16"/>
      <c r="T55" t="s">
        <v>46</v>
      </c>
      <c r="U55" s="1">
        <f t="shared" ref="U55" si="36">ROUNDUP($T$4*1000*(1+$T$2)^(S47-$S$11),-3)*6</f>
        <v>2298000</v>
      </c>
      <c r="W55">
        <f t="shared" si="31"/>
        <v>9</v>
      </c>
      <c r="X55">
        <f t="shared" si="20"/>
        <v>9</v>
      </c>
      <c r="Y55" s="3">
        <f t="shared" si="10"/>
        <v>0.12</v>
      </c>
      <c r="Z55" s="1">
        <f t="shared" si="11"/>
        <v>446428.57142857136</v>
      </c>
      <c r="AA55" s="1">
        <f t="shared" si="12"/>
        <v>17857.142857142855</v>
      </c>
      <c r="AB55" s="1">
        <f t="shared" si="13"/>
        <v>464285.7142857142</v>
      </c>
      <c r="AC55" s="1">
        <f t="shared" si="14"/>
        <v>1339285.7142857141</v>
      </c>
      <c r="AD55" s="1">
        <f t="shared" si="25"/>
        <v>45594354.107420728</v>
      </c>
    </row>
    <row r="56" spans="5:30" x14ac:dyDescent="0.25">
      <c r="E56">
        <f>E55+1</f>
        <v>42</v>
      </c>
      <c r="F56" s="2">
        <v>6.7699999999999996E-2</v>
      </c>
      <c r="G56" s="1">
        <f t="shared" si="2"/>
        <v>505329.64863797836</v>
      </c>
      <c r="H56" s="1">
        <f t="shared" si="3"/>
        <v>54167.127253585961</v>
      </c>
      <c r="I56" s="1">
        <f t="shared" si="4"/>
        <v>559496.77589156432</v>
      </c>
      <c r="J56" s="1">
        <f t="shared" si="5"/>
        <v>9095933.6754836105</v>
      </c>
      <c r="L56">
        <f>L55+1</f>
        <v>42</v>
      </c>
      <c r="M56" s="2">
        <v>7.5499999999999998E-2</v>
      </c>
      <c r="N56" s="1">
        <f t="shared" si="27"/>
        <v>1026957.6379974334</v>
      </c>
      <c r="O56" s="1">
        <f t="shared" si="7"/>
        <v>1285793.7526743698</v>
      </c>
      <c r="P56" s="1">
        <f t="shared" si="8"/>
        <v>2312751.3906718032</v>
      </c>
      <c r="Q56" s="1">
        <f t="shared" si="9"/>
        <v>203337612.32349184</v>
      </c>
      <c r="S56" s="16"/>
      <c r="W56">
        <f t="shared" si="31"/>
        <v>9</v>
      </c>
      <c r="X56">
        <f t="shared" si="20"/>
        <v>10</v>
      </c>
      <c r="Y56" s="3">
        <f t="shared" si="10"/>
        <v>0.12</v>
      </c>
      <c r="Z56" s="1">
        <f t="shared" si="11"/>
        <v>446428.57142857136</v>
      </c>
      <c r="AA56" s="1">
        <f t="shared" si="12"/>
        <v>13392.857142857141</v>
      </c>
      <c r="AB56" s="1">
        <f t="shared" si="13"/>
        <v>459821.42857142852</v>
      </c>
      <c r="AC56" s="1">
        <f t="shared" si="14"/>
        <v>892857.14285714272</v>
      </c>
      <c r="AD56" s="1">
        <f t="shared" si="25"/>
        <v>45766646.022807397</v>
      </c>
    </row>
    <row r="57" spans="5:30" x14ac:dyDescent="0.25">
      <c r="E57">
        <f t="shared" si="1"/>
        <v>43</v>
      </c>
      <c r="F57" s="2">
        <v>6.7699999999999996E-2</v>
      </c>
      <c r="G57" s="1">
        <f t="shared" si="2"/>
        <v>505329.64863797836</v>
      </c>
      <c r="H57" s="1">
        <f t="shared" si="3"/>
        <v>51316.2258191867</v>
      </c>
      <c r="I57" s="1">
        <f t="shared" si="4"/>
        <v>556645.87445716502</v>
      </c>
      <c r="J57" s="1">
        <f t="shared" si="5"/>
        <v>8590604.0268456321</v>
      </c>
      <c r="L57">
        <f t="shared" ref="L57:L67" si="37">L56+1</f>
        <v>43</v>
      </c>
      <c r="M57" s="2">
        <v>7.5499999999999998E-2</v>
      </c>
      <c r="N57" s="1">
        <f t="shared" si="27"/>
        <v>1026957.6379974335</v>
      </c>
      <c r="O57" s="1">
        <f t="shared" si="7"/>
        <v>1279332.4775353028</v>
      </c>
      <c r="P57" s="1">
        <f t="shared" si="8"/>
        <v>2306290.1155327363</v>
      </c>
      <c r="Q57" s="1">
        <f t="shared" si="9"/>
        <v>202310654.68549442</v>
      </c>
      <c r="S57" s="16"/>
      <c r="T57" t="s">
        <v>47</v>
      </c>
      <c r="U57" s="1">
        <f t="shared" ref="U57:U117" si="38">U55*2</f>
        <v>4596000</v>
      </c>
      <c r="W57">
        <f t="shared" si="31"/>
        <v>9</v>
      </c>
      <c r="X57">
        <f t="shared" si="20"/>
        <v>11</v>
      </c>
      <c r="Y57" s="3">
        <f t="shared" si="10"/>
        <v>0.12</v>
      </c>
      <c r="Z57" s="1">
        <f t="shared" si="11"/>
        <v>446428.57142857136</v>
      </c>
      <c r="AA57" s="1">
        <f t="shared" si="12"/>
        <v>8928.5714285714275</v>
      </c>
      <c r="AB57" s="1">
        <f t="shared" si="13"/>
        <v>455357.14285714278</v>
      </c>
      <c r="AC57" s="1">
        <f t="shared" si="14"/>
        <v>446428.57142857136</v>
      </c>
      <c r="AD57" s="1">
        <f t="shared" si="25"/>
        <v>45939588.994770885</v>
      </c>
    </row>
    <row r="58" spans="5:30" x14ac:dyDescent="0.25">
      <c r="E58">
        <f t="shared" si="1"/>
        <v>44</v>
      </c>
      <c r="F58" s="2">
        <v>6.7699999999999996E-2</v>
      </c>
      <c r="G58" s="1">
        <f t="shared" si="2"/>
        <v>505329.64863797836</v>
      </c>
      <c r="H58" s="1">
        <f t="shared" si="3"/>
        <v>48465.32438478744</v>
      </c>
      <c r="I58" s="1">
        <f t="shared" si="4"/>
        <v>553794.97302276583</v>
      </c>
      <c r="J58" s="1">
        <f t="shared" si="5"/>
        <v>8085274.3782076538</v>
      </c>
      <c r="L58">
        <f t="shared" si="37"/>
        <v>44</v>
      </c>
      <c r="M58" s="2">
        <v>7.5499999999999998E-2</v>
      </c>
      <c r="N58" s="1">
        <f t="shared" si="27"/>
        <v>1026957.6379974337</v>
      </c>
      <c r="O58" s="1">
        <f t="shared" si="7"/>
        <v>1272871.2023962357</v>
      </c>
      <c r="P58" s="1">
        <f t="shared" si="8"/>
        <v>2299828.8403936694</v>
      </c>
      <c r="Q58" s="1">
        <f t="shared" si="9"/>
        <v>201283697.04749697</v>
      </c>
      <c r="S58" s="16"/>
      <c r="W58">
        <f t="shared" si="31"/>
        <v>9</v>
      </c>
      <c r="X58">
        <f t="shared" si="20"/>
        <v>12</v>
      </c>
      <c r="Y58" s="3">
        <f t="shared" si="10"/>
        <v>0.12</v>
      </c>
      <c r="Z58" s="1">
        <f t="shared" si="11"/>
        <v>446428.57142857136</v>
      </c>
      <c r="AA58" s="1">
        <f t="shared" si="12"/>
        <v>4464.2857142857138</v>
      </c>
      <c r="AB58" s="1">
        <f t="shared" si="13"/>
        <v>450892.8571428571</v>
      </c>
      <c r="AC58" s="1">
        <f t="shared" si="14"/>
        <v>5357142.8571428573</v>
      </c>
      <c r="AD58" s="1">
        <f t="shared" si="25"/>
        <v>46113185.483523361</v>
      </c>
    </row>
    <row r="59" spans="5:30" x14ac:dyDescent="0.25">
      <c r="E59">
        <f t="shared" si="1"/>
        <v>45</v>
      </c>
      <c r="F59" s="2">
        <v>6.7699999999999996E-2</v>
      </c>
      <c r="G59" s="1">
        <f t="shared" si="2"/>
        <v>505329.64863797836</v>
      </c>
      <c r="H59" s="1">
        <f t="shared" si="3"/>
        <v>45614.42295038818</v>
      </c>
      <c r="I59" s="1">
        <f t="shared" si="4"/>
        <v>550944.07158836653</v>
      </c>
      <c r="J59" s="1">
        <f t="shared" si="5"/>
        <v>7579944.7295696754</v>
      </c>
      <c r="L59">
        <f t="shared" si="37"/>
        <v>45</v>
      </c>
      <c r="M59" s="2">
        <v>7.5499999999999998E-2</v>
      </c>
      <c r="N59" s="1">
        <f t="shared" si="27"/>
        <v>1026957.6379974335</v>
      </c>
      <c r="O59" s="1">
        <f t="shared" si="7"/>
        <v>1266409.9272571686</v>
      </c>
      <c r="P59" s="1">
        <f t="shared" si="8"/>
        <v>2293367.5652546021</v>
      </c>
      <c r="Q59" s="1">
        <f t="shared" si="9"/>
        <v>200256739.40949953</v>
      </c>
      <c r="S59" s="16">
        <v>10</v>
      </c>
      <c r="T59" t="s">
        <v>45</v>
      </c>
      <c r="U59" s="5">
        <f>12%</f>
        <v>0.12</v>
      </c>
      <c r="W59">
        <f t="shared" ref="W59" si="39">W47+1</f>
        <v>10</v>
      </c>
      <c r="X59">
        <f t="shared" si="20"/>
        <v>1</v>
      </c>
      <c r="Y59" s="3">
        <f t="shared" si="10"/>
        <v>0.12</v>
      </c>
      <c r="Z59" s="1">
        <f t="shared" si="11"/>
        <v>446428.57142857142</v>
      </c>
      <c r="AA59" s="1">
        <f t="shared" si="12"/>
        <v>53571.428571428572</v>
      </c>
      <c r="AB59" s="1">
        <f t="shared" si="13"/>
        <v>500000</v>
      </c>
      <c r="AC59" s="1">
        <f t="shared" si="14"/>
        <v>4910714.2857142854</v>
      </c>
      <c r="AD59" s="1">
        <f t="shared" ref="AD59" si="40">-FV($U$12,1,0,AD58+AC58-HLOOKUP(W59,$S$23:$U$214,9+((W59-$S$11-1)*12)),1)</f>
        <v>49291891.30198127</v>
      </c>
    </row>
    <row r="60" spans="5:30" x14ac:dyDescent="0.25">
      <c r="E60">
        <f t="shared" si="1"/>
        <v>46</v>
      </c>
      <c r="F60" s="2">
        <v>6.7699999999999996E-2</v>
      </c>
      <c r="G60" s="1">
        <f t="shared" si="2"/>
        <v>505329.64863797836</v>
      </c>
      <c r="H60" s="1">
        <f t="shared" si="3"/>
        <v>42763.521515988919</v>
      </c>
      <c r="I60" s="1">
        <f t="shared" si="4"/>
        <v>548093.17015396734</v>
      </c>
      <c r="J60" s="1">
        <f t="shared" si="5"/>
        <v>7074615.080931697</v>
      </c>
      <c r="L60">
        <f t="shared" si="37"/>
        <v>46</v>
      </c>
      <c r="M60" s="2">
        <v>7.5499999999999998E-2</v>
      </c>
      <c r="N60" s="1">
        <f t="shared" si="27"/>
        <v>1026957.6379974334</v>
      </c>
      <c r="O60" s="1">
        <f t="shared" si="7"/>
        <v>1259948.6521181013</v>
      </c>
      <c r="P60" s="1">
        <f t="shared" si="8"/>
        <v>2286906.2901155348</v>
      </c>
      <c r="Q60" s="1">
        <f t="shared" si="9"/>
        <v>199229781.77150211</v>
      </c>
      <c r="S60" s="16"/>
      <c r="T60" t="s">
        <v>43</v>
      </c>
      <c r="U60">
        <f t="shared" ref="U60" si="41">U61/12</f>
        <v>1</v>
      </c>
      <c r="W60">
        <f t="shared" ref="W60" si="42">W59</f>
        <v>10</v>
      </c>
      <c r="X60">
        <f t="shared" si="20"/>
        <v>2</v>
      </c>
      <c r="Y60" s="3">
        <f t="shared" si="10"/>
        <v>0.12</v>
      </c>
      <c r="Z60" s="1">
        <f t="shared" si="11"/>
        <v>446428.57142857142</v>
      </c>
      <c r="AA60" s="1">
        <f t="shared" si="12"/>
        <v>49107.142857142855</v>
      </c>
      <c r="AB60" s="1">
        <f t="shared" si="13"/>
        <v>495535.71428571426</v>
      </c>
      <c r="AC60" s="1">
        <f t="shared" si="14"/>
        <v>4464285.7142857136</v>
      </c>
      <c r="AD60" s="1">
        <f t="shared" ref="AD60" si="43">-FV($U$12,1,0,AD59,1)</f>
        <v>49478155.468492791</v>
      </c>
    </row>
    <row r="61" spans="5:30" x14ac:dyDescent="0.25">
      <c r="E61">
        <f t="shared" si="1"/>
        <v>47</v>
      </c>
      <c r="F61" s="2">
        <v>6.7699999999999996E-2</v>
      </c>
      <c r="G61" s="1">
        <f t="shared" si="2"/>
        <v>505329.64863797836</v>
      </c>
      <c r="H61" s="1">
        <f t="shared" si="3"/>
        <v>39912.620081589652</v>
      </c>
      <c r="I61" s="1">
        <f t="shared" si="4"/>
        <v>545242.26871956803</v>
      </c>
      <c r="J61" s="1">
        <f t="shared" si="5"/>
        <v>6569285.4322937187</v>
      </c>
      <c r="L61">
        <f t="shared" si="37"/>
        <v>47</v>
      </c>
      <c r="M61" s="2">
        <v>7.5499999999999998E-2</v>
      </c>
      <c r="N61" s="1">
        <f t="shared" si="27"/>
        <v>1026957.6379974335</v>
      </c>
      <c r="O61" s="1">
        <f t="shared" si="7"/>
        <v>1253487.3769790342</v>
      </c>
      <c r="P61" s="1">
        <f t="shared" si="8"/>
        <v>2280445.0149764679</v>
      </c>
      <c r="Q61" s="1">
        <f t="shared" si="9"/>
        <v>198202824.13350469</v>
      </c>
      <c r="S61" s="16"/>
      <c r="T61" t="s">
        <v>44</v>
      </c>
      <c r="U61">
        <f>12</f>
        <v>12</v>
      </c>
      <c r="W61">
        <f t="shared" si="31"/>
        <v>10</v>
      </c>
      <c r="X61">
        <f t="shared" si="20"/>
        <v>3</v>
      </c>
      <c r="Y61" s="3">
        <f t="shared" si="10"/>
        <v>0.12</v>
      </c>
      <c r="Z61" s="1">
        <f t="shared" si="11"/>
        <v>446428.57142857136</v>
      </c>
      <c r="AA61" s="1">
        <f t="shared" si="12"/>
        <v>44642.857142857138</v>
      </c>
      <c r="AB61" s="1">
        <f t="shared" si="13"/>
        <v>491071.42857142852</v>
      </c>
      <c r="AC61" s="1">
        <f t="shared" si="14"/>
        <v>4017857.1428571423</v>
      </c>
      <c r="AD61" s="1">
        <f t="shared" si="21"/>
        <v>49665123.489914514</v>
      </c>
    </row>
    <row r="62" spans="5:30" x14ac:dyDescent="0.25">
      <c r="E62">
        <f t="shared" si="1"/>
        <v>48</v>
      </c>
      <c r="F62" s="2">
        <v>6.7699999999999996E-2</v>
      </c>
      <c r="G62" s="1">
        <f t="shared" si="2"/>
        <v>505329.64863797836</v>
      </c>
      <c r="H62" s="1">
        <f t="shared" si="3"/>
        <v>37061.718647190391</v>
      </c>
      <c r="I62" s="1">
        <f t="shared" si="4"/>
        <v>542391.36728516873</v>
      </c>
      <c r="J62" s="1">
        <f t="shared" si="5"/>
        <v>6063955.7836557403</v>
      </c>
      <c r="L62">
        <f t="shared" si="37"/>
        <v>48</v>
      </c>
      <c r="M62" s="2">
        <v>7.5499999999999998E-2</v>
      </c>
      <c r="N62" s="1">
        <f t="shared" si="27"/>
        <v>1026957.6379974337</v>
      </c>
      <c r="O62" s="1">
        <f t="shared" si="7"/>
        <v>1247026.1018399671</v>
      </c>
      <c r="P62" s="1">
        <f t="shared" si="8"/>
        <v>2273983.7398374006</v>
      </c>
      <c r="Q62" s="1">
        <f t="shared" si="9"/>
        <v>197175866.49550724</v>
      </c>
      <c r="S62" s="16"/>
      <c r="W62">
        <f t="shared" si="31"/>
        <v>10</v>
      </c>
      <c r="X62">
        <f t="shared" si="20"/>
        <v>4</v>
      </c>
      <c r="Y62" s="3">
        <f t="shared" si="10"/>
        <v>0.12</v>
      </c>
      <c r="Z62" s="1">
        <f t="shared" si="11"/>
        <v>446428.57142857136</v>
      </c>
      <c r="AA62" s="1">
        <f t="shared" si="12"/>
        <v>40178.57142857142</v>
      </c>
      <c r="AB62" s="1">
        <f t="shared" si="13"/>
        <v>486607.14285714278</v>
      </c>
      <c r="AC62" s="1">
        <f t="shared" si="14"/>
        <v>3571428.5714285709</v>
      </c>
      <c r="AD62" s="1">
        <f t="shared" si="21"/>
        <v>49852798.025972918</v>
      </c>
    </row>
    <row r="63" spans="5:30" x14ac:dyDescent="0.25">
      <c r="E63">
        <f t="shared" si="1"/>
        <v>49</v>
      </c>
      <c r="F63" s="2">
        <v>6.7699999999999996E-2</v>
      </c>
      <c r="G63" s="1">
        <f t="shared" si="2"/>
        <v>505329.64863797836</v>
      </c>
      <c r="H63" s="1">
        <f t="shared" si="3"/>
        <v>34210.817212791131</v>
      </c>
      <c r="I63" s="1">
        <f t="shared" si="4"/>
        <v>539540.46585076954</v>
      </c>
      <c r="J63" s="1">
        <f t="shared" si="5"/>
        <v>5558626.135017762</v>
      </c>
      <c r="L63">
        <f t="shared" si="37"/>
        <v>49</v>
      </c>
      <c r="M63" s="2">
        <v>7.5499999999999998E-2</v>
      </c>
      <c r="N63" s="1">
        <f t="shared" si="27"/>
        <v>1026957.6379974335</v>
      </c>
      <c r="O63" s="1">
        <f t="shared" si="7"/>
        <v>1240564.8267008997</v>
      </c>
      <c r="P63" s="1">
        <f t="shared" si="8"/>
        <v>2267522.4646983333</v>
      </c>
      <c r="Q63" s="1">
        <f t="shared" si="9"/>
        <v>196148908.85750979</v>
      </c>
      <c r="S63" s="16"/>
      <c r="T63" t="s">
        <v>35</v>
      </c>
      <c r="U63" s="1">
        <f>U51</f>
        <v>500000</v>
      </c>
      <c r="W63">
        <f t="shared" si="31"/>
        <v>10</v>
      </c>
      <c r="X63">
        <f t="shared" si="20"/>
        <v>5</v>
      </c>
      <c r="Y63" s="3">
        <f t="shared" si="10"/>
        <v>0.12</v>
      </c>
      <c r="Z63" s="1">
        <f t="shared" si="11"/>
        <v>446428.57142857136</v>
      </c>
      <c r="AA63" s="1">
        <f t="shared" si="12"/>
        <v>35714.28571428571</v>
      </c>
      <c r="AB63" s="1">
        <f t="shared" si="13"/>
        <v>482142.85714285704</v>
      </c>
      <c r="AC63" s="1">
        <f t="shared" si="14"/>
        <v>3124999.9999999995</v>
      </c>
      <c r="AD63" s="1">
        <f t="shared" si="21"/>
        <v>50041181.746445045</v>
      </c>
    </row>
    <row r="64" spans="5:30" x14ac:dyDescent="0.25">
      <c r="E64">
        <f t="shared" si="1"/>
        <v>50</v>
      </c>
      <c r="F64" s="2">
        <v>6.7699999999999996E-2</v>
      </c>
      <c r="G64" s="1">
        <f t="shared" si="2"/>
        <v>505329.64863797836</v>
      </c>
      <c r="H64" s="1">
        <f t="shared" si="3"/>
        <v>31359.915778391871</v>
      </c>
      <c r="I64" s="1">
        <f t="shared" si="4"/>
        <v>536689.56441637024</v>
      </c>
      <c r="J64" s="1">
        <f t="shared" si="5"/>
        <v>5053296.4863797836</v>
      </c>
      <c r="L64">
        <f t="shared" si="37"/>
        <v>50</v>
      </c>
      <c r="M64" s="2">
        <v>7.5499999999999998E-2</v>
      </c>
      <c r="N64" s="1">
        <f t="shared" si="27"/>
        <v>1026957.6379974334</v>
      </c>
      <c r="O64" s="1">
        <f t="shared" si="7"/>
        <v>1234103.5515618324</v>
      </c>
      <c r="P64" s="1">
        <f t="shared" si="8"/>
        <v>2261061.189559266</v>
      </c>
      <c r="Q64" s="1">
        <f t="shared" si="9"/>
        <v>195121951.21951237</v>
      </c>
      <c r="S64" s="16"/>
      <c r="W64">
        <f t="shared" si="31"/>
        <v>10</v>
      </c>
      <c r="X64">
        <f t="shared" si="20"/>
        <v>6</v>
      </c>
      <c r="Y64" s="3">
        <f t="shared" si="10"/>
        <v>0.12</v>
      </c>
      <c r="Z64" s="1">
        <f t="shared" si="11"/>
        <v>446428.57142857136</v>
      </c>
      <c r="AA64" s="1">
        <f t="shared" si="12"/>
        <v>31249.999999999996</v>
      </c>
      <c r="AB64" s="1">
        <f t="shared" si="13"/>
        <v>477678.57142857136</v>
      </c>
      <c r="AC64" s="1">
        <f t="shared" si="14"/>
        <v>2678571.4285714282</v>
      </c>
      <c r="AD64" s="1">
        <f t="shared" si="21"/>
        <v>50230277.331196494</v>
      </c>
    </row>
    <row r="65" spans="5:30" x14ac:dyDescent="0.25">
      <c r="E65">
        <f t="shared" si="1"/>
        <v>51</v>
      </c>
      <c r="F65" s="2">
        <v>6.7699999999999996E-2</v>
      </c>
      <c r="G65" s="1">
        <f t="shared" si="2"/>
        <v>505329.64863797836</v>
      </c>
      <c r="H65" s="1">
        <f t="shared" si="3"/>
        <v>28509.014343992611</v>
      </c>
      <c r="I65" s="1">
        <f t="shared" si="4"/>
        <v>533838.66298197093</v>
      </c>
      <c r="J65" s="1">
        <f t="shared" si="5"/>
        <v>4547966.8377418052</v>
      </c>
      <c r="L65">
        <f t="shared" si="37"/>
        <v>51</v>
      </c>
      <c r="M65" s="2">
        <v>7.5499999999999998E-2</v>
      </c>
      <c r="N65" s="1">
        <f t="shared" si="27"/>
        <v>1026957.6379974335</v>
      </c>
      <c r="O65" s="1">
        <f t="shared" si="7"/>
        <v>1227642.2764227653</v>
      </c>
      <c r="P65" s="1">
        <f t="shared" si="8"/>
        <v>2254599.9144201986</v>
      </c>
      <c r="Q65" s="1">
        <f t="shared" si="9"/>
        <v>194094993.58151495</v>
      </c>
      <c r="S65" s="16"/>
      <c r="T65" t="s">
        <v>15</v>
      </c>
      <c r="U65" s="1">
        <f t="shared" si="33"/>
        <v>5357142.8571428573</v>
      </c>
      <c r="W65">
        <f t="shared" si="31"/>
        <v>10</v>
      </c>
      <c r="X65">
        <f t="shared" si="20"/>
        <v>7</v>
      </c>
      <c r="Y65" s="3">
        <f t="shared" si="10"/>
        <v>0.12</v>
      </c>
      <c r="Z65" s="1">
        <f t="shared" si="11"/>
        <v>446428.57142857136</v>
      </c>
      <c r="AA65" s="1">
        <f t="shared" si="12"/>
        <v>26785.714285714283</v>
      </c>
      <c r="AB65" s="1">
        <f t="shared" si="13"/>
        <v>473214.28571428562</v>
      </c>
      <c r="AC65" s="1">
        <f t="shared" si="14"/>
        <v>2232142.8571428568</v>
      </c>
      <c r="AD65" s="1">
        <f t="shared" ref="AD65" si="44">-FV($U$12,1,0,AD64-HLOOKUP(W65,$S$23:$U$214,9+((W65-$S$11-1)*12)),1)</f>
        <v>48047154.388570555</v>
      </c>
    </row>
    <row r="66" spans="5:30" x14ac:dyDescent="0.25">
      <c r="E66">
        <f t="shared" si="1"/>
        <v>52</v>
      </c>
      <c r="F66" s="2">
        <v>6.7699999999999996E-2</v>
      </c>
      <c r="G66" s="1">
        <f t="shared" si="2"/>
        <v>505329.64863797836</v>
      </c>
      <c r="H66" s="1">
        <f t="shared" si="3"/>
        <v>25658.11290959335</v>
      </c>
      <c r="I66" s="1">
        <f t="shared" si="4"/>
        <v>530987.76154757175</v>
      </c>
      <c r="J66" s="1">
        <f t="shared" si="5"/>
        <v>4042637.1891038269</v>
      </c>
      <c r="L66">
        <f t="shared" si="37"/>
        <v>52</v>
      </c>
      <c r="M66" s="2">
        <v>7.5499999999999998E-2</v>
      </c>
      <c r="N66" s="1">
        <f t="shared" si="27"/>
        <v>1026957.6379974337</v>
      </c>
      <c r="O66" s="1">
        <f t="shared" si="7"/>
        <v>1221181.0012836982</v>
      </c>
      <c r="P66" s="1">
        <f t="shared" si="8"/>
        <v>2248138.6392811318</v>
      </c>
      <c r="Q66" s="1">
        <f t="shared" si="9"/>
        <v>193068035.94351751</v>
      </c>
      <c r="S66" s="16"/>
      <c r="W66">
        <f t="shared" si="31"/>
        <v>10</v>
      </c>
      <c r="X66">
        <f t="shared" si="20"/>
        <v>8</v>
      </c>
      <c r="Y66" s="3">
        <f t="shared" si="10"/>
        <v>0.12</v>
      </c>
      <c r="Z66" s="1">
        <f t="shared" si="11"/>
        <v>446428.57142857136</v>
      </c>
      <c r="AA66" s="1">
        <f t="shared" si="12"/>
        <v>22321.428571428569</v>
      </c>
      <c r="AB66" s="1">
        <f t="shared" si="13"/>
        <v>468749.99999999994</v>
      </c>
      <c r="AC66" s="1">
        <f t="shared" si="14"/>
        <v>1785714.2857142854</v>
      </c>
      <c r="AD66" s="1">
        <f t="shared" ref="AD66" si="45">-FV($U$12,1,0,AD65,1)</f>
        <v>48228714.944050349</v>
      </c>
    </row>
    <row r="67" spans="5:30" x14ac:dyDescent="0.25">
      <c r="E67">
        <f t="shared" si="1"/>
        <v>53</v>
      </c>
      <c r="F67" s="2">
        <v>6.7699999999999996E-2</v>
      </c>
      <c r="G67" s="1">
        <f t="shared" si="2"/>
        <v>505329.64863797836</v>
      </c>
      <c r="H67" s="1">
        <f t="shared" si="3"/>
        <v>22807.21147519409</v>
      </c>
      <c r="I67" s="1">
        <f t="shared" si="4"/>
        <v>528136.86011317244</v>
      </c>
      <c r="J67" s="1">
        <f t="shared" si="5"/>
        <v>3537307.5404658485</v>
      </c>
      <c r="L67">
        <f t="shared" si="37"/>
        <v>53</v>
      </c>
      <c r="M67" s="2">
        <v>7.5499999999999998E-2</v>
      </c>
      <c r="N67" s="1">
        <f t="shared" si="27"/>
        <v>1026957.6379974335</v>
      </c>
      <c r="O67" s="1">
        <f t="shared" si="7"/>
        <v>1214719.7261446309</v>
      </c>
      <c r="P67" s="1">
        <f t="shared" si="8"/>
        <v>2241677.3641420645</v>
      </c>
      <c r="Q67" s="1">
        <f t="shared" si="9"/>
        <v>192041078.30552006</v>
      </c>
      <c r="S67" s="16"/>
      <c r="T67" t="s">
        <v>46</v>
      </c>
      <c r="U67" s="1">
        <f t="shared" ref="U67" si="46">ROUNDUP($T$4*1000*(1+$T$2)^(S59-$S$11),-3)*6</f>
        <v>2364000</v>
      </c>
      <c r="W67">
        <f t="shared" si="31"/>
        <v>10</v>
      </c>
      <c r="X67">
        <f t="shared" si="20"/>
        <v>9</v>
      </c>
      <c r="Y67" s="3">
        <f t="shared" si="10"/>
        <v>0.12</v>
      </c>
      <c r="Z67" s="1">
        <f t="shared" si="11"/>
        <v>446428.57142857136</v>
      </c>
      <c r="AA67" s="1">
        <f t="shared" si="12"/>
        <v>17857.142857142855</v>
      </c>
      <c r="AB67" s="1">
        <f t="shared" si="13"/>
        <v>464285.7142857142</v>
      </c>
      <c r="AC67" s="1">
        <f t="shared" si="14"/>
        <v>1339285.7142857141</v>
      </c>
      <c r="AD67" s="1">
        <f t="shared" si="25"/>
        <v>48410961.58043807</v>
      </c>
    </row>
    <row r="68" spans="5:30" x14ac:dyDescent="0.25">
      <c r="E68">
        <f>E67+1</f>
        <v>54</v>
      </c>
      <c r="F68" s="2">
        <v>6.7699999999999996E-2</v>
      </c>
      <c r="G68" s="1">
        <f t="shared" si="2"/>
        <v>505329.64863797836</v>
      </c>
      <c r="H68" s="1">
        <f t="shared" si="3"/>
        <v>19956.310040794826</v>
      </c>
      <c r="I68" s="1">
        <f t="shared" si="4"/>
        <v>525285.95867877314</v>
      </c>
      <c r="J68" s="1">
        <f t="shared" si="5"/>
        <v>3031977.8918278702</v>
      </c>
      <c r="L68">
        <f>L67+1</f>
        <v>54</v>
      </c>
      <c r="M68" s="2">
        <v>7.5499999999999998E-2</v>
      </c>
      <c r="N68" s="1">
        <f t="shared" si="27"/>
        <v>1026957.6379974334</v>
      </c>
      <c r="O68" s="1">
        <f t="shared" si="7"/>
        <v>1208258.4510055636</v>
      </c>
      <c r="P68" s="1">
        <f t="shared" si="8"/>
        <v>2235216.0890029971</v>
      </c>
      <c r="Q68" s="1">
        <f t="shared" si="9"/>
        <v>191014120.66752264</v>
      </c>
      <c r="S68" s="16"/>
      <c r="W68">
        <f t="shared" si="31"/>
        <v>10</v>
      </c>
      <c r="X68">
        <f t="shared" si="20"/>
        <v>10</v>
      </c>
      <c r="Y68" s="3">
        <f t="shared" si="10"/>
        <v>0.12</v>
      </c>
      <c r="Z68" s="1">
        <f t="shared" si="11"/>
        <v>446428.57142857136</v>
      </c>
      <c r="AA68" s="1">
        <f t="shared" si="12"/>
        <v>13392.857142857141</v>
      </c>
      <c r="AB68" s="1">
        <f t="shared" si="13"/>
        <v>459821.42857142852</v>
      </c>
      <c r="AC68" s="1">
        <f t="shared" si="14"/>
        <v>892857.14285714272</v>
      </c>
      <c r="AD68" s="1">
        <f t="shared" si="25"/>
        <v>48593896.890295796</v>
      </c>
    </row>
    <row r="69" spans="5:30" x14ac:dyDescent="0.25">
      <c r="E69">
        <f t="shared" si="1"/>
        <v>55</v>
      </c>
      <c r="F69" s="2">
        <v>6.7699999999999996E-2</v>
      </c>
      <c r="G69" s="1">
        <f t="shared" si="2"/>
        <v>505329.64863797836</v>
      </c>
      <c r="H69" s="1">
        <f t="shared" si="3"/>
        <v>17105.408606395566</v>
      </c>
      <c r="I69" s="1">
        <f t="shared" si="4"/>
        <v>522435.05724437395</v>
      </c>
      <c r="J69" s="1">
        <f t="shared" si="5"/>
        <v>2526648.2431898918</v>
      </c>
      <c r="L69">
        <f t="shared" ref="L69:L132" si="47">L68+1</f>
        <v>55</v>
      </c>
      <c r="M69" s="2">
        <v>7.5499999999999998E-2</v>
      </c>
      <c r="N69" s="1">
        <f t="shared" si="27"/>
        <v>1026957.6379974335</v>
      </c>
      <c r="O69" s="1">
        <f t="shared" si="7"/>
        <v>1201797.1758664965</v>
      </c>
      <c r="P69" s="1">
        <f t="shared" si="8"/>
        <v>2228754.8138639303</v>
      </c>
      <c r="Q69" s="1">
        <f t="shared" si="9"/>
        <v>189987163.02952522</v>
      </c>
      <c r="S69" s="16"/>
      <c r="T69" t="s">
        <v>47</v>
      </c>
      <c r="U69" s="1">
        <f t="shared" si="38"/>
        <v>4728000</v>
      </c>
      <c r="W69">
        <f t="shared" si="31"/>
        <v>10</v>
      </c>
      <c r="X69">
        <f t="shared" si="20"/>
        <v>11</v>
      </c>
      <c r="Y69" s="3">
        <f t="shared" si="10"/>
        <v>0.12</v>
      </c>
      <c r="Z69" s="1">
        <f t="shared" si="11"/>
        <v>446428.57142857136</v>
      </c>
      <c r="AA69" s="1">
        <f t="shared" si="12"/>
        <v>8928.5714285714275</v>
      </c>
      <c r="AB69" s="1">
        <f t="shared" si="13"/>
        <v>455357.14285714278</v>
      </c>
      <c r="AC69" s="1">
        <f t="shared" si="14"/>
        <v>446428.57142857136</v>
      </c>
      <c r="AD69" s="1">
        <f t="shared" si="25"/>
        <v>48777523.47598239</v>
      </c>
    </row>
    <row r="70" spans="5:30" x14ac:dyDescent="0.25">
      <c r="E70">
        <f t="shared" si="1"/>
        <v>56</v>
      </c>
      <c r="F70" s="2">
        <v>6.7699999999999996E-2</v>
      </c>
      <c r="G70" s="1">
        <f t="shared" si="2"/>
        <v>505329.64863797836</v>
      </c>
      <c r="H70" s="1">
        <f t="shared" si="3"/>
        <v>14254.507171996305</v>
      </c>
      <c r="I70" s="1">
        <f t="shared" si="4"/>
        <v>519584.15580997465</v>
      </c>
      <c r="J70" s="1">
        <f t="shared" si="5"/>
        <v>2021318.5945519134</v>
      </c>
      <c r="L70">
        <f t="shared" si="47"/>
        <v>56</v>
      </c>
      <c r="M70" s="2">
        <v>7.5499999999999998E-2</v>
      </c>
      <c r="N70" s="1">
        <f t="shared" si="27"/>
        <v>1026957.6379974337</v>
      </c>
      <c r="O70" s="1">
        <f t="shared" si="7"/>
        <v>1195335.9007274294</v>
      </c>
      <c r="P70" s="1">
        <f t="shared" si="8"/>
        <v>2222293.538724863</v>
      </c>
      <c r="Q70" s="1">
        <f t="shared" si="9"/>
        <v>188960205.39152777</v>
      </c>
      <c r="S70" s="16"/>
      <c r="W70">
        <f t="shared" si="31"/>
        <v>10</v>
      </c>
      <c r="X70">
        <f t="shared" si="20"/>
        <v>12</v>
      </c>
      <c r="Y70" s="3">
        <f t="shared" si="10"/>
        <v>0.12</v>
      </c>
      <c r="Z70" s="1">
        <f t="shared" si="11"/>
        <v>446428.57142857136</v>
      </c>
      <c r="AA70" s="1">
        <f t="shared" si="12"/>
        <v>4464.2857142857138</v>
      </c>
      <c r="AB70" s="1">
        <f t="shared" si="13"/>
        <v>450892.8571428571</v>
      </c>
      <c r="AC70" s="1">
        <f t="shared" si="14"/>
        <v>5357142.8571428573</v>
      </c>
      <c r="AD70" s="1">
        <f t="shared" si="25"/>
        <v>48961843.949690498</v>
      </c>
    </row>
    <row r="71" spans="5:30" x14ac:dyDescent="0.25">
      <c r="E71">
        <f t="shared" si="1"/>
        <v>57</v>
      </c>
      <c r="F71" s="2">
        <v>6.7699999999999996E-2</v>
      </c>
      <c r="G71" s="1">
        <f t="shared" si="2"/>
        <v>505329.64863797836</v>
      </c>
      <c r="H71" s="1">
        <f t="shared" si="3"/>
        <v>11403.605737597045</v>
      </c>
      <c r="I71" s="1">
        <f t="shared" si="4"/>
        <v>516733.2543755754</v>
      </c>
      <c r="J71" s="1">
        <f t="shared" si="5"/>
        <v>1515988.9459139351</v>
      </c>
      <c r="L71">
        <f t="shared" si="47"/>
        <v>57</v>
      </c>
      <c r="M71" s="2">
        <v>7.5499999999999998E-2</v>
      </c>
      <c r="N71" s="1">
        <f t="shared" si="27"/>
        <v>1026957.6379974335</v>
      </c>
      <c r="O71" s="1">
        <f t="shared" si="7"/>
        <v>1188874.6255883623</v>
      </c>
      <c r="P71" s="1">
        <f t="shared" si="8"/>
        <v>2215832.2635857956</v>
      </c>
      <c r="Q71" s="1">
        <f t="shared" si="9"/>
        <v>187933247.75353032</v>
      </c>
      <c r="S71" s="16">
        <v>11</v>
      </c>
      <c r="T71" t="s">
        <v>45</v>
      </c>
      <c r="U71" s="5">
        <f>12%</f>
        <v>0.12</v>
      </c>
      <c r="W71">
        <f t="shared" ref="W71" si="48">W59+1</f>
        <v>11</v>
      </c>
      <c r="X71">
        <f t="shared" si="20"/>
        <v>1</v>
      </c>
      <c r="Y71" s="3">
        <f t="shared" si="10"/>
        <v>0.12</v>
      </c>
      <c r="Z71" s="1">
        <f t="shared" si="11"/>
        <v>446428.57142857142</v>
      </c>
      <c r="AA71" s="1">
        <f t="shared" si="12"/>
        <v>53571.428571428572</v>
      </c>
      <c r="AB71" s="1">
        <f t="shared" si="13"/>
        <v>500000</v>
      </c>
      <c r="AC71" s="1">
        <f t="shared" si="14"/>
        <v>4910714.2857142854</v>
      </c>
      <c r="AD71" s="1">
        <f t="shared" ref="AD71" si="49">-FV($U$12,1,0,AD70+AC70-HLOOKUP(W71,$S$23:$U$214,9+((W71-$S$11-1)*12)),1)</f>
        <v>52079042.203338593</v>
      </c>
    </row>
    <row r="72" spans="5:30" x14ac:dyDescent="0.25">
      <c r="E72">
        <f t="shared" si="1"/>
        <v>58</v>
      </c>
      <c r="F72" s="2">
        <v>6.7699999999999996E-2</v>
      </c>
      <c r="G72" s="1">
        <f t="shared" si="2"/>
        <v>505329.64863797836</v>
      </c>
      <c r="H72" s="1">
        <f t="shared" si="3"/>
        <v>8552.7043031977828</v>
      </c>
      <c r="I72" s="1">
        <f t="shared" si="4"/>
        <v>513882.35294117616</v>
      </c>
      <c r="J72" s="1">
        <f t="shared" si="5"/>
        <v>1010659.2972759567</v>
      </c>
      <c r="L72">
        <f t="shared" si="47"/>
        <v>58</v>
      </c>
      <c r="M72" s="2">
        <v>7.5499999999999998E-2</v>
      </c>
      <c r="N72" s="1">
        <f t="shared" si="27"/>
        <v>1026957.6379974334</v>
      </c>
      <c r="O72" s="1">
        <f t="shared" si="7"/>
        <v>1182413.350449295</v>
      </c>
      <c r="P72" s="1">
        <f t="shared" si="8"/>
        <v>2209370.9884467283</v>
      </c>
      <c r="Q72" s="1">
        <f t="shared" si="9"/>
        <v>186906290.1155329</v>
      </c>
      <c r="S72" s="16"/>
      <c r="T72" t="s">
        <v>43</v>
      </c>
      <c r="U72">
        <f t="shared" ref="U72" si="50">U73/12</f>
        <v>1</v>
      </c>
      <c r="W72">
        <f t="shared" ref="W72" si="51">W71</f>
        <v>11</v>
      </c>
      <c r="X72">
        <f t="shared" si="20"/>
        <v>2</v>
      </c>
      <c r="Y72" s="3">
        <f t="shared" si="10"/>
        <v>0.12</v>
      </c>
      <c r="Z72" s="1">
        <f t="shared" si="11"/>
        <v>446428.57142857142</v>
      </c>
      <c r="AA72" s="1">
        <f t="shared" si="12"/>
        <v>49107.142857142855</v>
      </c>
      <c r="AB72" s="1">
        <f t="shared" si="13"/>
        <v>495535.71428571426</v>
      </c>
      <c r="AC72" s="1">
        <f t="shared" si="14"/>
        <v>4464285.7142857136</v>
      </c>
      <c r="AD72" s="1">
        <f t="shared" ref="AD72" si="52">-FV($U$12,1,0,AD71,1)</f>
        <v>52275838.453847513</v>
      </c>
    </row>
    <row r="73" spans="5:30" x14ac:dyDescent="0.25">
      <c r="E73">
        <f t="shared" si="1"/>
        <v>59</v>
      </c>
      <c r="F73" s="2">
        <v>6.7699999999999996E-2</v>
      </c>
      <c r="G73" s="1">
        <f t="shared" si="2"/>
        <v>505329.64863797836</v>
      </c>
      <c r="H73" s="1">
        <f t="shared" si="3"/>
        <v>5701.8028687985225</v>
      </c>
      <c r="I73" s="1">
        <f t="shared" si="4"/>
        <v>511031.45150677691</v>
      </c>
      <c r="J73" s="1">
        <f t="shared" si="5"/>
        <v>505329.64863797836</v>
      </c>
      <c r="L73">
        <f t="shared" si="47"/>
        <v>59</v>
      </c>
      <c r="M73" s="2">
        <v>7.5499999999999998E-2</v>
      </c>
      <c r="N73" s="1">
        <f t="shared" si="27"/>
        <v>1026957.6379974335</v>
      </c>
      <c r="O73" s="1">
        <f t="shared" si="7"/>
        <v>1175952.0753102279</v>
      </c>
      <c r="P73" s="1">
        <f t="shared" si="8"/>
        <v>2202909.7133076615</v>
      </c>
      <c r="Q73" s="1">
        <f t="shared" si="9"/>
        <v>185879332.47753549</v>
      </c>
      <c r="S73" s="16"/>
      <c r="T73" t="s">
        <v>44</v>
      </c>
      <c r="U73">
        <f>12</f>
        <v>12</v>
      </c>
      <c r="W73">
        <f t="shared" si="31"/>
        <v>11</v>
      </c>
      <c r="X73">
        <f t="shared" si="20"/>
        <v>3</v>
      </c>
      <c r="Y73" s="3">
        <f t="shared" si="10"/>
        <v>0.12</v>
      </c>
      <c r="Z73" s="1">
        <f t="shared" si="11"/>
        <v>446428.57142857136</v>
      </c>
      <c r="AA73" s="1">
        <f t="shared" si="12"/>
        <v>44642.857142857138</v>
      </c>
      <c r="AB73" s="1">
        <f t="shared" si="13"/>
        <v>491071.42857142852</v>
      </c>
      <c r="AC73" s="1">
        <f t="shared" si="14"/>
        <v>4017857.1428571423</v>
      </c>
      <c r="AD73" s="1">
        <f t="shared" si="21"/>
        <v>52473378.357898735</v>
      </c>
    </row>
    <row r="74" spans="5:30" x14ac:dyDescent="0.25">
      <c r="E74">
        <f t="shared" si="1"/>
        <v>60</v>
      </c>
      <c r="F74" s="2">
        <v>6.7699999999999996E-2</v>
      </c>
      <c r="G74" s="1">
        <f t="shared" si="2"/>
        <v>505329.64863797836</v>
      </c>
      <c r="H74" s="1">
        <f t="shared" si="3"/>
        <v>2850.9014343992612</v>
      </c>
      <c r="I74" s="1">
        <f t="shared" si="4"/>
        <v>508180.55007237761</v>
      </c>
      <c r="J74" s="1">
        <f t="shared" si="5"/>
        <v>0</v>
      </c>
      <c r="L74">
        <f t="shared" si="47"/>
        <v>60</v>
      </c>
      <c r="M74" s="2">
        <v>7.5499999999999998E-2</v>
      </c>
      <c r="N74" s="1">
        <f t="shared" si="27"/>
        <v>1026957.6379974337</v>
      </c>
      <c r="O74" s="1">
        <f t="shared" si="7"/>
        <v>1169490.8001711608</v>
      </c>
      <c r="P74" s="1">
        <f t="shared" si="8"/>
        <v>2196448.4381685946</v>
      </c>
      <c r="Q74" s="1">
        <f t="shared" si="9"/>
        <v>184852374.83953804</v>
      </c>
      <c r="S74" s="16"/>
      <c r="W74">
        <f t="shared" si="31"/>
        <v>11</v>
      </c>
      <c r="X74">
        <f t="shared" si="20"/>
        <v>4</v>
      </c>
      <c r="Y74" s="3">
        <f t="shared" si="10"/>
        <v>0.12</v>
      </c>
      <c r="Z74" s="1">
        <f t="shared" si="11"/>
        <v>446428.57142857136</v>
      </c>
      <c r="AA74" s="1">
        <f t="shared" si="12"/>
        <v>40178.57142857142</v>
      </c>
      <c r="AB74" s="1">
        <f t="shared" si="13"/>
        <v>486607.14285714278</v>
      </c>
      <c r="AC74" s="1">
        <f t="shared" si="14"/>
        <v>3571428.5714285709</v>
      </c>
      <c r="AD74" s="1">
        <f t="shared" si="21"/>
        <v>52671664.725609779</v>
      </c>
    </row>
    <row r="75" spans="5:30" x14ac:dyDescent="0.25">
      <c r="L75">
        <f t="shared" si="47"/>
        <v>61</v>
      </c>
      <c r="M75" s="2">
        <v>7.5499999999999998E-2</v>
      </c>
      <c r="N75" s="1">
        <f t="shared" ref="N75:N138" si="53">IFERROR(Q74/($M$10+1-L75),0)</f>
        <v>1026957.6379974335</v>
      </c>
      <c r="O75" s="1">
        <f t="shared" si="7"/>
        <v>1163029.5250320935</v>
      </c>
      <c r="P75" s="1">
        <f t="shared" si="8"/>
        <v>2189987.1630295273</v>
      </c>
      <c r="Q75" s="1">
        <f t="shared" si="9"/>
        <v>183825417.20154059</v>
      </c>
      <c r="S75" s="16"/>
      <c r="T75" t="s">
        <v>35</v>
      </c>
      <c r="U75" s="1">
        <f>U63</f>
        <v>500000</v>
      </c>
      <c r="W75">
        <f t="shared" si="31"/>
        <v>11</v>
      </c>
      <c r="X75">
        <f t="shared" si="20"/>
        <v>5</v>
      </c>
      <c r="Y75" s="3">
        <f t="shared" si="10"/>
        <v>0.12</v>
      </c>
      <c r="Z75" s="1">
        <f t="shared" si="11"/>
        <v>446428.57142857136</v>
      </c>
      <c r="AA75" s="1">
        <f t="shared" si="12"/>
        <v>35714.28571428571</v>
      </c>
      <c r="AB75" s="1">
        <f t="shared" si="13"/>
        <v>482142.85714285704</v>
      </c>
      <c r="AC75" s="1">
        <f t="shared" si="14"/>
        <v>3124999.9999999995</v>
      </c>
      <c r="AD75" s="1">
        <f t="shared" si="21"/>
        <v>52870700.377717033</v>
      </c>
    </row>
    <row r="76" spans="5:30" x14ac:dyDescent="0.25">
      <c r="L76">
        <f t="shared" si="47"/>
        <v>62</v>
      </c>
      <c r="M76" s="2">
        <v>7.5499999999999998E-2</v>
      </c>
      <c r="N76" s="1">
        <f t="shared" si="53"/>
        <v>1026957.6379974334</v>
      </c>
      <c r="O76" s="1">
        <f t="shared" si="7"/>
        <v>1156568.2498930262</v>
      </c>
      <c r="P76" s="1">
        <f t="shared" si="8"/>
        <v>2183525.8878904595</v>
      </c>
      <c r="Q76" s="1">
        <f t="shared" si="9"/>
        <v>182798459.56354317</v>
      </c>
      <c r="S76" s="16"/>
      <c r="W76">
        <f t="shared" si="31"/>
        <v>11</v>
      </c>
      <c r="X76">
        <f t="shared" si="20"/>
        <v>6</v>
      </c>
      <c r="Y76" s="3">
        <f t="shared" si="10"/>
        <v>0.12</v>
      </c>
      <c r="Z76" s="1">
        <f t="shared" si="11"/>
        <v>446428.57142857136</v>
      </c>
      <c r="AA76" s="1">
        <f t="shared" si="12"/>
        <v>31249.999999999996</v>
      </c>
      <c r="AB76" s="1">
        <f t="shared" si="13"/>
        <v>477678.57142857136</v>
      </c>
      <c r="AC76" s="1">
        <f t="shared" si="14"/>
        <v>2678571.4285714282</v>
      </c>
      <c r="AD76" s="1">
        <f t="shared" si="21"/>
        <v>53070488.145615883</v>
      </c>
    </row>
    <row r="77" spans="5:30" x14ac:dyDescent="0.25">
      <c r="L77">
        <f t="shared" si="47"/>
        <v>63</v>
      </c>
      <c r="M77" s="2">
        <v>7.5499999999999998E-2</v>
      </c>
      <c r="N77" s="1">
        <f t="shared" si="53"/>
        <v>1026957.6379974335</v>
      </c>
      <c r="O77" s="1">
        <f t="shared" si="7"/>
        <v>1150106.9747539591</v>
      </c>
      <c r="P77" s="1">
        <f t="shared" si="8"/>
        <v>2177064.6127513926</v>
      </c>
      <c r="Q77" s="1">
        <f t="shared" si="9"/>
        <v>181771501.92554575</v>
      </c>
      <c r="S77" s="16"/>
      <c r="T77" t="s">
        <v>15</v>
      </c>
      <c r="U77" s="1">
        <f t="shared" si="33"/>
        <v>5357142.8571428573</v>
      </c>
      <c r="W77">
        <f t="shared" si="31"/>
        <v>11</v>
      </c>
      <c r="X77">
        <f t="shared" si="20"/>
        <v>7</v>
      </c>
      <c r="Y77" s="3">
        <f t="shared" si="10"/>
        <v>0.12</v>
      </c>
      <c r="Z77" s="1">
        <f t="shared" si="11"/>
        <v>446428.57142857136</v>
      </c>
      <c r="AA77" s="1">
        <f t="shared" si="12"/>
        <v>26785.714285714283</v>
      </c>
      <c r="AB77" s="1">
        <f t="shared" si="13"/>
        <v>473214.28571428562</v>
      </c>
      <c r="AC77" s="1">
        <f t="shared" si="14"/>
        <v>2232142.8571428568</v>
      </c>
      <c r="AD77" s="1">
        <f t="shared" ref="AD77" si="54">-FV($U$12,1,0,AD76-HLOOKUP(W77,$S$23:$U$214,9+((W77-$S$11-1)*12)),1)</f>
        <v>50825825.716199249</v>
      </c>
    </row>
    <row r="78" spans="5:30" x14ac:dyDescent="0.25">
      <c r="L78">
        <f t="shared" si="47"/>
        <v>64</v>
      </c>
      <c r="M78" s="2">
        <v>7.5499999999999998E-2</v>
      </c>
      <c r="N78" s="1">
        <f t="shared" si="53"/>
        <v>1026957.6379974337</v>
      </c>
      <c r="O78" s="1">
        <f t="shared" si="7"/>
        <v>1143645.699614892</v>
      </c>
      <c r="P78" s="1">
        <f t="shared" si="8"/>
        <v>2170603.3376123258</v>
      </c>
      <c r="Q78" s="1">
        <f t="shared" si="9"/>
        <v>180744544.2875483</v>
      </c>
      <c r="S78" s="16"/>
      <c r="W78">
        <f t="shared" si="31"/>
        <v>11</v>
      </c>
      <c r="X78">
        <f t="shared" si="20"/>
        <v>8</v>
      </c>
      <c r="Y78" s="3">
        <f t="shared" si="10"/>
        <v>0.12</v>
      </c>
      <c r="Z78" s="1">
        <f t="shared" si="11"/>
        <v>446428.57142857136</v>
      </c>
      <c r="AA78" s="1">
        <f t="shared" si="12"/>
        <v>22321.428571428569</v>
      </c>
      <c r="AB78" s="1">
        <f t="shared" si="13"/>
        <v>468749.99999999994</v>
      </c>
      <c r="AC78" s="1">
        <f t="shared" si="14"/>
        <v>1785714.2857142854</v>
      </c>
      <c r="AD78" s="1">
        <f t="shared" ref="AD78" si="55">-FV($U$12,1,0,AD77,1)</f>
        <v>51017886.3130688</v>
      </c>
    </row>
    <row r="79" spans="5:30" x14ac:dyDescent="0.25">
      <c r="L79">
        <f t="shared" si="47"/>
        <v>65</v>
      </c>
      <c r="M79" s="2">
        <v>7.5499999999999998E-2</v>
      </c>
      <c r="N79" s="1">
        <f t="shared" si="53"/>
        <v>1026957.6379974335</v>
      </c>
      <c r="O79" s="1">
        <f t="shared" si="7"/>
        <v>1137184.4244758247</v>
      </c>
      <c r="P79" s="1">
        <f t="shared" si="8"/>
        <v>2164142.062473258</v>
      </c>
      <c r="Q79" s="1">
        <f t="shared" si="9"/>
        <v>179717586.64955086</v>
      </c>
      <c r="S79" s="16"/>
      <c r="T79" t="s">
        <v>46</v>
      </c>
      <c r="U79" s="1">
        <f t="shared" ref="U79" si="56">ROUNDUP($T$4*1000*(1+$T$2)^(S71-$S$11),-3)*6</f>
        <v>2436000</v>
      </c>
      <c r="W79">
        <f t="shared" si="31"/>
        <v>11</v>
      </c>
      <c r="X79">
        <f t="shared" si="20"/>
        <v>9</v>
      </c>
      <c r="Y79" s="3">
        <f t="shared" si="10"/>
        <v>0.12</v>
      </c>
      <c r="Z79" s="1">
        <f t="shared" si="11"/>
        <v>446428.57142857136</v>
      </c>
      <c r="AA79" s="1">
        <f t="shared" si="12"/>
        <v>17857.142857142855</v>
      </c>
      <c r="AB79" s="1">
        <f t="shared" si="13"/>
        <v>464285.7142857142</v>
      </c>
      <c r="AC79" s="1">
        <f t="shared" si="14"/>
        <v>1339285.7142857141</v>
      </c>
      <c r="AD79" s="1">
        <f t="shared" si="25"/>
        <v>51210672.668395787</v>
      </c>
    </row>
    <row r="80" spans="5:30" x14ac:dyDescent="0.25">
      <c r="L80">
        <f t="shared" si="47"/>
        <v>66</v>
      </c>
      <c r="M80" s="2">
        <v>7.5499999999999998E-2</v>
      </c>
      <c r="N80" s="1">
        <f t="shared" si="53"/>
        <v>1026957.6379974334</v>
      </c>
      <c r="O80" s="1">
        <f t="shared" ref="O80:O143" si="57">Q79*(M80/12)</f>
        <v>1130723.1493367574</v>
      </c>
      <c r="P80" s="1">
        <f t="shared" ref="P80:P143" si="58">N80+O80</f>
        <v>2157680.7873341907</v>
      </c>
      <c r="Q80" s="1">
        <f t="shared" ref="Q80:Q143" si="59">Q79-N80</f>
        <v>178690629.01155344</v>
      </c>
      <c r="S80" s="16"/>
      <c r="W80">
        <f t="shared" si="31"/>
        <v>11</v>
      </c>
      <c r="X80">
        <f t="shared" si="20"/>
        <v>10</v>
      </c>
      <c r="Y80" s="3">
        <f t="shared" si="10"/>
        <v>0.12</v>
      </c>
      <c r="Z80" s="1">
        <f t="shared" si="11"/>
        <v>446428.57142857136</v>
      </c>
      <c r="AA80" s="1">
        <f t="shared" si="12"/>
        <v>13392.857142857141</v>
      </c>
      <c r="AB80" s="1">
        <f t="shared" si="13"/>
        <v>459821.42857142852</v>
      </c>
      <c r="AC80" s="1">
        <f t="shared" si="14"/>
        <v>892857.14285714272</v>
      </c>
      <c r="AD80" s="1">
        <f t="shared" si="25"/>
        <v>51404187.524675801</v>
      </c>
    </row>
    <row r="81" spans="12:30" x14ac:dyDescent="0.25">
      <c r="L81">
        <f t="shared" si="47"/>
        <v>67</v>
      </c>
      <c r="M81" s="2">
        <v>7.5499999999999998E-2</v>
      </c>
      <c r="N81" s="1">
        <f t="shared" si="53"/>
        <v>1026957.6379974335</v>
      </c>
      <c r="O81" s="1">
        <f t="shared" si="57"/>
        <v>1124261.8741976903</v>
      </c>
      <c r="P81" s="1">
        <f t="shared" si="58"/>
        <v>2151219.5121951238</v>
      </c>
      <c r="Q81" s="1">
        <f t="shared" si="59"/>
        <v>177663671.37355602</v>
      </c>
      <c r="S81" s="16"/>
      <c r="T81" t="s">
        <v>47</v>
      </c>
      <c r="U81" s="1">
        <f t="shared" si="38"/>
        <v>4872000</v>
      </c>
      <c r="W81">
        <f t="shared" si="31"/>
        <v>11</v>
      </c>
      <c r="X81">
        <f t="shared" si="20"/>
        <v>11</v>
      </c>
      <c r="Y81" s="3">
        <f t="shared" si="10"/>
        <v>0.12</v>
      </c>
      <c r="Z81" s="1">
        <f t="shared" si="11"/>
        <v>446428.57142857136</v>
      </c>
      <c r="AA81" s="1">
        <f t="shared" si="12"/>
        <v>8928.5714285714275</v>
      </c>
      <c r="AB81" s="1">
        <f t="shared" si="13"/>
        <v>455357.14285714278</v>
      </c>
      <c r="AC81" s="1">
        <f t="shared" si="14"/>
        <v>446428.57142857136</v>
      </c>
      <c r="AD81" s="1">
        <f t="shared" si="25"/>
        <v>51598433.634767763</v>
      </c>
    </row>
    <row r="82" spans="12:30" x14ac:dyDescent="0.25">
      <c r="L82">
        <f t="shared" si="47"/>
        <v>68</v>
      </c>
      <c r="M82" s="2">
        <v>7.5499999999999998E-2</v>
      </c>
      <c r="N82" s="1">
        <f t="shared" si="53"/>
        <v>1026957.6379974337</v>
      </c>
      <c r="O82" s="1">
        <f t="shared" si="57"/>
        <v>1117800.5990586232</v>
      </c>
      <c r="P82" s="1">
        <f t="shared" si="58"/>
        <v>2144758.237056057</v>
      </c>
      <c r="Q82" s="1">
        <f t="shared" si="59"/>
        <v>176636713.73555857</v>
      </c>
      <c r="S82" s="16"/>
      <c r="W82">
        <f t="shared" si="31"/>
        <v>11</v>
      </c>
      <c r="X82">
        <f t="shared" si="20"/>
        <v>12</v>
      </c>
      <c r="Y82" s="3">
        <f t="shared" si="10"/>
        <v>0.12</v>
      </c>
      <c r="Z82" s="1">
        <f t="shared" si="11"/>
        <v>446428.57142857136</v>
      </c>
      <c r="AA82" s="1">
        <f t="shared" si="12"/>
        <v>4464.2857142857138</v>
      </c>
      <c r="AB82" s="1">
        <f t="shared" si="13"/>
        <v>450892.8571428571</v>
      </c>
      <c r="AC82" s="1">
        <f t="shared" si="14"/>
        <v>5357142.8571428573</v>
      </c>
      <c r="AD82" s="1">
        <f t="shared" si="25"/>
        <v>51793413.761933096</v>
      </c>
    </row>
    <row r="83" spans="12:30" x14ac:dyDescent="0.25">
      <c r="L83">
        <f t="shared" si="47"/>
        <v>69</v>
      </c>
      <c r="M83" s="2">
        <v>7.5499999999999998E-2</v>
      </c>
      <c r="N83" s="1">
        <f t="shared" si="53"/>
        <v>1026957.6379974335</v>
      </c>
      <c r="O83" s="1">
        <f t="shared" si="57"/>
        <v>1111339.3239195561</v>
      </c>
      <c r="P83" s="1">
        <f t="shared" si="58"/>
        <v>2138296.9619169896</v>
      </c>
      <c r="Q83" s="1">
        <f t="shared" si="59"/>
        <v>175609756.09756112</v>
      </c>
      <c r="S83" s="16">
        <v>12</v>
      </c>
      <c r="T83" t="s">
        <v>45</v>
      </c>
      <c r="U83" s="5">
        <f>12%</f>
        <v>0.12</v>
      </c>
      <c r="W83">
        <f t="shared" ref="W83" si="60">W71+1</f>
        <v>12</v>
      </c>
      <c r="X83">
        <f t="shared" si="20"/>
        <v>1</v>
      </c>
      <c r="Y83" s="3">
        <f t="shared" si="10"/>
        <v>0.12</v>
      </c>
      <c r="Z83" s="1">
        <f t="shared" si="11"/>
        <v>446428.57142857142</v>
      </c>
      <c r="AA83" s="1">
        <f t="shared" si="12"/>
        <v>53571.428571428572</v>
      </c>
      <c r="AB83" s="1">
        <f t="shared" si="13"/>
        <v>500000</v>
      </c>
      <c r="AC83" s="1">
        <f t="shared" si="14"/>
        <v>4910714.2857142854</v>
      </c>
      <c r="AD83" s="1">
        <f t="shared" ref="AD83" si="61">-FV($U$12,1,0,AD82+AC82-HLOOKUP(W83,$S$23:$U$214,9+((W83-$S$11-1)*12)),1)</f>
        <v>54849039.87617714</v>
      </c>
    </row>
    <row r="84" spans="12:30" x14ac:dyDescent="0.25">
      <c r="L84">
        <f t="shared" si="47"/>
        <v>70</v>
      </c>
      <c r="M84" s="2">
        <v>7.5499999999999998E-2</v>
      </c>
      <c r="N84" s="1">
        <f t="shared" si="53"/>
        <v>1026957.6379974334</v>
      </c>
      <c r="O84" s="1">
        <f t="shared" si="57"/>
        <v>1104878.0487804888</v>
      </c>
      <c r="P84" s="1">
        <f t="shared" si="58"/>
        <v>2131835.6867779223</v>
      </c>
      <c r="Q84" s="1">
        <f t="shared" si="59"/>
        <v>174582798.4595637</v>
      </c>
      <c r="S84" s="16"/>
      <c r="T84" t="s">
        <v>43</v>
      </c>
      <c r="U84">
        <f t="shared" ref="U84" si="62">U85/12</f>
        <v>1</v>
      </c>
      <c r="W84">
        <f t="shared" ref="W84" si="63">W83</f>
        <v>12</v>
      </c>
      <c r="X84">
        <f t="shared" si="20"/>
        <v>2</v>
      </c>
      <c r="Y84" s="3">
        <f t="shared" si="10"/>
        <v>0.12</v>
      </c>
      <c r="Z84" s="1">
        <f t="shared" si="11"/>
        <v>446428.57142857142</v>
      </c>
      <c r="AA84" s="1">
        <f t="shared" si="12"/>
        <v>49107.142857142855</v>
      </c>
      <c r="AB84" s="1">
        <f t="shared" si="13"/>
        <v>495535.71428571426</v>
      </c>
      <c r="AC84" s="1">
        <f t="shared" si="14"/>
        <v>4464285.7142857136</v>
      </c>
      <c r="AD84" s="1">
        <f t="shared" ref="AD84" si="64">-FV($U$12,1,0,AD83,1)</f>
        <v>55056303.392074786</v>
      </c>
    </row>
    <row r="85" spans="12:30" x14ac:dyDescent="0.25">
      <c r="L85">
        <f t="shared" si="47"/>
        <v>71</v>
      </c>
      <c r="M85" s="2">
        <v>7.5499999999999998E-2</v>
      </c>
      <c r="N85" s="1">
        <f t="shared" si="53"/>
        <v>1026957.6379974335</v>
      </c>
      <c r="O85" s="1">
        <f t="shared" si="57"/>
        <v>1098416.7736414217</v>
      </c>
      <c r="P85" s="1">
        <f t="shared" si="58"/>
        <v>2125374.411638855</v>
      </c>
      <c r="Q85" s="1">
        <f t="shared" si="59"/>
        <v>173555840.82156628</v>
      </c>
      <c r="S85" s="16"/>
      <c r="T85" t="s">
        <v>44</v>
      </c>
      <c r="U85">
        <f>12</f>
        <v>12</v>
      </c>
      <c r="W85">
        <f t="shared" si="31"/>
        <v>12</v>
      </c>
      <c r="X85">
        <f t="shared" si="20"/>
        <v>3</v>
      </c>
      <c r="Y85" s="3">
        <f t="shared" si="10"/>
        <v>0.12</v>
      </c>
      <c r="Z85" s="1">
        <f t="shared" si="11"/>
        <v>446428.57142857136</v>
      </c>
      <c r="AA85" s="1">
        <f t="shared" si="12"/>
        <v>44642.857142857138</v>
      </c>
      <c r="AB85" s="1">
        <f t="shared" si="13"/>
        <v>491071.42857142852</v>
      </c>
      <c r="AC85" s="1">
        <f t="shared" si="14"/>
        <v>4017857.1428571423</v>
      </c>
      <c r="AD85" s="1">
        <f t="shared" si="21"/>
        <v>55264350.115210317</v>
      </c>
    </row>
    <row r="86" spans="12:30" x14ac:dyDescent="0.25">
      <c r="L86">
        <f t="shared" si="47"/>
        <v>72</v>
      </c>
      <c r="M86" s="2">
        <v>7.5499999999999998E-2</v>
      </c>
      <c r="N86" s="1">
        <f t="shared" si="53"/>
        <v>1026957.6379974337</v>
      </c>
      <c r="O86" s="1">
        <f t="shared" si="57"/>
        <v>1091955.4985023546</v>
      </c>
      <c r="P86" s="1">
        <f t="shared" si="58"/>
        <v>2118913.1364997881</v>
      </c>
      <c r="Q86" s="1">
        <f t="shared" si="59"/>
        <v>172528883.18356884</v>
      </c>
      <c r="S86" s="16"/>
      <c r="W86">
        <f t="shared" si="31"/>
        <v>12</v>
      </c>
      <c r="X86">
        <f t="shared" si="20"/>
        <v>4</v>
      </c>
      <c r="Y86" s="3">
        <f t="shared" si="10"/>
        <v>0.12</v>
      </c>
      <c r="Z86" s="1">
        <f t="shared" si="11"/>
        <v>446428.57142857136</v>
      </c>
      <c r="AA86" s="1">
        <f t="shared" si="12"/>
        <v>40178.57142857142</v>
      </c>
      <c r="AB86" s="1">
        <f t="shared" si="13"/>
        <v>486607.14285714278</v>
      </c>
      <c r="AC86" s="1">
        <f t="shared" si="14"/>
        <v>3571428.5714285709</v>
      </c>
      <c r="AD86" s="1">
        <f t="shared" si="21"/>
        <v>55473183.005166732</v>
      </c>
    </row>
    <row r="87" spans="12:30" x14ac:dyDescent="0.25">
      <c r="L87">
        <f t="shared" si="47"/>
        <v>73</v>
      </c>
      <c r="M87" s="2">
        <v>9.5500000000000002E-2</v>
      </c>
      <c r="N87" s="1">
        <f t="shared" si="53"/>
        <v>1026957.6379974335</v>
      </c>
      <c r="O87" s="1">
        <f t="shared" si="57"/>
        <v>1373042.3620025686</v>
      </c>
      <c r="P87" s="1">
        <f t="shared" si="58"/>
        <v>2400000.0000000019</v>
      </c>
      <c r="Q87" s="1">
        <f t="shared" si="59"/>
        <v>171501925.54557139</v>
      </c>
      <c r="S87" s="16"/>
      <c r="T87" t="s">
        <v>35</v>
      </c>
      <c r="U87" s="1">
        <f>U75</f>
        <v>500000</v>
      </c>
      <c r="W87">
        <f t="shared" si="31"/>
        <v>12</v>
      </c>
      <c r="X87">
        <f t="shared" si="20"/>
        <v>5</v>
      </c>
      <c r="Y87" s="3">
        <f t="shared" si="10"/>
        <v>0.12</v>
      </c>
      <c r="Z87" s="1">
        <f t="shared" si="11"/>
        <v>446428.57142857136</v>
      </c>
      <c r="AA87" s="1">
        <f t="shared" si="12"/>
        <v>35714.28571428571</v>
      </c>
      <c r="AB87" s="1">
        <f t="shared" si="13"/>
        <v>482142.85714285704</v>
      </c>
      <c r="AC87" s="1">
        <f t="shared" si="14"/>
        <v>3124999.9999999995</v>
      </c>
      <c r="AD87" s="1">
        <f t="shared" si="21"/>
        <v>55682805.032710701</v>
      </c>
    </row>
    <row r="88" spans="12:30" x14ac:dyDescent="0.25">
      <c r="L88">
        <f t="shared" si="47"/>
        <v>74</v>
      </c>
      <c r="M88" s="2">
        <v>9.5500000000000002E-2</v>
      </c>
      <c r="N88" s="1">
        <f t="shared" si="53"/>
        <v>1026957.6379974334</v>
      </c>
      <c r="O88" s="1">
        <f t="shared" si="57"/>
        <v>1364869.4908001723</v>
      </c>
      <c r="P88" s="1">
        <f t="shared" si="58"/>
        <v>2391827.1287976056</v>
      </c>
      <c r="Q88" s="1">
        <f t="shared" si="59"/>
        <v>170474967.90757397</v>
      </c>
      <c r="S88" s="16"/>
      <c r="W88">
        <f t="shared" si="31"/>
        <v>12</v>
      </c>
      <c r="X88">
        <f t="shared" si="20"/>
        <v>6</v>
      </c>
      <c r="Y88" s="3">
        <f t="shared" ref="Y88:Y151" si="65">HLOOKUP(W88,$S$23:$U$214,1+((W88-$S$11-1)*12))</f>
        <v>0.12</v>
      </c>
      <c r="Z88" s="1">
        <f t="shared" ref="Z88:Z151" si="66">AC87/(HLOOKUP(W88,$S$23:$U$214,3+((W88-$S$11-1)*12))+1-X88)</f>
        <v>446428.57142857136</v>
      </c>
      <c r="AA88" s="1">
        <f t="shared" ref="AA88:AA151" si="67">AC87*(Y88/12)</f>
        <v>31249.999999999996</v>
      </c>
      <c r="AB88" s="1">
        <f t="shared" ref="AB88:AB151" si="68">Z88+AA88</f>
        <v>477678.57142857136</v>
      </c>
      <c r="AC88" s="1">
        <f t="shared" ref="AC88:AC151" si="69">IFERROR(IF(AC87-Z88&lt;1,HLOOKUP(W89,$S$23:$U$214,7+((W89-$S$11-1)*12)),AC87-Z88),0)</f>
        <v>2678571.4285714282</v>
      </c>
      <c r="AD88" s="1">
        <f t="shared" si="21"/>
        <v>55893219.17983482</v>
      </c>
    </row>
    <row r="89" spans="12:30" x14ac:dyDescent="0.25">
      <c r="L89">
        <f t="shared" si="47"/>
        <v>75</v>
      </c>
      <c r="M89" s="2">
        <v>9.5500000000000002E-2</v>
      </c>
      <c r="N89" s="1">
        <f t="shared" si="53"/>
        <v>1026957.6379974335</v>
      </c>
      <c r="O89" s="1">
        <f t="shared" si="57"/>
        <v>1356696.6195977761</v>
      </c>
      <c r="P89" s="1">
        <f t="shared" si="58"/>
        <v>2383654.2575952094</v>
      </c>
      <c r="Q89" s="1">
        <f t="shared" si="59"/>
        <v>169448010.26957655</v>
      </c>
      <c r="S89" s="16"/>
      <c r="T89" t="s">
        <v>15</v>
      </c>
      <c r="U89" s="1">
        <f t="shared" si="33"/>
        <v>5357142.8571428573</v>
      </c>
      <c r="W89">
        <f t="shared" si="31"/>
        <v>12</v>
      </c>
      <c r="X89">
        <f t="shared" si="20"/>
        <v>7</v>
      </c>
      <c r="Y89" s="3">
        <f t="shared" si="65"/>
        <v>0.12</v>
      </c>
      <c r="Z89" s="1">
        <f t="shared" si="66"/>
        <v>446428.57142857136</v>
      </c>
      <c r="AA89" s="1">
        <f t="shared" si="67"/>
        <v>26785.714285714283</v>
      </c>
      <c r="AB89" s="1">
        <f t="shared" si="68"/>
        <v>473214.28571428562</v>
      </c>
      <c r="AC89" s="1">
        <f t="shared" si="69"/>
        <v>2232142.8571428568</v>
      </c>
      <c r="AD89" s="1">
        <f t="shared" ref="AD89" si="70">-FV($U$12,1,0,AD88-HLOOKUP(W89,$S$23:$U$214,9+((W89-$S$11-1)*12)),1)</f>
        <v>53586951.211045541</v>
      </c>
    </row>
    <row r="90" spans="12:30" x14ac:dyDescent="0.25">
      <c r="L90">
        <f t="shared" si="47"/>
        <v>76</v>
      </c>
      <c r="M90" s="2">
        <v>9.5500000000000002E-2</v>
      </c>
      <c r="N90" s="1">
        <f t="shared" si="53"/>
        <v>1026957.6379974337</v>
      </c>
      <c r="O90" s="1">
        <f t="shared" si="57"/>
        <v>1348523.7483953799</v>
      </c>
      <c r="P90" s="1">
        <f t="shared" si="58"/>
        <v>2375481.3863928136</v>
      </c>
      <c r="Q90" s="1">
        <f t="shared" si="59"/>
        <v>168421052.6315791</v>
      </c>
      <c r="S90" s="16"/>
      <c r="W90">
        <f t="shared" si="31"/>
        <v>12</v>
      </c>
      <c r="X90">
        <f t="shared" si="20"/>
        <v>8</v>
      </c>
      <c r="Y90" s="3">
        <f t="shared" si="65"/>
        <v>0.12</v>
      </c>
      <c r="Z90" s="1">
        <f t="shared" si="66"/>
        <v>446428.57142857136</v>
      </c>
      <c r="AA90" s="1">
        <f t="shared" si="67"/>
        <v>22321.428571428569</v>
      </c>
      <c r="AB90" s="1">
        <f t="shared" si="68"/>
        <v>468749.99999999994</v>
      </c>
      <c r="AC90" s="1">
        <f t="shared" si="69"/>
        <v>1785714.2857142854</v>
      </c>
      <c r="AD90" s="1">
        <f t="shared" ref="AD90" si="71">-FV($U$12,1,0,AD89,1)</f>
        <v>53789445.54712344</v>
      </c>
    </row>
    <row r="91" spans="12:30" x14ac:dyDescent="0.25">
      <c r="L91">
        <f t="shared" si="47"/>
        <v>77</v>
      </c>
      <c r="M91" s="2">
        <v>9.5500000000000002E-2</v>
      </c>
      <c r="N91" s="1">
        <f t="shared" si="53"/>
        <v>1026957.6379974335</v>
      </c>
      <c r="O91" s="1">
        <f t="shared" si="57"/>
        <v>1340350.8771929836</v>
      </c>
      <c r="P91" s="1">
        <f t="shared" si="58"/>
        <v>2367308.5151904169</v>
      </c>
      <c r="Q91" s="1">
        <f t="shared" si="59"/>
        <v>167394094.99358165</v>
      </c>
      <c r="S91" s="16"/>
      <c r="T91" t="s">
        <v>46</v>
      </c>
      <c r="U91" s="1">
        <f t="shared" ref="U91" si="72">ROUNDUP($T$4*1000*(1+$T$2)^(S83-$S$11),-3)*6</f>
        <v>2508000</v>
      </c>
      <c r="W91">
        <f t="shared" si="31"/>
        <v>12</v>
      </c>
      <c r="X91">
        <f t="shared" si="20"/>
        <v>9</v>
      </c>
      <c r="Y91" s="3">
        <f t="shared" si="65"/>
        <v>0.12</v>
      </c>
      <c r="Z91" s="1">
        <f t="shared" si="66"/>
        <v>446428.57142857136</v>
      </c>
      <c r="AA91" s="1">
        <f t="shared" si="67"/>
        <v>17857.142857142855</v>
      </c>
      <c r="AB91" s="1">
        <f t="shared" si="68"/>
        <v>464285.7142857142</v>
      </c>
      <c r="AC91" s="1">
        <f t="shared" si="69"/>
        <v>1339285.7142857141</v>
      </c>
      <c r="AD91" s="1">
        <f t="shared" si="25"/>
        <v>53992705.068665653</v>
      </c>
    </row>
    <row r="92" spans="12:30" x14ac:dyDescent="0.25">
      <c r="L92">
        <f t="shared" si="47"/>
        <v>78</v>
      </c>
      <c r="M92" s="2">
        <v>9.5500000000000002E-2</v>
      </c>
      <c r="N92" s="1">
        <f t="shared" si="53"/>
        <v>1026957.6379974334</v>
      </c>
      <c r="O92" s="1">
        <f t="shared" si="57"/>
        <v>1332178.0059905872</v>
      </c>
      <c r="P92" s="1">
        <f t="shared" si="58"/>
        <v>2359135.6439880207</v>
      </c>
      <c r="Q92" s="1">
        <f t="shared" si="59"/>
        <v>166367137.35558423</v>
      </c>
      <c r="S92" s="16"/>
      <c r="W92">
        <f t="shared" si="31"/>
        <v>12</v>
      </c>
      <c r="X92">
        <f t="shared" si="20"/>
        <v>10</v>
      </c>
      <c r="Y92" s="3">
        <f t="shared" si="65"/>
        <v>0.12</v>
      </c>
      <c r="Z92" s="1">
        <f t="shared" si="66"/>
        <v>446428.57142857136</v>
      </c>
      <c r="AA92" s="1">
        <f t="shared" si="67"/>
        <v>13392.857142857141</v>
      </c>
      <c r="AB92" s="1">
        <f t="shared" si="68"/>
        <v>459821.42857142852</v>
      </c>
      <c r="AC92" s="1">
        <f t="shared" si="69"/>
        <v>892857.14285714272</v>
      </c>
      <c r="AD92" s="1">
        <f t="shared" si="25"/>
        <v>54196732.667154513</v>
      </c>
    </row>
    <row r="93" spans="12:30" x14ac:dyDescent="0.25">
      <c r="L93">
        <f t="shared" si="47"/>
        <v>79</v>
      </c>
      <c r="M93" s="2">
        <v>9.5500000000000002E-2</v>
      </c>
      <c r="N93" s="1">
        <f t="shared" si="53"/>
        <v>1026957.6379974335</v>
      </c>
      <c r="O93" s="1">
        <f t="shared" si="57"/>
        <v>1324005.1347881912</v>
      </c>
      <c r="P93" s="1">
        <f t="shared" si="58"/>
        <v>2350962.7727856245</v>
      </c>
      <c r="Q93" s="1">
        <f t="shared" si="59"/>
        <v>165340179.71758682</v>
      </c>
      <c r="S93" s="16"/>
      <c r="T93" t="s">
        <v>47</v>
      </c>
      <c r="U93" s="1">
        <f t="shared" si="38"/>
        <v>5016000</v>
      </c>
      <c r="W93">
        <f t="shared" si="31"/>
        <v>12</v>
      </c>
      <c r="X93">
        <f t="shared" si="20"/>
        <v>11</v>
      </c>
      <c r="Y93" s="3">
        <f t="shared" si="65"/>
        <v>0.12</v>
      </c>
      <c r="Z93" s="1">
        <f t="shared" si="66"/>
        <v>446428.57142857136</v>
      </c>
      <c r="AA93" s="1">
        <f t="shared" si="67"/>
        <v>8928.5714285714275</v>
      </c>
      <c r="AB93" s="1">
        <f t="shared" si="68"/>
        <v>455357.14285714278</v>
      </c>
      <c r="AC93" s="1">
        <f t="shared" si="69"/>
        <v>446428.57142857136</v>
      </c>
      <c r="AD93" s="1">
        <f t="shared" si="25"/>
        <v>54401531.244998679</v>
      </c>
    </row>
    <row r="94" spans="12:30" x14ac:dyDescent="0.25">
      <c r="L94">
        <f t="shared" si="47"/>
        <v>80</v>
      </c>
      <c r="M94" s="2">
        <v>9.5500000000000002E-2</v>
      </c>
      <c r="N94" s="1">
        <f t="shared" si="53"/>
        <v>1026957.6379974337</v>
      </c>
      <c r="O94" s="1">
        <f t="shared" si="57"/>
        <v>1315832.2635857949</v>
      </c>
      <c r="P94" s="1">
        <f t="shared" si="58"/>
        <v>2342789.9015832287</v>
      </c>
      <c r="Q94" s="1">
        <f t="shared" si="59"/>
        <v>164313222.07958937</v>
      </c>
      <c r="S94" s="16"/>
      <c r="W94">
        <f t="shared" si="31"/>
        <v>12</v>
      </c>
      <c r="X94">
        <f t="shared" si="20"/>
        <v>12</v>
      </c>
      <c r="Y94" s="3">
        <f t="shared" si="65"/>
        <v>0.12</v>
      </c>
      <c r="Z94" s="1">
        <f t="shared" si="66"/>
        <v>446428.57142857136</v>
      </c>
      <c r="AA94" s="1">
        <f t="shared" si="67"/>
        <v>4464.2857142857138</v>
      </c>
      <c r="AB94" s="1">
        <f t="shared" si="68"/>
        <v>450892.8571428571</v>
      </c>
      <c r="AC94" s="1">
        <f t="shared" si="69"/>
        <v>5357142.8571428573</v>
      </c>
      <c r="AD94" s="1">
        <f t="shared" si="25"/>
        <v>54607103.715574436</v>
      </c>
    </row>
    <row r="95" spans="12:30" x14ac:dyDescent="0.25">
      <c r="L95">
        <f t="shared" si="47"/>
        <v>81</v>
      </c>
      <c r="M95" s="2">
        <v>9.5500000000000002E-2</v>
      </c>
      <c r="N95" s="1">
        <f t="shared" si="53"/>
        <v>1026957.6379974335</v>
      </c>
      <c r="O95" s="1">
        <f t="shared" si="57"/>
        <v>1307659.3923833987</v>
      </c>
      <c r="P95" s="1">
        <f t="shared" si="58"/>
        <v>2334617.030380832</v>
      </c>
      <c r="Q95" s="1">
        <f t="shared" si="59"/>
        <v>163286264.44159192</v>
      </c>
      <c r="S95" s="16">
        <v>13</v>
      </c>
      <c r="T95" t="s">
        <v>45</v>
      </c>
      <c r="U95" s="5">
        <f>12%</f>
        <v>0.12</v>
      </c>
      <c r="W95">
        <f t="shared" ref="W95" si="73">W83+1</f>
        <v>13</v>
      </c>
      <c r="X95">
        <f t="shared" si="20"/>
        <v>1</v>
      </c>
      <c r="Y95" s="3">
        <f t="shared" si="65"/>
        <v>0.12</v>
      </c>
      <c r="Z95" s="1">
        <f t="shared" si="66"/>
        <v>446428.57142857142</v>
      </c>
      <c r="AA95" s="1">
        <f t="shared" si="67"/>
        <v>53571.428571428572</v>
      </c>
      <c r="AB95" s="1">
        <f t="shared" si="68"/>
        <v>500000</v>
      </c>
      <c r="AC95" s="1">
        <f t="shared" si="69"/>
        <v>4910714.2857142854</v>
      </c>
      <c r="AD95" s="1">
        <f t="shared" ref="AD95" si="74">-FV($U$12,1,0,AD94+AC94-HLOOKUP(W95,$S$23:$U$214,9+((W95-$S$11-1)*12)),1)</f>
        <v>56854278.69930461</v>
      </c>
    </row>
    <row r="96" spans="12:30" x14ac:dyDescent="0.25">
      <c r="L96">
        <f t="shared" si="47"/>
        <v>82</v>
      </c>
      <c r="M96" s="2">
        <v>9.5500000000000002E-2</v>
      </c>
      <c r="N96" s="1">
        <f t="shared" si="53"/>
        <v>1026957.6379974334</v>
      </c>
      <c r="O96" s="1">
        <f t="shared" si="57"/>
        <v>1299486.5211810023</v>
      </c>
      <c r="P96" s="1">
        <f t="shared" si="58"/>
        <v>2326444.1591784358</v>
      </c>
      <c r="Q96" s="1">
        <f t="shared" si="59"/>
        <v>162259306.8035945</v>
      </c>
      <c r="S96" s="16"/>
      <c r="T96" t="s">
        <v>43</v>
      </c>
      <c r="U96">
        <f t="shared" ref="U96" si="75">U97/12</f>
        <v>1</v>
      </c>
      <c r="W96">
        <f t="shared" ref="W96" si="76">W95</f>
        <v>13</v>
      </c>
      <c r="X96">
        <f t="shared" si="20"/>
        <v>2</v>
      </c>
      <c r="Y96" s="3">
        <f t="shared" si="65"/>
        <v>0.12</v>
      </c>
      <c r="Z96" s="1">
        <f t="shared" si="66"/>
        <v>446428.57142857142</v>
      </c>
      <c r="AA96" s="1">
        <f t="shared" si="67"/>
        <v>49107.142857142855</v>
      </c>
      <c r="AB96" s="1">
        <f t="shared" si="68"/>
        <v>495535.71428571426</v>
      </c>
      <c r="AC96" s="1">
        <f t="shared" si="69"/>
        <v>4464285.7142857136</v>
      </c>
      <c r="AD96" s="1">
        <f t="shared" ref="AD96" si="77">-FV($U$12,1,0,AD95,1)</f>
        <v>57069119.610351451</v>
      </c>
    </row>
    <row r="97" spans="12:30" x14ac:dyDescent="0.25">
      <c r="L97">
        <f t="shared" si="47"/>
        <v>83</v>
      </c>
      <c r="M97" s="2">
        <v>9.5500000000000002E-2</v>
      </c>
      <c r="N97" s="1">
        <f t="shared" si="53"/>
        <v>1026957.6379974335</v>
      </c>
      <c r="O97" s="1">
        <f t="shared" si="57"/>
        <v>1291313.6499786063</v>
      </c>
      <c r="P97" s="1">
        <f t="shared" si="58"/>
        <v>2318271.2879760396</v>
      </c>
      <c r="Q97" s="1">
        <f t="shared" si="59"/>
        <v>161232349.16559708</v>
      </c>
      <c r="S97" s="16"/>
      <c r="T97" t="s">
        <v>44</v>
      </c>
      <c r="U97">
        <f>12</f>
        <v>12</v>
      </c>
      <c r="W97">
        <f t="shared" si="31"/>
        <v>13</v>
      </c>
      <c r="X97">
        <f t="shared" si="20"/>
        <v>3</v>
      </c>
      <c r="Y97" s="3">
        <f t="shared" si="65"/>
        <v>0.12</v>
      </c>
      <c r="Z97" s="1">
        <f t="shared" si="66"/>
        <v>446428.57142857136</v>
      </c>
      <c r="AA97" s="1">
        <f t="shared" si="67"/>
        <v>44642.857142857138</v>
      </c>
      <c r="AB97" s="1">
        <f t="shared" si="68"/>
        <v>491071.42857142852</v>
      </c>
      <c r="AC97" s="1">
        <f t="shared" si="69"/>
        <v>4017857.1428571423</v>
      </c>
      <c r="AD97" s="1">
        <f t="shared" si="21"/>
        <v>57284772.362091996</v>
      </c>
    </row>
    <row r="98" spans="12:30" x14ac:dyDescent="0.25">
      <c r="L98">
        <f t="shared" si="47"/>
        <v>84</v>
      </c>
      <c r="M98" s="2">
        <v>9.5500000000000002E-2</v>
      </c>
      <c r="N98" s="1">
        <f t="shared" si="53"/>
        <v>1026957.6379974337</v>
      </c>
      <c r="O98" s="1">
        <f t="shared" si="57"/>
        <v>1283140.77877621</v>
      </c>
      <c r="P98" s="1">
        <f t="shared" si="58"/>
        <v>2310098.4167736438</v>
      </c>
      <c r="Q98" s="1">
        <f t="shared" si="59"/>
        <v>160205391.52759963</v>
      </c>
      <c r="S98" s="16"/>
      <c r="W98">
        <f t="shared" si="31"/>
        <v>13</v>
      </c>
      <c r="X98">
        <f t="shared" si="20"/>
        <v>4</v>
      </c>
      <c r="Y98" s="3">
        <f t="shared" si="65"/>
        <v>0.12</v>
      </c>
      <c r="Z98" s="1">
        <f t="shared" si="66"/>
        <v>446428.57142857136</v>
      </c>
      <c r="AA98" s="1">
        <f t="shared" si="67"/>
        <v>40178.57142857142</v>
      </c>
      <c r="AB98" s="1">
        <f t="shared" si="68"/>
        <v>486607.14285714278</v>
      </c>
      <c r="AC98" s="1">
        <f t="shared" si="69"/>
        <v>3571428.5714285709</v>
      </c>
      <c r="AD98" s="1">
        <f t="shared" si="21"/>
        <v>57501240.022309333</v>
      </c>
    </row>
    <row r="99" spans="12:30" x14ac:dyDescent="0.25">
      <c r="L99">
        <f t="shared" si="47"/>
        <v>85</v>
      </c>
      <c r="M99" s="2">
        <v>9.5500000000000002E-2</v>
      </c>
      <c r="N99" s="1">
        <f t="shared" si="53"/>
        <v>1026957.6379974335</v>
      </c>
      <c r="O99" s="1">
        <f t="shared" si="57"/>
        <v>1274967.9075738136</v>
      </c>
      <c r="P99" s="1">
        <f t="shared" si="58"/>
        <v>2301925.5455712471</v>
      </c>
      <c r="Q99" s="1">
        <f t="shared" si="59"/>
        <v>159178433.88960218</v>
      </c>
      <c r="S99" s="16"/>
      <c r="T99" t="s">
        <v>35</v>
      </c>
      <c r="U99" s="1">
        <f>U87</f>
        <v>500000</v>
      </c>
      <c r="W99">
        <f t="shared" si="31"/>
        <v>13</v>
      </c>
      <c r="X99">
        <f t="shared" si="20"/>
        <v>5</v>
      </c>
      <c r="Y99" s="3">
        <f t="shared" si="65"/>
        <v>0.12</v>
      </c>
      <c r="Z99" s="1">
        <f t="shared" si="66"/>
        <v>446428.57142857136</v>
      </c>
      <c r="AA99" s="1">
        <f t="shared" si="67"/>
        <v>35714.28571428571</v>
      </c>
      <c r="AB99" s="1">
        <f t="shared" si="68"/>
        <v>482142.85714285704</v>
      </c>
      <c r="AC99" s="1">
        <f t="shared" si="69"/>
        <v>3124999.9999999995</v>
      </c>
      <c r="AD99" s="1">
        <f t="shared" si="21"/>
        <v>57718525.670379072</v>
      </c>
    </row>
    <row r="100" spans="12:30" x14ac:dyDescent="0.25">
      <c r="L100">
        <f t="shared" si="47"/>
        <v>86</v>
      </c>
      <c r="M100" s="2">
        <v>9.5500000000000002E-2</v>
      </c>
      <c r="N100" s="1">
        <f t="shared" si="53"/>
        <v>1026957.6379974334</v>
      </c>
      <c r="O100" s="1">
        <f t="shared" si="57"/>
        <v>1266795.0363714173</v>
      </c>
      <c r="P100" s="1">
        <f t="shared" si="58"/>
        <v>2293752.6743688509</v>
      </c>
      <c r="Q100" s="1">
        <f t="shared" si="59"/>
        <v>158151476.25160477</v>
      </c>
      <c r="S100" s="16"/>
      <c r="W100">
        <f t="shared" si="31"/>
        <v>13</v>
      </c>
      <c r="X100">
        <f t="shared" ref="X100:X163" si="78">X88</f>
        <v>6</v>
      </c>
      <c r="Y100" s="3">
        <f t="shared" si="65"/>
        <v>0.12</v>
      </c>
      <c r="Z100" s="1">
        <f t="shared" si="66"/>
        <v>446428.57142857136</v>
      </c>
      <c r="AA100" s="1">
        <f t="shared" si="67"/>
        <v>31249.999999999996</v>
      </c>
      <c r="AB100" s="1">
        <f t="shared" si="68"/>
        <v>477678.57142857136</v>
      </c>
      <c r="AC100" s="1">
        <f t="shared" si="69"/>
        <v>2678571.4285714282</v>
      </c>
      <c r="AD100" s="1">
        <f t="shared" ref="AD100:AD160" si="79">-FV($U$12,1,0,AD99,1)</f>
        <v>57936632.397313178</v>
      </c>
    </row>
    <row r="101" spans="12:30" x14ac:dyDescent="0.25">
      <c r="L101">
        <f t="shared" si="47"/>
        <v>87</v>
      </c>
      <c r="M101" s="2">
        <v>9.5500000000000002E-2</v>
      </c>
      <c r="N101" s="1">
        <f t="shared" si="53"/>
        <v>1026957.6379974335</v>
      </c>
      <c r="O101" s="1">
        <f t="shared" si="57"/>
        <v>1258622.1651690211</v>
      </c>
      <c r="P101" s="1">
        <f t="shared" si="58"/>
        <v>2285579.8031664547</v>
      </c>
      <c r="Q101" s="1">
        <f t="shared" si="59"/>
        <v>157124518.61360735</v>
      </c>
      <c r="S101" s="16"/>
      <c r="T101" t="s">
        <v>15</v>
      </c>
      <c r="U101" s="1">
        <f t="shared" si="33"/>
        <v>5357142.8571428573</v>
      </c>
      <c r="W101">
        <f t="shared" si="31"/>
        <v>13</v>
      </c>
      <c r="X101">
        <f t="shared" si="78"/>
        <v>7</v>
      </c>
      <c r="Y101" s="3">
        <f t="shared" si="65"/>
        <v>0.12</v>
      </c>
      <c r="Z101" s="1">
        <f t="shared" si="66"/>
        <v>446428.57142857136</v>
      </c>
      <c r="AA101" s="1">
        <f t="shared" si="67"/>
        <v>26785.714285714283</v>
      </c>
      <c r="AB101" s="1">
        <f t="shared" si="68"/>
        <v>473214.28571428562</v>
      </c>
      <c r="AC101" s="1">
        <f t="shared" si="69"/>
        <v>2232142.8571428568</v>
      </c>
      <c r="AD101" s="1">
        <f t="shared" ref="AD101" si="80">-FV($U$12,1,0,AD100-HLOOKUP(W101,$S$23:$U$214,9+((W101-$S$11-1)*12)),1)</f>
        <v>54819002.576784797</v>
      </c>
    </row>
    <row r="102" spans="12:30" x14ac:dyDescent="0.25">
      <c r="L102">
        <f t="shared" si="47"/>
        <v>88</v>
      </c>
      <c r="M102" s="2">
        <v>9.5500000000000002E-2</v>
      </c>
      <c r="N102" s="1">
        <f t="shared" si="53"/>
        <v>1026957.6379974337</v>
      </c>
      <c r="O102" s="1">
        <f t="shared" si="57"/>
        <v>1250449.2939666251</v>
      </c>
      <c r="P102" s="1">
        <f t="shared" si="58"/>
        <v>2277406.9319640589</v>
      </c>
      <c r="Q102" s="1">
        <f t="shared" si="59"/>
        <v>156097560.9756099</v>
      </c>
      <c r="S102" s="16"/>
      <c r="W102">
        <f t="shared" si="31"/>
        <v>13</v>
      </c>
      <c r="X102">
        <f t="shared" si="78"/>
        <v>8</v>
      </c>
      <c r="Y102" s="3">
        <f t="shared" si="65"/>
        <v>0.12</v>
      </c>
      <c r="Z102" s="1">
        <f t="shared" si="66"/>
        <v>446428.57142857136</v>
      </c>
      <c r="AA102" s="1">
        <f t="shared" si="67"/>
        <v>22321.428571428569</v>
      </c>
      <c r="AB102" s="1">
        <f t="shared" si="68"/>
        <v>468749.99999999994</v>
      </c>
      <c r="AC102" s="1">
        <f t="shared" si="69"/>
        <v>1785714.2857142854</v>
      </c>
      <c r="AD102" s="1">
        <f t="shared" ref="AD102" si="81">-FV($U$12,1,0,AD101,1)</f>
        <v>55026152.587755203</v>
      </c>
    </row>
    <row r="103" spans="12:30" x14ac:dyDescent="0.25">
      <c r="L103">
        <f t="shared" si="47"/>
        <v>89</v>
      </c>
      <c r="M103" s="2">
        <v>9.5500000000000002E-2</v>
      </c>
      <c r="N103" s="1">
        <f t="shared" si="53"/>
        <v>1026957.6379974335</v>
      </c>
      <c r="O103" s="1">
        <f t="shared" si="57"/>
        <v>1242276.4227642287</v>
      </c>
      <c r="P103" s="1">
        <f t="shared" si="58"/>
        <v>2269234.0607616622</v>
      </c>
      <c r="Q103" s="1">
        <f t="shared" si="59"/>
        <v>155070603.33761245</v>
      </c>
      <c r="S103" s="16"/>
      <c r="T103" t="s">
        <v>46</v>
      </c>
      <c r="U103" s="1">
        <f>ROUNDUP($T$5*1000*(1+$T$2)^(S95-$S$11),-3)*6</f>
        <v>3324000</v>
      </c>
      <c r="W103">
        <f t="shared" si="31"/>
        <v>13</v>
      </c>
      <c r="X103">
        <f t="shared" si="78"/>
        <v>9</v>
      </c>
      <c r="Y103" s="3">
        <f t="shared" si="65"/>
        <v>0.12</v>
      </c>
      <c r="Z103" s="1">
        <f t="shared" si="66"/>
        <v>446428.57142857136</v>
      </c>
      <c r="AA103" s="1">
        <f t="shared" si="67"/>
        <v>17857.142857142855</v>
      </c>
      <c r="AB103" s="1">
        <f t="shared" si="68"/>
        <v>464285.7142857142</v>
      </c>
      <c r="AC103" s="1">
        <f t="shared" si="69"/>
        <v>1339285.7142857141</v>
      </c>
      <c r="AD103" s="1">
        <f t="shared" si="25"/>
        <v>55234085.377051152</v>
      </c>
    </row>
    <row r="104" spans="12:30" x14ac:dyDescent="0.25">
      <c r="L104">
        <f t="shared" si="47"/>
        <v>90</v>
      </c>
      <c r="M104" s="2">
        <v>9.5500000000000002E-2</v>
      </c>
      <c r="N104" s="1">
        <f t="shared" si="53"/>
        <v>1026957.6379974334</v>
      </c>
      <c r="O104" s="1">
        <f t="shared" si="57"/>
        <v>1234103.5515618324</v>
      </c>
      <c r="P104" s="1">
        <f t="shared" si="58"/>
        <v>2261061.189559266</v>
      </c>
      <c r="Q104" s="1">
        <f t="shared" si="59"/>
        <v>154043645.69961503</v>
      </c>
      <c r="S104" s="16"/>
      <c r="W104">
        <f t="shared" si="31"/>
        <v>13</v>
      </c>
      <c r="X104">
        <f t="shared" si="78"/>
        <v>10</v>
      </c>
      <c r="Y104" s="3">
        <f t="shared" si="65"/>
        <v>0.12</v>
      </c>
      <c r="Z104" s="1">
        <f t="shared" si="66"/>
        <v>446428.57142857136</v>
      </c>
      <c r="AA104" s="1">
        <f t="shared" si="67"/>
        <v>13392.857142857141</v>
      </c>
      <c r="AB104" s="1">
        <f t="shared" si="68"/>
        <v>459821.42857142852</v>
      </c>
      <c r="AC104" s="1">
        <f t="shared" si="69"/>
        <v>892857.14285714272</v>
      </c>
      <c r="AD104" s="1">
        <f t="shared" si="25"/>
        <v>55442803.902634874</v>
      </c>
    </row>
    <row r="105" spans="12:30" x14ac:dyDescent="0.25">
      <c r="L105">
        <f t="shared" si="47"/>
        <v>91</v>
      </c>
      <c r="M105" s="2">
        <v>9.5500000000000002E-2</v>
      </c>
      <c r="N105" s="1">
        <f t="shared" si="53"/>
        <v>1026957.6379974335</v>
      </c>
      <c r="O105" s="1">
        <f t="shared" si="57"/>
        <v>1225930.6803594362</v>
      </c>
      <c r="P105" s="1">
        <f t="shared" si="58"/>
        <v>2252888.3183568697</v>
      </c>
      <c r="Q105" s="1">
        <f t="shared" si="59"/>
        <v>153016688.06161761</v>
      </c>
      <c r="S105" s="16"/>
      <c r="T105" t="s">
        <v>47</v>
      </c>
      <c r="U105" s="1">
        <f t="shared" si="38"/>
        <v>6648000</v>
      </c>
      <c r="W105">
        <f t="shared" si="31"/>
        <v>13</v>
      </c>
      <c r="X105">
        <f t="shared" si="78"/>
        <v>11</v>
      </c>
      <c r="Y105" s="3">
        <f t="shared" si="65"/>
        <v>0.12</v>
      </c>
      <c r="Z105" s="1">
        <f t="shared" si="66"/>
        <v>446428.57142857136</v>
      </c>
      <c r="AA105" s="1">
        <f t="shared" si="67"/>
        <v>8928.5714285714275</v>
      </c>
      <c r="AB105" s="1">
        <f t="shared" si="68"/>
        <v>455357.14285714278</v>
      </c>
      <c r="AC105" s="1">
        <f t="shared" si="69"/>
        <v>446428.57142857136</v>
      </c>
      <c r="AD105" s="1">
        <f t="shared" si="25"/>
        <v>55652311.133646131</v>
      </c>
    </row>
    <row r="106" spans="12:30" x14ac:dyDescent="0.25">
      <c r="L106">
        <f t="shared" si="47"/>
        <v>92</v>
      </c>
      <c r="M106" s="2">
        <v>9.5500000000000002E-2</v>
      </c>
      <c r="N106" s="1">
        <f t="shared" si="53"/>
        <v>1026957.6379974337</v>
      </c>
      <c r="O106" s="1">
        <f t="shared" si="57"/>
        <v>1217757.8091570402</v>
      </c>
      <c r="P106" s="1">
        <f t="shared" si="58"/>
        <v>2244715.447154474</v>
      </c>
      <c r="Q106" s="1">
        <f t="shared" si="59"/>
        <v>151989730.42362016</v>
      </c>
      <c r="S106" s="16"/>
      <c r="W106">
        <f t="shared" si="31"/>
        <v>13</v>
      </c>
      <c r="X106">
        <f t="shared" si="78"/>
        <v>12</v>
      </c>
      <c r="Y106" s="3">
        <f t="shared" si="65"/>
        <v>0.12</v>
      </c>
      <c r="Z106" s="1">
        <f t="shared" si="66"/>
        <v>446428.57142857136</v>
      </c>
      <c r="AA106" s="1">
        <f t="shared" si="67"/>
        <v>4464.2857142857138</v>
      </c>
      <c r="AB106" s="1">
        <f t="shared" si="68"/>
        <v>450892.8571428571</v>
      </c>
      <c r="AC106" s="1">
        <f t="shared" si="69"/>
        <v>5357142.8571428573</v>
      </c>
      <c r="AD106" s="1">
        <f t="shared" ref="AD106:AD166" si="82">-FV($U$12,1,0,AD105,1)</f>
        <v>55862610.050444469</v>
      </c>
    </row>
    <row r="107" spans="12:30" x14ac:dyDescent="0.25">
      <c r="L107">
        <f t="shared" si="47"/>
        <v>93</v>
      </c>
      <c r="M107" s="2">
        <v>9.5500000000000002E-2</v>
      </c>
      <c r="N107" s="1">
        <f t="shared" si="53"/>
        <v>1026957.6379974335</v>
      </c>
      <c r="O107" s="1">
        <f t="shared" si="57"/>
        <v>1209584.9379546437</v>
      </c>
      <c r="P107" s="1">
        <f t="shared" si="58"/>
        <v>2236542.5759520773</v>
      </c>
      <c r="Q107" s="1">
        <f t="shared" si="59"/>
        <v>150962772.78562272</v>
      </c>
      <c r="S107" s="16">
        <v>14</v>
      </c>
      <c r="T107" t="s">
        <v>45</v>
      </c>
      <c r="U107" s="5">
        <f>12%</f>
        <v>0.12</v>
      </c>
      <c r="W107">
        <f t="shared" ref="W107" si="83">W95+1</f>
        <v>14</v>
      </c>
      <c r="X107">
        <f t="shared" si="78"/>
        <v>1</v>
      </c>
      <c r="Y107" s="3">
        <f t="shared" si="65"/>
        <v>0.12</v>
      </c>
      <c r="Z107" s="1">
        <f t="shared" si="66"/>
        <v>446428.57142857142</v>
      </c>
      <c r="AA107" s="1">
        <f t="shared" si="67"/>
        <v>53571.428571428572</v>
      </c>
      <c r="AB107" s="1">
        <f t="shared" si="68"/>
        <v>500000</v>
      </c>
      <c r="AC107" s="1">
        <f t="shared" si="69"/>
        <v>4910714.2857142854</v>
      </c>
      <c r="AD107" s="1">
        <f t="shared" ref="AD107" si="84">-FV($U$12,1,0,AD106+AC106-HLOOKUP(W107,$S$23:$U$214,9+((W107-$S$11-1)*12)),1)</f>
        <v>58012143.903156035</v>
      </c>
    </row>
    <row r="108" spans="12:30" x14ac:dyDescent="0.25">
      <c r="L108">
        <f t="shared" si="47"/>
        <v>94</v>
      </c>
      <c r="M108" s="2">
        <v>9.5500000000000002E-2</v>
      </c>
      <c r="N108" s="1">
        <f t="shared" si="53"/>
        <v>1026957.6379974334</v>
      </c>
      <c r="O108" s="1">
        <f t="shared" si="57"/>
        <v>1201412.0667522473</v>
      </c>
      <c r="P108" s="1">
        <f t="shared" si="58"/>
        <v>2228369.7047496806</v>
      </c>
      <c r="Q108" s="1">
        <f t="shared" si="59"/>
        <v>149935815.1476253</v>
      </c>
      <c r="S108" s="16"/>
      <c r="T108" t="s">
        <v>43</v>
      </c>
      <c r="U108">
        <f t="shared" ref="U108" si="85">U109/12</f>
        <v>1</v>
      </c>
      <c r="W108">
        <f t="shared" ref="W108" si="86">W107</f>
        <v>14</v>
      </c>
      <c r="X108">
        <f t="shared" si="78"/>
        <v>2</v>
      </c>
      <c r="Y108" s="3">
        <f t="shared" si="65"/>
        <v>0.12</v>
      </c>
      <c r="Z108" s="1">
        <f t="shared" si="66"/>
        <v>446428.57142857142</v>
      </c>
      <c r="AA108" s="1">
        <f t="shared" si="67"/>
        <v>49107.142857142855</v>
      </c>
      <c r="AB108" s="1">
        <f t="shared" si="68"/>
        <v>495535.71428571426</v>
      </c>
      <c r="AC108" s="1">
        <f t="shared" si="69"/>
        <v>4464285.7142857136</v>
      </c>
      <c r="AD108" s="1">
        <f t="shared" ref="AD108" si="87">-FV($U$12,1,0,AD107,1)</f>
        <v>58231360.154475518</v>
      </c>
    </row>
    <row r="109" spans="12:30" x14ac:dyDescent="0.25">
      <c r="L109">
        <f t="shared" si="47"/>
        <v>95</v>
      </c>
      <c r="M109" s="2">
        <v>9.5500000000000002E-2</v>
      </c>
      <c r="N109" s="1">
        <f t="shared" si="53"/>
        <v>1026957.6379974335</v>
      </c>
      <c r="O109" s="1">
        <f t="shared" si="57"/>
        <v>1193239.1955498513</v>
      </c>
      <c r="P109" s="1">
        <f t="shared" si="58"/>
        <v>2220196.8335472848</v>
      </c>
      <c r="Q109" s="1">
        <f t="shared" si="59"/>
        <v>148908857.50962788</v>
      </c>
      <c r="S109" s="16"/>
      <c r="T109" t="s">
        <v>44</v>
      </c>
      <c r="U109">
        <f>12</f>
        <v>12</v>
      </c>
      <c r="W109">
        <f t="shared" si="31"/>
        <v>14</v>
      </c>
      <c r="X109">
        <f t="shared" si="78"/>
        <v>3</v>
      </c>
      <c r="Y109" s="3">
        <f t="shared" si="65"/>
        <v>0.12</v>
      </c>
      <c r="Z109" s="1">
        <f t="shared" si="66"/>
        <v>446428.57142857136</v>
      </c>
      <c r="AA109" s="1">
        <f t="shared" si="67"/>
        <v>44642.857142857138</v>
      </c>
      <c r="AB109" s="1">
        <f t="shared" si="68"/>
        <v>491071.42857142852</v>
      </c>
      <c r="AC109" s="1">
        <f t="shared" si="69"/>
        <v>4017857.1428571423</v>
      </c>
      <c r="AD109" s="1">
        <f t="shared" si="79"/>
        <v>58451404.780021653</v>
      </c>
    </row>
    <row r="110" spans="12:30" x14ac:dyDescent="0.25">
      <c r="L110">
        <f t="shared" si="47"/>
        <v>96</v>
      </c>
      <c r="M110" s="2">
        <v>9.5500000000000002E-2</v>
      </c>
      <c r="N110" s="1">
        <f t="shared" si="53"/>
        <v>1026957.6379974337</v>
      </c>
      <c r="O110" s="1">
        <f t="shared" si="57"/>
        <v>1185066.3243474551</v>
      </c>
      <c r="P110" s="1">
        <f t="shared" si="58"/>
        <v>2212023.9623448886</v>
      </c>
      <c r="Q110" s="1">
        <f t="shared" si="59"/>
        <v>147881899.87163043</v>
      </c>
      <c r="S110" s="16"/>
      <c r="W110">
        <f t="shared" si="31"/>
        <v>14</v>
      </c>
      <c r="X110">
        <f t="shared" si="78"/>
        <v>4</v>
      </c>
      <c r="Y110" s="3">
        <f t="shared" si="65"/>
        <v>0.12</v>
      </c>
      <c r="Z110" s="1">
        <f t="shared" si="66"/>
        <v>446428.57142857136</v>
      </c>
      <c r="AA110" s="1">
        <f t="shared" si="67"/>
        <v>40178.57142857142</v>
      </c>
      <c r="AB110" s="1">
        <f t="shared" si="68"/>
        <v>486607.14285714278</v>
      </c>
      <c r="AC110" s="1">
        <f t="shared" si="69"/>
        <v>3571428.5714285709</v>
      </c>
      <c r="AD110" s="1">
        <f t="shared" si="79"/>
        <v>58672280.91005443</v>
      </c>
    </row>
    <row r="111" spans="12:30" x14ac:dyDescent="0.25">
      <c r="L111">
        <f t="shared" si="47"/>
        <v>97</v>
      </c>
      <c r="M111" s="2">
        <v>9.5500000000000002E-2</v>
      </c>
      <c r="N111" s="1">
        <f t="shared" si="53"/>
        <v>1026957.6379974335</v>
      </c>
      <c r="O111" s="1">
        <f t="shared" si="57"/>
        <v>1176893.4531450588</v>
      </c>
      <c r="P111" s="1">
        <f t="shared" si="58"/>
        <v>2203851.0911424924</v>
      </c>
      <c r="Q111" s="1">
        <f t="shared" si="59"/>
        <v>146854942.23363298</v>
      </c>
      <c r="S111" s="16"/>
      <c r="T111" t="s">
        <v>35</v>
      </c>
      <c r="U111" s="1">
        <f>U99</f>
        <v>500000</v>
      </c>
      <c r="W111">
        <f t="shared" si="31"/>
        <v>14</v>
      </c>
      <c r="X111">
        <f t="shared" si="78"/>
        <v>5</v>
      </c>
      <c r="Y111" s="3">
        <f t="shared" si="65"/>
        <v>0.12</v>
      </c>
      <c r="Z111" s="1">
        <f t="shared" si="66"/>
        <v>446428.57142857136</v>
      </c>
      <c r="AA111" s="1">
        <f t="shared" si="67"/>
        <v>35714.28571428571</v>
      </c>
      <c r="AB111" s="1">
        <f t="shared" si="68"/>
        <v>482142.85714285704</v>
      </c>
      <c r="AC111" s="1">
        <f t="shared" si="69"/>
        <v>3124999.9999999995</v>
      </c>
      <c r="AD111" s="1">
        <f t="shared" si="79"/>
        <v>58893991.686662465</v>
      </c>
    </row>
    <row r="112" spans="12:30" x14ac:dyDescent="0.25">
      <c r="L112">
        <f t="shared" si="47"/>
        <v>98</v>
      </c>
      <c r="M112" s="2">
        <v>9.5500000000000002E-2</v>
      </c>
      <c r="N112" s="1">
        <f t="shared" si="53"/>
        <v>1026957.6379974334</v>
      </c>
      <c r="O112" s="1">
        <f t="shared" si="57"/>
        <v>1168720.5819426624</v>
      </c>
      <c r="P112" s="1">
        <f t="shared" si="58"/>
        <v>2195678.2199400957</v>
      </c>
      <c r="Q112" s="1">
        <f t="shared" si="59"/>
        <v>145827984.59563556</v>
      </c>
      <c r="S112" s="16"/>
      <c r="W112">
        <f t="shared" ref="W112:W175" si="88">W111</f>
        <v>14</v>
      </c>
      <c r="X112">
        <f t="shared" si="78"/>
        <v>6</v>
      </c>
      <c r="Y112" s="3">
        <f t="shared" si="65"/>
        <v>0.12</v>
      </c>
      <c r="Z112" s="1">
        <f t="shared" si="66"/>
        <v>446428.57142857136</v>
      </c>
      <c r="AA112" s="1">
        <f t="shared" si="67"/>
        <v>31249.999999999996</v>
      </c>
      <c r="AB112" s="1">
        <f t="shared" si="68"/>
        <v>477678.57142857136</v>
      </c>
      <c r="AC112" s="1">
        <f t="shared" si="69"/>
        <v>2678571.4285714282</v>
      </c>
      <c r="AD112" s="1">
        <f t="shared" si="79"/>
        <v>59116540.263807677</v>
      </c>
    </row>
    <row r="113" spans="12:30" x14ac:dyDescent="0.25">
      <c r="L113">
        <f t="shared" si="47"/>
        <v>99</v>
      </c>
      <c r="M113" s="2">
        <v>9.5500000000000002E-2</v>
      </c>
      <c r="N113" s="1">
        <f t="shared" si="53"/>
        <v>1026957.6379974335</v>
      </c>
      <c r="O113" s="1">
        <f t="shared" si="57"/>
        <v>1160547.7107402664</v>
      </c>
      <c r="P113" s="1">
        <f t="shared" si="58"/>
        <v>2187505.3487376999</v>
      </c>
      <c r="Q113" s="1">
        <f t="shared" si="59"/>
        <v>144801026.95763814</v>
      </c>
      <c r="S113" s="16"/>
      <c r="T113" t="s">
        <v>15</v>
      </c>
      <c r="U113" s="1">
        <f t="shared" si="33"/>
        <v>5357142.8571428573</v>
      </c>
      <c r="W113">
        <f t="shared" si="88"/>
        <v>14</v>
      </c>
      <c r="X113">
        <f t="shared" si="78"/>
        <v>7</v>
      </c>
      <c r="Y113" s="3">
        <f t="shared" si="65"/>
        <v>0.12</v>
      </c>
      <c r="Z113" s="1">
        <f t="shared" si="66"/>
        <v>446428.57142857136</v>
      </c>
      <c r="AA113" s="1">
        <f t="shared" si="67"/>
        <v>26785.714285714283</v>
      </c>
      <c r="AB113" s="1">
        <f t="shared" si="68"/>
        <v>473214.28571428562</v>
      </c>
      <c r="AC113" s="1">
        <f t="shared" si="69"/>
        <v>2232142.8571428568</v>
      </c>
      <c r="AD113" s="1">
        <f t="shared" ref="AD113" si="89">-FV($U$12,1,0,AD112-HLOOKUP(W113,$S$23:$U$214,9+((W113-$S$11-1)*12)),1)</f>
        <v>55900983.640817992</v>
      </c>
    </row>
    <row r="114" spans="12:30" x14ac:dyDescent="0.25">
      <c r="L114">
        <f t="shared" si="47"/>
        <v>100</v>
      </c>
      <c r="M114" s="2">
        <v>9.5500000000000002E-2</v>
      </c>
      <c r="N114" s="1">
        <f t="shared" si="53"/>
        <v>1026957.6379974337</v>
      </c>
      <c r="O114" s="1">
        <f t="shared" si="57"/>
        <v>1152374.8395378701</v>
      </c>
      <c r="P114" s="1">
        <f t="shared" si="58"/>
        <v>2179332.4775353037</v>
      </c>
      <c r="Q114" s="1">
        <f t="shared" si="59"/>
        <v>143774069.3196407</v>
      </c>
      <c r="S114" s="16"/>
      <c r="W114">
        <f t="shared" si="88"/>
        <v>14</v>
      </c>
      <c r="X114">
        <f t="shared" si="78"/>
        <v>8</v>
      </c>
      <c r="Y114" s="3">
        <f t="shared" si="65"/>
        <v>0.12</v>
      </c>
      <c r="Z114" s="1">
        <f t="shared" si="66"/>
        <v>446428.57142857136</v>
      </c>
      <c r="AA114" s="1">
        <f t="shared" si="67"/>
        <v>22321.428571428569</v>
      </c>
      <c r="AB114" s="1">
        <f t="shared" si="68"/>
        <v>468749.99999999994</v>
      </c>
      <c r="AC114" s="1">
        <f t="shared" si="69"/>
        <v>1785714.2857142854</v>
      </c>
      <c r="AD114" s="1">
        <f t="shared" ref="AD114" si="90">-FV($U$12,1,0,AD113,1)</f>
        <v>56112222.241123281</v>
      </c>
    </row>
    <row r="115" spans="12:30" x14ac:dyDescent="0.25">
      <c r="L115">
        <f t="shared" si="47"/>
        <v>101</v>
      </c>
      <c r="M115" s="2">
        <v>9.5500000000000002E-2</v>
      </c>
      <c r="N115" s="1">
        <f t="shared" si="53"/>
        <v>1026957.6379974335</v>
      </c>
      <c r="O115" s="1">
        <f t="shared" si="57"/>
        <v>1144201.9683354739</v>
      </c>
      <c r="P115" s="1">
        <f t="shared" si="58"/>
        <v>2171159.6063329075</v>
      </c>
      <c r="Q115" s="1">
        <f t="shared" si="59"/>
        <v>142747111.68164325</v>
      </c>
      <c r="S115" s="16"/>
      <c r="T115" t="s">
        <v>46</v>
      </c>
      <c r="U115" s="1">
        <f t="shared" ref="U115" si="91">ROUNDUP($T$5*1000*(1+$T$2)^(S107-$S$11),-3)*6</f>
        <v>3426000</v>
      </c>
      <c r="W115">
        <f t="shared" si="88"/>
        <v>14</v>
      </c>
      <c r="X115">
        <f t="shared" si="78"/>
        <v>9</v>
      </c>
      <c r="Y115" s="3">
        <f t="shared" si="65"/>
        <v>0.12</v>
      </c>
      <c r="Z115" s="1">
        <f t="shared" si="66"/>
        <v>446428.57142857136</v>
      </c>
      <c r="AA115" s="1">
        <f t="shared" si="67"/>
        <v>17857.142857142855</v>
      </c>
      <c r="AB115" s="1">
        <f t="shared" si="68"/>
        <v>464285.7142857142</v>
      </c>
      <c r="AC115" s="1">
        <f t="shared" si="69"/>
        <v>1339285.7142857141</v>
      </c>
      <c r="AD115" s="1">
        <f t="shared" si="82"/>
        <v>56324259.06971281</v>
      </c>
    </row>
    <row r="116" spans="12:30" x14ac:dyDescent="0.25">
      <c r="L116">
        <f t="shared" si="47"/>
        <v>102</v>
      </c>
      <c r="M116" s="2">
        <v>9.5500000000000002E-2</v>
      </c>
      <c r="N116" s="1">
        <f t="shared" si="53"/>
        <v>1026957.6379974334</v>
      </c>
      <c r="O116" s="1">
        <f t="shared" si="57"/>
        <v>1136029.0971330774</v>
      </c>
      <c r="P116" s="1">
        <f t="shared" si="58"/>
        <v>2162986.7351305108</v>
      </c>
      <c r="Q116" s="1">
        <f t="shared" si="59"/>
        <v>141720154.04364583</v>
      </c>
      <c r="S116" s="16"/>
      <c r="W116">
        <f t="shared" si="88"/>
        <v>14</v>
      </c>
      <c r="X116">
        <f t="shared" si="78"/>
        <v>10</v>
      </c>
      <c r="Y116" s="3">
        <f t="shared" si="65"/>
        <v>0.12</v>
      </c>
      <c r="Z116" s="1">
        <f t="shared" si="66"/>
        <v>446428.57142857136</v>
      </c>
      <c r="AA116" s="1">
        <f t="shared" si="67"/>
        <v>13392.857142857141</v>
      </c>
      <c r="AB116" s="1">
        <f t="shared" si="68"/>
        <v>459821.42857142852</v>
      </c>
      <c r="AC116" s="1">
        <f t="shared" si="69"/>
        <v>892857.14285714272</v>
      </c>
      <c r="AD116" s="1">
        <f t="shared" si="82"/>
        <v>56537097.142931096</v>
      </c>
    </row>
    <row r="117" spans="12:30" x14ac:dyDescent="0.25">
      <c r="L117">
        <f t="shared" si="47"/>
        <v>103</v>
      </c>
      <c r="M117" s="2">
        <v>9.5500000000000002E-2</v>
      </c>
      <c r="N117" s="1">
        <f t="shared" si="53"/>
        <v>1026957.6379974335</v>
      </c>
      <c r="O117" s="1">
        <f t="shared" si="57"/>
        <v>1127856.2259306812</v>
      </c>
      <c r="P117" s="1">
        <f t="shared" si="58"/>
        <v>2154813.863928115</v>
      </c>
      <c r="Q117" s="1">
        <f t="shared" si="59"/>
        <v>140693196.40564841</v>
      </c>
      <c r="S117" s="16"/>
      <c r="T117" t="s">
        <v>47</v>
      </c>
      <c r="U117" s="1">
        <f t="shared" si="38"/>
        <v>6852000</v>
      </c>
      <c r="W117">
        <f t="shared" si="88"/>
        <v>14</v>
      </c>
      <c r="X117">
        <f t="shared" si="78"/>
        <v>11</v>
      </c>
      <c r="Y117" s="3">
        <f t="shared" si="65"/>
        <v>0.12</v>
      </c>
      <c r="Z117" s="1">
        <f t="shared" si="66"/>
        <v>446428.57142857136</v>
      </c>
      <c r="AA117" s="1">
        <f t="shared" si="67"/>
        <v>8928.5714285714275</v>
      </c>
      <c r="AB117" s="1">
        <f t="shared" si="68"/>
        <v>455357.14285714278</v>
      </c>
      <c r="AC117" s="1">
        <f t="shared" si="69"/>
        <v>446428.57142857136</v>
      </c>
      <c r="AD117" s="1">
        <f t="shared" si="82"/>
        <v>56750739.488520816</v>
      </c>
    </row>
    <row r="118" spans="12:30" x14ac:dyDescent="0.25">
      <c r="L118">
        <f t="shared" si="47"/>
        <v>104</v>
      </c>
      <c r="M118" s="2">
        <v>9.5500000000000002E-2</v>
      </c>
      <c r="N118" s="1">
        <f t="shared" si="53"/>
        <v>1026957.6379974337</v>
      </c>
      <c r="O118" s="1">
        <f t="shared" si="57"/>
        <v>1119683.3547282852</v>
      </c>
      <c r="P118" s="1">
        <f t="shared" si="58"/>
        <v>2146640.9927257188</v>
      </c>
      <c r="Q118" s="1">
        <f t="shared" si="59"/>
        <v>139666238.76765096</v>
      </c>
      <c r="S118" s="16"/>
      <c r="W118">
        <f t="shared" si="88"/>
        <v>14</v>
      </c>
      <c r="X118">
        <f t="shared" si="78"/>
        <v>12</v>
      </c>
      <c r="Y118" s="3">
        <f t="shared" si="65"/>
        <v>0.12</v>
      </c>
      <c r="Z118" s="1">
        <f t="shared" si="66"/>
        <v>446428.57142857136</v>
      </c>
      <c r="AA118" s="1">
        <f t="shared" si="67"/>
        <v>4464.2857142857138</v>
      </c>
      <c r="AB118" s="1">
        <f t="shared" si="68"/>
        <v>450892.8571428571</v>
      </c>
      <c r="AC118" s="1">
        <f t="shared" si="69"/>
        <v>5357142.8571428573</v>
      </c>
      <c r="AD118" s="1">
        <f t="shared" si="82"/>
        <v>56965189.145665877</v>
      </c>
    </row>
    <row r="119" spans="12:30" x14ac:dyDescent="0.25">
      <c r="L119">
        <f t="shared" si="47"/>
        <v>105</v>
      </c>
      <c r="M119" s="2">
        <v>9.5500000000000002E-2</v>
      </c>
      <c r="N119" s="1">
        <f t="shared" si="53"/>
        <v>1026957.6379974335</v>
      </c>
      <c r="O119" s="1">
        <f t="shared" si="57"/>
        <v>1111510.4835258888</v>
      </c>
      <c r="P119" s="1">
        <f t="shared" si="58"/>
        <v>2138468.1215233225</v>
      </c>
      <c r="Q119" s="1">
        <f t="shared" si="59"/>
        <v>138639281.12965351</v>
      </c>
      <c r="S119" s="16">
        <v>15</v>
      </c>
      <c r="T119" t="s">
        <v>45</v>
      </c>
      <c r="U119" s="5">
        <f>12%</f>
        <v>0.12</v>
      </c>
      <c r="W119">
        <f t="shared" ref="W119" si="92">W107+1</f>
        <v>15</v>
      </c>
      <c r="X119">
        <f t="shared" si="78"/>
        <v>1</v>
      </c>
      <c r="Y119" s="3">
        <f t="shared" si="65"/>
        <v>0.12</v>
      </c>
      <c r="Z119" s="1">
        <f t="shared" si="66"/>
        <v>446428.57142857142</v>
      </c>
      <c r="AA119" s="1">
        <f t="shared" si="67"/>
        <v>53571.428571428572</v>
      </c>
      <c r="AB119" s="1">
        <f t="shared" si="68"/>
        <v>500000</v>
      </c>
      <c r="AC119" s="1">
        <f t="shared" si="69"/>
        <v>4910714.2857142854</v>
      </c>
      <c r="AD119" s="1">
        <f t="shared" ref="AD119" si="93">-FV($U$12,1,0,AD118+AC118-HLOOKUP(W119,$S$23:$U$214,9+((W119-$S$11-1)*12)),1)</f>
        <v>59016503.986005992</v>
      </c>
    </row>
    <row r="120" spans="12:30" x14ac:dyDescent="0.25">
      <c r="L120">
        <f t="shared" si="47"/>
        <v>106</v>
      </c>
      <c r="M120" s="2">
        <v>9.5500000000000002E-2</v>
      </c>
      <c r="N120" s="1">
        <f t="shared" si="53"/>
        <v>1026957.6379974334</v>
      </c>
      <c r="O120" s="1">
        <f t="shared" si="57"/>
        <v>1103337.6123234925</v>
      </c>
      <c r="P120" s="1">
        <f t="shared" si="58"/>
        <v>2130295.2503209258</v>
      </c>
      <c r="Q120" s="1">
        <f t="shared" si="59"/>
        <v>137612323.49165609</v>
      </c>
      <c r="S120" s="16"/>
      <c r="T120" t="s">
        <v>43</v>
      </c>
      <c r="U120">
        <f t="shared" ref="U120" si="94">U121/12</f>
        <v>1</v>
      </c>
      <c r="W120">
        <f t="shared" ref="W120" si="95">W119</f>
        <v>15</v>
      </c>
      <c r="X120">
        <f t="shared" si="78"/>
        <v>2</v>
      </c>
      <c r="Y120" s="3">
        <f t="shared" si="65"/>
        <v>0.12</v>
      </c>
      <c r="Z120" s="1">
        <f t="shared" si="66"/>
        <v>446428.57142857142</v>
      </c>
      <c r="AA120" s="1">
        <f t="shared" si="67"/>
        <v>49107.142857142855</v>
      </c>
      <c r="AB120" s="1">
        <f t="shared" si="68"/>
        <v>495535.71428571426</v>
      </c>
      <c r="AC120" s="1">
        <f t="shared" si="69"/>
        <v>4464285.7142857136</v>
      </c>
      <c r="AD120" s="1">
        <f t="shared" ref="AD120" si="96">-FV($U$12,1,0,AD119,1)</f>
        <v>59239515.512547582</v>
      </c>
    </row>
    <row r="121" spans="12:30" x14ac:dyDescent="0.25">
      <c r="L121">
        <f t="shared" si="47"/>
        <v>107</v>
      </c>
      <c r="M121" s="2">
        <v>9.5500000000000002E-2</v>
      </c>
      <c r="N121" s="1">
        <f t="shared" si="53"/>
        <v>1026957.6379974335</v>
      </c>
      <c r="O121" s="1">
        <f t="shared" si="57"/>
        <v>1095164.7411210963</v>
      </c>
      <c r="P121" s="1">
        <f t="shared" si="58"/>
        <v>2122122.3791185301</v>
      </c>
      <c r="Q121" s="1">
        <f t="shared" si="59"/>
        <v>136585365.85365868</v>
      </c>
      <c r="S121" s="16"/>
      <c r="T121" t="s">
        <v>44</v>
      </c>
      <c r="U121">
        <f>12</f>
        <v>12</v>
      </c>
      <c r="W121">
        <f t="shared" si="88"/>
        <v>15</v>
      </c>
      <c r="X121">
        <f t="shared" si="78"/>
        <v>3</v>
      </c>
      <c r="Y121" s="3">
        <f t="shared" si="65"/>
        <v>0.12</v>
      </c>
      <c r="Z121" s="1">
        <f t="shared" si="66"/>
        <v>446428.57142857136</v>
      </c>
      <c r="AA121" s="1">
        <f t="shared" si="67"/>
        <v>44642.857142857138</v>
      </c>
      <c r="AB121" s="1">
        <f t="shared" si="68"/>
        <v>491071.42857142852</v>
      </c>
      <c r="AC121" s="1">
        <f t="shared" si="69"/>
        <v>4017857.1428571423</v>
      </c>
      <c r="AD121" s="1">
        <f t="shared" si="79"/>
        <v>59463369.754899353</v>
      </c>
    </row>
    <row r="122" spans="12:30" x14ac:dyDescent="0.25">
      <c r="L122">
        <f t="shared" si="47"/>
        <v>108</v>
      </c>
      <c r="M122" s="2">
        <v>9.5500000000000002E-2</v>
      </c>
      <c r="N122" s="1">
        <f t="shared" si="53"/>
        <v>1026957.6379974337</v>
      </c>
      <c r="O122" s="1">
        <f t="shared" si="57"/>
        <v>1086991.8699187003</v>
      </c>
      <c r="P122" s="1">
        <f t="shared" si="58"/>
        <v>2113949.5079161339</v>
      </c>
      <c r="Q122" s="1">
        <f t="shared" si="59"/>
        <v>135558408.21566123</v>
      </c>
      <c r="S122" s="16"/>
      <c r="W122">
        <f t="shared" si="88"/>
        <v>15</v>
      </c>
      <c r="X122">
        <f t="shared" si="78"/>
        <v>4</v>
      </c>
      <c r="Y122" s="3">
        <f t="shared" si="65"/>
        <v>0.12</v>
      </c>
      <c r="Z122" s="1">
        <f t="shared" si="66"/>
        <v>446428.57142857136</v>
      </c>
      <c r="AA122" s="1">
        <f t="shared" si="67"/>
        <v>40178.57142857142</v>
      </c>
      <c r="AB122" s="1">
        <f t="shared" si="68"/>
        <v>486607.14285714278</v>
      </c>
      <c r="AC122" s="1">
        <f t="shared" si="69"/>
        <v>3571428.5714285709</v>
      </c>
      <c r="AD122" s="1">
        <f t="shared" si="79"/>
        <v>59688069.897515252</v>
      </c>
    </row>
    <row r="123" spans="12:30" x14ac:dyDescent="0.25">
      <c r="L123">
        <f t="shared" si="47"/>
        <v>109</v>
      </c>
      <c r="M123" s="2">
        <v>9.5500000000000002E-2</v>
      </c>
      <c r="N123" s="1">
        <f t="shared" si="53"/>
        <v>1026957.6379974335</v>
      </c>
      <c r="O123" s="1">
        <f t="shared" si="57"/>
        <v>1078818.9987163038</v>
      </c>
      <c r="P123" s="1">
        <f t="shared" si="58"/>
        <v>2105776.6367137376</v>
      </c>
      <c r="Q123" s="1">
        <f t="shared" si="59"/>
        <v>134531450.57766378</v>
      </c>
      <c r="S123" s="16"/>
      <c r="T123" t="s">
        <v>35</v>
      </c>
      <c r="U123" s="1">
        <f>U111</f>
        <v>500000</v>
      </c>
      <c r="W123">
        <f t="shared" si="88"/>
        <v>15</v>
      </c>
      <c r="X123">
        <f t="shared" si="78"/>
        <v>5</v>
      </c>
      <c r="Y123" s="3">
        <f t="shared" si="65"/>
        <v>0.12</v>
      </c>
      <c r="Z123" s="1">
        <f t="shared" si="66"/>
        <v>446428.57142857136</v>
      </c>
      <c r="AA123" s="1">
        <f t="shared" si="67"/>
        <v>35714.28571428571</v>
      </c>
      <c r="AB123" s="1">
        <f t="shared" si="68"/>
        <v>482142.85714285704</v>
      </c>
      <c r="AC123" s="1">
        <f t="shared" si="69"/>
        <v>3124999.9999999995</v>
      </c>
      <c r="AD123" s="1">
        <f t="shared" si="79"/>
        <v>59913619.13688264</v>
      </c>
    </row>
    <row r="124" spans="12:30" x14ac:dyDescent="0.25">
      <c r="L124">
        <f t="shared" si="47"/>
        <v>110</v>
      </c>
      <c r="M124" s="2">
        <v>9.5500000000000002E-2</v>
      </c>
      <c r="N124" s="1">
        <f t="shared" si="53"/>
        <v>1026957.6379974334</v>
      </c>
      <c r="O124" s="1">
        <f t="shared" si="57"/>
        <v>1070646.1275139076</v>
      </c>
      <c r="P124" s="1">
        <f t="shared" si="58"/>
        <v>2097603.7655113409</v>
      </c>
      <c r="Q124" s="1">
        <f t="shared" si="59"/>
        <v>133504492.93966635</v>
      </c>
      <c r="S124" s="16"/>
      <c r="W124">
        <f t="shared" si="88"/>
        <v>15</v>
      </c>
      <c r="X124">
        <f t="shared" si="78"/>
        <v>6</v>
      </c>
      <c r="Y124" s="3">
        <f t="shared" si="65"/>
        <v>0.12</v>
      </c>
      <c r="Z124" s="1">
        <f t="shared" si="66"/>
        <v>446428.57142857136</v>
      </c>
      <c r="AA124" s="1">
        <f t="shared" si="67"/>
        <v>31249.999999999996</v>
      </c>
      <c r="AB124" s="1">
        <f t="shared" si="68"/>
        <v>477678.57142857136</v>
      </c>
      <c r="AC124" s="1">
        <f t="shared" si="69"/>
        <v>2678571.4285714282</v>
      </c>
      <c r="AD124" s="1">
        <f t="shared" si="79"/>
        <v>60140020.681567766</v>
      </c>
    </row>
    <row r="125" spans="12:30" x14ac:dyDescent="0.25">
      <c r="L125">
        <f t="shared" si="47"/>
        <v>111</v>
      </c>
      <c r="M125" s="2">
        <v>9.5500000000000002E-2</v>
      </c>
      <c r="N125" s="1">
        <f t="shared" si="53"/>
        <v>1026957.6379974334</v>
      </c>
      <c r="O125" s="1">
        <f t="shared" si="57"/>
        <v>1062473.2563115114</v>
      </c>
      <c r="P125" s="1">
        <f t="shared" si="58"/>
        <v>2089430.8943089447</v>
      </c>
      <c r="Q125" s="1">
        <f t="shared" si="59"/>
        <v>132477535.30166891</v>
      </c>
      <c r="S125" s="16"/>
      <c r="T125" t="s">
        <v>15</v>
      </c>
      <c r="U125" s="1">
        <f t="shared" ref="U125" si="97">(12*U121*U123)/(12+U121*U119)</f>
        <v>5357142.8571428573</v>
      </c>
      <c r="W125">
        <f t="shared" si="88"/>
        <v>15</v>
      </c>
      <c r="X125">
        <f t="shared" si="78"/>
        <v>7</v>
      </c>
      <c r="Y125" s="3">
        <f t="shared" si="65"/>
        <v>0.12</v>
      </c>
      <c r="Z125" s="1">
        <f t="shared" si="66"/>
        <v>446428.57142857136</v>
      </c>
      <c r="AA125" s="1">
        <f t="shared" si="67"/>
        <v>26785.714285714283</v>
      </c>
      <c r="AB125" s="1">
        <f t="shared" si="68"/>
        <v>473214.28571428562</v>
      </c>
      <c r="AC125" s="1">
        <f t="shared" si="69"/>
        <v>2232142.8571428568</v>
      </c>
      <c r="AD125" s="1">
        <f t="shared" ref="AD125" si="98">-FV($U$12,1,0,AD124-HLOOKUP(W125,$S$23:$U$214,9+((W125-$S$11-1)*12)),1)</f>
        <v>56825946.148176126</v>
      </c>
    </row>
    <row r="126" spans="12:30" x14ac:dyDescent="0.25">
      <c r="L126">
        <f t="shared" si="47"/>
        <v>112</v>
      </c>
      <c r="M126" s="2">
        <v>9.5500000000000002E-2</v>
      </c>
      <c r="N126" s="1">
        <f t="shared" si="53"/>
        <v>1026957.6379974334</v>
      </c>
      <c r="O126" s="1">
        <f t="shared" si="57"/>
        <v>1054300.3851091149</v>
      </c>
      <c r="P126" s="1">
        <f t="shared" si="58"/>
        <v>2081258.0231065485</v>
      </c>
      <c r="Q126" s="1">
        <f t="shared" si="59"/>
        <v>131450577.66367148</v>
      </c>
      <c r="S126" s="16"/>
      <c r="W126">
        <f t="shared" si="88"/>
        <v>15</v>
      </c>
      <c r="X126">
        <f t="shared" si="78"/>
        <v>8</v>
      </c>
      <c r="Y126" s="3">
        <f t="shared" si="65"/>
        <v>0.12</v>
      </c>
      <c r="Z126" s="1">
        <f t="shared" si="66"/>
        <v>446428.57142857136</v>
      </c>
      <c r="AA126" s="1">
        <f t="shared" si="67"/>
        <v>22321.428571428569</v>
      </c>
      <c r="AB126" s="1">
        <f t="shared" si="68"/>
        <v>468749.99999999994</v>
      </c>
      <c r="AC126" s="1">
        <f t="shared" si="69"/>
        <v>1785714.2857142854</v>
      </c>
      <c r="AD126" s="1">
        <f t="shared" ref="AD126" si="99">-FV($U$12,1,0,AD125,1)</f>
        <v>57040679.99619735</v>
      </c>
    </row>
    <row r="127" spans="12:30" x14ac:dyDescent="0.25">
      <c r="L127">
        <f t="shared" si="47"/>
        <v>113</v>
      </c>
      <c r="M127" s="2">
        <v>9.5500000000000002E-2</v>
      </c>
      <c r="N127" s="1">
        <f t="shared" si="53"/>
        <v>1026957.6379974334</v>
      </c>
      <c r="O127" s="1">
        <f t="shared" si="57"/>
        <v>1046127.5139067188</v>
      </c>
      <c r="P127" s="1">
        <f t="shared" si="58"/>
        <v>2073085.1519041522</v>
      </c>
      <c r="Q127" s="1">
        <f t="shared" si="59"/>
        <v>130423620.02567405</v>
      </c>
      <c r="S127" s="16"/>
      <c r="T127" t="s">
        <v>46</v>
      </c>
      <c r="U127" s="1">
        <f t="shared" ref="U127" si="100">ROUNDUP($T$5*1000*(1+$T$2)^(S119-$S$11),-3)*6</f>
        <v>3528000</v>
      </c>
      <c r="W127">
        <f t="shared" si="88"/>
        <v>15</v>
      </c>
      <c r="X127">
        <f t="shared" si="78"/>
        <v>9</v>
      </c>
      <c r="Y127" s="3">
        <f t="shared" si="65"/>
        <v>0.12</v>
      </c>
      <c r="Z127" s="1">
        <f t="shared" si="66"/>
        <v>446428.57142857136</v>
      </c>
      <c r="AA127" s="1">
        <f t="shared" si="67"/>
        <v>17857.142857142855</v>
      </c>
      <c r="AB127" s="1">
        <f t="shared" si="68"/>
        <v>464285.7142857142</v>
      </c>
      <c r="AC127" s="1">
        <f t="shared" si="69"/>
        <v>1339285.7142857141</v>
      </c>
      <c r="AD127" s="1">
        <f t="shared" si="82"/>
        <v>57256225.280342594</v>
      </c>
    </row>
    <row r="128" spans="12:30" x14ac:dyDescent="0.25">
      <c r="L128">
        <f t="shared" si="47"/>
        <v>114</v>
      </c>
      <c r="M128" s="2">
        <v>9.5500000000000002E-2</v>
      </c>
      <c r="N128" s="1">
        <f t="shared" si="53"/>
        <v>1026957.6379974334</v>
      </c>
      <c r="O128" s="1">
        <f t="shared" si="57"/>
        <v>1037954.6427043226</v>
      </c>
      <c r="P128" s="1">
        <f t="shared" si="58"/>
        <v>2064912.280701756</v>
      </c>
      <c r="Q128" s="1">
        <f t="shared" si="59"/>
        <v>129396662.38767661</v>
      </c>
      <c r="S128" s="16"/>
      <c r="W128">
        <f t="shared" si="88"/>
        <v>15</v>
      </c>
      <c r="X128">
        <f t="shared" si="78"/>
        <v>10</v>
      </c>
      <c r="Y128" s="3">
        <f t="shared" si="65"/>
        <v>0.12</v>
      </c>
      <c r="Z128" s="1">
        <f t="shared" si="66"/>
        <v>446428.57142857136</v>
      </c>
      <c r="AA128" s="1">
        <f t="shared" si="67"/>
        <v>13392.857142857141</v>
      </c>
      <c r="AB128" s="1">
        <f t="shared" si="68"/>
        <v>459821.42857142852</v>
      </c>
      <c r="AC128" s="1">
        <f t="shared" si="69"/>
        <v>892857.14285714272</v>
      </c>
      <c r="AD128" s="1">
        <f t="shared" si="82"/>
        <v>57472585.066866145</v>
      </c>
    </row>
    <row r="129" spans="12:30" x14ac:dyDescent="0.25">
      <c r="L129">
        <f t="shared" si="47"/>
        <v>115</v>
      </c>
      <c r="M129" s="2">
        <v>9.5500000000000002E-2</v>
      </c>
      <c r="N129" s="1">
        <f t="shared" si="53"/>
        <v>1026957.6379974334</v>
      </c>
      <c r="O129" s="1">
        <f t="shared" si="57"/>
        <v>1029781.7715019264</v>
      </c>
      <c r="P129" s="1">
        <f t="shared" si="58"/>
        <v>2056739.4094993598</v>
      </c>
      <c r="Q129" s="1">
        <f t="shared" si="59"/>
        <v>128369704.74967918</v>
      </c>
      <c r="S129" s="16"/>
      <c r="T129" t="s">
        <v>47</v>
      </c>
      <c r="U129" s="1">
        <f t="shared" ref="U129" si="101">U127*2</f>
        <v>7056000</v>
      </c>
      <c r="W129">
        <f t="shared" si="88"/>
        <v>15</v>
      </c>
      <c r="X129">
        <f t="shared" si="78"/>
        <v>11</v>
      </c>
      <c r="Y129" s="3">
        <f t="shared" si="65"/>
        <v>0.12</v>
      </c>
      <c r="Z129" s="1">
        <f t="shared" si="66"/>
        <v>446428.57142857136</v>
      </c>
      <c r="AA129" s="1">
        <f t="shared" si="67"/>
        <v>8928.5714285714275</v>
      </c>
      <c r="AB129" s="1">
        <f t="shared" si="68"/>
        <v>455357.14285714278</v>
      </c>
      <c r="AC129" s="1">
        <f t="shared" si="69"/>
        <v>446428.57142857136</v>
      </c>
      <c r="AD129" s="1">
        <f t="shared" si="82"/>
        <v>57689762.433609053</v>
      </c>
    </row>
    <row r="130" spans="12:30" x14ac:dyDescent="0.25">
      <c r="L130">
        <f t="shared" si="47"/>
        <v>116</v>
      </c>
      <c r="M130" s="2">
        <v>9.5500000000000002E-2</v>
      </c>
      <c r="N130" s="1">
        <f t="shared" si="53"/>
        <v>1026957.6379974334</v>
      </c>
      <c r="O130" s="1">
        <f t="shared" si="57"/>
        <v>1021608.90029953</v>
      </c>
      <c r="P130" s="1">
        <f t="shared" si="58"/>
        <v>2048566.5382969636</v>
      </c>
      <c r="Q130" s="1">
        <f t="shared" si="59"/>
        <v>127342747.11168174</v>
      </c>
      <c r="S130" s="16"/>
      <c r="W130">
        <f t="shared" si="88"/>
        <v>15</v>
      </c>
      <c r="X130">
        <f t="shared" si="78"/>
        <v>12</v>
      </c>
      <c r="Y130" s="3">
        <f t="shared" si="65"/>
        <v>0.12</v>
      </c>
      <c r="Z130" s="1">
        <f t="shared" si="66"/>
        <v>446428.57142857136</v>
      </c>
      <c r="AA130" s="1">
        <f t="shared" si="67"/>
        <v>4464.2857142857138</v>
      </c>
      <c r="AB130" s="1">
        <f t="shared" si="68"/>
        <v>450892.8571428571</v>
      </c>
      <c r="AC130" s="1">
        <f t="shared" si="69"/>
        <v>5357142.8571428573</v>
      </c>
      <c r="AD130" s="1">
        <f t="shared" si="82"/>
        <v>57907760.470042922</v>
      </c>
    </row>
    <row r="131" spans="12:30" x14ac:dyDescent="0.25">
      <c r="L131">
        <f t="shared" si="47"/>
        <v>117</v>
      </c>
      <c r="M131" s="2">
        <v>9.5500000000000002E-2</v>
      </c>
      <c r="N131" s="1">
        <f t="shared" si="53"/>
        <v>1026957.6379974334</v>
      </c>
      <c r="O131" s="1">
        <f t="shared" si="57"/>
        <v>1013436.0290971338</v>
      </c>
      <c r="P131" s="1">
        <f t="shared" si="58"/>
        <v>2040393.6670945673</v>
      </c>
      <c r="Q131" s="1">
        <f t="shared" si="59"/>
        <v>126315789.47368431</v>
      </c>
      <c r="S131" s="16">
        <v>16</v>
      </c>
      <c r="T131" t="s">
        <v>45</v>
      </c>
      <c r="U131" s="5">
        <f>12%</f>
        <v>0.12</v>
      </c>
      <c r="W131">
        <f t="shared" ref="W131" si="102">W119+1</f>
        <v>16</v>
      </c>
      <c r="X131">
        <f t="shared" si="78"/>
        <v>1</v>
      </c>
      <c r="Y131" s="3">
        <f t="shared" si="65"/>
        <v>0.12</v>
      </c>
      <c r="Z131" s="1">
        <f t="shared" si="66"/>
        <v>446428.57142857142</v>
      </c>
      <c r="AA131" s="1">
        <f t="shared" si="67"/>
        <v>53571.428571428572</v>
      </c>
      <c r="AB131" s="1">
        <f t="shared" si="68"/>
        <v>500000</v>
      </c>
      <c r="AC131" s="1">
        <f t="shared" si="69"/>
        <v>4910714.2857142854</v>
      </c>
      <c r="AD131" s="1">
        <f t="shared" ref="AD131" si="103">-FV($U$12,1,0,AD130+AC130-HLOOKUP(W131,$S$23:$U$214,9+((W131-$S$11-1)*12)),1)</f>
        <v>59047190.833283529</v>
      </c>
    </row>
    <row r="132" spans="12:30" x14ac:dyDescent="0.25">
      <c r="L132">
        <f t="shared" si="47"/>
        <v>118</v>
      </c>
      <c r="M132" s="2">
        <v>9.5500000000000002E-2</v>
      </c>
      <c r="N132" s="1">
        <f t="shared" si="53"/>
        <v>1026957.6379974334</v>
      </c>
      <c r="O132" s="1">
        <f t="shared" si="57"/>
        <v>1005263.1578947376</v>
      </c>
      <c r="P132" s="1">
        <f t="shared" si="58"/>
        <v>2032220.7958921711</v>
      </c>
      <c r="Q132" s="1">
        <f t="shared" si="59"/>
        <v>125288831.83568688</v>
      </c>
      <c r="S132" s="16"/>
      <c r="T132" t="s">
        <v>43</v>
      </c>
      <c r="U132">
        <f t="shared" ref="U132" si="104">U133/12</f>
        <v>1</v>
      </c>
      <c r="W132">
        <f t="shared" ref="W132" si="105">W131</f>
        <v>16</v>
      </c>
      <c r="X132">
        <f t="shared" si="78"/>
        <v>2</v>
      </c>
      <c r="Y132" s="3">
        <f t="shared" si="65"/>
        <v>0.12</v>
      </c>
      <c r="Z132" s="1">
        <f t="shared" si="66"/>
        <v>446428.57142857142</v>
      </c>
      <c r="AA132" s="1">
        <f t="shared" si="67"/>
        <v>49107.142857142855</v>
      </c>
      <c r="AB132" s="1">
        <f t="shared" si="68"/>
        <v>495535.71428571426</v>
      </c>
      <c r="AC132" s="1">
        <f t="shared" si="69"/>
        <v>4464285.7142857136</v>
      </c>
      <c r="AD132" s="1">
        <f t="shared" ref="AD132" si="106">-FV($U$12,1,0,AD131,1)</f>
        <v>59270318.319263481</v>
      </c>
    </row>
    <row r="133" spans="12:30" x14ac:dyDescent="0.25">
      <c r="L133">
        <f t="shared" ref="L133:L196" si="107">L132+1</f>
        <v>119</v>
      </c>
      <c r="M133" s="2">
        <v>9.5500000000000002E-2</v>
      </c>
      <c r="N133" s="1">
        <f t="shared" si="53"/>
        <v>1026957.6379974334</v>
      </c>
      <c r="O133" s="1">
        <f t="shared" si="57"/>
        <v>997090.28669234132</v>
      </c>
      <c r="P133" s="1">
        <f t="shared" si="58"/>
        <v>2024047.9246897749</v>
      </c>
      <c r="Q133" s="1">
        <f t="shared" si="59"/>
        <v>124261874.19768944</v>
      </c>
      <c r="S133" s="16"/>
      <c r="T133" t="s">
        <v>44</v>
      </c>
      <c r="U133">
        <f>12</f>
        <v>12</v>
      </c>
      <c r="W133">
        <f t="shared" si="88"/>
        <v>16</v>
      </c>
      <c r="X133">
        <f t="shared" si="78"/>
        <v>3</v>
      </c>
      <c r="Y133" s="3">
        <f t="shared" si="65"/>
        <v>0.12</v>
      </c>
      <c r="Z133" s="1">
        <f t="shared" si="66"/>
        <v>446428.57142857136</v>
      </c>
      <c r="AA133" s="1">
        <f t="shared" si="67"/>
        <v>44642.857142857138</v>
      </c>
      <c r="AB133" s="1">
        <f t="shared" si="68"/>
        <v>491071.42857142852</v>
      </c>
      <c r="AC133" s="1">
        <f t="shared" si="69"/>
        <v>4017857.1428571423</v>
      </c>
      <c r="AD133" s="1">
        <f t="shared" si="79"/>
        <v>59494288.959241062</v>
      </c>
    </row>
    <row r="134" spans="12:30" x14ac:dyDescent="0.25">
      <c r="L134">
        <f t="shared" si="107"/>
        <v>120</v>
      </c>
      <c r="M134" s="2">
        <v>9.5500000000000002E-2</v>
      </c>
      <c r="N134" s="1">
        <f t="shared" si="53"/>
        <v>1026957.6379974334</v>
      </c>
      <c r="O134" s="1">
        <f t="shared" si="57"/>
        <v>988917.4154899451</v>
      </c>
      <c r="P134" s="1">
        <f t="shared" si="58"/>
        <v>2015875.0534873786</v>
      </c>
      <c r="Q134" s="1">
        <f t="shared" si="59"/>
        <v>123234916.55969201</v>
      </c>
      <c r="S134" s="16"/>
      <c r="W134">
        <f t="shared" si="88"/>
        <v>16</v>
      </c>
      <c r="X134">
        <f t="shared" si="78"/>
        <v>4</v>
      </c>
      <c r="Y134" s="3">
        <f t="shared" si="65"/>
        <v>0.12</v>
      </c>
      <c r="Z134" s="1">
        <f t="shared" si="66"/>
        <v>446428.57142857136</v>
      </c>
      <c r="AA134" s="1">
        <f t="shared" si="67"/>
        <v>40178.57142857142</v>
      </c>
      <c r="AB134" s="1">
        <f t="shared" si="68"/>
        <v>486607.14285714278</v>
      </c>
      <c r="AC134" s="1">
        <f t="shared" si="69"/>
        <v>3571428.5714285709</v>
      </c>
      <c r="AD134" s="1">
        <f t="shared" si="79"/>
        <v>59719105.93932604</v>
      </c>
    </row>
    <row r="135" spans="12:30" x14ac:dyDescent="0.25">
      <c r="L135">
        <f t="shared" si="107"/>
        <v>121</v>
      </c>
      <c r="M135" s="2">
        <v>9.5500000000000002E-2</v>
      </c>
      <c r="N135" s="1">
        <f t="shared" si="53"/>
        <v>1026957.6379974334</v>
      </c>
      <c r="O135" s="1">
        <f t="shared" si="57"/>
        <v>980744.54428754887</v>
      </c>
      <c r="P135" s="1">
        <f t="shared" si="58"/>
        <v>2007702.1822849824</v>
      </c>
      <c r="Q135" s="1">
        <f t="shared" si="59"/>
        <v>122207958.92169458</v>
      </c>
      <c r="S135" s="16"/>
      <c r="T135" t="s">
        <v>35</v>
      </c>
      <c r="U135" s="1">
        <f>U123</f>
        <v>500000</v>
      </c>
      <c r="W135">
        <f t="shared" si="88"/>
        <v>16</v>
      </c>
      <c r="X135">
        <f t="shared" si="78"/>
        <v>5</v>
      </c>
      <c r="Y135" s="3">
        <f t="shared" si="65"/>
        <v>0.12</v>
      </c>
      <c r="Z135" s="1">
        <f t="shared" si="66"/>
        <v>446428.57142857136</v>
      </c>
      <c r="AA135" s="1">
        <f t="shared" si="67"/>
        <v>35714.28571428571</v>
      </c>
      <c r="AB135" s="1">
        <f t="shared" si="68"/>
        <v>482142.85714285704</v>
      </c>
      <c r="AC135" s="1">
        <f t="shared" si="69"/>
        <v>3124999.9999999995</v>
      </c>
      <c r="AD135" s="1">
        <f t="shared" si="79"/>
        <v>59944772.457667865</v>
      </c>
    </row>
    <row r="136" spans="12:30" x14ac:dyDescent="0.25">
      <c r="L136">
        <f t="shared" si="107"/>
        <v>122</v>
      </c>
      <c r="M136" s="2">
        <v>9.5500000000000002E-2</v>
      </c>
      <c r="N136" s="1">
        <f t="shared" si="53"/>
        <v>1026957.6379974334</v>
      </c>
      <c r="O136" s="1">
        <f t="shared" si="57"/>
        <v>972571.67308515264</v>
      </c>
      <c r="P136" s="1">
        <f t="shared" si="58"/>
        <v>1999529.3110825862</v>
      </c>
      <c r="Q136" s="1">
        <f t="shared" si="59"/>
        <v>121181001.28369714</v>
      </c>
      <c r="S136" s="16"/>
      <c r="W136">
        <f t="shared" si="88"/>
        <v>16</v>
      </c>
      <c r="X136">
        <f t="shared" si="78"/>
        <v>6</v>
      </c>
      <c r="Y136" s="3">
        <f t="shared" si="65"/>
        <v>0.12</v>
      </c>
      <c r="Z136" s="1">
        <f t="shared" si="66"/>
        <v>446428.57142857136</v>
      </c>
      <c r="AA136" s="1">
        <f t="shared" si="67"/>
        <v>31249.999999999996</v>
      </c>
      <c r="AB136" s="1">
        <f t="shared" si="68"/>
        <v>477678.57142857136</v>
      </c>
      <c r="AC136" s="1">
        <f t="shared" si="69"/>
        <v>2678571.4285714282</v>
      </c>
      <c r="AD136" s="1">
        <f t="shared" si="79"/>
        <v>60171291.724501133</v>
      </c>
    </row>
    <row r="137" spans="12:30" x14ac:dyDescent="0.25">
      <c r="L137">
        <f t="shared" si="107"/>
        <v>123</v>
      </c>
      <c r="M137" s="2">
        <v>9.5500000000000002E-2</v>
      </c>
      <c r="N137" s="1">
        <f t="shared" si="53"/>
        <v>1026957.6379974334</v>
      </c>
      <c r="O137" s="1">
        <f t="shared" si="57"/>
        <v>964398.80188275641</v>
      </c>
      <c r="P137" s="1">
        <f t="shared" si="58"/>
        <v>1991356.43988019</v>
      </c>
      <c r="Q137" s="1">
        <f t="shared" si="59"/>
        <v>120154043.64569971</v>
      </c>
      <c r="S137" s="16"/>
      <c r="T137" t="s">
        <v>15</v>
      </c>
      <c r="U137" s="1">
        <f t="shared" ref="U137:U185" si="108">(12*U133*U135)/(12+U133*U131)</f>
        <v>5357142.8571428573</v>
      </c>
      <c r="W137">
        <f t="shared" si="88"/>
        <v>16</v>
      </c>
      <c r="X137">
        <f t="shared" si="78"/>
        <v>7</v>
      </c>
      <c r="Y137" s="3">
        <f t="shared" si="65"/>
        <v>0.12</v>
      </c>
      <c r="Z137" s="1">
        <f t="shared" si="66"/>
        <v>446428.57142857136</v>
      </c>
      <c r="AA137" s="1">
        <f t="shared" si="67"/>
        <v>26785.714285714283</v>
      </c>
      <c r="AB137" s="1">
        <f t="shared" si="68"/>
        <v>473214.28571428562</v>
      </c>
      <c r="AC137" s="1">
        <f t="shared" si="69"/>
        <v>2232142.8571428568</v>
      </c>
      <c r="AD137" s="1">
        <f t="shared" ref="AD137" si="109">-FV($U$12,1,0,AD136-HLOOKUP(W137,$S$23:$U$214,9+((W137-$S$11-1)*12)),1)</f>
        <v>55941889.093104377</v>
      </c>
    </row>
    <row r="138" spans="12:30" x14ac:dyDescent="0.25">
      <c r="L138">
        <f t="shared" si="107"/>
        <v>124</v>
      </c>
      <c r="M138" s="2">
        <v>9.5500000000000002E-2</v>
      </c>
      <c r="N138" s="1">
        <f t="shared" si="53"/>
        <v>1026957.6379974334</v>
      </c>
      <c r="O138" s="1">
        <f t="shared" si="57"/>
        <v>956225.93068036018</v>
      </c>
      <c r="P138" s="1">
        <f t="shared" si="58"/>
        <v>1983183.5686777937</v>
      </c>
      <c r="Q138" s="1">
        <f t="shared" si="59"/>
        <v>119127086.00770228</v>
      </c>
      <c r="S138" s="16"/>
      <c r="W138">
        <f t="shared" si="88"/>
        <v>16</v>
      </c>
      <c r="X138">
        <f t="shared" si="78"/>
        <v>8</v>
      </c>
      <c r="Y138" s="3">
        <f t="shared" si="65"/>
        <v>0.12</v>
      </c>
      <c r="Z138" s="1">
        <f t="shared" si="66"/>
        <v>446428.57142857136</v>
      </c>
      <c r="AA138" s="1">
        <f t="shared" si="67"/>
        <v>22321.428571428569</v>
      </c>
      <c r="AB138" s="1">
        <f t="shared" si="68"/>
        <v>468749.99999999994</v>
      </c>
      <c r="AC138" s="1">
        <f t="shared" si="69"/>
        <v>1785714.2857142854</v>
      </c>
      <c r="AD138" s="1">
        <f t="shared" ref="AD138" si="110">-FV($U$12,1,0,AD137,1)</f>
        <v>56153282.266905926</v>
      </c>
    </row>
    <row r="139" spans="12:30" x14ac:dyDescent="0.25">
      <c r="L139">
        <f t="shared" si="107"/>
        <v>125</v>
      </c>
      <c r="M139" s="2">
        <v>9.5500000000000002E-2</v>
      </c>
      <c r="N139" s="1">
        <f t="shared" ref="N139:N202" si="111">IFERROR(Q138/($M$10+1-L139),0)</f>
        <v>1026957.6379974334</v>
      </c>
      <c r="O139" s="1">
        <f t="shared" si="57"/>
        <v>948053.05947796395</v>
      </c>
      <c r="P139" s="1">
        <f t="shared" si="58"/>
        <v>1975010.6974753975</v>
      </c>
      <c r="Q139" s="1">
        <f t="shared" si="59"/>
        <v>118100128.36970484</v>
      </c>
      <c r="S139" s="16"/>
      <c r="T139" t="s">
        <v>46</v>
      </c>
      <c r="U139" s="1">
        <f>ROUNDUP($T$6*1000*(1+$T$2)^(S131-$S$11),-3)*6</f>
        <v>4440000</v>
      </c>
      <c r="W139">
        <f t="shared" si="88"/>
        <v>16</v>
      </c>
      <c r="X139">
        <f t="shared" si="78"/>
        <v>9</v>
      </c>
      <c r="Y139" s="3">
        <f t="shared" si="65"/>
        <v>0.12</v>
      </c>
      <c r="Z139" s="1">
        <f t="shared" si="66"/>
        <v>446428.57142857136</v>
      </c>
      <c r="AA139" s="1">
        <f t="shared" si="67"/>
        <v>17857.142857142855</v>
      </c>
      <c r="AB139" s="1">
        <f t="shared" si="68"/>
        <v>464285.7142857142</v>
      </c>
      <c r="AC139" s="1">
        <f t="shared" si="69"/>
        <v>1339285.7142857141</v>
      </c>
      <c r="AD139" s="1">
        <f t="shared" si="82"/>
        <v>56365474.253093943</v>
      </c>
    </row>
    <row r="140" spans="12:30" x14ac:dyDescent="0.25">
      <c r="L140">
        <f t="shared" si="107"/>
        <v>126</v>
      </c>
      <c r="M140" s="2">
        <v>9.5500000000000002E-2</v>
      </c>
      <c r="N140" s="1">
        <f t="shared" si="111"/>
        <v>1026957.6379974334</v>
      </c>
      <c r="O140" s="1">
        <f t="shared" si="57"/>
        <v>939880.18827556761</v>
      </c>
      <c r="P140" s="1">
        <f t="shared" si="58"/>
        <v>1966837.826273001</v>
      </c>
      <c r="Q140" s="1">
        <f t="shared" si="59"/>
        <v>117073170.73170741</v>
      </c>
      <c r="S140" s="16"/>
      <c r="W140">
        <f t="shared" si="88"/>
        <v>16</v>
      </c>
      <c r="X140">
        <f t="shared" si="78"/>
        <v>10</v>
      </c>
      <c r="Y140" s="3">
        <f t="shared" si="65"/>
        <v>0.12</v>
      </c>
      <c r="Z140" s="1">
        <f t="shared" si="66"/>
        <v>446428.57142857136</v>
      </c>
      <c r="AA140" s="1">
        <f t="shared" si="67"/>
        <v>13392.857142857141</v>
      </c>
      <c r="AB140" s="1">
        <f t="shared" si="68"/>
        <v>459821.42857142852</v>
      </c>
      <c r="AC140" s="1">
        <f t="shared" si="69"/>
        <v>892857.14285714272</v>
      </c>
      <c r="AD140" s="1">
        <f t="shared" si="82"/>
        <v>56578468.07022015</v>
      </c>
    </row>
    <row r="141" spans="12:30" x14ac:dyDescent="0.25">
      <c r="L141">
        <f t="shared" si="107"/>
        <v>127</v>
      </c>
      <c r="M141" s="2">
        <v>9.5500000000000002E-2</v>
      </c>
      <c r="N141" s="1">
        <f t="shared" si="111"/>
        <v>1026957.6379974334</v>
      </c>
      <c r="O141" s="1">
        <f t="shared" si="57"/>
        <v>931707.31707317138</v>
      </c>
      <c r="P141" s="1">
        <f t="shared" si="58"/>
        <v>1958664.9550706048</v>
      </c>
      <c r="Q141" s="1">
        <f t="shared" si="59"/>
        <v>116046213.09370998</v>
      </c>
      <c r="S141" s="16"/>
      <c r="T141" t="s">
        <v>47</v>
      </c>
      <c r="U141" s="1">
        <f t="shared" ref="U141:U189" si="112">U139*2</f>
        <v>8880000</v>
      </c>
      <c r="W141">
        <f t="shared" si="88"/>
        <v>16</v>
      </c>
      <c r="X141">
        <f t="shared" si="78"/>
        <v>11</v>
      </c>
      <c r="Y141" s="3">
        <f t="shared" si="65"/>
        <v>0.12</v>
      </c>
      <c r="Z141" s="1">
        <f t="shared" si="66"/>
        <v>446428.57142857136</v>
      </c>
      <c r="AA141" s="1">
        <f t="shared" si="67"/>
        <v>8928.5714285714275</v>
      </c>
      <c r="AB141" s="1">
        <f t="shared" si="68"/>
        <v>455357.14285714278</v>
      </c>
      <c r="AC141" s="1">
        <f t="shared" si="69"/>
        <v>446428.57142857136</v>
      </c>
      <c r="AD141" s="1">
        <f t="shared" si="82"/>
        <v>56792266.748242766</v>
      </c>
    </row>
    <row r="142" spans="12:30" x14ac:dyDescent="0.25">
      <c r="L142">
        <f t="shared" si="107"/>
        <v>128</v>
      </c>
      <c r="M142" s="2">
        <v>9.5500000000000002E-2</v>
      </c>
      <c r="N142" s="1">
        <f t="shared" si="111"/>
        <v>1026957.6379974334</v>
      </c>
      <c r="O142" s="1">
        <f t="shared" si="57"/>
        <v>923534.44587077515</v>
      </c>
      <c r="P142" s="1">
        <f t="shared" si="58"/>
        <v>1950492.0838682086</v>
      </c>
      <c r="Q142" s="1">
        <f t="shared" si="59"/>
        <v>115019255.45571254</v>
      </c>
      <c r="S142" s="16"/>
      <c r="W142">
        <f t="shared" si="88"/>
        <v>16</v>
      </c>
      <c r="X142">
        <f t="shared" si="78"/>
        <v>12</v>
      </c>
      <c r="Y142" s="3">
        <f t="shared" si="65"/>
        <v>0.12</v>
      </c>
      <c r="Z142" s="1">
        <f t="shared" si="66"/>
        <v>446428.57142857136</v>
      </c>
      <c r="AA142" s="1">
        <f t="shared" si="67"/>
        <v>4464.2857142857138</v>
      </c>
      <c r="AB142" s="1">
        <f t="shared" si="68"/>
        <v>450892.8571428571</v>
      </c>
      <c r="AC142" s="1">
        <f t="shared" si="69"/>
        <v>5357142.8571428573</v>
      </c>
      <c r="AD142" s="1">
        <f t="shared" si="82"/>
        <v>57006873.328569621</v>
      </c>
    </row>
    <row r="143" spans="12:30" x14ac:dyDescent="0.25">
      <c r="L143">
        <f t="shared" si="107"/>
        <v>129</v>
      </c>
      <c r="M143" s="2">
        <v>9.5500000000000002E-2</v>
      </c>
      <c r="N143" s="1">
        <f t="shared" si="111"/>
        <v>1026957.6379974334</v>
      </c>
      <c r="O143" s="1">
        <f t="shared" si="57"/>
        <v>915361.57466837892</v>
      </c>
      <c r="P143" s="1">
        <f t="shared" si="58"/>
        <v>1942319.2126658123</v>
      </c>
      <c r="Q143" s="1">
        <f t="shared" si="59"/>
        <v>113992297.81771511</v>
      </c>
      <c r="S143" s="16">
        <v>17</v>
      </c>
      <c r="T143" t="s">
        <v>45</v>
      </c>
      <c r="U143" s="5">
        <f>12%</f>
        <v>0.12</v>
      </c>
      <c r="W143">
        <f t="shared" ref="W143" si="113">W131+1</f>
        <v>17</v>
      </c>
      <c r="X143">
        <f t="shared" si="78"/>
        <v>1</v>
      </c>
      <c r="Y143" s="3">
        <f t="shared" si="65"/>
        <v>0.12</v>
      </c>
      <c r="Z143" s="1">
        <f t="shared" si="66"/>
        <v>446428.57142857142</v>
      </c>
      <c r="AA143" s="1">
        <f t="shared" si="67"/>
        <v>53571.428571428572</v>
      </c>
      <c r="AB143" s="1">
        <f t="shared" si="68"/>
        <v>500000</v>
      </c>
      <c r="AC143" s="1">
        <f t="shared" si="69"/>
        <v>4910714.2857142854</v>
      </c>
      <c r="AD143" s="1">
        <f t="shared" ref="AD143" si="114">-FV($U$12,1,0,AD142+AC142-HLOOKUP(W143,$S$23:$U$214,9+((W143-$S$11-1)*12)),1)</f>
        <v>58010400.618557706</v>
      </c>
    </row>
    <row r="144" spans="12:30" x14ac:dyDescent="0.25">
      <c r="L144">
        <f t="shared" si="107"/>
        <v>130</v>
      </c>
      <c r="M144" s="2">
        <v>9.5500000000000002E-2</v>
      </c>
      <c r="N144" s="1">
        <f t="shared" si="111"/>
        <v>1026957.6379974334</v>
      </c>
      <c r="O144" s="1">
        <f t="shared" ref="O144:O207" si="115">Q143*(M144/12)</f>
        <v>907188.70346598269</v>
      </c>
      <c r="P144" s="1">
        <f t="shared" ref="P144:P207" si="116">N144+O144</f>
        <v>1934146.3414634161</v>
      </c>
      <c r="Q144" s="1">
        <f t="shared" ref="Q144:Q207" si="117">Q143-N144</f>
        <v>112965340.17971767</v>
      </c>
      <c r="S144" s="16"/>
      <c r="T144" t="s">
        <v>43</v>
      </c>
      <c r="U144">
        <f t="shared" ref="U144" si="118">U145/12</f>
        <v>1</v>
      </c>
      <c r="W144">
        <f t="shared" ref="W144" si="119">W143</f>
        <v>17</v>
      </c>
      <c r="X144">
        <f t="shared" si="78"/>
        <v>2</v>
      </c>
      <c r="Y144" s="3">
        <f t="shared" si="65"/>
        <v>0.12</v>
      </c>
      <c r="Z144" s="1">
        <f t="shared" si="66"/>
        <v>446428.57142857142</v>
      </c>
      <c r="AA144" s="1">
        <f t="shared" si="67"/>
        <v>49107.142857142855</v>
      </c>
      <c r="AB144" s="1">
        <f t="shared" si="68"/>
        <v>495535.71428571426</v>
      </c>
      <c r="AC144" s="1">
        <f t="shared" si="69"/>
        <v>4464285.7142857136</v>
      </c>
      <c r="AD144" s="1">
        <f t="shared" ref="AD144" si="120">-FV($U$12,1,0,AD143,1)</f>
        <v>58229610.282354489</v>
      </c>
    </row>
    <row r="145" spans="12:30" x14ac:dyDescent="0.25">
      <c r="L145">
        <f t="shared" si="107"/>
        <v>131</v>
      </c>
      <c r="M145" s="2">
        <v>9.5500000000000002E-2</v>
      </c>
      <c r="N145" s="1">
        <f t="shared" si="111"/>
        <v>1026957.6379974334</v>
      </c>
      <c r="O145" s="1">
        <f t="shared" si="115"/>
        <v>899015.83226358646</v>
      </c>
      <c r="P145" s="1">
        <f t="shared" si="116"/>
        <v>1925973.4702610199</v>
      </c>
      <c r="Q145" s="1">
        <f t="shared" si="117"/>
        <v>111938382.54172024</v>
      </c>
      <c r="S145" s="16"/>
      <c r="T145" t="s">
        <v>44</v>
      </c>
      <c r="U145">
        <f>12</f>
        <v>12</v>
      </c>
      <c r="W145">
        <f t="shared" si="88"/>
        <v>17</v>
      </c>
      <c r="X145">
        <f t="shared" si="78"/>
        <v>3</v>
      </c>
      <c r="Y145" s="3">
        <f t="shared" si="65"/>
        <v>0.12</v>
      </c>
      <c r="Z145" s="1">
        <f t="shared" si="66"/>
        <v>446428.57142857136</v>
      </c>
      <c r="AA145" s="1">
        <f t="shared" si="67"/>
        <v>44642.857142857138</v>
      </c>
      <c r="AB145" s="1">
        <f t="shared" si="68"/>
        <v>491071.42857142852</v>
      </c>
      <c r="AC145" s="1">
        <f t="shared" si="69"/>
        <v>4017857.1428571423</v>
      </c>
      <c r="AD145" s="1">
        <f t="shared" si="79"/>
        <v>58449648.295485005</v>
      </c>
    </row>
    <row r="146" spans="12:30" x14ac:dyDescent="0.25">
      <c r="L146">
        <f t="shared" si="107"/>
        <v>132</v>
      </c>
      <c r="M146" s="2">
        <v>9.5500000000000002E-2</v>
      </c>
      <c r="N146" s="1">
        <f t="shared" si="111"/>
        <v>1026957.6379974334</v>
      </c>
      <c r="O146" s="1">
        <f t="shared" si="115"/>
        <v>890842.96106119023</v>
      </c>
      <c r="P146" s="1">
        <f t="shared" si="116"/>
        <v>1917800.5990586237</v>
      </c>
      <c r="Q146" s="1">
        <f t="shared" si="117"/>
        <v>110911424.90372281</v>
      </c>
      <c r="S146" s="16"/>
      <c r="W146">
        <f t="shared" si="88"/>
        <v>17</v>
      </c>
      <c r="X146">
        <f t="shared" si="78"/>
        <v>4</v>
      </c>
      <c r="Y146" s="3">
        <f t="shared" si="65"/>
        <v>0.12</v>
      </c>
      <c r="Z146" s="1">
        <f t="shared" si="66"/>
        <v>446428.57142857136</v>
      </c>
      <c r="AA146" s="1">
        <f t="shared" si="67"/>
        <v>40178.57142857142</v>
      </c>
      <c r="AB146" s="1">
        <f t="shared" si="68"/>
        <v>486607.14285714278</v>
      </c>
      <c r="AC146" s="1">
        <f t="shared" si="69"/>
        <v>3571428.5714285709</v>
      </c>
      <c r="AD146" s="1">
        <f t="shared" si="79"/>
        <v>58670517.788115174</v>
      </c>
    </row>
    <row r="147" spans="12:30" x14ac:dyDescent="0.25">
      <c r="L147">
        <f t="shared" si="107"/>
        <v>133</v>
      </c>
      <c r="M147" s="2">
        <v>9.5500000000000002E-2</v>
      </c>
      <c r="N147" s="1">
        <f t="shared" si="111"/>
        <v>1026957.6379974334</v>
      </c>
      <c r="O147" s="1">
        <f t="shared" si="115"/>
        <v>882670.089858794</v>
      </c>
      <c r="P147" s="1">
        <f t="shared" si="116"/>
        <v>1909627.7278562274</v>
      </c>
      <c r="Q147" s="1">
        <f t="shared" si="117"/>
        <v>109884467.26572537</v>
      </c>
      <c r="S147" s="16"/>
      <c r="T147" t="s">
        <v>35</v>
      </c>
      <c r="U147" s="1">
        <f>U135</f>
        <v>500000</v>
      </c>
      <c r="W147">
        <f t="shared" si="88"/>
        <v>17</v>
      </c>
      <c r="X147">
        <f t="shared" si="78"/>
        <v>5</v>
      </c>
      <c r="Y147" s="3">
        <f t="shared" si="65"/>
        <v>0.12</v>
      </c>
      <c r="Z147" s="1">
        <f t="shared" si="66"/>
        <v>446428.57142857136</v>
      </c>
      <c r="AA147" s="1">
        <f t="shared" si="67"/>
        <v>35714.28571428571</v>
      </c>
      <c r="AB147" s="1">
        <f t="shared" si="68"/>
        <v>482142.85714285704</v>
      </c>
      <c r="AC147" s="1">
        <f t="shared" si="69"/>
        <v>3124999.9999999995</v>
      </c>
      <c r="AD147" s="1">
        <f t="shared" si="79"/>
        <v>58892221.902239181</v>
      </c>
    </row>
    <row r="148" spans="12:30" x14ac:dyDescent="0.25">
      <c r="L148">
        <f t="shared" si="107"/>
        <v>134</v>
      </c>
      <c r="M148" s="2">
        <v>9.5500000000000002E-2</v>
      </c>
      <c r="N148" s="1">
        <f t="shared" si="111"/>
        <v>1026957.6379974334</v>
      </c>
      <c r="O148" s="1">
        <f t="shared" si="115"/>
        <v>874497.21865639777</v>
      </c>
      <c r="P148" s="1">
        <f t="shared" si="116"/>
        <v>1901454.8566538312</v>
      </c>
      <c r="Q148" s="1">
        <f t="shared" si="117"/>
        <v>108857509.62772794</v>
      </c>
      <c r="S148" s="16"/>
      <c r="W148">
        <f t="shared" si="88"/>
        <v>17</v>
      </c>
      <c r="X148">
        <f t="shared" si="78"/>
        <v>6</v>
      </c>
      <c r="Y148" s="3">
        <f t="shared" si="65"/>
        <v>0.12</v>
      </c>
      <c r="Z148" s="1">
        <f t="shared" si="66"/>
        <v>446428.57142857136</v>
      </c>
      <c r="AA148" s="1">
        <f t="shared" si="67"/>
        <v>31249.999999999996</v>
      </c>
      <c r="AB148" s="1">
        <f t="shared" si="68"/>
        <v>477678.57142857136</v>
      </c>
      <c r="AC148" s="1">
        <f t="shared" si="69"/>
        <v>2678571.4285714282</v>
      </c>
      <c r="AD148" s="1">
        <f t="shared" si="79"/>
        <v>59114763.791724175</v>
      </c>
    </row>
    <row r="149" spans="12:30" x14ac:dyDescent="0.25">
      <c r="L149">
        <f t="shared" si="107"/>
        <v>135</v>
      </c>
      <c r="M149" s="2">
        <v>9.5500000000000002E-2</v>
      </c>
      <c r="N149" s="1">
        <f t="shared" si="111"/>
        <v>1026957.6379974334</v>
      </c>
      <c r="O149" s="1">
        <f t="shared" si="115"/>
        <v>866324.34745400143</v>
      </c>
      <c r="P149" s="1">
        <f t="shared" si="116"/>
        <v>1893281.9854514347</v>
      </c>
      <c r="Q149" s="1">
        <f t="shared" si="117"/>
        <v>107830551.98973051</v>
      </c>
      <c r="S149" s="16"/>
      <c r="T149" t="s">
        <v>15</v>
      </c>
      <c r="U149" s="1">
        <f t="shared" si="108"/>
        <v>5357142.8571428573</v>
      </c>
      <c r="W149">
        <f t="shared" si="88"/>
        <v>17</v>
      </c>
      <c r="X149">
        <f t="shared" si="78"/>
        <v>7</v>
      </c>
      <c r="Y149" s="3">
        <f t="shared" si="65"/>
        <v>0.12</v>
      </c>
      <c r="Z149" s="1">
        <f t="shared" si="66"/>
        <v>446428.57142857136</v>
      </c>
      <c r="AA149" s="1">
        <f t="shared" si="67"/>
        <v>26785.714285714283</v>
      </c>
      <c r="AB149" s="1">
        <f t="shared" si="68"/>
        <v>473214.28571428562</v>
      </c>
      <c r="AC149" s="1">
        <f t="shared" si="69"/>
        <v>2232142.8571428568</v>
      </c>
      <c r="AD149" s="1">
        <f t="shared" ref="AD149" si="121">-FV($U$12,1,0,AD148-HLOOKUP(W149,$S$23:$U$214,9+((W149-$S$11-1)*12)),1)</f>
        <v>54748869.951754838</v>
      </c>
    </row>
    <row r="150" spans="12:30" x14ac:dyDescent="0.25">
      <c r="L150">
        <f t="shared" si="107"/>
        <v>136</v>
      </c>
      <c r="M150" s="2">
        <v>9.5500000000000002E-2</v>
      </c>
      <c r="N150" s="1">
        <f t="shared" si="111"/>
        <v>1026957.6379974334</v>
      </c>
      <c r="O150" s="1">
        <f t="shared" si="115"/>
        <v>858151.4762516052</v>
      </c>
      <c r="P150" s="1">
        <f t="shared" si="116"/>
        <v>1885109.1142490385</v>
      </c>
      <c r="Q150" s="1">
        <f t="shared" si="117"/>
        <v>106803594.35173307</v>
      </c>
      <c r="S150" s="16"/>
      <c r="W150">
        <f t="shared" si="88"/>
        <v>17</v>
      </c>
      <c r="X150">
        <f t="shared" si="78"/>
        <v>8</v>
      </c>
      <c r="Y150" s="3">
        <f t="shared" si="65"/>
        <v>0.12</v>
      </c>
      <c r="Z150" s="1">
        <f t="shared" si="66"/>
        <v>446428.57142857136</v>
      </c>
      <c r="AA150" s="1">
        <f t="shared" si="67"/>
        <v>22321.428571428569</v>
      </c>
      <c r="AB150" s="1">
        <f t="shared" si="68"/>
        <v>468749.99999999994</v>
      </c>
      <c r="AC150" s="1">
        <f t="shared" si="69"/>
        <v>1785714.2857142854</v>
      </c>
      <c r="AD150" s="1">
        <f t="shared" ref="AD150" si="122">-FV($U$12,1,0,AD149,1)</f>
        <v>54955754.945607796</v>
      </c>
    </row>
    <row r="151" spans="12:30" x14ac:dyDescent="0.25">
      <c r="L151">
        <f t="shared" si="107"/>
        <v>137</v>
      </c>
      <c r="M151" s="2">
        <v>9.5500000000000002E-2</v>
      </c>
      <c r="N151" s="1">
        <f t="shared" si="111"/>
        <v>1026957.6379974334</v>
      </c>
      <c r="O151" s="1">
        <f t="shared" si="115"/>
        <v>849978.60504920897</v>
      </c>
      <c r="P151" s="1">
        <f t="shared" si="116"/>
        <v>1876936.2430466423</v>
      </c>
      <c r="Q151" s="1">
        <f t="shared" si="117"/>
        <v>105776636.71373564</v>
      </c>
      <c r="S151" s="16"/>
      <c r="T151" t="s">
        <v>46</v>
      </c>
      <c r="U151" s="1">
        <f t="shared" ref="U151" si="123">ROUNDUP($T$6*1000*(1+$T$2)^(S143-$S$11),-3)*6</f>
        <v>4572000</v>
      </c>
      <c r="W151">
        <f t="shared" si="88"/>
        <v>17</v>
      </c>
      <c r="X151">
        <f t="shared" si="78"/>
        <v>9</v>
      </c>
      <c r="Y151" s="3">
        <f t="shared" si="65"/>
        <v>0.12</v>
      </c>
      <c r="Z151" s="1">
        <f t="shared" si="66"/>
        <v>446428.57142857136</v>
      </c>
      <c r="AA151" s="1">
        <f t="shared" si="67"/>
        <v>17857.142857142855</v>
      </c>
      <c r="AB151" s="1">
        <f t="shared" si="68"/>
        <v>464285.7142857142</v>
      </c>
      <c r="AC151" s="1">
        <f t="shared" si="69"/>
        <v>1339285.7142857141</v>
      </c>
      <c r="AD151" s="1">
        <f t="shared" si="82"/>
        <v>55163421.716339789</v>
      </c>
    </row>
    <row r="152" spans="12:30" x14ac:dyDescent="0.25">
      <c r="L152">
        <f t="shared" si="107"/>
        <v>138</v>
      </c>
      <c r="M152" s="2">
        <v>9.5500000000000002E-2</v>
      </c>
      <c r="N152" s="1">
        <f t="shared" si="111"/>
        <v>1026957.6379974334</v>
      </c>
      <c r="O152" s="1">
        <f t="shared" si="115"/>
        <v>841805.73384681274</v>
      </c>
      <c r="P152" s="1">
        <f t="shared" si="116"/>
        <v>1868763.3718442461</v>
      </c>
      <c r="Q152" s="1">
        <f t="shared" si="117"/>
        <v>104749679.07573821</v>
      </c>
      <c r="S152" s="16"/>
      <c r="W152">
        <f t="shared" si="88"/>
        <v>17</v>
      </c>
      <c r="X152">
        <f t="shared" si="78"/>
        <v>10</v>
      </c>
      <c r="Y152" s="3">
        <f t="shared" ref="Y152:Y214" si="124">HLOOKUP(W152,$S$23:$U$214,1+((W152-$S$11-1)*12))</f>
        <v>0.12</v>
      </c>
      <c r="Z152" s="1">
        <f t="shared" ref="Z152:Z214" si="125">AC151/(HLOOKUP(W152,$S$23:$U$214,3+((W152-$S$11-1)*12))+1-X152)</f>
        <v>446428.57142857136</v>
      </c>
      <c r="AA152" s="1">
        <f t="shared" ref="AA152:AA214" si="126">AC151*(Y152/12)</f>
        <v>13392.857142857141</v>
      </c>
      <c r="AB152" s="1">
        <f t="shared" ref="AB152:AB214" si="127">Z152+AA152</f>
        <v>459821.42857142852</v>
      </c>
      <c r="AC152" s="1">
        <f t="shared" ref="AC152:AC214" si="128">IFERROR(IF(AC151-Z152&lt;1,HLOOKUP(W153,$S$23:$U$214,7+((W153-$S$11-1)*12)),AC151-Z152),0)</f>
        <v>892857.14285714272</v>
      </c>
      <c r="AD152" s="1">
        <f t="shared" si="82"/>
        <v>55371873.218128771</v>
      </c>
    </row>
    <row r="153" spans="12:30" x14ac:dyDescent="0.25">
      <c r="L153">
        <f t="shared" si="107"/>
        <v>139</v>
      </c>
      <c r="M153" s="2">
        <v>9.5500000000000002E-2</v>
      </c>
      <c r="N153" s="1">
        <f t="shared" si="111"/>
        <v>1026957.6379974334</v>
      </c>
      <c r="O153" s="1">
        <f t="shared" si="115"/>
        <v>833632.86264441651</v>
      </c>
      <c r="P153" s="1">
        <f t="shared" si="116"/>
        <v>1860590.5006418498</v>
      </c>
      <c r="Q153" s="1">
        <f t="shared" si="117"/>
        <v>103722721.43774077</v>
      </c>
      <c r="S153" s="16"/>
      <c r="T153" t="s">
        <v>47</v>
      </c>
      <c r="U153" s="1">
        <f t="shared" si="112"/>
        <v>9144000</v>
      </c>
      <c r="W153">
        <f t="shared" si="88"/>
        <v>17</v>
      </c>
      <c r="X153">
        <f t="shared" si="78"/>
        <v>11</v>
      </c>
      <c r="Y153" s="3">
        <f t="shared" si="124"/>
        <v>0.12</v>
      </c>
      <c r="Z153" s="1">
        <f t="shared" si="125"/>
        <v>446428.57142857136</v>
      </c>
      <c r="AA153" s="1">
        <f t="shared" si="126"/>
        <v>8928.5714285714275</v>
      </c>
      <c r="AB153" s="1">
        <f t="shared" si="127"/>
        <v>455357.14285714278</v>
      </c>
      <c r="AC153" s="1">
        <f t="shared" si="128"/>
        <v>446428.57142857136</v>
      </c>
      <c r="AD153" s="1">
        <f t="shared" si="82"/>
        <v>55581112.41631595</v>
      </c>
    </row>
    <row r="154" spans="12:30" x14ac:dyDescent="0.25">
      <c r="L154">
        <f t="shared" si="107"/>
        <v>140</v>
      </c>
      <c r="M154" s="2">
        <v>9.5500000000000002E-2</v>
      </c>
      <c r="N154" s="1">
        <f t="shared" si="111"/>
        <v>1026957.6379974334</v>
      </c>
      <c r="O154" s="1">
        <f t="shared" si="115"/>
        <v>825459.99144202028</v>
      </c>
      <c r="P154" s="1">
        <f t="shared" si="116"/>
        <v>1852417.6294394536</v>
      </c>
      <c r="Q154" s="1">
        <f t="shared" si="117"/>
        <v>102695763.79974334</v>
      </c>
      <c r="S154" s="16"/>
      <c r="W154">
        <f t="shared" si="88"/>
        <v>17</v>
      </c>
      <c r="X154">
        <f t="shared" si="78"/>
        <v>12</v>
      </c>
      <c r="Y154" s="3">
        <f t="shared" si="124"/>
        <v>0.12</v>
      </c>
      <c r="Z154" s="1">
        <f t="shared" si="125"/>
        <v>446428.57142857136</v>
      </c>
      <c r="AA154" s="1">
        <f t="shared" si="126"/>
        <v>4464.2857142857138</v>
      </c>
      <c r="AB154" s="1">
        <f t="shared" si="127"/>
        <v>450892.8571428571</v>
      </c>
      <c r="AC154" s="1">
        <f t="shared" si="128"/>
        <v>5357142.8571428573</v>
      </c>
      <c r="AD154" s="1">
        <f t="shared" si="82"/>
        <v>55791142.287447959</v>
      </c>
    </row>
    <row r="155" spans="12:30" x14ac:dyDescent="0.25">
      <c r="L155">
        <f t="shared" si="107"/>
        <v>141</v>
      </c>
      <c r="M155" s="2">
        <v>9.5500000000000002E-2</v>
      </c>
      <c r="N155" s="1">
        <f t="shared" si="111"/>
        <v>1026957.6379974334</v>
      </c>
      <c r="O155" s="1">
        <f t="shared" si="115"/>
        <v>817287.12023962406</v>
      </c>
      <c r="P155" s="1">
        <f t="shared" si="116"/>
        <v>1844244.7582370574</v>
      </c>
      <c r="Q155" s="1">
        <f t="shared" si="117"/>
        <v>101668806.16174591</v>
      </c>
      <c r="S155" s="16">
        <v>18</v>
      </c>
      <c r="T155" t="s">
        <v>45</v>
      </c>
      <c r="U155" s="5">
        <f>12%</f>
        <v>0.12</v>
      </c>
      <c r="W155">
        <f t="shared" ref="W155" si="129">W143+1</f>
        <v>18</v>
      </c>
      <c r="X155">
        <f t="shared" si="78"/>
        <v>1</v>
      </c>
      <c r="Y155" s="3">
        <f t="shared" si="124"/>
        <v>0.12</v>
      </c>
      <c r="Z155" s="1">
        <f t="shared" si="125"/>
        <v>446428.57142857142</v>
      </c>
      <c r="AA155" s="1">
        <f t="shared" si="126"/>
        <v>53571.428571428572</v>
      </c>
      <c r="AB155" s="1">
        <f t="shared" si="127"/>
        <v>500000</v>
      </c>
      <c r="AC155" s="1">
        <f t="shared" si="128"/>
        <v>4910714.2857142854</v>
      </c>
      <c r="AD155" s="1">
        <f t="shared" ref="AD155" si="130">-FV($U$12,1,0,AD154+AC154-HLOOKUP(W155,$S$23:$U$214,9+((W155-$S$11-1)*12)),1)</f>
        <v>56651554.099466041</v>
      </c>
    </row>
    <row r="156" spans="12:30" x14ac:dyDescent="0.25">
      <c r="L156">
        <f t="shared" si="107"/>
        <v>142</v>
      </c>
      <c r="M156" s="2">
        <v>9.5500000000000002E-2</v>
      </c>
      <c r="N156" s="1">
        <f t="shared" si="111"/>
        <v>1026957.6379974334</v>
      </c>
      <c r="O156" s="1">
        <f t="shared" si="115"/>
        <v>809114.24903722783</v>
      </c>
      <c r="P156" s="1">
        <f t="shared" si="116"/>
        <v>1836071.8870346611</v>
      </c>
      <c r="Q156" s="1">
        <f t="shared" si="117"/>
        <v>100641848.52374847</v>
      </c>
      <c r="S156" s="16"/>
      <c r="T156" t="s">
        <v>43</v>
      </c>
      <c r="U156">
        <f t="shared" ref="U156" si="131">U157/12</f>
        <v>1</v>
      </c>
      <c r="W156">
        <f t="shared" ref="W156" si="132">W155</f>
        <v>18</v>
      </c>
      <c r="X156">
        <f t="shared" si="78"/>
        <v>2</v>
      </c>
      <c r="Y156" s="3">
        <f t="shared" si="124"/>
        <v>0.12</v>
      </c>
      <c r="Z156" s="1">
        <f t="shared" si="125"/>
        <v>446428.57142857142</v>
      </c>
      <c r="AA156" s="1">
        <f t="shared" si="126"/>
        <v>49107.142857142855</v>
      </c>
      <c r="AB156" s="1">
        <f t="shared" si="127"/>
        <v>495535.71428571426</v>
      </c>
      <c r="AC156" s="1">
        <f t="shared" si="128"/>
        <v>4464285.7142857136</v>
      </c>
      <c r="AD156" s="1">
        <f t="shared" ref="AD156" si="133">-FV($U$12,1,0,AD155,1)</f>
        <v>56865628.954928018</v>
      </c>
    </row>
    <row r="157" spans="12:30" x14ac:dyDescent="0.25">
      <c r="L157">
        <f t="shared" si="107"/>
        <v>143</v>
      </c>
      <c r="M157" s="2">
        <v>9.5500000000000002E-2</v>
      </c>
      <c r="N157" s="1">
        <f t="shared" si="111"/>
        <v>1026957.6379974334</v>
      </c>
      <c r="O157" s="1">
        <f t="shared" si="115"/>
        <v>800941.3778348316</v>
      </c>
      <c r="P157" s="1">
        <f t="shared" si="116"/>
        <v>1827899.0158322649</v>
      </c>
      <c r="Q157" s="1">
        <f t="shared" si="117"/>
        <v>99614890.885751039</v>
      </c>
      <c r="S157" s="16"/>
      <c r="T157" t="s">
        <v>44</v>
      </c>
      <c r="U157">
        <f>12</f>
        <v>12</v>
      </c>
      <c r="W157">
        <f t="shared" si="88"/>
        <v>18</v>
      </c>
      <c r="X157">
        <f t="shared" si="78"/>
        <v>3</v>
      </c>
      <c r="Y157" s="3">
        <f t="shared" si="124"/>
        <v>0.12</v>
      </c>
      <c r="Z157" s="1">
        <f t="shared" si="125"/>
        <v>446428.57142857136</v>
      </c>
      <c r="AA157" s="1">
        <f t="shared" si="126"/>
        <v>44642.857142857138</v>
      </c>
      <c r="AB157" s="1">
        <f t="shared" si="127"/>
        <v>491071.42857142852</v>
      </c>
      <c r="AC157" s="1">
        <f t="shared" si="128"/>
        <v>4017857.1428571423</v>
      </c>
      <c r="AD157" s="1">
        <f t="shared" si="79"/>
        <v>57080512.756313361</v>
      </c>
    </row>
    <row r="158" spans="12:30" x14ac:dyDescent="0.25">
      <c r="L158">
        <f t="shared" si="107"/>
        <v>144</v>
      </c>
      <c r="M158" s="2">
        <v>9.5500000000000002E-2</v>
      </c>
      <c r="N158" s="1">
        <f t="shared" si="111"/>
        <v>1026957.6379974334</v>
      </c>
      <c r="O158" s="1">
        <f t="shared" si="115"/>
        <v>792768.50663243525</v>
      </c>
      <c r="P158" s="1">
        <f t="shared" si="116"/>
        <v>1819726.1446298687</v>
      </c>
      <c r="Q158" s="1">
        <f t="shared" si="117"/>
        <v>98587933.247753605</v>
      </c>
      <c r="S158" s="16"/>
      <c r="W158">
        <f t="shared" si="88"/>
        <v>18</v>
      </c>
      <c r="X158">
        <f t="shared" si="78"/>
        <v>4</v>
      </c>
      <c r="Y158" s="3">
        <f t="shared" si="124"/>
        <v>0.12</v>
      </c>
      <c r="Z158" s="1">
        <f t="shared" si="125"/>
        <v>446428.57142857136</v>
      </c>
      <c r="AA158" s="1">
        <f t="shared" si="126"/>
        <v>40178.57142857142</v>
      </c>
      <c r="AB158" s="1">
        <f t="shared" si="127"/>
        <v>486607.14285714278</v>
      </c>
      <c r="AC158" s="1">
        <f t="shared" si="128"/>
        <v>3571428.5714285709</v>
      </c>
      <c r="AD158" s="1">
        <f t="shared" si="79"/>
        <v>57296208.560466394</v>
      </c>
    </row>
    <row r="159" spans="12:30" x14ac:dyDescent="0.25">
      <c r="L159">
        <f t="shared" si="107"/>
        <v>145</v>
      </c>
      <c r="M159" s="2">
        <v>9.5500000000000002E-2</v>
      </c>
      <c r="N159" s="1">
        <f t="shared" si="111"/>
        <v>1026957.6379974334</v>
      </c>
      <c r="O159" s="1">
        <f t="shared" si="115"/>
        <v>784595.63543003902</v>
      </c>
      <c r="P159" s="1">
        <f t="shared" si="116"/>
        <v>1811553.2734274724</v>
      </c>
      <c r="Q159" s="1">
        <f t="shared" si="117"/>
        <v>97560975.609756172</v>
      </c>
      <c r="S159" s="16"/>
      <c r="T159" t="s">
        <v>35</v>
      </c>
      <c r="U159" s="1">
        <f>U147</f>
        <v>500000</v>
      </c>
      <c r="W159">
        <f t="shared" si="88"/>
        <v>18</v>
      </c>
      <c r="X159">
        <f t="shared" si="78"/>
        <v>5</v>
      </c>
      <c r="Y159" s="3">
        <f t="shared" si="124"/>
        <v>0.12</v>
      </c>
      <c r="Z159" s="1">
        <f t="shared" si="125"/>
        <v>446428.57142857136</v>
      </c>
      <c r="AA159" s="1">
        <f t="shared" si="126"/>
        <v>35714.28571428571</v>
      </c>
      <c r="AB159" s="1">
        <f t="shared" si="127"/>
        <v>482142.85714285704</v>
      </c>
      <c r="AC159" s="1">
        <f t="shared" si="128"/>
        <v>3124999.9999999995</v>
      </c>
      <c r="AD159" s="1">
        <f t="shared" si="79"/>
        <v>57512719.435782641</v>
      </c>
    </row>
    <row r="160" spans="12:30" x14ac:dyDescent="0.25">
      <c r="L160">
        <f t="shared" si="107"/>
        <v>146</v>
      </c>
      <c r="M160" s="2">
        <v>9.5500000000000002E-2</v>
      </c>
      <c r="N160" s="1">
        <f t="shared" si="111"/>
        <v>1026957.6379974334</v>
      </c>
      <c r="O160" s="1">
        <f t="shared" si="115"/>
        <v>776422.76422764279</v>
      </c>
      <c r="P160" s="1">
        <f t="shared" si="116"/>
        <v>1803380.4022250762</v>
      </c>
      <c r="Q160" s="1">
        <f t="shared" si="117"/>
        <v>96534017.971758738</v>
      </c>
      <c r="S160" s="16"/>
      <c r="W160">
        <f t="shared" si="88"/>
        <v>18</v>
      </c>
      <c r="X160">
        <f t="shared" si="78"/>
        <v>6</v>
      </c>
      <c r="Y160" s="3">
        <f t="shared" si="124"/>
        <v>0.12</v>
      </c>
      <c r="Z160" s="1">
        <f t="shared" si="125"/>
        <v>446428.57142857136</v>
      </c>
      <c r="AA160" s="1">
        <f t="shared" si="126"/>
        <v>31249.999999999996</v>
      </c>
      <c r="AB160" s="1">
        <f t="shared" si="127"/>
        <v>477678.57142857136</v>
      </c>
      <c r="AC160" s="1">
        <f t="shared" si="128"/>
        <v>2678571.4285714282</v>
      </c>
      <c r="AD160" s="1">
        <f t="shared" si="79"/>
        <v>57730048.462252483</v>
      </c>
    </row>
    <row r="161" spans="12:30" x14ac:dyDescent="0.25">
      <c r="L161">
        <f t="shared" si="107"/>
        <v>147</v>
      </c>
      <c r="M161" s="2">
        <v>9.5500000000000002E-2</v>
      </c>
      <c r="N161" s="1">
        <f t="shared" si="111"/>
        <v>1026957.6379974334</v>
      </c>
      <c r="O161" s="1">
        <f t="shared" si="115"/>
        <v>768249.89302524657</v>
      </c>
      <c r="P161" s="1">
        <f t="shared" si="116"/>
        <v>1795207.53102268</v>
      </c>
      <c r="Q161" s="1">
        <f t="shared" si="117"/>
        <v>95507060.333761305</v>
      </c>
      <c r="S161" s="16"/>
      <c r="T161" t="s">
        <v>15</v>
      </c>
      <c r="U161" s="1">
        <f t="shared" si="108"/>
        <v>5357142.8571428573</v>
      </c>
      <c r="W161">
        <f t="shared" si="88"/>
        <v>18</v>
      </c>
      <c r="X161">
        <f t="shared" si="78"/>
        <v>7</v>
      </c>
      <c r="Y161" s="3">
        <f t="shared" si="124"/>
        <v>0.12</v>
      </c>
      <c r="Z161" s="1">
        <f t="shared" si="125"/>
        <v>446428.57142857136</v>
      </c>
      <c r="AA161" s="1">
        <f t="shared" si="126"/>
        <v>26785.714285714283</v>
      </c>
      <c r="AB161" s="1">
        <f t="shared" si="127"/>
        <v>473214.28571428562</v>
      </c>
      <c r="AC161" s="1">
        <f t="shared" si="128"/>
        <v>2232142.8571428568</v>
      </c>
      <c r="AD161" s="1">
        <f t="shared" ref="AD161" si="134">-FV($U$12,1,0,AD160-HLOOKUP(W161,$S$23:$U$214,9+((W161-$S$11-1)*12)),1)</f>
        <v>53220400.586595193</v>
      </c>
    </row>
    <row r="162" spans="12:30" x14ac:dyDescent="0.25">
      <c r="L162">
        <f t="shared" si="107"/>
        <v>148</v>
      </c>
      <c r="M162" s="2">
        <v>9.5500000000000002E-2</v>
      </c>
      <c r="N162" s="1">
        <f t="shared" si="111"/>
        <v>1026957.6379974334</v>
      </c>
      <c r="O162" s="1">
        <f t="shared" si="115"/>
        <v>760077.02182285034</v>
      </c>
      <c r="P162" s="1">
        <f t="shared" si="116"/>
        <v>1787034.6598202838</v>
      </c>
      <c r="Q162" s="1">
        <f t="shared" si="117"/>
        <v>94480102.695763871</v>
      </c>
      <c r="S162" s="16"/>
      <c r="W162">
        <f t="shared" si="88"/>
        <v>18</v>
      </c>
      <c r="X162">
        <f t="shared" si="78"/>
        <v>8</v>
      </c>
      <c r="Y162" s="3">
        <f t="shared" si="124"/>
        <v>0.12</v>
      </c>
      <c r="Z162" s="1">
        <f t="shared" si="125"/>
        <v>446428.57142857136</v>
      </c>
      <c r="AA162" s="1">
        <f t="shared" si="126"/>
        <v>22321.428571428569</v>
      </c>
      <c r="AB162" s="1">
        <f t="shared" si="127"/>
        <v>468749.99999999994</v>
      </c>
      <c r="AC162" s="1">
        <f t="shared" si="128"/>
        <v>1785714.2857142854</v>
      </c>
      <c r="AD162" s="1">
        <f t="shared" ref="AD162" si="135">-FV($U$12,1,0,AD161,1)</f>
        <v>53421509.801413916</v>
      </c>
    </row>
    <row r="163" spans="12:30" x14ac:dyDescent="0.25">
      <c r="L163">
        <f t="shared" si="107"/>
        <v>149</v>
      </c>
      <c r="M163" s="2">
        <v>9.5500000000000002E-2</v>
      </c>
      <c r="N163" s="1">
        <f t="shared" si="111"/>
        <v>1026957.6379974334</v>
      </c>
      <c r="O163" s="1">
        <f t="shared" si="115"/>
        <v>751904.15062045411</v>
      </c>
      <c r="P163" s="1">
        <f t="shared" si="116"/>
        <v>1778861.7886178875</v>
      </c>
      <c r="Q163" s="1">
        <f t="shared" si="117"/>
        <v>93453145.057766438</v>
      </c>
      <c r="S163" s="16"/>
      <c r="T163" t="s">
        <v>46</v>
      </c>
      <c r="U163" s="1">
        <f t="shared" ref="U163" si="136">ROUNDUP($T$6*1000*(1+$T$2)^(S155-$S$11),-3)*6</f>
        <v>4710000</v>
      </c>
      <c r="W163">
        <f t="shared" si="88"/>
        <v>18</v>
      </c>
      <c r="X163">
        <f t="shared" si="78"/>
        <v>9</v>
      </c>
      <c r="Y163" s="3">
        <f t="shared" si="124"/>
        <v>0.12</v>
      </c>
      <c r="Z163" s="1">
        <f t="shared" si="125"/>
        <v>446428.57142857136</v>
      </c>
      <c r="AA163" s="1">
        <f t="shared" si="126"/>
        <v>17857.142857142855</v>
      </c>
      <c r="AB163" s="1">
        <f t="shared" si="127"/>
        <v>464285.7142857142</v>
      </c>
      <c r="AC163" s="1">
        <f t="shared" si="128"/>
        <v>1339285.7142857141</v>
      </c>
      <c r="AD163" s="1">
        <f t="shared" si="82"/>
        <v>53623378.967601649</v>
      </c>
    </row>
    <row r="164" spans="12:30" x14ac:dyDescent="0.25">
      <c r="L164">
        <f t="shared" si="107"/>
        <v>150</v>
      </c>
      <c r="M164" s="2">
        <v>9.5500000000000002E-2</v>
      </c>
      <c r="N164" s="1">
        <f t="shared" si="111"/>
        <v>1026957.6379974334</v>
      </c>
      <c r="O164" s="1">
        <f t="shared" si="115"/>
        <v>743731.27941805788</v>
      </c>
      <c r="P164" s="1">
        <f t="shared" si="116"/>
        <v>1770688.9174154913</v>
      </c>
      <c r="Q164" s="1">
        <f t="shared" si="117"/>
        <v>92426187.419769004</v>
      </c>
      <c r="S164" s="16"/>
      <c r="W164">
        <f t="shared" si="88"/>
        <v>18</v>
      </c>
      <c r="X164">
        <f t="shared" ref="X164:X214" si="137">X152</f>
        <v>10</v>
      </c>
      <c r="Y164" s="3">
        <f t="shared" si="124"/>
        <v>0.12</v>
      </c>
      <c r="Z164" s="1">
        <f t="shared" si="125"/>
        <v>446428.57142857136</v>
      </c>
      <c r="AA164" s="1">
        <f t="shared" si="126"/>
        <v>13392.857142857141</v>
      </c>
      <c r="AB164" s="1">
        <f t="shared" si="127"/>
        <v>459821.42857142852</v>
      </c>
      <c r="AC164" s="1">
        <f t="shared" si="128"/>
        <v>892857.14285714272</v>
      </c>
      <c r="AD164" s="1">
        <f t="shared" si="82"/>
        <v>53826010.956862122</v>
      </c>
    </row>
    <row r="165" spans="12:30" x14ac:dyDescent="0.25">
      <c r="L165">
        <f t="shared" si="107"/>
        <v>151</v>
      </c>
      <c r="M165" s="2">
        <v>9.5500000000000002E-2</v>
      </c>
      <c r="N165" s="1">
        <f t="shared" si="111"/>
        <v>1026957.6379974334</v>
      </c>
      <c r="O165" s="1">
        <f t="shared" si="115"/>
        <v>735558.40821566165</v>
      </c>
      <c r="P165" s="1">
        <f t="shared" si="116"/>
        <v>1762516.0462130951</v>
      </c>
      <c r="Q165" s="1">
        <f t="shared" si="117"/>
        <v>91399229.78177157</v>
      </c>
      <c r="S165" s="16"/>
      <c r="T165" t="s">
        <v>47</v>
      </c>
      <c r="U165" s="1">
        <f t="shared" si="112"/>
        <v>9420000</v>
      </c>
      <c r="W165">
        <f t="shared" si="88"/>
        <v>18</v>
      </c>
      <c r="X165">
        <f t="shared" si="137"/>
        <v>11</v>
      </c>
      <c r="Y165" s="3">
        <f t="shared" si="124"/>
        <v>0.12</v>
      </c>
      <c r="Z165" s="1">
        <f t="shared" si="125"/>
        <v>446428.57142857136</v>
      </c>
      <c r="AA165" s="1">
        <f t="shared" si="126"/>
        <v>8928.5714285714275</v>
      </c>
      <c r="AB165" s="1">
        <f t="shared" si="127"/>
        <v>455357.14285714278</v>
      </c>
      <c r="AC165" s="1">
        <f t="shared" si="128"/>
        <v>446428.57142857136</v>
      </c>
      <c r="AD165" s="1">
        <f t="shared" si="82"/>
        <v>54029408.651750669</v>
      </c>
    </row>
    <row r="166" spans="12:30" x14ac:dyDescent="0.25">
      <c r="L166">
        <f t="shared" si="107"/>
        <v>152</v>
      </c>
      <c r="M166" s="2">
        <v>9.5500000000000002E-2</v>
      </c>
      <c r="N166" s="1">
        <f t="shared" si="111"/>
        <v>1026957.6379974334</v>
      </c>
      <c r="O166" s="1">
        <f t="shared" si="115"/>
        <v>727385.53701326542</v>
      </c>
      <c r="P166" s="1">
        <f t="shared" si="116"/>
        <v>1754343.1750106988</v>
      </c>
      <c r="Q166" s="1">
        <f t="shared" si="117"/>
        <v>90372272.143774137</v>
      </c>
      <c r="S166" s="16"/>
      <c r="W166">
        <f t="shared" si="88"/>
        <v>18</v>
      </c>
      <c r="X166">
        <f t="shared" si="137"/>
        <v>12</v>
      </c>
      <c r="Y166" s="3">
        <f t="shared" si="124"/>
        <v>0.12</v>
      </c>
      <c r="Z166" s="1">
        <f t="shared" si="125"/>
        <v>446428.57142857136</v>
      </c>
      <c r="AA166" s="1">
        <f t="shared" si="126"/>
        <v>4464.2857142857138</v>
      </c>
      <c r="AB166" s="1">
        <f t="shared" si="127"/>
        <v>450892.8571428571</v>
      </c>
      <c r="AC166" s="1">
        <f t="shared" si="128"/>
        <v>5357142.8571428573</v>
      </c>
      <c r="AD166" s="1">
        <f t="shared" si="82"/>
        <v>54233574.945715211</v>
      </c>
    </row>
    <row r="167" spans="12:30" x14ac:dyDescent="0.25">
      <c r="L167">
        <f t="shared" si="107"/>
        <v>153</v>
      </c>
      <c r="M167" s="2">
        <v>9.5500000000000002E-2</v>
      </c>
      <c r="N167" s="1">
        <f t="shared" si="111"/>
        <v>1026957.6379974334</v>
      </c>
      <c r="O167" s="1">
        <f t="shared" si="115"/>
        <v>719212.66581086908</v>
      </c>
      <c r="P167" s="1">
        <f t="shared" si="116"/>
        <v>1746170.3038083026</v>
      </c>
      <c r="Q167" s="1">
        <f t="shared" si="117"/>
        <v>89345314.505776703</v>
      </c>
      <c r="S167" s="16">
        <v>19</v>
      </c>
      <c r="T167" t="s">
        <v>45</v>
      </c>
      <c r="U167" s="5">
        <f>12%</f>
        <v>0.12</v>
      </c>
      <c r="W167">
        <f t="shared" ref="W167" si="138">W155+1</f>
        <v>19</v>
      </c>
      <c r="X167">
        <f t="shared" si="137"/>
        <v>1</v>
      </c>
      <c r="Y167" s="3">
        <f t="shared" si="124"/>
        <v>0.12</v>
      </c>
      <c r="Z167" s="1">
        <f t="shared" si="125"/>
        <v>446428.57142857142</v>
      </c>
      <c r="AA167" s="1">
        <f t="shared" si="126"/>
        <v>53571.428571428572</v>
      </c>
      <c r="AB167" s="1">
        <f t="shared" si="127"/>
        <v>500000</v>
      </c>
      <c r="AC167" s="1">
        <f t="shared" si="128"/>
        <v>4910714.2857142854</v>
      </c>
      <c r="AD167" s="1">
        <f t="shared" ref="AD167" si="139">-FV($U$12,1,0,AD166+AC166-HLOOKUP(W167,$S$23:$U$214,9+((W167-$S$11-1)*12)),1)</f>
        <v>52445151.44461178</v>
      </c>
    </row>
    <row r="168" spans="12:30" x14ac:dyDescent="0.25">
      <c r="L168">
        <f t="shared" si="107"/>
        <v>154</v>
      </c>
      <c r="M168" s="2">
        <v>9.5500000000000002E-2</v>
      </c>
      <c r="N168" s="1">
        <f t="shared" si="111"/>
        <v>1026957.6379974334</v>
      </c>
      <c r="O168" s="1">
        <f t="shared" si="115"/>
        <v>711039.79460847285</v>
      </c>
      <c r="P168" s="1">
        <f t="shared" si="116"/>
        <v>1737997.4326059064</v>
      </c>
      <c r="Q168" s="1">
        <f t="shared" si="117"/>
        <v>88318356.86777927</v>
      </c>
      <c r="S168" s="16"/>
      <c r="T168" t="s">
        <v>43</v>
      </c>
      <c r="U168">
        <f t="shared" ref="U168" si="140">U169/12</f>
        <v>1</v>
      </c>
      <c r="W168">
        <f t="shared" ref="W168" si="141">W167</f>
        <v>19</v>
      </c>
      <c r="X168">
        <f t="shared" si="137"/>
        <v>2</v>
      </c>
      <c r="Y168" s="3">
        <f t="shared" si="124"/>
        <v>0.12</v>
      </c>
      <c r="Z168" s="1">
        <f t="shared" si="125"/>
        <v>446428.57142857142</v>
      </c>
      <c r="AA168" s="1">
        <f t="shared" si="126"/>
        <v>49107.142857142855</v>
      </c>
      <c r="AB168" s="1">
        <f t="shared" si="127"/>
        <v>495535.71428571426</v>
      </c>
      <c r="AC168" s="1">
        <f t="shared" si="128"/>
        <v>4464285.7142857136</v>
      </c>
      <c r="AD168" s="1">
        <f t="shared" ref="AD168:AD208" si="142">-FV($U$12,1,0,AD167,1)</f>
        <v>52643331.148481414</v>
      </c>
    </row>
    <row r="169" spans="12:30" x14ac:dyDescent="0.25">
      <c r="L169">
        <f t="shared" si="107"/>
        <v>155</v>
      </c>
      <c r="M169" s="2">
        <v>9.5500000000000002E-2</v>
      </c>
      <c r="N169" s="1">
        <f t="shared" si="111"/>
        <v>1026957.6379974334</v>
      </c>
      <c r="O169" s="1">
        <f t="shared" si="115"/>
        <v>702866.92340607662</v>
      </c>
      <c r="P169" s="1">
        <f t="shared" si="116"/>
        <v>1729824.5614035102</v>
      </c>
      <c r="Q169" s="1">
        <f t="shared" si="117"/>
        <v>87291399.229781836</v>
      </c>
      <c r="S169" s="16"/>
      <c r="T169" t="s">
        <v>44</v>
      </c>
      <c r="U169">
        <f>12</f>
        <v>12</v>
      </c>
      <c r="W169">
        <f t="shared" si="88"/>
        <v>19</v>
      </c>
      <c r="X169">
        <f t="shared" si="137"/>
        <v>3</v>
      </c>
      <c r="Y169" s="3">
        <f t="shared" si="124"/>
        <v>0.12</v>
      </c>
      <c r="Z169" s="1">
        <f t="shared" si="125"/>
        <v>446428.57142857136</v>
      </c>
      <c r="AA169" s="1">
        <f t="shared" si="126"/>
        <v>44642.857142857138</v>
      </c>
      <c r="AB169" s="1">
        <f t="shared" si="127"/>
        <v>491071.42857142852</v>
      </c>
      <c r="AC169" s="1">
        <f t="shared" si="128"/>
        <v>4017857.1428571423</v>
      </c>
      <c r="AD169" s="1">
        <f t="shared" si="142"/>
        <v>52842259.733686008</v>
      </c>
    </row>
    <row r="170" spans="12:30" x14ac:dyDescent="0.25">
      <c r="L170">
        <f t="shared" si="107"/>
        <v>156</v>
      </c>
      <c r="M170" s="2">
        <v>9.5500000000000002E-2</v>
      </c>
      <c r="N170" s="1">
        <f t="shared" si="111"/>
        <v>1026957.6379974333</v>
      </c>
      <c r="O170" s="1">
        <f t="shared" si="115"/>
        <v>694694.05220368039</v>
      </c>
      <c r="P170" s="1">
        <f t="shared" si="116"/>
        <v>1721651.6902011137</v>
      </c>
      <c r="Q170" s="1">
        <f t="shared" si="117"/>
        <v>86264441.591784403</v>
      </c>
      <c r="S170" s="16"/>
      <c r="W170">
        <f t="shared" si="88"/>
        <v>19</v>
      </c>
      <c r="X170">
        <f t="shared" si="137"/>
        <v>4</v>
      </c>
      <c r="Y170" s="3">
        <f t="shared" si="124"/>
        <v>0.12</v>
      </c>
      <c r="Z170" s="1">
        <f t="shared" si="125"/>
        <v>446428.57142857136</v>
      </c>
      <c r="AA170" s="1">
        <f t="shared" si="126"/>
        <v>40178.57142857142</v>
      </c>
      <c r="AB170" s="1">
        <f t="shared" si="127"/>
        <v>486607.14285714278</v>
      </c>
      <c r="AC170" s="1">
        <f t="shared" si="128"/>
        <v>3571428.5714285709</v>
      </c>
      <c r="AD170" s="1">
        <f t="shared" si="142"/>
        <v>53041940.030097857</v>
      </c>
    </row>
    <row r="171" spans="12:30" x14ac:dyDescent="0.25">
      <c r="L171">
        <f t="shared" si="107"/>
        <v>157</v>
      </c>
      <c r="M171" s="2">
        <v>9.5500000000000002E-2</v>
      </c>
      <c r="N171" s="1">
        <f t="shared" si="111"/>
        <v>1026957.6379974333</v>
      </c>
      <c r="O171" s="1">
        <f t="shared" si="115"/>
        <v>686521.18100128416</v>
      </c>
      <c r="P171" s="1">
        <f t="shared" si="116"/>
        <v>1713478.8189987175</v>
      </c>
      <c r="Q171" s="1">
        <f t="shared" si="117"/>
        <v>85237483.953786969</v>
      </c>
      <c r="S171" s="16"/>
      <c r="T171" t="s">
        <v>35</v>
      </c>
      <c r="U171" s="1">
        <f>U159</f>
        <v>500000</v>
      </c>
      <c r="W171">
        <f t="shared" si="88"/>
        <v>19</v>
      </c>
      <c r="X171">
        <f t="shared" si="137"/>
        <v>5</v>
      </c>
      <c r="Y171" s="3">
        <f t="shared" si="124"/>
        <v>0.12</v>
      </c>
      <c r="Z171" s="1">
        <f t="shared" si="125"/>
        <v>446428.57142857136</v>
      </c>
      <c r="AA171" s="1">
        <f t="shared" si="126"/>
        <v>35714.28571428571</v>
      </c>
      <c r="AB171" s="1">
        <f t="shared" si="127"/>
        <v>482142.85714285704</v>
      </c>
      <c r="AC171" s="1">
        <f t="shared" si="128"/>
        <v>3124999.9999999995</v>
      </c>
      <c r="AD171" s="1">
        <f t="shared" si="142"/>
        <v>53242374.878282778</v>
      </c>
    </row>
    <row r="172" spans="12:30" x14ac:dyDescent="0.25">
      <c r="L172">
        <f t="shared" si="107"/>
        <v>158</v>
      </c>
      <c r="M172" s="2">
        <v>9.5500000000000002E-2</v>
      </c>
      <c r="N172" s="1">
        <f t="shared" si="111"/>
        <v>1026957.6379974333</v>
      </c>
      <c r="O172" s="1">
        <f t="shared" si="115"/>
        <v>678348.30979888793</v>
      </c>
      <c r="P172" s="1">
        <f t="shared" si="116"/>
        <v>1705305.9477963212</v>
      </c>
      <c r="Q172" s="1">
        <f t="shared" si="117"/>
        <v>84210526.315789536</v>
      </c>
      <c r="S172" s="16"/>
      <c r="W172">
        <f t="shared" si="88"/>
        <v>19</v>
      </c>
      <c r="X172">
        <f t="shared" si="137"/>
        <v>6</v>
      </c>
      <c r="Y172" s="3">
        <f t="shared" si="124"/>
        <v>0.12</v>
      </c>
      <c r="Z172" s="1">
        <f t="shared" si="125"/>
        <v>446428.57142857136</v>
      </c>
      <c r="AA172" s="1">
        <f t="shared" si="126"/>
        <v>31249.999999999996</v>
      </c>
      <c r="AB172" s="1">
        <f t="shared" si="127"/>
        <v>477678.57142857136</v>
      </c>
      <c r="AC172" s="1">
        <f t="shared" si="128"/>
        <v>2678571.4285714282</v>
      </c>
      <c r="AD172" s="1">
        <f t="shared" si="142"/>
        <v>53443567.12954051</v>
      </c>
    </row>
    <row r="173" spans="12:30" x14ac:dyDescent="0.25">
      <c r="L173">
        <f t="shared" si="107"/>
        <v>159</v>
      </c>
      <c r="M173" s="2">
        <v>9.5500000000000002E-2</v>
      </c>
      <c r="N173" s="1">
        <f t="shared" si="111"/>
        <v>1026957.6379974333</v>
      </c>
      <c r="O173" s="1">
        <f t="shared" si="115"/>
        <v>670175.4385964917</v>
      </c>
      <c r="P173" s="1">
        <f t="shared" si="116"/>
        <v>1697133.076593925</v>
      </c>
      <c r="Q173" s="1">
        <f t="shared" si="117"/>
        <v>83183568.677792102</v>
      </c>
      <c r="S173" s="16"/>
      <c r="T173" t="s">
        <v>15</v>
      </c>
      <c r="U173" s="1">
        <f t="shared" si="108"/>
        <v>5357142.8571428573</v>
      </c>
      <c r="W173">
        <f t="shared" si="88"/>
        <v>19</v>
      </c>
      <c r="X173">
        <f t="shared" si="137"/>
        <v>7</v>
      </c>
      <c r="Y173" s="3">
        <f t="shared" si="124"/>
        <v>0.12</v>
      </c>
      <c r="Z173" s="1">
        <f t="shared" si="125"/>
        <v>446428.57142857136</v>
      </c>
      <c r="AA173" s="1">
        <f t="shared" si="126"/>
        <v>26785.714285714283</v>
      </c>
      <c r="AB173" s="1">
        <f t="shared" si="127"/>
        <v>473214.28571428562</v>
      </c>
      <c r="AC173" s="1">
        <f t="shared" si="128"/>
        <v>2232142.8571428568</v>
      </c>
      <c r="AD173" s="1">
        <f t="shared" ref="AD173" si="143">-FV($U$12,1,0,AD172-HLOOKUP(W173,$S$23:$U$214,9+((W173-$S$11-1)*12)),1)</f>
        <v>46274771.922363035</v>
      </c>
    </row>
    <row r="174" spans="12:30" x14ac:dyDescent="0.25">
      <c r="L174">
        <f t="shared" si="107"/>
        <v>160</v>
      </c>
      <c r="M174" s="2">
        <v>9.5500000000000002E-2</v>
      </c>
      <c r="N174" s="1">
        <f t="shared" si="111"/>
        <v>1026957.6379974333</v>
      </c>
      <c r="O174" s="1">
        <f t="shared" si="115"/>
        <v>662002.56739409547</v>
      </c>
      <c r="P174" s="1">
        <f t="shared" si="116"/>
        <v>1688960.2053915288</v>
      </c>
      <c r="Q174" s="1">
        <f t="shared" si="117"/>
        <v>82156611.039794669</v>
      </c>
      <c r="S174" s="16"/>
      <c r="W174">
        <f t="shared" si="88"/>
        <v>19</v>
      </c>
      <c r="X174">
        <f t="shared" si="137"/>
        <v>8</v>
      </c>
      <c r="Y174" s="3">
        <f t="shared" si="124"/>
        <v>0.12</v>
      </c>
      <c r="Z174" s="1">
        <f t="shared" si="125"/>
        <v>446428.57142857136</v>
      </c>
      <c r="AA174" s="1">
        <f t="shared" si="126"/>
        <v>22321.428571428569</v>
      </c>
      <c r="AB174" s="1">
        <f t="shared" si="127"/>
        <v>468749.99999999994</v>
      </c>
      <c r="AC174" s="1">
        <f t="shared" si="128"/>
        <v>1785714.2857142854</v>
      </c>
      <c r="AD174" s="1">
        <f t="shared" ref="AD174:AD214" si="144">-FV($U$12,1,0,AD173,1)</f>
        <v>46449635.000142381</v>
      </c>
    </row>
    <row r="175" spans="12:30" x14ac:dyDescent="0.25">
      <c r="L175">
        <f t="shared" si="107"/>
        <v>161</v>
      </c>
      <c r="M175" s="2">
        <v>9.5500000000000002E-2</v>
      </c>
      <c r="N175" s="1">
        <f t="shared" si="111"/>
        <v>1026957.6379974333</v>
      </c>
      <c r="O175" s="1">
        <f t="shared" si="115"/>
        <v>653829.69619169924</v>
      </c>
      <c r="P175" s="1">
        <f t="shared" si="116"/>
        <v>1680787.3341891326</v>
      </c>
      <c r="Q175" s="1">
        <f t="shared" si="117"/>
        <v>81129653.401797235</v>
      </c>
      <c r="S175" s="16"/>
      <c r="T175" t="s">
        <v>46</v>
      </c>
      <c r="U175" s="1">
        <f>ROUNDUP($T$7*1000*(1+$T$2)^(S167-$S$11),-3)</f>
        <v>7343000</v>
      </c>
      <c r="W175">
        <f t="shared" si="88"/>
        <v>19</v>
      </c>
      <c r="X175">
        <f t="shared" si="137"/>
        <v>9</v>
      </c>
      <c r="Y175" s="3">
        <f t="shared" si="124"/>
        <v>0.12</v>
      </c>
      <c r="Z175" s="1">
        <f t="shared" si="125"/>
        <v>446428.57142857136</v>
      </c>
      <c r="AA175" s="1">
        <f t="shared" si="126"/>
        <v>17857.142857142855</v>
      </c>
      <c r="AB175" s="1">
        <f t="shared" si="127"/>
        <v>464285.7142857142</v>
      </c>
      <c r="AC175" s="1">
        <f t="shared" si="128"/>
        <v>1339285.7142857141</v>
      </c>
      <c r="AD175" s="1">
        <f t="shared" si="144"/>
        <v>46625158.850405313</v>
      </c>
    </row>
    <row r="176" spans="12:30" x14ac:dyDescent="0.25">
      <c r="L176">
        <f t="shared" si="107"/>
        <v>162</v>
      </c>
      <c r="M176" s="2">
        <v>9.5500000000000002E-2</v>
      </c>
      <c r="N176" s="1">
        <f t="shared" si="111"/>
        <v>1026957.6379974333</v>
      </c>
      <c r="O176" s="1">
        <f t="shared" si="115"/>
        <v>645656.82498930302</v>
      </c>
      <c r="P176" s="1">
        <f t="shared" si="116"/>
        <v>1672614.4629867363</v>
      </c>
      <c r="Q176" s="1">
        <f t="shared" si="117"/>
        <v>80102695.763799801</v>
      </c>
      <c r="S176" s="16"/>
      <c r="W176">
        <f t="shared" ref="W176:W214" si="145">W175</f>
        <v>19</v>
      </c>
      <c r="X176">
        <f t="shared" si="137"/>
        <v>10</v>
      </c>
      <c r="Y176" s="3">
        <f t="shared" si="124"/>
        <v>0.12</v>
      </c>
      <c r="Z176" s="1">
        <f t="shared" si="125"/>
        <v>446428.57142857136</v>
      </c>
      <c r="AA176" s="1">
        <f t="shared" si="126"/>
        <v>13392.857142857141</v>
      </c>
      <c r="AB176" s="1">
        <f t="shared" si="127"/>
        <v>459821.42857142852</v>
      </c>
      <c r="AC176" s="1">
        <f t="shared" si="128"/>
        <v>892857.14285714272</v>
      </c>
      <c r="AD176" s="1">
        <f t="shared" si="144"/>
        <v>46801345.970078461</v>
      </c>
    </row>
    <row r="177" spans="12:30" x14ac:dyDescent="0.25">
      <c r="L177">
        <f t="shared" si="107"/>
        <v>163</v>
      </c>
      <c r="M177" s="2">
        <v>9.5500000000000002E-2</v>
      </c>
      <c r="N177" s="1">
        <f t="shared" si="111"/>
        <v>1026957.6379974333</v>
      </c>
      <c r="O177" s="1">
        <f t="shared" si="115"/>
        <v>637483.95378690667</v>
      </c>
      <c r="P177" s="1">
        <f t="shared" si="116"/>
        <v>1664441.5917843399</v>
      </c>
      <c r="Q177" s="1">
        <f t="shared" si="117"/>
        <v>79075738.125802368</v>
      </c>
      <c r="S177" s="16"/>
      <c r="T177" t="s">
        <v>47</v>
      </c>
      <c r="U177" s="1">
        <f t="shared" si="112"/>
        <v>14686000</v>
      </c>
      <c r="W177">
        <f t="shared" si="145"/>
        <v>19</v>
      </c>
      <c r="X177">
        <f t="shared" si="137"/>
        <v>11</v>
      </c>
      <c r="Y177" s="3">
        <f t="shared" si="124"/>
        <v>0.12</v>
      </c>
      <c r="Z177" s="1">
        <f t="shared" si="125"/>
        <v>446428.57142857136</v>
      </c>
      <c r="AA177" s="1">
        <f t="shared" si="126"/>
        <v>8928.5714285714275</v>
      </c>
      <c r="AB177" s="1">
        <f t="shared" si="127"/>
        <v>455357.14285714278</v>
      </c>
      <c r="AC177" s="1">
        <f t="shared" si="128"/>
        <v>446428.57142857136</v>
      </c>
      <c r="AD177" s="1">
        <f t="shared" si="144"/>
        <v>46978198.86552383</v>
      </c>
    </row>
    <row r="178" spans="12:30" x14ac:dyDescent="0.25">
      <c r="L178">
        <f t="shared" si="107"/>
        <v>164</v>
      </c>
      <c r="M178" s="2">
        <v>9.5500000000000002E-2</v>
      </c>
      <c r="N178" s="1">
        <f t="shared" si="111"/>
        <v>1026957.6379974333</v>
      </c>
      <c r="O178" s="1">
        <f t="shared" si="115"/>
        <v>629311.08258451044</v>
      </c>
      <c r="P178" s="1">
        <f t="shared" si="116"/>
        <v>1656268.7205819436</v>
      </c>
      <c r="Q178" s="1">
        <f t="shared" si="117"/>
        <v>78048780.487804934</v>
      </c>
      <c r="S178" s="16"/>
      <c r="W178">
        <f t="shared" si="145"/>
        <v>19</v>
      </c>
      <c r="X178">
        <f t="shared" si="137"/>
        <v>12</v>
      </c>
      <c r="Y178" s="3">
        <f t="shared" si="124"/>
        <v>0.12</v>
      </c>
      <c r="Z178" s="1">
        <f t="shared" si="125"/>
        <v>446428.57142857136</v>
      </c>
      <c r="AA178" s="1">
        <f t="shared" si="126"/>
        <v>4464.2857142857138</v>
      </c>
      <c r="AB178" s="1">
        <f t="shared" si="127"/>
        <v>450892.8571428571</v>
      </c>
      <c r="AC178" s="1">
        <f t="shared" si="128"/>
        <v>5357142.8571428573</v>
      </c>
      <c r="AD178" s="1">
        <f t="shared" si="144"/>
        <v>47155720.052574478</v>
      </c>
    </row>
    <row r="179" spans="12:30" x14ac:dyDescent="0.25">
      <c r="L179">
        <f t="shared" si="107"/>
        <v>165</v>
      </c>
      <c r="M179" s="2">
        <v>9.5500000000000002E-2</v>
      </c>
      <c r="N179" s="1">
        <f t="shared" si="111"/>
        <v>1026957.6379974333</v>
      </c>
      <c r="O179" s="1">
        <f t="shared" si="115"/>
        <v>621138.21138211421</v>
      </c>
      <c r="P179" s="1">
        <f t="shared" si="116"/>
        <v>1648095.8493795474</v>
      </c>
      <c r="Q179" s="1">
        <f t="shared" si="117"/>
        <v>77021822.849807501</v>
      </c>
      <c r="S179" s="16">
        <v>20</v>
      </c>
      <c r="T179" t="s">
        <v>45</v>
      </c>
      <c r="U179" s="5">
        <f>12%</f>
        <v>0.12</v>
      </c>
      <c r="W179">
        <f t="shared" ref="W179" si="146">W167+1</f>
        <v>20</v>
      </c>
      <c r="X179">
        <f t="shared" si="137"/>
        <v>1</v>
      </c>
      <c r="Y179" s="3">
        <f t="shared" si="124"/>
        <v>0.12</v>
      </c>
      <c r="Z179" s="1">
        <f t="shared" si="125"/>
        <v>446428.57142857142</v>
      </c>
      <c r="AA179" s="1">
        <f t="shared" si="126"/>
        <v>53571.428571428572</v>
      </c>
      <c r="AB179" s="1">
        <f t="shared" si="127"/>
        <v>500000</v>
      </c>
      <c r="AC179" s="1">
        <f t="shared" si="128"/>
        <v>4910714.2857142854</v>
      </c>
      <c r="AD179" s="1">
        <f t="shared" ref="AD179" si="147">-FV($U$12,1,0,AD178+AC178-HLOOKUP(W179,$S$23:$U$214,9+((W179-$S$11-1)*12)),1)</f>
        <v>45119719.422188975</v>
      </c>
    </row>
    <row r="180" spans="12:30" x14ac:dyDescent="0.25">
      <c r="L180">
        <f t="shared" si="107"/>
        <v>166</v>
      </c>
      <c r="M180" s="2">
        <v>9.5500000000000002E-2</v>
      </c>
      <c r="N180" s="1">
        <f t="shared" si="111"/>
        <v>1026957.6379974333</v>
      </c>
      <c r="O180" s="1">
        <f t="shared" si="115"/>
        <v>612965.34017971798</v>
      </c>
      <c r="P180" s="1">
        <f t="shared" si="116"/>
        <v>1639922.9781771512</v>
      </c>
      <c r="Q180" s="1">
        <f t="shared" si="117"/>
        <v>75994865.211810067</v>
      </c>
      <c r="S180" s="16"/>
      <c r="T180" t="s">
        <v>43</v>
      </c>
      <c r="U180">
        <f t="shared" ref="U180" si="148">U181/12</f>
        <v>1</v>
      </c>
      <c r="W180">
        <f t="shared" ref="W180" si="149">W179</f>
        <v>20</v>
      </c>
      <c r="X180">
        <f t="shared" si="137"/>
        <v>2</v>
      </c>
      <c r="Y180" s="3">
        <f t="shared" si="124"/>
        <v>0.12</v>
      </c>
      <c r="Z180" s="1">
        <f t="shared" si="125"/>
        <v>446428.57142857142</v>
      </c>
      <c r="AA180" s="1">
        <f t="shared" si="126"/>
        <v>49107.142857142855</v>
      </c>
      <c r="AB180" s="1">
        <f t="shared" si="127"/>
        <v>495535.71428571426</v>
      </c>
      <c r="AC180" s="1">
        <f t="shared" si="128"/>
        <v>4464285.7142857136</v>
      </c>
      <c r="AD180" s="1">
        <f t="shared" ref="AD180" si="150">-FV($U$12,1,0,AD179,1)</f>
        <v>45290217.788338497</v>
      </c>
    </row>
    <row r="181" spans="12:30" x14ac:dyDescent="0.25">
      <c r="L181">
        <f t="shared" si="107"/>
        <v>167</v>
      </c>
      <c r="M181" s="2">
        <v>9.5500000000000002E-2</v>
      </c>
      <c r="N181" s="1">
        <f t="shared" si="111"/>
        <v>1026957.6379974333</v>
      </c>
      <c r="O181" s="1">
        <f t="shared" si="115"/>
        <v>604792.46897732175</v>
      </c>
      <c r="P181" s="1">
        <f t="shared" si="116"/>
        <v>1631750.1069747549</v>
      </c>
      <c r="Q181" s="1">
        <f t="shared" si="117"/>
        <v>74967907.573812634</v>
      </c>
      <c r="S181" s="16"/>
      <c r="T181" t="s">
        <v>44</v>
      </c>
      <c r="U181">
        <f>12</f>
        <v>12</v>
      </c>
      <c r="W181">
        <f t="shared" si="145"/>
        <v>20</v>
      </c>
      <c r="X181">
        <f t="shared" si="137"/>
        <v>3</v>
      </c>
      <c r="Y181" s="3">
        <f t="shared" si="124"/>
        <v>0.12</v>
      </c>
      <c r="Z181" s="1">
        <f t="shared" si="125"/>
        <v>446428.57142857136</v>
      </c>
      <c r="AA181" s="1">
        <f t="shared" si="126"/>
        <v>44642.857142857138</v>
      </c>
      <c r="AB181" s="1">
        <f t="shared" si="127"/>
        <v>491071.42857142852</v>
      </c>
      <c r="AC181" s="1">
        <f t="shared" si="128"/>
        <v>4017857.1428571423</v>
      </c>
      <c r="AD181" s="1">
        <f t="shared" si="142"/>
        <v>45461360.433602162</v>
      </c>
    </row>
    <row r="182" spans="12:30" x14ac:dyDescent="0.25">
      <c r="L182">
        <f t="shared" si="107"/>
        <v>168</v>
      </c>
      <c r="M182" s="2">
        <v>9.5500000000000002E-2</v>
      </c>
      <c r="N182" s="1">
        <f t="shared" si="111"/>
        <v>1026957.6379974333</v>
      </c>
      <c r="O182" s="1">
        <f t="shared" si="115"/>
        <v>596619.59777492553</v>
      </c>
      <c r="P182" s="1">
        <f t="shared" si="116"/>
        <v>1623577.2357723587</v>
      </c>
      <c r="Q182" s="1">
        <f t="shared" si="117"/>
        <v>73940949.9358152</v>
      </c>
      <c r="S182" s="16"/>
      <c r="W182">
        <f t="shared" si="145"/>
        <v>20</v>
      </c>
      <c r="X182">
        <f t="shared" si="137"/>
        <v>4</v>
      </c>
      <c r="Y182" s="3">
        <f t="shared" si="124"/>
        <v>0.12</v>
      </c>
      <c r="Z182" s="1">
        <f t="shared" si="125"/>
        <v>446428.57142857136</v>
      </c>
      <c r="AA182" s="1">
        <f t="shared" si="126"/>
        <v>40178.57142857142</v>
      </c>
      <c r="AB182" s="1">
        <f t="shared" si="127"/>
        <v>486607.14285714278</v>
      </c>
      <c r="AC182" s="1">
        <f t="shared" si="128"/>
        <v>3571428.5714285709</v>
      </c>
      <c r="AD182" s="1">
        <f t="shared" si="142"/>
        <v>45633149.792581461</v>
      </c>
    </row>
    <row r="183" spans="12:30" x14ac:dyDescent="0.25">
      <c r="L183">
        <f t="shared" si="107"/>
        <v>169</v>
      </c>
      <c r="M183" s="2">
        <v>9.5500000000000002E-2</v>
      </c>
      <c r="N183" s="1">
        <f t="shared" si="111"/>
        <v>1026957.6379974333</v>
      </c>
      <c r="O183" s="1">
        <f t="shared" si="115"/>
        <v>588446.7265725293</v>
      </c>
      <c r="P183" s="1">
        <f t="shared" si="116"/>
        <v>1615404.3645699625</v>
      </c>
      <c r="Q183" s="1">
        <f t="shared" si="117"/>
        <v>72913992.297817767</v>
      </c>
      <c r="S183" s="16"/>
      <c r="T183" t="s">
        <v>35</v>
      </c>
      <c r="U183" s="1">
        <f>U171</f>
        <v>500000</v>
      </c>
      <c r="W183">
        <f t="shared" si="145"/>
        <v>20</v>
      </c>
      <c r="X183">
        <f t="shared" si="137"/>
        <v>5</v>
      </c>
      <c r="Y183" s="3">
        <f t="shared" si="124"/>
        <v>0.12</v>
      </c>
      <c r="Z183" s="1">
        <f t="shared" si="125"/>
        <v>446428.57142857136</v>
      </c>
      <c r="AA183" s="1">
        <f t="shared" si="126"/>
        <v>35714.28571428571</v>
      </c>
      <c r="AB183" s="1">
        <f t="shared" si="127"/>
        <v>482142.85714285704</v>
      </c>
      <c r="AC183" s="1">
        <f t="shared" si="128"/>
        <v>3124999.9999999995</v>
      </c>
      <c r="AD183" s="1">
        <f t="shared" si="142"/>
        <v>45805588.309077762</v>
      </c>
    </row>
    <row r="184" spans="12:30" x14ac:dyDescent="0.25">
      <c r="L184">
        <f t="shared" si="107"/>
        <v>170</v>
      </c>
      <c r="M184" s="2">
        <v>9.5500000000000002E-2</v>
      </c>
      <c r="N184" s="1">
        <f t="shared" si="111"/>
        <v>1026957.6379974333</v>
      </c>
      <c r="O184" s="1">
        <f t="shared" si="115"/>
        <v>580273.85537013307</v>
      </c>
      <c r="P184" s="1">
        <f t="shared" si="116"/>
        <v>1607231.4933675663</v>
      </c>
      <c r="Q184" s="1">
        <f t="shared" si="117"/>
        <v>71887034.659820333</v>
      </c>
      <c r="S184" s="16"/>
      <c r="W184">
        <f t="shared" si="145"/>
        <v>20</v>
      </c>
      <c r="X184">
        <f t="shared" si="137"/>
        <v>6</v>
      </c>
      <c r="Y184" s="3">
        <f t="shared" si="124"/>
        <v>0.12</v>
      </c>
      <c r="Z184" s="1">
        <f t="shared" si="125"/>
        <v>446428.57142857136</v>
      </c>
      <c r="AA184" s="1">
        <f t="shared" si="126"/>
        <v>31249.999999999996</v>
      </c>
      <c r="AB184" s="1">
        <f t="shared" si="127"/>
        <v>477678.57142857136</v>
      </c>
      <c r="AC184" s="1">
        <f t="shared" si="128"/>
        <v>2678571.4285714282</v>
      </c>
      <c r="AD184" s="1">
        <f t="shared" si="142"/>
        <v>45978678.436127059</v>
      </c>
    </row>
    <row r="185" spans="12:30" x14ac:dyDescent="0.25">
      <c r="L185">
        <f t="shared" si="107"/>
        <v>171</v>
      </c>
      <c r="M185" s="2">
        <v>9.5500000000000002E-2</v>
      </c>
      <c r="N185" s="1">
        <f t="shared" si="111"/>
        <v>1026957.6379974333</v>
      </c>
      <c r="O185" s="1">
        <f t="shared" si="115"/>
        <v>572100.98416773684</v>
      </c>
      <c r="P185" s="1">
        <f t="shared" si="116"/>
        <v>1599058.62216517</v>
      </c>
      <c r="Q185" s="1">
        <f t="shared" si="117"/>
        <v>70860077.0218229</v>
      </c>
      <c r="S185" s="16"/>
      <c r="T185" t="s">
        <v>15</v>
      </c>
      <c r="U185" s="1">
        <f t="shared" si="108"/>
        <v>5357142.8571428573</v>
      </c>
      <c r="W185">
        <f t="shared" si="145"/>
        <v>20</v>
      </c>
      <c r="X185">
        <f t="shared" si="137"/>
        <v>7</v>
      </c>
      <c r="Y185" s="3">
        <f t="shared" si="124"/>
        <v>0.12</v>
      </c>
      <c r="Z185" s="1">
        <f t="shared" si="125"/>
        <v>446428.57142857136</v>
      </c>
      <c r="AA185" s="1">
        <f t="shared" si="126"/>
        <v>26785.714285714283</v>
      </c>
      <c r="AB185" s="1">
        <f t="shared" si="127"/>
        <v>473214.28571428562</v>
      </c>
      <c r="AC185" s="1">
        <f t="shared" si="128"/>
        <v>2232142.8571428568</v>
      </c>
      <c r="AD185" s="1">
        <f t="shared" ref="AD185" si="151">-FV($U$12,1,0,AD184-HLOOKUP(W185,$S$23:$U$214,9+((W185-$S$11-1)*12)),1)</f>
        <v>38560843.576596968</v>
      </c>
    </row>
    <row r="186" spans="12:30" x14ac:dyDescent="0.25">
      <c r="L186">
        <f t="shared" si="107"/>
        <v>172</v>
      </c>
      <c r="M186" s="2">
        <v>9.5500000000000002E-2</v>
      </c>
      <c r="N186" s="1">
        <f t="shared" si="111"/>
        <v>1026957.6379974333</v>
      </c>
      <c r="O186" s="1">
        <f t="shared" si="115"/>
        <v>563928.11296534049</v>
      </c>
      <c r="P186" s="1">
        <f t="shared" si="116"/>
        <v>1590885.7509627738</v>
      </c>
      <c r="Q186" s="1">
        <f t="shared" si="117"/>
        <v>69833119.383825466</v>
      </c>
      <c r="S186" s="16"/>
      <c r="W186">
        <f t="shared" si="145"/>
        <v>20</v>
      </c>
      <c r="X186">
        <f t="shared" si="137"/>
        <v>8</v>
      </c>
      <c r="Y186" s="3">
        <f t="shared" si="124"/>
        <v>0.12</v>
      </c>
      <c r="Z186" s="1">
        <f t="shared" si="125"/>
        <v>446428.57142857136</v>
      </c>
      <c r="AA186" s="1">
        <f t="shared" si="126"/>
        <v>22321.428571428569</v>
      </c>
      <c r="AB186" s="1">
        <f t="shared" si="127"/>
        <v>468749.99999999994</v>
      </c>
      <c r="AC186" s="1">
        <f t="shared" si="128"/>
        <v>1785714.2857142854</v>
      </c>
      <c r="AD186" s="1">
        <f t="shared" ref="AD186" si="152">-FV($U$12,1,0,AD185,1)</f>
        <v>38706557.267004445</v>
      </c>
    </row>
    <row r="187" spans="12:30" x14ac:dyDescent="0.25">
      <c r="L187">
        <f t="shared" si="107"/>
        <v>173</v>
      </c>
      <c r="M187" s="2">
        <v>9.5500000000000002E-2</v>
      </c>
      <c r="N187" s="1">
        <f t="shared" si="111"/>
        <v>1026957.6379974333</v>
      </c>
      <c r="O187" s="1">
        <f t="shared" si="115"/>
        <v>555755.24176294426</v>
      </c>
      <c r="P187" s="1">
        <f t="shared" si="116"/>
        <v>1582712.8797603776</v>
      </c>
      <c r="Q187" s="1">
        <f t="shared" si="117"/>
        <v>68806161.745828032</v>
      </c>
      <c r="S187" s="16"/>
      <c r="T187" t="s">
        <v>46</v>
      </c>
      <c r="U187" s="1">
        <f t="shared" ref="U187" si="153">ROUNDUP($T$7*1000*(1+$T$2)^(S179-$S$11),-3)</f>
        <v>7563000</v>
      </c>
      <c r="W187">
        <f t="shared" si="145"/>
        <v>20</v>
      </c>
      <c r="X187">
        <f t="shared" si="137"/>
        <v>9</v>
      </c>
      <c r="Y187" s="3">
        <f t="shared" si="124"/>
        <v>0.12</v>
      </c>
      <c r="Z187" s="1">
        <f t="shared" si="125"/>
        <v>446428.57142857136</v>
      </c>
      <c r="AA187" s="1">
        <f t="shared" si="126"/>
        <v>17857.142857142855</v>
      </c>
      <c r="AB187" s="1">
        <f t="shared" si="127"/>
        <v>464285.7142857142</v>
      </c>
      <c r="AC187" s="1">
        <f t="shared" si="128"/>
        <v>1339285.7142857141</v>
      </c>
      <c r="AD187" s="1">
        <f t="shared" si="144"/>
        <v>38852821.580209628</v>
      </c>
    </row>
    <row r="188" spans="12:30" x14ac:dyDescent="0.25">
      <c r="L188">
        <f t="shared" si="107"/>
        <v>174</v>
      </c>
      <c r="M188" s="2">
        <v>9.5500000000000002E-2</v>
      </c>
      <c r="N188" s="1">
        <f t="shared" si="111"/>
        <v>1026957.6379974333</v>
      </c>
      <c r="O188" s="1">
        <f t="shared" si="115"/>
        <v>547582.37056054804</v>
      </c>
      <c r="P188" s="1">
        <f t="shared" si="116"/>
        <v>1574540.0085579813</v>
      </c>
      <c r="Q188" s="1">
        <f t="shared" si="117"/>
        <v>67779204.107830599</v>
      </c>
      <c r="S188" s="16"/>
      <c r="W188">
        <f t="shared" si="145"/>
        <v>20</v>
      </c>
      <c r="X188">
        <f t="shared" si="137"/>
        <v>10</v>
      </c>
      <c r="Y188" s="3">
        <f t="shared" si="124"/>
        <v>0.12</v>
      </c>
      <c r="Z188" s="1">
        <f t="shared" si="125"/>
        <v>446428.57142857136</v>
      </c>
      <c r="AA188" s="1">
        <f t="shared" si="126"/>
        <v>13392.857142857141</v>
      </c>
      <c r="AB188" s="1">
        <f t="shared" si="127"/>
        <v>459821.42857142852</v>
      </c>
      <c r="AC188" s="1">
        <f t="shared" si="128"/>
        <v>892857.14285714272</v>
      </c>
      <c r="AD188" s="1">
        <f t="shared" si="144"/>
        <v>38999638.596905589</v>
      </c>
    </row>
    <row r="189" spans="12:30" x14ac:dyDescent="0.25">
      <c r="L189">
        <f t="shared" si="107"/>
        <v>175</v>
      </c>
      <c r="M189" s="2">
        <v>9.5500000000000002E-2</v>
      </c>
      <c r="N189" s="1">
        <f t="shared" si="111"/>
        <v>1026957.6379974333</v>
      </c>
      <c r="O189" s="1">
        <f t="shared" si="115"/>
        <v>539409.49935815181</v>
      </c>
      <c r="P189" s="1">
        <f t="shared" si="116"/>
        <v>1566367.1373555851</v>
      </c>
      <c r="Q189" s="1">
        <f t="shared" si="117"/>
        <v>66752246.469833165</v>
      </c>
      <c r="S189" s="16"/>
      <c r="T189" t="s">
        <v>47</v>
      </c>
      <c r="U189" s="1">
        <f t="shared" si="112"/>
        <v>15126000</v>
      </c>
      <c r="W189">
        <f t="shared" si="145"/>
        <v>20</v>
      </c>
      <c r="X189">
        <f t="shared" si="137"/>
        <v>11</v>
      </c>
      <c r="Y189" s="3">
        <f t="shared" si="124"/>
        <v>0.12</v>
      </c>
      <c r="Z189" s="1">
        <f t="shared" si="125"/>
        <v>446428.57142857136</v>
      </c>
      <c r="AA189" s="1">
        <f t="shared" si="126"/>
        <v>8928.5714285714275</v>
      </c>
      <c r="AB189" s="1">
        <f t="shared" si="127"/>
        <v>455357.14285714278</v>
      </c>
      <c r="AC189" s="1">
        <f t="shared" si="128"/>
        <v>446428.57142857136</v>
      </c>
      <c r="AD189" s="1">
        <f t="shared" si="144"/>
        <v>39147010.405647911</v>
      </c>
    </row>
    <row r="190" spans="12:30" x14ac:dyDescent="0.25">
      <c r="L190">
        <f t="shared" si="107"/>
        <v>176</v>
      </c>
      <c r="M190" s="2">
        <v>9.5500000000000002E-2</v>
      </c>
      <c r="N190" s="1">
        <f t="shared" si="111"/>
        <v>1026957.6379974333</v>
      </c>
      <c r="O190" s="1">
        <f t="shared" si="115"/>
        <v>531236.62815575558</v>
      </c>
      <c r="P190" s="1">
        <f t="shared" si="116"/>
        <v>1558194.2661531889</v>
      </c>
      <c r="Q190" s="1">
        <f t="shared" si="117"/>
        <v>65725288.831835732</v>
      </c>
      <c r="S190" s="16"/>
      <c r="W190">
        <f t="shared" si="145"/>
        <v>20</v>
      </c>
      <c r="X190">
        <f t="shared" si="137"/>
        <v>12</v>
      </c>
      <c r="Y190" s="3">
        <f t="shared" si="124"/>
        <v>0.12</v>
      </c>
      <c r="Z190" s="1">
        <f t="shared" si="125"/>
        <v>446428.57142857136</v>
      </c>
      <c r="AA190" s="1">
        <f t="shared" si="126"/>
        <v>4464.2857142857138</v>
      </c>
      <c r="AB190" s="1">
        <f t="shared" si="127"/>
        <v>450892.8571428571</v>
      </c>
      <c r="AC190" s="1">
        <f t="shared" si="128"/>
        <v>5357142.8571428573</v>
      </c>
      <c r="AD190" s="1">
        <f t="shared" si="144"/>
        <v>39294939.102884419</v>
      </c>
    </row>
    <row r="191" spans="12:30" x14ac:dyDescent="0.25">
      <c r="L191">
        <f t="shared" si="107"/>
        <v>177</v>
      </c>
      <c r="M191" s="2">
        <v>9.5500000000000002E-2</v>
      </c>
      <c r="N191" s="1">
        <f t="shared" si="111"/>
        <v>1026957.6379974333</v>
      </c>
      <c r="O191" s="1">
        <f t="shared" si="115"/>
        <v>523063.75695335935</v>
      </c>
      <c r="P191" s="1">
        <f t="shared" si="116"/>
        <v>1550021.3949507927</v>
      </c>
      <c r="Q191" s="1">
        <f t="shared" si="117"/>
        <v>64698331.193838298</v>
      </c>
      <c r="S191" s="16">
        <v>21</v>
      </c>
      <c r="T191" t="s">
        <v>45</v>
      </c>
      <c r="U191" s="5">
        <f>12%</f>
        <v>0.12</v>
      </c>
      <c r="W191">
        <f t="shared" ref="W191" si="154">W179+1</f>
        <v>21</v>
      </c>
      <c r="X191">
        <f t="shared" si="137"/>
        <v>1</v>
      </c>
      <c r="Y191" s="3">
        <f t="shared" si="124"/>
        <v>0.12</v>
      </c>
      <c r="Z191" s="1">
        <f t="shared" si="125"/>
        <v>446428.57142857142</v>
      </c>
      <c r="AA191" s="1">
        <f t="shared" si="126"/>
        <v>53571.428571428572</v>
      </c>
      <c r="AB191" s="1">
        <f t="shared" si="127"/>
        <v>500000</v>
      </c>
      <c r="AC191" s="1">
        <f t="shared" si="128"/>
        <v>4910714.2857142854</v>
      </c>
      <c r="AD191" s="1">
        <f t="shared" ref="AD191" si="155">-FV($U$12,1,0,AD190+AC190-HLOOKUP(W191,$S$23:$U$214,9+((W191-$S$11-1)*12)),1)</f>
        <v>37001376.371152617</v>
      </c>
    </row>
    <row r="192" spans="12:30" x14ac:dyDescent="0.25">
      <c r="L192">
        <f t="shared" si="107"/>
        <v>178</v>
      </c>
      <c r="M192" s="2">
        <v>9.5500000000000002E-2</v>
      </c>
      <c r="N192" s="1">
        <f t="shared" si="111"/>
        <v>1026957.6379974333</v>
      </c>
      <c r="O192" s="1">
        <f t="shared" si="115"/>
        <v>514890.88575096312</v>
      </c>
      <c r="P192" s="1">
        <f t="shared" si="116"/>
        <v>1541848.5237483964</v>
      </c>
      <c r="Q192" s="1">
        <f t="shared" si="117"/>
        <v>63671373.555840865</v>
      </c>
      <c r="S192" s="16"/>
      <c r="T192" t="s">
        <v>43</v>
      </c>
      <c r="U192">
        <f t="shared" ref="U192" si="156">U193/12</f>
        <v>1</v>
      </c>
      <c r="W192">
        <f t="shared" ref="W192" si="157">W191</f>
        <v>21</v>
      </c>
      <c r="X192">
        <f t="shared" si="137"/>
        <v>2</v>
      </c>
      <c r="Y192" s="3">
        <f t="shared" si="124"/>
        <v>0.12</v>
      </c>
      <c r="Z192" s="1">
        <f t="shared" si="125"/>
        <v>446428.57142857142</v>
      </c>
      <c r="AA192" s="1">
        <f t="shared" si="126"/>
        <v>49107.142857142855</v>
      </c>
      <c r="AB192" s="1">
        <f t="shared" si="127"/>
        <v>495535.71428571426</v>
      </c>
      <c r="AC192" s="1">
        <f t="shared" si="128"/>
        <v>4464285.7142857136</v>
      </c>
      <c r="AD192" s="1">
        <f t="shared" ref="AD192" si="158">-FV($U$12,1,0,AD191,1)</f>
        <v>37141197.147907324</v>
      </c>
    </row>
    <row r="193" spans="12:30" x14ac:dyDescent="0.25">
      <c r="L193">
        <f t="shared" si="107"/>
        <v>179</v>
      </c>
      <c r="M193" s="2">
        <v>9.5500000000000002E-2</v>
      </c>
      <c r="N193" s="1">
        <f t="shared" si="111"/>
        <v>1026957.6379974333</v>
      </c>
      <c r="O193" s="1">
        <f t="shared" si="115"/>
        <v>506718.01454856683</v>
      </c>
      <c r="P193" s="1">
        <f t="shared" si="116"/>
        <v>1533675.6525460002</v>
      </c>
      <c r="Q193" s="1">
        <f t="shared" si="117"/>
        <v>62644415.917843431</v>
      </c>
      <c r="S193" s="16"/>
      <c r="T193" t="s">
        <v>44</v>
      </c>
      <c r="U193">
        <f>12</f>
        <v>12</v>
      </c>
      <c r="W193">
        <f t="shared" si="145"/>
        <v>21</v>
      </c>
      <c r="X193">
        <f t="shared" si="137"/>
        <v>3</v>
      </c>
      <c r="Y193" s="3">
        <f t="shared" si="124"/>
        <v>0.12</v>
      </c>
      <c r="Z193" s="1">
        <f t="shared" si="125"/>
        <v>446428.57142857136</v>
      </c>
      <c r="AA193" s="1">
        <f t="shared" si="126"/>
        <v>44642.857142857138</v>
      </c>
      <c r="AB193" s="1">
        <f t="shared" si="127"/>
        <v>491071.42857142852</v>
      </c>
      <c r="AC193" s="1">
        <f t="shared" si="128"/>
        <v>4017857.1428571423</v>
      </c>
      <c r="AD193" s="1">
        <f t="shared" si="142"/>
        <v>37281546.279321499</v>
      </c>
    </row>
    <row r="194" spans="12:30" x14ac:dyDescent="0.25">
      <c r="L194">
        <f t="shared" si="107"/>
        <v>180</v>
      </c>
      <c r="M194" s="2">
        <v>9.5500000000000002E-2</v>
      </c>
      <c r="N194" s="1">
        <f t="shared" si="111"/>
        <v>1026957.6379974333</v>
      </c>
      <c r="O194" s="1">
        <f t="shared" si="115"/>
        <v>498545.1433461706</v>
      </c>
      <c r="P194" s="1">
        <f t="shared" si="116"/>
        <v>1525502.781343604</v>
      </c>
      <c r="Q194" s="1">
        <f t="shared" si="117"/>
        <v>61617458.279845998</v>
      </c>
      <c r="S194" s="16"/>
      <c r="W194">
        <f t="shared" si="145"/>
        <v>21</v>
      </c>
      <c r="X194">
        <f t="shared" si="137"/>
        <v>4</v>
      </c>
      <c r="Y194" s="3">
        <f t="shared" si="124"/>
        <v>0.12</v>
      </c>
      <c r="Z194" s="1">
        <f t="shared" si="125"/>
        <v>446428.57142857136</v>
      </c>
      <c r="AA194" s="1">
        <f t="shared" si="126"/>
        <v>40178.57142857142</v>
      </c>
      <c r="AB194" s="1">
        <f t="shared" si="127"/>
        <v>486607.14285714278</v>
      </c>
      <c r="AC194" s="1">
        <f t="shared" si="128"/>
        <v>3571428.5714285709</v>
      </c>
      <c r="AD194" s="1">
        <f t="shared" si="142"/>
        <v>37422425.761941381</v>
      </c>
    </row>
    <row r="195" spans="12:30" x14ac:dyDescent="0.25">
      <c r="L195">
        <f t="shared" si="107"/>
        <v>181</v>
      </c>
      <c r="M195" s="2">
        <v>9.5500000000000002E-2</v>
      </c>
      <c r="N195" s="1">
        <f t="shared" si="111"/>
        <v>1026957.6379974333</v>
      </c>
      <c r="O195" s="1">
        <f t="shared" si="115"/>
        <v>490372.27214377437</v>
      </c>
      <c r="P195" s="1">
        <f t="shared" si="116"/>
        <v>1517329.9101412077</v>
      </c>
      <c r="Q195" s="1">
        <f t="shared" si="117"/>
        <v>60590500.641848564</v>
      </c>
      <c r="S195" s="16"/>
      <c r="T195" t="s">
        <v>35</v>
      </c>
      <c r="U195" s="1">
        <f>U183</f>
        <v>500000</v>
      </c>
      <c r="W195">
        <f t="shared" si="145"/>
        <v>21</v>
      </c>
      <c r="X195">
        <f t="shared" si="137"/>
        <v>5</v>
      </c>
      <c r="Y195" s="3">
        <f t="shared" si="124"/>
        <v>0.12</v>
      </c>
      <c r="Z195" s="1">
        <f t="shared" si="125"/>
        <v>446428.57142857136</v>
      </c>
      <c r="AA195" s="1">
        <f t="shared" si="126"/>
        <v>35714.28571428571</v>
      </c>
      <c r="AB195" s="1">
        <f t="shared" si="127"/>
        <v>482142.85714285704</v>
      </c>
      <c r="AC195" s="1">
        <f t="shared" si="128"/>
        <v>3124999.9999999995</v>
      </c>
      <c r="AD195" s="1">
        <f t="shared" si="142"/>
        <v>37563837.599857755</v>
      </c>
    </row>
    <row r="196" spans="12:30" x14ac:dyDescent="0.25">
      <c r="L196">
        <f t="shared" si="107"/>
        <v>182</v>
      </c>
      <c r="M196" s="2">
        <v>9.5500000000000002E-2</v>
      </c>
      <c r="N196" s="1">
        <f t="shared" si="111"/>
        <v>1026957.6379974333</v>
      </c>
      <c r="O196" s="1">
        <f t="shared" si="115"/>
        <v>482199.40094137815</v>
      </c>
      <c r="P196" s="1">
        <f t="shared" si="116"/>
        <v>1509157.0389388115</v>
      </c>
      <c r="Q196" s="1">
        <f t="shared" si="117"/>
        <v>59563543.003851131</v>
      </c>
      <c r="S196" s="16"/>
      <c r="W196">
        <f t="shared" si="145"/>
        <v>21</v>
      </c>
      <c r="X196">
        <f t="shared" si="137"/>
        <v>6</v>
      </c>
      <c r="Y196" s="3">
        <f t="shared" si="124"/>
        <v>0.12</v>
      </c>
      <c r="Z196" s="1">
        <f t="shared" si="125"/>
        <v>446428.57142857136</v>
      </c>
      <c r="AA196" s="1">
        <f t="shared" si="126"/>
        <v>31249.999999999996</v>
      </c>
      <c r="AB196" s="1">
        <f t="shared" si="127"/>
        <v>477678.57142857136</v>
      </c>
      <c r="AC196" s="1">
        <f t="shared" si="128"/>
        <v>2678571.4285714282</v>
      </c>
      <c r="AD196" s="1">
        <f t="shared" si="142"/>
        <v>37705783.804734461</v>
      </c>
    </row>
    <row r="197" spans="12:30" x14ac:dyDescent="0.25">
      <c r="L197">
        <f t="shared" ref="L197:L254" si="159">L196+1</f>
        <v>183</v>
      </c>
      <c r="M197" s="2">
        <v>9.5500000000000002E-2</v>
      </c>
      <c r="N197" s="1">
        <f t="shared" si="111"/>
        <v>1026957.6379974333</v>
      </c>
      <c r="O197" s="1">
        <f t="shared" si="115"/>
        <v>474026.52973898186</v>
      </c>
      <c r="P197" s="1">
        <f t="shared" si="116"/>
        <v>1500984.1677364153</v>
      </c>
      <c r="Q197" s="1">
        <f t="shared" si="117"/>
        <v>58536585.365853697</v>
      </c>
      <c r="S197" s="16"/>
      <c r="T197" t="s">
        <v>15</v>
      </c>
      <c r="U197" s="1">
        <f t="shared" ref="U197:U209" si="160">(12*U193*U195)/(12+U193*U191)</f>
        <v>5357142.8571428573</v>
      </c>
      <c r="W197">
        <f t="shared" si="145"/>
        <v>21</v>
      </c>
      <c r="X197">
        <f t="shared" si="137"/>
        <v>7</v>
      </c>
      <c r="Y197" s="3">
        <f t="shared" si="124"/>
        <v>0.12</v>
      </c>
      <c r="Z197" s="1">
        <f t="shared" si="125"/>
        <v>446428.57142857136</v>
      </c>
      <c r="AA197" s="1">
        <f t="shared" si="126"/>
        <v>26785.714285714283</v>
      </c>
      <c r="AB197" s="1">
        <f t="shared" si="127"/>
        <v>473214.28571428562</v>
      </c>
      <c r="AC197" s="1">
        <f t="shared" si="128"/>
        <v>2232142.8571428568</v>
      </c>
      <c r="AD197" s="1">
        <f t="shared" ref="AD197" si="161">-FV($U$12,1,0,AD196-HLOOKUP(W197,$S$23:$U$214,9+((W197-$S$11-1)*12)),1)</f>
        <v>30028829.548948046</v>
      </c>
    </row>
    <row r="198" spans="12:30" x14ac:dyDescent="0.25">
      <c r="L198">
        <f t="shared" si="159"/>
        <v>184</v>
      </c>
      <c r="M198" s="2">
        <v>9.5500000000000002E-2</v>
      </c>
      <c r="N198" s="1">
        <f t="shared" si="111"/>
        <v>1026957.6379974333</v>
      </c>
      <c r="O198" s="1">
        <f t="shared" si="115"/>
        <v>465853.65853658563</v>
      </c>
      <c r="P198" s="1">
        <f t="shared" si="116"/>
        <v>1492811.2965340191</v>
      </c>
      <c r="Q198" s="1">
        <f t="shared" si="117"/>
        <v>57509627.727856264</v>
      </c>
      <c r="S198" s="16"/>
      <c r="W198">
        <f t="shared" si="145"/>
        <v>21</v>
      </c>
      <c r="X198">
        <f t="shared" si="137"/>
        <v>8</v>
      </c>
      <c r="Y198" s="3">
        <f t="shared" si="124"/>
        <v>0.12</v>
      </c>
      <c r="Z198" s="1">
        <f t="shared" si="125"/>
        <v>446428.57142857136</v>
      </c>
      <c r="AA198" s="1">
        <f t="shared" si="126"/>
        <v>22321.428571428569</v>
      </c>
      <c r="AB198" s="1">
        <f t="shared" si="127"/>
        <v>468749.99999999994</v>
      </c>
      <c r="AC198" s="1">
        <f t="shared" si="128"/>
        <v>1785714.2857142854</v>
      </c>
      <c r="AD198" s="1">
        <f t="shared" ref="AD198" si="162">-FV($U$12,1,0,AD197,1)</f>
        <v>30142302.470345695</v>
      </c>
    </row>
    <row r="199" spans="12:30" x14ac:dyDescent="0.25">
      <c r="L199">
        <f t="shared" si="159"/>
        <v>185</v>
      </c>
      <c r="M199" s="2">
        <v>9.5500000000000002E-2</v>
      </c>
      <c r="N199" s="1">
        <f t="shared" si="111"/>
        <v>1026957.6379974333</v>
      </c>
      <c r="O199" s="1">
        <f t="shared" si="115"/>
        <v>457680.7873341894</v>
      </c>
      <c r="P199" s="1">
        <f t="shared" si="116"/>
        <v>1484638.4253316228</v>
      </c>
      <c r="Q199" s="1">
        <f t="shared" si="117"/>
        <v>56482670.08985883</v>
      </c>
      <c r="S199" s="16"/>
      <c r="T199" t="s">
        <v>46</v>
      </c>
      <c r="U199" s="1">
        <f t="shared" ref="U199" si="163">ROUNDUP($T$7*1000*(1+$T$2)^(S191-$S$11),-3)</f>
        <v>7790000</v>
      </c>
      <c r="W199">
        <f t="shared" si="145"/>
        <v>21</v>
      </c>
      <c r="X199">
        <f t="shared" si="137"/>
        <v>9</v>
      </c>
      <c r="Y199" s="3">
        <f t="shared" si="124"/>
        <v>0.12</v>
      </c>
      <c r="Z199" s="1">
        <f t="shared" si="125"/>
        <v>446428.57142857136</v>
      </c>
      <c r="AA199" s="1">
        <f t="shared" si="126"/>
        <v>17857.142857142855</v>
      </c>
      <c r="AB199" s="1">
        <f t="shared" si="127"/>
        <v>464285.7142857142</v>
      </c>
      <c r="AC199" s="1">
        <f t="shared" si="128"/>
        <v>1339285.7142857141</v>
      </c>
      <c r="AD199" s="1">
        <f t="shared" si="144"/>
        <v>30256204.183144271</v>
      </c>
    </row>
    <row r="200" spans="12:30" x14ac:dyDescent="0.25">
      <c r="L200">
        <f t="shared" si="159"/>
        <v>186</v>
      </c>
      <c r="M200" s="2">
        <v>9.5500000000000002E-2</v>
      </c>
      <c r="N200" s="1">
        <f t="shared" si="111"/>
        <v>1026957.6379974333</v>
      </c>
      <c r="O200" s="1">
        <f t="shared" si="115"/>
        <v>449507.91613179317</v>
      </c>
      <c r="P200" s="1">
        <f t="shared" si="116"/>
        <v>1476465.5541292266</v>
      </c>
      <c r="Q200" s="1">
        <f t="shared" si="117"/>
        <v>55455712.451861396</v>
      </c>
      <c r="S200" s="16"/>
      <c r="W200">
        <f t="shared" si="145"/>
        <v>21</v>
      </c>
      <c r="X200">
        <f t="shared" si="137"/>
        <v>10</v>
      </c>
      <c r="Y200" s="3">
        <f t="shared" si="124"/>
        <v>0.12</v>
      </c>
      <c r="Z200" s="1">
        <f t="shared" si="125"/>
        <v>446428.57142857136</v>
      </c>
      <c r="AA200" s="1">
        <f t="shared" si="126"/>
        <v>13392.857142857141</v>
      </c>
      <c r="AB200" s="1">
        <f t="shared" si="127"/>
        <v>459821.42857142852</v>
      </c>
      <c r="AC200" s="1">
        <f t="shared" si="128"/>
        <v>892857.14285714272</v>
      </c>
      <c r="AD200" s="1">
        <f t="shared" si="144"/>
        <v>30370536.307660442</v>
      </c>
    </row>
    <row r="201" spans="12:30" x14ac:dyDescent="0.25">
      <c r="L201">
        <f t="shared" si="159"/>
        <v>187</v>
      </c>
      <c r="M201" s="2">
        <v>9.5500000000000002E-2</v>
      </c>
      <c r="N201" s="1">
        <f t="shared" si="111"/>
        <v>1026957.6379974333</v>
      </c>
      <c r="O201" s="1">
        <f t="shared" si="115"/>
        <v>441335.04492939694</v>
      </c>
      <c r="P201" s="1">
        <f t="shared" si="116"/>
        <v>1468292.6829268304</v>
      </c>
      <c r="Q201" s="1">
        <f t="shared" si="117"/>
        <v>54428754.813863963</v>
      </c>
      <c r="S201" s="16"/>
      <c r="T201" t="s">
        <v>47</v>
      </c>
      <c r="U201" s="1">
        <f t="shared" ref="U201:U213" si="164">U199*2</f>
        <v>15580000</v>
      </c>
      <c r="W201">
        <f t="shared" si="145"/>
        <v>21</v>
      </c>
      <c r="X201">
        <f t="shared" si="137"/>
        <v>11</v>
      </c>
      <c r="Y201" s="3">
        <f t="shared" si="124"/>
        <v>0.12</v>
      </c>
      <c r="Z201" s="1">
        <f t="shared" si="125"/>
        <v>446428.57142857136</v>
      </c>
      <c r="AA201" s="1">
        <f t="shared" si="126"/>
        <v>8928.5714285714275</v>
      </c>
      <c r="AB201" s="1">
        <f t="shared" si="127"/>
        <v>455357.14285714278</v>
      </c>
      <c r="AC201" s="1">
        <f t="shared" si="128"/>
        <v>446428.57142857136</v>
      </c>
      <c r="AD201" s="1">
        <f t="shared" si="144"/>
        <v>30485300.470333721</v>
      </c>
    </row>
    <row r="202" spans="12:30" x14ac:dyDescent="0.25">
      <c r="L202">
        <f t="shared" si="159"/>
        <v>188</v>
      </c>
      <c r="M202" s="2">
        <v>9.5500000000000002E-2</v>
      </c>
      <c r="N202" s="1">
        <f t="shared" si="111"/>
        <v>1026957.6379974333</v>
      </c>
      <c r="O202" s="1">
        <f t="shared" si="115"/>
        <v>433162.17372700066</v>
      </c>
      <c r="P202" s="1">
        <f t="shared" si="116"/>
        <v>1460119.8117244339</v>
      </c>
      <c r="Q202" s="1">
        <f t="shared" si="117"/>
        <v>53401797.175866529</v>
      </c>
      <c r="S202" s="16"/>
      <c r="W202">
        <f t="shared" si="145"/>
        <v>21</v>
      </c>
      <c r="X202">
        <f t="shared" si="137"/>
        <v>12</v>
      </c>
      <c r="Y202" s="3">
        <f t="shared" si="124"/>
        <v>0.12</v>
      </c>
      <c r="Z202" s="1">
        <f t="shared" si="125"/>
        <v>446428.57142857136</v>
      </c>
      <c r="AA202" s="1">
        <f t="shared" si="126"/>
        <v>4464.2857142857138</v>
      </c>
      <c r="AB202" s="1">
        <f t="shared" si="127"/>
        <v>450892.8571428571</v>
      </c>
      <c r="AC202" s="1">
        <f t="shared" si="128"/>
        <v>5357142.8571428573</v>
      </c>
      <c r="AD202" s="1">
        <f t="shared" si="144"/>
        <v>30600498.303749613</v>
      </c>
    </row>
    <row r="203" spans="12:30" x14ac:dyDescent="0.25">
      <c r="L203">
        <f t="shared" si="159"/>
        <v>189</v>
      </c>
      <c r="M203" s="2">
        <v>9.5500000000000002E-2</v>
      </c>
      <c r="N203" s="1">
        <f t="shared" ref="N203:N254" si="165">IFERROR(Q202/($M$10+1-L203),0)</f>
        <v>1026957.6379974333</v>
      </c>
      <c r="O203" s="1">
        <f t="shared" si="115"/>
        <v>424989.30252460443</v>
      </c>
      <c r="P203" s="1">
        <f t="shared" si="116"/>
        <v>1451946.9405220377</v>
      </c>
      <c r="Q203" s="1">
        <f t="shared" si="117"/>
        <v>52374839.537869096</v>
      </c>
      <c r="S203" s="16">
        <v>22</v>
      </c>
      <c r="T203" t="s">
        <v>45</v>
      </c>
      <c r="U203" s="5">
        <f>12%</f>
        <v>0.12</v>
      </c>
      <c r="W203">
        <f t="shared" ref="W203" si="166">W191+1</f>
        <v>22</v>
      </c>
      <c r="X203">
        <f t="shared" si="137"/>
        <v>1</v>
      </c>
      <c r="Y203" s="3">
        <f t="shared" si="124"/>
        <v>0.12</v>
      </c>
      <c r="Z203" s="1">
        <f t="shared" si="125"/>
        <v>446428.57142857142</v>
      </c>
      <c r="AA203" s="1">
        <f t="shared" si="126"/>
        <v>53571.428571428572</v>
      </c>
      <c r="AB203" s="1">
        <f t="shared" si="127"/>
        <v>500000</v>
      </c>
      <c r="AC203" s="1">
        <f t="shared" si="128"/>
        <v>4910714.2857142854</v>
      </c>
      <c r="AD203" s="1">
        <f t="shared" ref="AD203" si="167">-FV($U$12,1,0,AD202+AC202-HLOOKUP(W203,$S$23:$U$214,9+((W203-$S$11-1)*12)),1)</f>
        <v>28039196.785783991</v>
      </c>
    </row>
    <row r="204" spans="12:30" x14ac:dyDescent="0.25">
      <c r="L204">
        <f t="shared" si="159"/>
        <v>190</v>
      </c>
      <c r="M204" s="2">
        <v>9.5500000000000002E-2</v>
      </c>
      <c r="N204" s="1">
        <f t="shared" si="165"/>
        <v>1026957.6379974332</v>
      </c>
      <c r="O204" s="1">
        <f t="shared" si="115"/>
        <v>416816.4313222082</v>
      </c>
      <c r="P204" s="1">
        <f t="shared" si="116"/>
        <v>1443774.0693196415</v>
      </c>
      <c r="Q204" s="1">
        <f t="shared" si="117"/>
        <v>51347881.899871662</v>
      </c>
      <c r="S204" s="16"/>
      <c r="T204" t="s">
        <v>43</v>
      </c>
      <c r="U204">
        <f t="shared" ref="U204" si="168">U205/12</f>
        <v>1</v>
      </c>
      <c r="W204">
        <f t="shared" ref="W204" si="169">W203</f>
        <v>22</v>
      </c>
      <c r="X204">
        <f t="shared" si="137"/>
        <v>2</v>
      </c>
      <c r="Y204" s="3">
        <f t="shared" si="124"/>
        <v>0.12</v>
      </c>
      <c r="Z204" s="1">
        <f t="shared" si="125"/>
        <v>446428.57142857142</v>
      </c>
      <c r="AA204" s="1">
        <f t="shared" si="126"/>
        <v>49107.142857142855</v>
      </c>
      <c r="AB204" s="1">
        <f t="shared" si="127"/>
        <v>495535.71428571426</v>
      </c>
      <c r="AC204" s="1">
        <f t="shared" si="128"/>
        <v>4464285.7142857136</v>
      </c>
      <c r="AD204" s="1">
        <f t="shared" ref="AD204" si="170">-FV($U$12,1,0,AD203,1)</f>
        <v>28145151.284201596</v>
      </c>
    </row>
    <row r="205" spans="12:30" x14ac:dyDescent="0.25">
      <c r="L205">
        <f t="shared" si="159"/>
        <v>191</v>
      </c>
      <c r="M205" s="2">
        <v>9.5500000000000002E-2</v>
      </c>
      <c r="N205" s="1">
        <f t="shared" si="165"/>
        <v>1026957.6379974332</v>
      </c>
      <c r="O205" s="1">
        <f t="shared" si="115"/>
        <v>408643.56011981197</v>
      </c>
      <c r="P205" s="1">
        <f t="shared" si="116"/>
        <v>1435601.1981172452</v>
      </c>
      <c r="Q205" s="1">
        <f t="shared" si="117"/>
        <v>50320924.261874229</v>
      </c>
      <c r="S205" s="16"/>
      <c r="T205" t="s">
        <v>44</v>
      </c>
      <c r="U205">
        <f>12</f>
        <v>12</v>
      </c>
      <c r="W205">
        <f t="shared" si="145"/>
        <v>22</v>
      </c>
      <c r="X205">
        <f t="shared" si="137"/>
        <v>3</v>
      </c>
      <c r="Y205" s="3">
        <f t="shared" si="124"/>
        <v>0.12</v>
      </c>
      <c r="Z205" s="1">
        <f t="shared" si="125"/>
        <v>446428.57142857136</v>
      </c>
      <c r="AA205" s="1">
        <f t="shared" si="126"/>
        <v>44642.857142857138</v>
      </c>
      <c r="AB205" s="1">
        <f t="shared" si="127"/>
        <v>491071.42857142852</v>
      </c>
      <c r="AC205" s="1">
        <f t="shared" si="128"/>
        <v>4017857.1428571423</v>
      </c>
      <c r="AD205" s="1">
        <f t="shared" si="142"/>
        <v>28251506.163408305</v>
      </c>
    </row>
    <row r="206" spans="12:30" x14ac:dyDescent="0.25">
      <c r="L206">
        <f t="shared" si="159"/>
        <v>192</v>
      </c>
      <c r="M206" s="2">
        <v>9.5500000000000002E-2</v>
      </c>
      <c r="N206" s="1">
        <f t="shared" si="165"/>
        <v>1026957.6379974332</v>
      </c>
      <c r="O206" s="1">
        <f t="shared" si="115"/>
        <v>400470.68891741574</v>
      </c>
      <c r="P206" s="1">
        <f t="shared" si="116"/>
        <v>1427428.326914849</v>
      </c>
      <c r="Q206" s="1">
        <f t="shared" si="117"/>
        <v>49293966.623876795</v>
      </c>
      <c r="S206" s="16"/>
      <c r="W206">
        <f t="shared" si="145"/>
        <v>22</v>
      </c>
      <c r="X206">
        <f t="shared" si="137"/>
        <v>4</v>
      </c>
      <c r="Y206" s="3">
        <f t="shared" si="124"/>
        <v>0.12</v>
      </c>
      <c r="Z206" s="1">
        <f t="shared" si="125"/>
        <v>446428.57142857136</v>
      </c>
      <c r="AA206" s="1">
        <f t="shared" si="126"/>
        <v>40178.57142857142</v>
      </c>
      <c r="AB206" s="1">
        <f t="shared" si="127"/>
        <v>486607.14285714278</v>
      </c>
      <c r="AC206" s="1">
        <f t="shared" si="128"/>
        <v>3571428.5714285709</v>
      </c>
      <c r="AD206" s="1">
        <f t="shared" si="142"/>
        <v>28358262.936362781</v>
      </c>
    </row>
    <row r="207" spans="12:30" x14ac:dyDescent="0.25">
      <c r="L207">
        <f t="shared" si="159"/>
        <v>193</v>
      </c>
      <c r="M207" s="2">
        <v>9.5500000000000002E-2</v>
      </c>
      <c r="N207" s="1">
        <f t="shared" si="165"/>
        <v>1026957.6379974332</v>
      </c>
      <c r="O207" s="1">
        <f t="shared" si="115"/>
        <v>392297.81771501945</v>
      </c>
      <c r="P207" s="1">
        <f t="shared" si="116"/>
        <v>1419255.4557124525</v>
      </c>
      <c r="Q207" s="1">
        <f t="shared" si="117"/>
        <v>48267008.985879362</v>
      </c>
      <c r="S207" s="16"/>
      <c r="T207" t="s">
        <v>35</v>
      </c>
      <c r="U207" s="1">
        <f>U195</f>
        <v>500000</v>
      </c>
      <c r="W207">
        <f t="shared" si="145"/>
        <v>22</v>
      </c>
      <c r="X207">
        <f t="shared" si="137"/>
        <v>5</v>
      </c>
      <c r="Y207" s="3">
        <f t="shared" si="124"/>
        <v>0.12</v>
      </c>
      <c r="Z207" s="1">
        <f t="shared" si="125"/>
        <v>446428.57142857136</v>
      </c>
      <c r="AA207" s="1">
        <f t="shared" si="126"/>
        <v>35714.28571428571</v>
      </c>
      <c r="AB207" s="1">
        <f t="shared" si="127"/>
        <v>482142.85714285704</v>
      </c>
      <c r="AC207" s="1">
        <f t="shared" si="128"/>
        <v>3124999.9999999995</v>
      </c>
      <c r="AD207" s="1">
        <f t="shared" si="142"/>
        <v>28465423.121740852</v>
      </c>
    </row>
    <row r="208" spans="12:30" x14ac:dyDescent="0.25">
      <c r="L208">
        <f t="shared" si="159"/>
        <v>194</v>
      </c>
      <c r="M208" s="2">
        <v>9.5500000000000002E-2</v>
      </c>
      <c r="N208" s="1">
        <f t="shared" si="165"/>
        <v>1026957.6379974332</v>
      </c>
      <c r="O208" s="1">
        <f t="shared" ref="O208:O254" si="171">Q207*(M208/12)</f>
        <v>384124.94651262322</v>
      </c>
      <c r="P208" s="1">
        <f t="shared" ref="P208:P254" si="172">N208+O208</f>
        <v>1411082.5845100563</v>
      </c>
      <c r="Q208" s="1">
        <f t="shared" ref="Q208:Q254" si="173">Q207-N208</f>
        <v>47240051.347881928</v>
      </c>
      <c r="S208" s="16"/>
      <c r="W208">
        <f t="shared" si="145"/>
        <v>22</v>
      </c>
      <c r="X208">
        <f t="shared" si="137"/>
        <v>6</v>
      </c>
      <c r="Y208" s="3">
        <f t="shared" si="124"/>
        <v>0.12</v>
      </c>
      <c r="Z208" s="1">
        <f t="shared" si="125"/>
        <v>446428.57142857136</v>
      </c>
      <c r="AA208" s="1">
        <f t="shared" si="126"/>
        <v>31249.999999999996</v>
      </c>
      <c r="AB208" s="1">
        <f t="shared" si="127"/>
        <v>477678.57142857136</v>
      </c>
      <c r="AC208" s="1">
        <f t="shared" si="128"/>
        <v>2678571.4285714282</v>
      </c>
      <c r="AD208" s="1">
        <f t="shared" si="142"/>
        <v>28572988.243957121</v>
      </c>
    </row>
    <row r="209" spans="12:30" x14ac:dyDescent="0.25">
      <c r="L209">
        <f t="shared" si="159"/>
        <v>195</v>
      </c>
      <c r="M209" s="2">
        <v>9.5500000000000002E-2</v>
      </c>
      <c r="N209" s="1">
        <f t="shared" si="165"/>
        <v>1026957.6379974332</v>
      </c>
      <c r="O209" s="1">
        <f t="shared" si="171"/>
        <v>375952.075310227</v>
      </c>
      <c r="P209" s="1">
        <f t="shared" si="172"/>
        <v>1402909.7133076601</v>
      </c>
      <c r="Q209" s="1">
        <f t="shared" si="173"/>
        <v>46213093.709884495</v>
      </c>
      <c r="S209" s="16"/>
      <c r="T209" t="s">
        <v>15</v>
      </c>
      <c r="U209" s="1">
        <f t="shared" si="160"/>
        <v>5357142.8571428573</v>
      </c>
      <c r="W209">
        <f t="shared" si="145"/>
        <v>22</v>
      </c>
      <c r="X209">
        <f t="shared" si="137"/>
        <v>7</v>
      </c>
      <c r="Y209" s="3">
        <f t="shared" si="124"/>
        <v>0.12</v>
      </c>
      <c r="Z209" s="1">
        <f t="shared" si="125"/>
        <v>446428.57142857136</v>
      </c>
      <c r="AA209" s="1">
        <f t="shared" si="126"/>
        <v>26785.714285714283</v>
      </c>
      <c r="AB209" s="1">
        <f t="shared" si="127"/>
        <v>473214.28571428562</v>
      </c>
      <c r="AC209" s="1">
        <f t="shared" si="128"/>
        <v>2232142.8571428568</v>
      </c>
      <c r="AD209" s="1">
        <f t="shared" ref="AD209" si="174">-FV($U$12,1,0,AD208-HLOOKUP(W209,$S$23:$U$214,9+((W209-$S$11-1)*12)),1)</f>
        <v>20626638.747251194</v>
      </c>
    </row>
    <row r="210" spans="12:30" x14ac:dyDescent="0.25">
      <c r="L210">
        <f t="shared" si="159"/>
        <v>196</v>
      </c>
      <c r="M210" s="2">
        <v>9.5500000000000002E-2</v>
      </c>
      <c r="N210" s="1">
        <f t="shared" si="165"/>
        <v>1026957.6379974332</v>
      </c>
      <c r="O210" s="1">
        <f t="shared" si="171"/>
        <v>367779.20410783077</v>
      </c>
      <c r="P210" s="1">
        <f t="shared" si="172"/>
        <v>1394736.8421052638</v>
      </c>
      <c r="Q210" s="1">
        <f t="shared" si="173"/>
        <v>45186136.071887061</v>
      </c>
      <c r="S210" s="16"/>
      <c r="W210">
        <f t="shared" si="145"/>
        <v>22</v>
      </c>
      <c r="X210">
        <f t="shared" si="137"/>
        <v>8</v>
      </c>
      <c r="Y210" s="3">
        <f t="shared" si="124"/>
        <v>0.12</v>
      </c>
      <c r="Z210" s="1">
        <f t="shared" si="125"/>
        <v>446428.57142857136</v>
      </c>
      <c r="AA210" s="1">
        <f t="shared" si="126"/>
        <v>22321.428571428569</v>
      </c>
      <c r="AB210" s="1">
        <f t="shared" si="127"/>
        <v>468749.99999999994</v>
      </c>
      <c r="AC210" s="1">
        <f t="shared" si="128"/>
        <v>1785714.2857142854</v>
      </c>
      <c r="AD210" s="1">
        <f t="shared" ref="AD210" si="175">-FV($U$12,1,0,AD209,1)</f>
        <v>20704582.67621617</v>
      </c>
    </row>
    <row r="211" spans="12:30" x14ac:dyDescent="0.25">
      <c r="L211">
        <f t="shared" si="159"/>
        <v>197</v>
      </c>
      <c r="M211" s="2">
        <v>9.5500000000000002E-2</v>
      </c>
      <c r="N211" s="1">
        <f t="shared" si="165"/>
        <v>1026957.6379974332</v>
      </c>
      <c r="O211" s="1">
        <f t="shared" si="171"/>
        <v>359606.33290543448</v>
      </c>
      <c r="P211" s="1">
        <f t="shared" si="172"/>
        <v>1386563.9709028676</v>
      </c>
      <c r="Q211" s="1">
        <f t="shared" si="173"/>
        <v>44159178.433889627</v>
      </c>
      <c r="S211" s="16"/>
      <c r="T211" t="s">
        <v>46</v>
      </c>
      <c r="U211" s="1">
        <f t="shared" ref="U211" si="176">ROUNDUP($T$7*1000*(1+$T$2)^(S203-$S$11),-3)</f>
        <v>8024000</v>
      </c>
      <c r="W211">
        <f t="shared" si="145"/>
        <v>22</v>
      </c>
      <c r="X211">
        <f t="shared" si="137"/>
        <v>9</v>
      </c>
      <c r="Y211" s="3">
        <f t="shared" si="124"/>
        <v>0.12</v>
      </c>
      <c r="Z211" s="1">
        <f t="shared" si="125"/>
        <v>446428.57142857136</v>
      </c>
      <c r="AA211" s="1">
        <f t="shared" si="126"/>
        <v>17857.142857142855</v>
      </c>
      <c r="AB211" s="1">
        <f t="shared" si="127"/>
        <v>464285.7142857142</v>
      </c>
      <c r="AC211" s="1">
        <f t="shared" si="128"/>
        <v>1339285.7142857141</v>
      </c>
      <c r="AD211" s="1">
        <f t="shared" si="144"/>
        <v>20782821.13964878</v>
      </c>
    </row>
    <row r="212" spans="12:30" x14ac:dyDescent="0.25">
      <c r="L212">
        <f t="shared" si="159"/>
        <v>198</v>
      </c>
      <c r="M212" s="2">
        <v>9.5500000000000002E-2</v>
      </c>
      <c r="N212" s="1">
        <f t="shared" si="165"/>
        <v>1026957.6379974332</v>
      </c>
      <c r="O212" s="1">
        <f t="shared" si="171"/>
        <v>351433.46170303825</v>
      </c>
      <c r="P212" s="1">
        <f t="shared" si="172"/>
        <v>1378391.0997004714</v>
      </c>
      <c r="Q212" s="1">
        <f t="shared" si="173"/>
        <v>43132220.795892194</v>
      </c>
      <c r="S212" s="16"/>
      <c r="W212">
        <f t="shared" si="145"/>
        <v>22</v>
      </c>
      <c r="X212">
        <f t="shared" si="137"/>
        <v>10</v>
      </c>
      <c r="Y212" s="3">
        <f t="shared" si="124"/>
        <v>0.12</v>
      </c>
      <c r="Z212" s="1">
        <f t="shared" si="125"/>
        <v>446428.57142857136</v>
      </c>
      <c r="AA212" s="1">
        <f t="shared" si="126"/>
        <v>13392.857142857141</v>
      </c>
      <c r="AB212" s="1">
        <f t="shared" si="127"/>
        <v>459821.42857142852</v>
      </c>
      <c r="AC212" s="1">
        <f t="shared" si="128"/>
        <v>892857.14285714272</v>
      </c>
      <c r="AD212" s="1">
        <f t="shared" si="144"/>
        <v>20861355.250535678</v>
      </c>
    </row>
    <row r="213" spans="12:30" x14ac:dyDescent="0.25">
      <c r="L213">
        <f t="shared" si="159"/>
        <v>199</v>
      </c>
      <c r="M213" s="2">
        <v>9.5500000000000002E-2</v>
      </c>
      <c r="N213" s="1">
        <f t="shared" si="165"/>
        <v>1026957.6379974332</v>
      </c>
      <c r="O213" s="1">
        <f t="shared" si="171"/>
        <v>343260.59050064202</v>
      </c>
      <c r="P213" s="1">
        <f t="shared" si="172"/>
        <v>1370218.2284980752</v>
      </c>
      <c r="Q213" s="1">
        <f t="shared" si="173"/>
        <v>42105263.15789476</v>
      </c>
      <c r="S213" s="16"/>
      <c r="T213" t="s">
        <v>47</v>
      </c>
      <c r="U213" s="1">
        <f t="shared" si="164"/>
        <v>16048000</v>
      </c>
      <c r="W213">
        <f t="shared" si="145"/>
        <v>22</v>
      </c>
      <c r="X213">
        <f t="shared" si="137"/>
        <v>11</v>
      </c>
      <c r="Y213" s="3">
        <f t="shared" si="124"/>
        <v>0.12</v>
      </c>
      <c r="Z213" s="1">
        <f t="shared" si="125"/>
        <v>446428.57142857136</v>
      </c>
      <c r="AA213" s="1">
        <f t="shared" si="126"/>
        <v>8928.5714285714275</v>
      </c>
      <c r="AB213" s="1">
        <f t="shared" si="127"/>
        <v>455357.14285714278</v>
      </c>
      <c r="AC213" s="1">
        <f t="shared" si="128"/>
        <v>446428.57142857136</v>
      </c>
      <c r="AD213" s="1">
        <f t="shared" si="144"/>
        <v>20940186.126069266</v>
      </c>
    </row>
    <row r="214" spans="12:30" x14ac:dyDescent="0.25">
      <c r="L214">
        <f t="shared" si="159"/>
        <v>200</v>
      </c>
      <c r="M214" s="2">
        <v>9.5500000000000002E-2</v>
      </c>
      <c r="N214" s="1">
        <f t="shared" si="165"/>
        <v>1026957.6379974332</v>
      </c>
      <c r="O214" s="1">
        <f t="shared" si="171"/>
        <v>335087.71929824579</v>
      </c>
      <c r="P214" s="1">
        <f t="shared" si="172"/>
        <v>1362045.3572956789</v>
      </c>
      <c r="Q214" s="1">
        <f t="shared" si="173"/>
        <v>41078305.519897327</v>
      </c>
      <c r="S214" s="16"/>
      <c r="W214">
        <f t="shared" si="145"/>
        <v>22</v>
      </c>
      <c r="X214">
        <f t="shared" si="137"/>
        <v>12</v>
      </c>
      <c r="Y214" s="3">
        <f t="shared" si="124"/>
        <v>0.12</v>
      </c>
      <c r="Z214" s="1">
        <f t="shared" si="125"/>
        <v>446428.57142857136</v>
      </c>
      <c r="AA214" s="1">
        <f t="shared" si="126"/>
        <v>4464.2857142857138</v>
      </c>
      <c r="AB214" s="1">
        <f t="shared" si="127"/>
        <v>450892.8571428571</v>
      </c>
      <c r="AC214" s="1">
        <f t="shared" si="128"/>
        <v>0</v>
      </c>
      <c r="AD214" s="1">
        <f t="shared" si="144"/>
        <v>21019314.887663603</v>
      </c>
    </row>
    <row r="215" spans="12:30" x14ac:dyDescent="0.25">
      <c r="L215">
        <f t="shared" si="159"/>
        <v>201</v>
      </c>
      <c r="M215" s="2">
        <v>9.5500000000000002E-2</v>
      </c>
      <c r="N215" s="1">
        <f t="shared" si="165"/>
        <v>1026957.6379974332</v>
      </c>
      <c r="O215" s="1">
        <f t="shared" si="171"/>
        <v>326914.84809584956</v>
      </c>
      <c r="P215" s="1">
        <f t="shared" si="172"/>
        <v>1353872.4860932827</v>
      </c>
      <c r="Q215" s="1">
        <f t="shared" si="173"/>
        <v>40051347.881899893</v>
      </c>
    </row>
    <row r="216" spans="12:30" x14ac:dyDescent="0.25">
      <c r="L216">
        <f t="shared" si="159"/>
        <v>202</v>
      </c>
      <c r="M216" s="2">
        <v>9.5500000000000002E-2</v>
      </c>
      <c r="N216" s="1">
        <f t="shared" si="165"/>
        <v>1026957.6379974332</v>
      </c>
      <c r="O216" s="1">
        <f t="shared" si="171"/>
        <v>318741.97689345328</v>
      </c>
      <c r="P216" s="1">
        <f t="shared" si="172"/>
        <v>1345699.6148908865</v>
      </c>
      <c r="Q216" s="1">
        <f t="shared" si="173"/>
        <v>39024390.24390246</v>
      </c>
    </row>
    <row r="217" spans="12:30" x14ac:dyDescent="0.25">
      <c r="L217">
        <f t="shared" si="159"/>
        <v>203</v>
      </c>
      <c r="M217" s="2">
        <v>9.5500000000000002E-2</v>
      </c>
      <c r="N217" s="1">
        <f t="shared" si="165"/>
        <v>1026957.6379974332</v>
      </c>
      <c r="O217" s="1">
        <f t="shared" si="171"/>
        <v>310569.10569105705</v>
      </c>
      <c r="P217" s="1">
        <f t="shared" si="172"/>
        <v>1337526.7436884902</v>
      </c>
      <c r="Q217" s="1">
        <f t="shared" si="173"/>
        <v>37997432.605905026</v>
      </c>
    </row>
    <row r="218" spans="12:30" x14ac:dyDescent="0.25">
      <c r="L218">
        <f t="shared" si="159"/>
        <v>204</v>
      </c>
      <c r="M218" s="2">
        <v>9.5500000000000002E-2</v>
      </c>
      <c r="N218" s="1">
        <f t="shared" si="165"/>
        <v>1026957.6379974332</v>
      </c>
      <c r="O218" s="1">
        <f t="shared" si="171"/>
        <v>302396.23448866082</v>
      </c>
      <c r="P218" s="1">
        <f t="shared" si="172"/>
        <v>1329353.872486094</v>
      </c>
      <c r="Q218" s="1">
        <f t="shared" si="173"/>
        <v>36970474.967907593</v>
      </c>
    </row>
    <row r="219" spans="12:30" x14ac:dyDescent="0.25">
      <c r="L219">
        <f t="shared" si="159"/>
        <v>205</v>
      </c>
      <c r="M219" s="2">
        <v>9.5500000000000002E-2</v>
      </c>
      <c r="N219" s="1">
        <f t="shared" si="165"/>
        <v>1026957.6379974331</v>
      </c>
      <c r="O219" s="1">
        <f t="shared" si="171"/>
        <v>294223.36328626459</v>
      </c>
      <c r="P219" s="1">
        <f t="shared" si="172"/>
        <v>1321181.0012836978</v>
      </c>
      <c r="Q219" s="1">
        <f t="shared" si="173"/>
        <v>35943517.329910159</v>
      </c>
    </row>
    <row r="220" spans="12:30" x14ac:dyDescent="0.25">
      <c r="L220">
        <f t="shared" si="159"/>
        <v>206</v>
      </c>
      <c r="M220" s="2">
        <v>9.5500000000000002E-2</v>
      </c>
      <c r="N220" s="1">
        <f t="shared" si="165"/>
        <v>1026957.6379974331</v>
      </c>
      <c r="O220" s="1">
        <f t="shared" si="171"/>
        <v>286050.49208386836</v>
      </c>
      <c r="P220" s="1">
        <f t="shared" si="172"/>
        <v>1313008.1300813016</v>
      </c>
      <c r="Q220" s="1">
        <f t="shared" si="173"/>
        <v>34916559.691912726</v>
      </c>
    </row>
    <row r="221" spans="12:30" x14ac:dyDescent="0.25">
      <c r="L221">
        <f t="shared" si="159"/>
        <v>207</v>
      </c>
      <c r="M221" s="2">
        <v>9.5500000000000002E-2</v>
      </c>
      <c r="N221" s="1">
        <f t="shared" si="165"/>
        <v>1026957.6379974331</v>
      </c>
      <c r="O221" s="1">
        <f t="shared" si="171"/>
        <v>277877.62088147207</v>
      </c>
      <c r="P221" s="1">
        <f t="shared" si="172"/>
        <v>1304835.2588789051</v>
      </c>
      <c r="Q221" s="1">
        <f t="shared" si="173"/>
        <v>33889602.053915292</v>
      </c>
    </row>
    <row r="222" spans="12:30" x14ac:dyDescent="0.25">
      <c r="L222">
        <f t="shared" si="159"/>
        <v>208</v>
      </c>
      <c r="M222" s="2">
        <v>9.5500000000000002E-2</v>
      </c>
      <c r="N222" s="1">
        <f t="shared" si="165"/>
        <v>1026957.6379974331</v>
      </c>
      <c r="O222" s="1">
        <f t="shared" si="171"/>
        <v>269704.74967907585</v>
      </c>
      <c r="P222" s="1">
        <f t="shared" si="172"/>
        <v>1296662.3876765089</v>
      </c>
      <c r="Q222" s="1">
        <f t="shared" si="173"/>
        <v>32862644.415917858</v>
      </c>
    </row>
    <row r="223" spans="12:30" x14ac:dyDescent="0.25">
      <c r="L223">
        <f t="shared" si="159"/>
        <v>209</v>
      </c>
      <c r="M223" s="2">
        <v>9.5500000000000002E-2</v>
      </c>
      <c r="N223" s="1">
        <f t="shared" si="165"/>
        <v>1026957.6379974331</v>
      </c>
      <c r="O223" s="1">
        <f t="shared" si="171"/>
        <v>261531.87847667962</v>
      </c>
      <c r="P223" s="1">
        <f t="shared" si="172"/>
        <v>1288489.5164741126</v>
      </c>
      <c r="Q223" s="1">
        <f t="shared" si="173"/>
        <v>31835686.777920425</v>
      </c>
    </row>
    <row r="224" spans="12:30" x14ac:dyDescent="0.25">
      <c r="L224">
        <f t="shared" si="159"/>
        <v>210</v>
      </c>
      <c r="M224" s="2">
        <v>9.5500000000000002E-2</v>
      </c>
      <c r="N224" s="1">
        <f t="shared" si="165"/>
        <v>1026957.6379974331</v>
      </c>
      <c r="O224" s="1">
        <f t="shared" si="171"/>
        <v>253359.00727428336</v>
      </c>
      <c r="P224" s="1">
        <f t="shared" si="172"/>
        <v>1280316.6452717164</v>
      </c>
      <c r="Q224" s="1">
        <f t="shared" si="173"/>
        <v>30808729.139922991</v>
      </c>
    </row>
    <row r="225" spans="12:17" x14ac:dyDescent="0.25">
      <c r="L225">
        <f t="shared" si="159"/>
        <v>211</v>
      </c>
      <c r="M225" s="2">
        <v>9.5500000000000002E-2</v>
      </c>
      <c r="N225" s="1">
        <f t="shared" si="165"/>
        <v>1026957.6379974331</v>
      </c>
      <c r="O225" s="1">
        <f t="shared" si="171"/>
        <v>245186.13607188713</v>
      </c>
      <c r="P225" s="1">
        <f t="shared" si="172"/>
        <v>1272143.7740693202</v>
      </c>
      <c r="Q225" s="1">
        <f t="shared" si="173"/>
        <v>29781771.501925558</v>
      </c>
    </row>
    <row r="226" spans="12:17" x14ac:dyDescent="0.25">
      <c r="L226">
        <f t="shared" si="159"/>
        <v>212</v>
      </c>
      <c r="M226" s="2">
        <v>9.5500000000000002E-2</v>
      </c>
      <c r="N226" s="1">
        <f t="shared" si="165"/>
        <v>1026957.6379974331</v>
      </c>
      <c r="O226" s="1">
        <f t="shared" si="171"/>
        <v>237013.26486949087</v>
      </c>
      <c r="P226" s="1">
        <f t="shared" si="172"/>
        <v>1263970.9028669239</v>
      </c>
      <c r="Q226" s="1">
        <f t="shared" si="173"/>
        <v>28754813.863928124</v>
      </c>
    </row>
    <row r="227" spans="12:17" x14ac:dyDescent="0.25">
      <c r="L227">
        <f t="shared" si="159"/>
        <v>213</v>
      </c>
      <c r="M227" s="2">
        <v>9.5500000000000002E-2</v>
      </c>
      <c r="N227" s="1">
        <f t="shared" si="165"/>
        <v>1026957.637997433</v>
      </c>
      <c r="O227" s="1">
        <f t="shared" si="171"/>
        <v>228840.39366709464</v>
      </c>
      <c r="P227" s="1">
        <f t="shared" si="172"/>
        <v>1255798.0316645275</v>
      </c>
      <c r="Q227" s="1">
        <f t="shared" si="173"/>
        <v>27727856.225930691</v>
      </c>
    </row>
    <row r="228" spans="12:17" x14ac:dyDescent="0.25">
      <c r="L228">
        <f t="shared" si="159"/>
        <v>214</v>
      </c>
      <c r="M228" s="2">
        <v>9.5500000000000002E-2</v>
      </c>
      <c r="N228" s="1">
        <f t="shared" si="165"/>
        <v>1026957.637997433</v>
      </c>
      <c r="O228" s="1">
        <f t="shared" si="171"/>
        <v>220667.52246469841</v>
      </c>
      <c r="P228" s="1">
        <f t="shared" si="172"/>
        <v>1247625.1604621313</v>
      </c>
      <c r="Q228" s="1">
        <f t="shared" si="173"/>
        <v>26700898.587933257</v>
      </c>
    </row>
    <row r="229" spans="12:17" x14ac:dyDescent="0.25">
      <c r="L229">
        <f t="shared" si="159"/>
        <v>215</v>
      </c>
      <c r="M229" s="2">
        <v>9.5500000000000002E-2</v>
      </c>
      <c r="N229" s="1">
        <f t="shared" si="165"/>
        <v>1026957.637997433</v>
      </c>
      <c r="O229" s="1">
        <f t="shared" si="171"/>
        <v>212494.65126230216</v>
      </c>
      <c r="P229" s="1">
        <f t="shared" si="172"/>
        <v>1239452.289259735</v>
      </c>
      <c r="Q229" s="1">
        <f t="shared" si="173"/>
        <v>25673940.949935824</v>
      </c>
    </row>
    <row r="230" spans="12:17" x14ac:dyDescent="0.25">
      <c r="L230">
        <f t="shared" si="159"/>
        <v>216</v>
      </c>
      <c r="M230" s="2">
        <v>9.5500000000000002E-2</v>
      </c>
      <c r="N230" s="1">
        <f t="shared" si="165"/>
        <v>1026957.637997433</v>
      </c>
      <c r="O230" s="1">
        <f t="shared" si="171"/>
        <v>204321.78005990593</v>
      </c>
      <c r="P230" s="1">
        <f t="shared" si="172"/>
        <v>1231279.4180573388</v>
      </c>
      <c r="Q230" s="1">
        <f t="shared" si="173"/>
        <v>24646983.31193839</v>
      </c>
    </row>
    <row r="231" spans="12:17" x14ac:dyDescent="0.25">
      <c r="L231">
        <f t="shared" si="159"/>
        <v>217</v>
      </c>
      <c r="M231" s="2">
        <v>9.5500000000000002E-2</v>
      </c>
      <c r="N231" s="1">
        <f t="shared" si="165"/>
        <v>1026957.637997433</v>
      </c>
      <c r="O231" s="1">
        <f t="shared" si="171"/>
        <v>196148.90885750967</v>
      </c>
      <c r="P231" s="1">
        <f t="shared" si="172"/>
        <v>1223106.5468549426</v>
      </c>
      <c r="Q231" s="1">
        <f t="shared" si="173"/>
        <v>23620025.673940957</v>
      </c>
    </row>
    <row r="232" spans="12:17" x14ac:dyDescent="0.25">
      <c r="L232">
        <f t="shared" si="159"/>
        <v>218</v>
      </c>
      <c r="M232" s="2">
        <v>9.5500000000000002E-2</v>
      </c>
      <c r="N232" s="1">
        <f t="shared" si="165"/>
        <v>1026957.6379974328</v>
      </c>
      <c r="O232" s="1">
        <f t="shared" si="171"/>
        <v>187976.03765511344</v>
      </c>
      <c r="P232" s="1">
        <f t="shared" si="172"/>
        <v>1214933.6756525463</v>
      </c>
      <c r="Q232" s="1">
        <f t="shared" si="173"/>
        <v>22593068.035943523</v>
      </c>
    </row>
    <row r="233" spans="12:17" x14ac:dyDescent="0.25">
      <c r="L233">
        <f t="shared" si="159"/>
        <v>219</v>
      </c>
      <c r="M233" s="2">
        <v>9.5500000000000002E-2</v>
      </c>
      <c r="N233" s="1">
        <f t="shared" si="165"/>
        <v>1026957.6379974328</v>
      </c>
      <c r="O233" s="1">
        <f t="shared" si="171"/>
        <v>179803.16645271718</v>
      </c>
      <c r="P233" s="1">
        <f t="shared" si="172"/>
        <v>1206760.8044501501</v>
      </c>
      <c r="Q233" s="1">
        <f t="shared" si="173"/>
        <v>21566110.39794609</v>
      </c>
    </row>
    <row r="234" spans="12:17" x14ac:dyDescent="0.25">
      <c r="L234">
        <f t="shared" si="159"/>
        <v>220</v>
      </c>
      <c r="M234" s="2">
        <v>9.5500000000000002E-2</v>
      </c>
      <c r="N234" s="1">
        <f t="shared" si="165"/>
        <v>1026957.6379974328</v>
      </c>
      <c r="O234" s="1">
        <f t="shared" si="171"/>
        <v>171630.29525032095</v>
      </c>
      <c r="P234" s="1">
        <f t="shared" si="172"/>
        <v>1198587.9332477539</v>
      </c>
      <c r="Q234" s="1">
        <f t="shared" si="173"/>
        <v>20539152.759948656</v>
      </c>
    </row>
    <row r="235" spans="12:17" x14ac:dyDescent="0.25">
      <c r="L235">
        <f t="shared" si="159"/>
        <v>221</v>
      </c>
      <c r="M235" s="2">
        <v>9.5500000000000002E-2</v>
      </c>
      <c r="N235" s="1">
        <f t="shared" si="165"/>
        <v>1026957.6379974328</v>
      </c>
      <c r="O235" s="1">
        <f t="shared" si="171"/>
        <v>163457.42404792472</v>
      </c>
      <c r="P235" s="1">
        <f t="shared" si="172"/>
        <v>1190415.0620453577</v>
      </c>
      <c r="Q235" s="1">
        <f t="shared" si="173"/>
        <v>19512195.121951222</v>
      </c>
    </row>
    <row r="236" spans="12:17" x14ac:dyDescent="0.25">
      <c r="L236">
        <f t="shared" si="159"/>
        <v>222</v>
      </c>
      <c r="M236" s="2">
        <v>9.5500000000000002E-2</v>
      </c>
      <c r="N236" s="1">
        <f t="shared" si="165"/>
        <v>1026957.6379974327</v>
      </c>
      <c r="O236" s="1">
        <f t="shared" si="171"/>
        <v>155284.55284552847</v>
      </c>
      <c r="P236" s="1">
        <f t="shared" si="172"/>
        <v>1182242.1908429612</v>
      </c>
      <c r="Q236" s="1">
        <f t="shared" si="173"/>
        <v>18485237.483953789</v>
      </c>
    </row>
    <row r="237" spans="12:17" x14ac:dyDescent="0.25">
      <c r="L237">
        <f t="shared" si="159"/>
        <v>223</v>
      </c>
      <c r="M237" s="2">
        <v>9.5500000000000002E-2</v>
      </c>
      <c r="N237" s="1">
        <f t="shared" si="165"/>
        <v>1026957.6379974327</v>
      </c>
      <c r="O237" s="1">
        <f t="shared" si="171"/>
        <v>147111.68164313224</v>
      </c>
      <c r="P237" s="1">
        <f t="shared" si="172"/>
        <v>1174069.319640565</v>
      </c>
      <c r="Q237" s="1">
        <f t="shared" si="173"/>
        <v>17458279.845956355</v>
      </c>
    </row>
    <row r="238" spans="12:17" x14ac:dyDescent="0.25">
      <c r="L238">
        <f t="shared" si="159"/>
        <v>224</v>
      </c>
      <c r="M238" s="2">
        <v>9.5500000000000002E-2</v>
      </c>
      <c r="N238" s="1">
        <f t="shared" si="165"/>
        <v>1026957.6379974326</v>
      </c>
      <c r="O238" s="1">
        <f t="shared" si="171"/>
        <v>138938.81044073598</v>
      </c>
      <c r="P238" s="1">
        <f t="shared" si="172"/>
        <v>1165896.4484381685</v>
      </c>
      <c r="Q238" s="1">
        <f t="shared" si="173"/>
        <v>16431322.207958922</v>
      </c>
    </row>
    <row r="239" spans="12:17" x14ac:dyDescent="0.25">
      <c r="L239">
        <f t="shared" si="159"/>
        <v>225</v>
      </c>
      <c r="M239" s="2">
        <v>9.5500000000000002E-2</v>
      </c>
      <c r="N239" s="1">
        <f t="shared" si="165"/>
        <v>1026957.6379974326</v>
      </c>
      <c r="O239" s="1">
        <f t="shared" si="171"/>
        <v>130765.93923833975</v>
      </c>
      <c r="P239" s="1">
        <f t="shared" si="172"/>
        <v>1157723.5772357723</v>
      </c>
      <c r="Q239" s="1">
        <f t="shared" si="173"/>
        <v>15404364.569961488</v>
      </c>
    </row>
    <row r="240" spans="12:17" x14ac:dyDescent="0.25">
      <c r="L240">
        <f t="shared" si="159"/>
        <v>226</v>
      </c>
      <c r="M240" s="2">
        <v>9.5500000000000002E-2</v>
      </c>
      <c r="N240" s="1">
        <f t="shared" si="165"/>
        <v>1026957.6379974325</v>
      </c>
      <c r="O240" s="1">
        <f t="shared" si="171"/>
        <v>122593.06803594351</v>
      </c>
      <c r="P240" s="1">
        <f t="shared" si="172"/>
        <v>1149550.706033376</v>
      </c>
      <c r="Q240" s="1">
        <f t="shared" si="173"/>
        <v>14377406.931964057</v>
      </c>
    </row>
    <row r="241" spans="12:17" x14ac:dyDescent="0.25">
      <c r="L241">
        <f t="shared" si="159"/>
        <v>227</v>
      </c>
      <c r="M241" s="2">
        <v>9.5500000000000002E-2</v>
      </c>
      <c r="N241" s="1">
        <f t="shared" si="165"/>
        <v>1026957.6379974326</v>
      </c>
      <c r="O241" s="1">
        <f t="shared" si="171"/>
        <v>114420.19683354728</v>
      </c>
      <c r="P241" s="1">
        <f t="shared" si="172"/>
        <v>1141377.8348309798</v>
      </c>
      <c r="Q241" s="1">
        <f t="shared" si="173"/>
        <v>13350449.293966625</v>
      </c>
    </row>
    <row r="242" spans="12:17" x14ac:dyDescent="0.25">
      <c r="L242">
        <f t="shared" si="159"/>
        <v>228</v>
      </c>
      <c r="M242" s="2">
        <v>9.5500000000000002E-2</v>
      </c>
      <c r="N242" s="1">
        <f t="shared" si="165"/>
        <v>1026957.6379974327</v>
      </c>
      <c r="O242" s="1">
        <f t="shared" si="171"/>
        <v>106247.32563115105</v>
      </c>
      <c r="P242" s="1">
        <f t="shared" si="172"/>
        <v>1133204.9636285838</v>
      </c>
      <c r="Q242" s="1">
        <f t="shared" si="173"/>
        <v>12323491.655969191</v>
      </c>
    </row>
    <row r="243" spans="12:17" x14ac:dyDescent="0.25">
      <c r="L243">
        <f t="shared" si="159"/>
        <v>229</v>
      </c>
      <c r="M243" s="2">
        <v>9.5500000000000002E-2</v>
      </c>
      <c r="N243" s="1">
        <f t="shared" si="165"/>
        <v>1026957.6379974326</v>
      </c>
      <c r="O243" s="1">
        <f t="shared" si="171"/>
        <v>98074.454428754805</v>
      </c>
      <c r="P243" s="1">
        <f t="shared" si="172"/>
        <v>1125032.0924261874</v>
      </c>
      <c r="Q243" s="1">
        <f t="shared" si="173"/>
        <v>11296534.017971758</v>
      </c>
    </row>
    <row r="244" spans="12:17" x14ac:dyDescent="0.25">
      <c r="L244">
        <f t="shared" si="159"/>
        <v>230</v>
      </c>
      <c r="M244" s="2">
        <v>9.5500000000000002E-2</v>
      </c>
      <c r="N244" s="1">
        <f t="shared" si="165"/>
        <v>1026957.6379974325</v>
      </c>
      <c r="O244" s="1">
        <f t="shared" si="171"/>
        <v>89901.583226358562</v>
      </c>
      <c r="P244" s="1">
        <f t="shared" si="172"/>
        <v>1116859.2212237911</v>
      </c>
      <c r="Q244" s="1">
        <f t="shared" si="173"/>
        <v>10269576.379974326</v>
      </c>
    </row>
    <row r="245" spans="12:17" x14ac:dyDescent="0.25">
      <c r="L245">
        <f t="shared" si="159"/>
        <v>231</v>
      </c>
      <c r="M245" s="2">
        <v>9.5500000000000002E-2</v>
      </c>
      <c r="N245" s="1">
        <f t="shared" si="165"/>
        <v>1026957.6379974326</v>
      </c>
      <c r="O245" s="1">
        <f t="shared" si="171"/>
        <v>81728.712023962347</v>
      </c>
      <c r="P245" s="1">
        <f t="shared" si="172"/>
        <v>1108686.3500213949</v>
      </c>
      <c r="Q245" s="1">
        <f t="shared" si="173"/>
        <v>9242618.7419768944</v>
      </c>
    </row>
    <row r="246" spans="12:17" x14ac:dyDescent="0.25">
      <c r="L246">
        <f t="shared" si="159"/>
        <v>232</v>
      </c>
      <c r="M246" s="2">
        <v>9.5500000000000002E-2</v>
      </c>
      <c r="N246" s="1">
        <f t="shared" si="165"/>
        <v>1026957.6379974327</v>
      </c>
      <c r="O246" s="1">
        <f t="shared" si="171"/>
        <v>73555.840821566118</v>
      </c>
      <c r="P246" s="1">
        <f t="shared" si="172"/>
        <v>1100513.4788189989</v>
      </c>
      <c r="Q246" s="1">
        <f t="shared" si="173"/>
        <v>8215661.1039794618</v>
      </c>
    </row>
    <row r="247" spans="12:17" x14ac:dyDescent="0.25">
      <c r="L247">
        <f t="shared" si="159"/>
        <v>233</v>
      </c>
      <c r="M247" s="2">
        <v>9.5500000000000002E-2</v>
      </c>
      <c r="N247" s="1">
        <f t="shared" si="165"/>
        <v>1026957.6379974327</v>
      </c>
      <c r="O247" s="1">
        <f t="shared" si="171"/>
        <v>65382.969619169882</v>
      </c>
      <c r="P247" s="1">
        <f t="shared" si="172"/>
        <v>1092340.6076166027</v>
      </c>
      <c r="Q247" s="1">
        <f t="shared" si="173"/>
        <v>7188703.4659820292</v>
      </c>
    </row>
    <row r="248" spans="12:17" x14ac:dyDescent="0.25">
      <c r="L248">
        <f t="shared" si="159"/>
        <v>234</v>
      </c>
      <c r="M248" s="2">
        <v>9.5500000000000002E-2</v>
      </c>
      <c r="N248" s="1">
        <f t="shared" si="165"/>
        <v>1026957.6379974327</v>
      </c>
      <c r="O248" s="1">
        <f t="shared" si="171"/>
        <v>57210.098416773646</v>
      </c>
      <c r="P248" s="1">
        <f t="shared" si="172"/>
        <v>1084167.7364142064</v>
      </c>
      <c r="Q248" s="1">
        <f t="shared" si="173"/>
        <v>6161745.8279845966</v>
      </c>
    </row>
    <row r="249" spans="12:17" x14ac:dyDescent="0.25">
      <c r="L249">
        <f t="shared" si="159"/>
        <v>235</v>
      </c>
      <c r="M249" s="2">
        <v>9.5500000000000002E-2</v>
      </c>
      <c r="N249" s="1">
        <f t="shared" si="165"/>
        <v>1026957.6379974327</v>
      </c>
      <c r="O249" s="1">
        <f t="shared" si="171"/>
        <v>49037.22721437741</v>
      </c>
      <c r="P249" s="1">
        <f t="shared" si="172"/>
        <v>1075994.8652118102</v>
      </c>
      <c r="Q249" s="1">
        <f t="shared" si="173"/>
        <v>5134788.189987164</v>
      </c>
    </row>
    <row r="250" spans="12:17" x14ac:dyDescent="0.25">
      <c r="L250">
        <f t="shared" si="159"/>
        <v>236</v>
      </c>
      <c r="M250" s="2">
        <v>9.5500000000000002E-2</v>
      </c>
      <c r="N250" s="1">
        <f t="shared" si="165"/>
        <v>1026957.6379974328</v>
      </c>
      <c r="O250" s="1">
        <f t="shared" si="171"/>
        <v>40864.356011981181</v>
      </c>
      <c r="P250" s="1">
        <f t="shared" si="172"/>
        <v>1067821.994009414</v>
      </c>
      <c r="Q250" s="1">
        <f t="shared" si="173"/>
        <v>4107830.5519897314</v>
      </c>
    </row>
    <row r="251" spans="12:17" x14ac:dyDescent="0.25">
      <c r="L251">
        <f t="shared" si="159"/>
        <v>237</v>
      </c>
      <c r="M251" s="2">
        <v>9.5500000000000002E-2</v>
      </c>
      <c r="N251" s="1">
        <f t="shared" si="165"/>
        <v>1026957.6379974328</v>
      </c>
      <c r="O251" s="1">
        <f t="shared" si="171"/>
        <v>32691.484809584945</v>
      </c>
      <c r="P251" s="1">
        <f t="shared" si="172"/>
        <v>1059649.1228070178</v>
      </c>
      <c r="Q251" s="1">
        <f t="shared" si="173"/>
        <v>3080872.9139922988</v>
      </c>
    </row>
    <row r="252" spans="12:17" x14ac:dyDescent="0.25">
      <c r="L252">
        <f t="shared" si="159"/>
        <v>238</v>
      </c>
      <c r="M252" s="2">
        <v>9.5500000000000002E-2</v>
      </c>
      <c r="N252" s="1">
        <f t="shared" si="165"/>
        <v>1026957.637997433</v>
      </c>
      <c r="O252" s="1">
        <f t="shared" si="171"/>
        <v>24518.613607188709</v>
      </c>
      <c r="P252" s="1">
        <f t="shared" si="172"/>
        <v>1051476.2516046218</v>
      </c>
      <c r="Q252" s="1">
        <f t="shared" si="173"/>
        <v>2053915.2759948657</v>
      </c>
    </row>
    <row r="253" spans="12:17" x14ac:dyDescent="0.25">
      <c r="L253">
        <f t="shared" si="159"/>
        <v>239</v>
      </c>
      <c r="M253" s="2">
        <v>9.5500000000000002E-2</v>
      </c>
      <c r="N253" s="1">
        <f t="shared" si="165"/>
        <v>1026957.6379974328</v>
      </c>
      <c r="O253" s="1">
        <f t="shared" si="171"/>
        <v>16345.742404792472</v>
      </c>
      <c r="P253" s="1">
        <f t="shared" si="172"/>
        <v>1043303.3804022253</v>
      </c>
      <c r="Q253" s="1">
        <f t="shared" si="173"/>
        <v>1026957.6379974328</v>
      </c>
    </row>
    <row r="254" spans="12:17" x14ac:dyDescent="0.25">
      <c r="L254">
        <f t="shared" si="159"/>
        <v>240</v>
      </c>
      <c r="M254" s="2">
        <v>9.5500000000000002E-2</v>
      </c>
      <c r="N254" s="1">
        <f t="shared" si="165"/>
        <v>1026957.6379974328</v>
      </c>
      <c r="O254" s="1">
        <f t="shared" si="171"/>
        <v>8172.8712023962362</v>
      </c>
      <c r="P254" s="1">
        <f t="shared" si="172"/>
        <v>1035130.5091998291</v>
      </c>
      <c r="Q254" s="1">
        <f t="shared" si="173"/>
        <v>0</v>
      </c>
    </row>
  </sheetData>
  <mergeCells count="21">
    <mergeCell ref="S179:S190"/>
    <mergeCell ref="S191:S202"/>
    <mergeCell ref="S203:S214"/>
    <mergeCell ref="S107:S118"/>
    <mergeCell ref="S119:S130"/>
    <mergeCell ref="S131:S142"/>
    <mergeCell ref="S143:S154"/>
    <mergeCell ref="S155:S166"/>
    <mergeCell ref="S167:S178"/>
    <mergeCell ref="Y20:AA20"/>
    <mergeCell ref="S23:S34"/>
    <mergeCell ref="S95:S106"/>
    <mergeCell ref="S11:S22"/>
    <mergeCell ref="E12:H12"/>
    <mergeCell ref="L12:O12"/>
    <mergeCell ref="W20:X20"/>
    <mergeCell ref="S35:S46"/>
    <mergeCell ref="S47:S58"/>
    <mergeCell ref="S59:S70"/>
    <mergeCell ref="S71:S82"/>
    <mergeCell ref="S83:S9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495-8321-49EA-A59D-50744E534BA6}">
  <dimension ref="B2:R385"/>
  <sheetViews>
    <sheetView topLeftCell="B1" zoomScale="85" zoomScaleNormal="85" workbookViewId="0">
      <selection activeCell="C13" sqref="C13"/>
    </sheetView>
  </sheetViews>
  <sheetFormatPr defaultRowHeight="15" x14ac:dyDescent="0.25"/>
  <cols>
    <col min="1" max="17" width="18.28515625" customWidth="1"/>
    <col min="18" max="18" width="18.28515625" style="1" customWidth="1"/>
    <col min="19" max="26" width="18.28515625" customWidth="1"/>
  </cols>
  <sheetData>
    <row r="2" spans="2:5" x14ac:dyDescent="0.25">
      <c r="B2" s="11"/>
      <c r="C2" t="s">
        <v>34</v>
      </c>
      <c r="D2" s="5">
        <v>0.02</v>
      </c>
    </row>
    <row r="3" spans="2:5" x14ac:dyDescent="0.25">
      <c r="B3" s="11"/>
      <c r="C3" t="s">
        <v>52</v>
      </c>
      <c r="D3" s="1">
        <v>300</v>
      </c>
    </row>
    <row r="4" spans="2:5" x14ac:dyDescent="0.25">
      <c r="B4" s="11">
        <v>350</v>
      </c>
      <c r="C4" t="s">
        <v>51</v>
      </c>
      <c r="D4" s="1">
        <f>B4*6</f>
        <v>2100</v>
      </c>
      <c r="E4">
        <v>6.5</v>
      </c>
    </row>
    <row r="5" spans="2:5" x14ac:dyDescent="0.25">
      <c r="B5" s="11">
        <v>350</v>
      </c>
      <c r="C5" t="s">
        <v>36</v>
      </c>
      <c r="D5" s="1">
        <f>B5*6</f>
        <v>2100</v>
      </c>
      <c r="E5">
        <f>E4+6</f>
        <v>12.5</v>
      </c>
    </row>
    <row r="6" spans="2:5" x14ac:dyDescent="0.25">
      <c r="B6" s="11">
        <v>110</v>
      </c>
      <c r="C6" t="s">
        <v>37</v>
      </c>
      <c r="D6" s="1">
        <f>B6*6</f>
        <v>660</v>
      </c>
      <c r="E6">
        <f>E5+3</f>
        <v>15.5</v>
      </c>
    </row>
    <row r="7" spans="2:5" x14ac:dyDescent="0.25">
      <c r="B7" s="11"/>
      <c r="C7" t="s">
        <v>38</v>
      </c>
      <c r="D7" s="1">
        <v>3500</v>
      </c>
      <c r="E7">
        <f>E6+3</f>
        <v>18.5</v>
      </c>
    </row>
    <row r="8" spans="2:5" x14ac:dyDescent="0.25">
      <c r="B8" s="11"/>
      <c r="C8" t="s">
        <v>73</v>
      </c>
      <c r="D8" s="1">
        <v>0</v>
      </c>
      <c r="E8">
        <f>E7+4</f>
        <v>22.5</v>
      </c>
    </row>
    <row r="9" spans="2:5" x14ac:dyDescent="0.25">
      <c r="B9" s="11"/>
      <c r="C9" t="s">
        <v>74</v>
      </c>
      <c r="D9" s="1">
        <v>0</v>
      </c>
      <c r="E9">
        <f>E8+2</f>
        <v>24.5</v>
      </c>
    </row>
    <row r="10" spans="2:5" x14ac:dyDescent="0.25">
      <c r="E10">
        <f>E9+4</f>
        <v>28.5</v>
      </c>
    </row>
    <row r="26" spans="2:18" x14ac:dyDescent="0.25">
      <c r="B26" s="16">
        <v>0</v>
      </c>
      <c r="C26" t="s">
        <v>40</v>
      </c>
      <c r="D26" s="2">
        <f>5.88%</f>
        <v>5.8799999999999998E-2</v>
      </c>
      <c r="E26">
        <f>($B26*12)+1</f>
        <v>1</v>
      </c>
      <c r="F26">
        <f>E26+1</f>
        <v>2</v>
      </c>
      <c r="G26">
        <f t="shared" ref="G26:P26" si="0">F26+1</f>
        <v>3</v>
      </c>
      <c r="H26">
        <f t="shared" si="0"/>
        <v>4</v>
      </c>
      <c r="I26">
        <f t="shared" si="0"/>
        <v>5</v>
      </c>
      <c r="J26">
        <f t="shared" si="0"/>
        <v>6</v>
      </c>
      <c r="K26">
        <f t="shared" si="0"/>
        <v>7</v>
      </c>
      <c r="L26">
        <f t="shared" si="0"/>
        <v>8</v>
      </c>
      <c r="M26">
        <f t="shared" si="0"/>
        <v>9</v>
      </c>
      <c r="N26">
        <f t="shared" si="0"/>
        <v>10</v>
      </c>
      <c r="O26">
        <f t="shared" si="0"/>
        <v>11</v>
      </c>
      <c r="P26">
        <f t="shared" si="0"/>
        <v>12</v>
      </c>
      <c r="Q26">
        <f>1</f>
        <v>1</v>
      </c>
      <c r="R26" s="1">
        <f>HLOOKUP(Q26,E26:P32,7)</f>
        <v>301431.81075484277</v>
      </c>
    </row>
    <row r="27" spans="2:18" x14ac:dyDescent="0.25">
      <c r="B27" s="16"/>
      <c r="C27" t="s">
        <v>41</v>
      </c>
      <c r="D27" s="3">
        <f>(1+D26)^(1/12)-1</f>
        <v>4.7727025161425907E-3</v>
      </c>
      <c r="E27">
        <f>E26/12</f>
        <v>8.3333333333333329E-2</v>
      </c>
      <c r="F27">
        <f t="shared" ref="F27:P27" si="1">F26/12</f>
        <v>0.16666666666666666</v>
      </c>
      <c r="G27">
        <f t="shared" si="1"/>
        <v>0.25</v>
      </c>
      <c r="H27">
        <f t="shared" si="1"/>
        <v>0.33333333333333331</v>
      </c>
      <c r="I27">
        <f t="shared" si="1"/>
        <v>0.41666666666666669</v>
      </c>
      <c r="J27">
        <f t="shared" si="1"/>
        <v>0.5</v>
      </c>
      <c r="K27">
        <f t="shared" si="1"/>
        <v>0.58333333333333337</v>
      </c>
      <c r="L27">
        <f t="shared" si="1"/>
        <v>0.66666666666666663</v>
      </c>
      <c r="M27">
        <f t="shared" si="1"/>
        <v>0.75</v>
      </c>
      <c r="N27">
        <f t="shared" si="1"/>
        <v>0.83333333333333337</v>
      </c>
      <c r="O27">
        <f t="shared" si="1"/>
        <v>0.91666666666666663</v>
      </c>
      <c r="P27">
        <f t="shared" si="1"/>
        <v>1</v>
      </c>
      <c r="Q27">
        <f>Q26+1</f>
        <v>2</v>
      </c>
      <c r="R27" s="1">
        <f>HLOOKUP(Q27,E26:P32,7)</f>
        <v>604302.26587132062</v>
      </c>
    </row>
    <row r="28" spans="2:18" x14ac:dyDescent="0.25">
      <c r="B28" s="16"/>
      <c r="C28" t="s">
        <v>53</v>
      </c>
      <c r="D28" s="2">
        <f>1.25%</f>
        <v>1.2500000000000001E-2</v>
      </c>
      <c r="E28" t="s">
        <v>59</v>
      </c>
      <c r="F28" t="s">
        <v>60</v>
      </c>
      <c r="G28" t="s">
        <v>61</v>
      </c>
      <c r="H28" t="s">
        <v>62</v>
      </c>
      <c r="I28" t="s">
        <v>63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>
        <f t="shared" ref="Q28:Q49" si="2">Q27+1</f>
        <v>3</v>
      </c>
      <c r="R28" s="1">
        <f>HLOOKUP(Q28,E26:P32,7)</f>
        <v>908618.23157099821</v>
      </c>
    </row>
    <row r="29" spans="2:18" x14ac:dyDescent="0.25">
      <c r="B29" s="16"/>
      <c r="C29" t="s">
        <v>54</v>
      </c>
      <c r="D29">
        <f>1</f>
        <v>1</v>
      </c>
      <c r="E29" s="2">
        <f>$D27</f>
        <v>4.7727025161425907E-3</v>
      </c>
      <c r="F29" s="2">
        <f t="shared" ref="F29:P29" si="3">$D27</f>
        <v>4.7727025161425907E-3</v>
      </c>
      <c r="G29" s="2">
        <f t="shared" si="3"/>
        <v>4.7727025161425907E-3</v>
      </c>
      <c r="H29" s="2">
        <f t="shared" si="3"/>
        <v>4.7727025161425907E-3</v>
      </c>
      <c r="I29" s="2">
        <f t="shared" si="3"/>
        <v>4.7727025161425907E-3</v>
      </c>
      <c r="J29" s="2">
        <f t="shared" si="3"/>
        <v>4.7727025161425907E-3</v>
      </c>
      <c r="K29" s="2">
        <f t="shared" si="3"/>
        <v>4.7727025161425907E-3</v>
      </c>
      <c r="L29" s="2">
        <f t="shared" si="3"/>
        <v>4.7727025161425907E-3</v>
      </c>
      <c r="M29" s="2">
        <f t="shared" si="3"/>
        <v>4.7727025161425907E-3</v>
      </c>
      <c r="N29" s="2">
        <f t="shared" si="3"/>
        <v>4.7727025161425907E-3</v>
      </c>
      <c r="O29" s="2">
        <f t="shared" si="3"/>
        <v>4.7727025161425907E-3</v>
      </c>
      <c r="P29" s="2">
        <f t="shared" si="3"/>
        <v>4.7727025161425907E-3</v>
      </c>
      <c r="Q29">
        <f t="shared" si="2"/>
        <v>4</v>
      </c>
      <c r="R29" s="1">
        <f>HLOOKUP(Q29,E26:P32,7)</f>
        <v>1214386.6068458729</v>
      </c>
    </row>
    <row r="30" spans="2:18" x14ac:dyDescent="0.25">
      <c r="B30" s="16"/>
      <c r="C30" t="s">
        <v>55</v>
      </c>
      <c r="D30">
        <f>D29*12</f>
        <v>12</v>
      </c>
      <c r="E30">
        <f>1</f>
        <v>1</v>
      </c>
      <c r="F30">
        <f>1</f>
        <v>1</v>
      </c>
      <c r="G30">
        <f>1</f>
        <v>1</v>
      </c>
      <c r="H30">
        <f>1</f>
        <v>1</v>
      </c>
      <c r="I30">
        <f>1</f>
        <v>1</v>
      </c>
      <c r="J30">
        <f>1</f>
        <v>1</v>
      </c>
      <c r="K30">
        <f>1</f>
        <v>1</v>
      </c>
      <c r="L30">
        <f>1</f>
        <v>1</v>
      </c>
      <c r="M30">
        <f>1</f>
        <v>1</v>
      </c>
      <c r="N30">
        <f>1</f>
        <v>1</v>
      </c>
      <c r="O30">
        <f>1</f>
        <v>1</v>
      </c>
      <c r="P30">
        <f>1</f>
        <v>1</v>
      </c>
      <c r="Q30">
        <f t="shared" si="2"/>
        <v>5</v>
      </c>
      <c r="R30" s="1">
        <f>HLOOKUP(Q30,E26:P32,7)</f>
        <v>1521614.3236147789</v>
      </c>
    </row>
    <row r="31" spans="2:18" x14ac:dyDescent="0.25">
      <c r="B31" s="16"/>
      <c r="C31" t="s">
        <v>57</v>
      </c>
      <c r="D31">
        <f>D3</f>
        <v>300</v>
      </c>
      <c r="E31" s="1">
        <f>$D32*1000</f>
        <v>300000</v>
      </c>
      <c r="F31" s="1">
        <f t="shared" ref="F31:P31" si="4">$D32*1000</f>
        <v>300000</v>
      </c>
      <c r="G31" s="1">
        <f t="shared" si="4"/>
        <v>300000</v>
      </c>
      <c r="H31" s="1">
        <f t="shared" si="4"/>
        <v>300000</v>
      </c>
      <c r="I31" s="1">
        <f t="shared" si="4"/>
        <v>300000</v>
      </c>
      <c r="J31" s="1">
        <f t="shared" si="4"/>
        <v>300000</v>
      </c>
      <c r="K31" s="1">
        <f t="shared" si="4"/>
        <v>300000</v>
      </c>
      <c r="L31" s="1">
        <f t="shared" si="4"/>
        <v>300000</v>
      </c>
      <c r="M31" s="1">
        <f t="shared" si="4"/>
        <v>300000</v>
      </c>
      <c r="N31" s="1">
        <f t="shared" si="4"/>
        <v>300000</v>
      </c>
      <c r="O31" s="1">
        <f t="shared" si="4"/>
        <v>300000</v>
      </c>
      <c r="P31" s="1">
        <f t="shared" si="4"/>
        <v>300000</v>
      </c>
      <c r="Q31">
        <f t="shared" si="2"/>
        <v>6</v>
      </c>
      <c r="R31" s="1">
        <f>HLOOKUP(Q31,E26:P32,7)</f>
        <v>1830308.3468805365</v>
      </c>
    </row>
    <row r="32" spans="2:18" x14ac:dyDescent="0.25">
      <c r="B32" s="16"/>
      <c r="C32" t="s">
        <v>56</v>
      </c>
      <c r="D32">
        <f>IF(D31*(1+$D$2)&gt;D31+50,D31+50,D3)</f>
        <v>300</v>
      </c>
      <c r="E32" s="1">
        <f>-FV($E$29,$E$30,$E$31,0-E33,1)</f>
        <v>301431.81075484277</v>
      </c>
      <c r="F32" s="1">
        <f t="shared" ref="F32:P32" si="5">-FV($E$29,$E$30,$E$31,E32,1)</f>
        <v>604302.26587132062</v>
      </c>
      <c r="G32" s="1">
        <f t="shared" si="5"/>
        <v>908618.23157099821</v>
      </c>
      <c r="H32" s="1">
        <f t="shared" si="5"/>
        <v>1214386.6068458729</v>
      </c>
      <c r="I32" s="1">
        <f t="shared" si="5"/>
        <v>1521614.3236147789</v>
      </c>
      <c r="J32" s="1">
        <f t="shared" si="5"/>
        <v>1830308.3468805365</v>
      </c>
      <c r="K32" s="1">
        <f t="shared" si="5"/>
        <v>2140475.6748878527</v>
      </c>
      <c r="L32" s="1">
        <f t="shared" si="5"/>
        <v>2452123.3392819748</v>
      </c>
      <c r="M32" s="1">
        <f t="shared" si="5"/>
        <v>2765258.4052681006</v>
      </c>
      <c r="N32" s="1">
        <f t="shared" si="5"/>
        <v>3079887.9717715508</v>
      </c>
      <c r="O32" s="1">
        <f t="shared" si="5"/>
        <v>3396019.171598705</v>
      </c>
      <c r="P32" s="1">
        <f t="shared" si="5"/>
        <v>3713659.171598705</v>
      </c>
      <c r="Q32">
        <f t="shared" si="2"/>
        <v>7</v>
      </c>
      <c r="R32" s="1">
        <f>HLOOKUP(Q32,E26:P32,7)</f>
        <v>2140475.6748878527</v>
      </c>
    </row>
    <row r="33" spans="2:18" x14ac:dyDescent="0.25">
      <c r="B33" s="16"/>
      <c r="C33" t="s">
        <v>71</v>
      </c>
      <c r="D33">
        <f>$E33</f>
        <v>0</v>
      </c>
      <c r="E33" s="1">
        <f>ROUNDUP(IF(E27&gt;=$E$9,$D$9,IF(E27&gt;=$E$8,$D$8,IF(E27&gt;=$E$7,$D$7,IF(E27&gt;=$E$6,$D$6,IF(E27&gt;=$E$5,$D$5,IF(E27&gt;=$E$4,$D$4,0))))))*1000*(1+$D$2)^$B26,-3)</f>
        <v>0</v>
      </c>
      <c r="J33" s="1">
        <f>ROUNDUP(IF(J27&gt;=$E$9,$D$9,IF(J27&gt;=$E$8,$D$8,IF(J27&gt;=$E$7,$D$7,IF(J27&gt;=$E$6,$D$6,IF(J27&gt;=$E$5,$D$5,IF(J27&gt;=$E$4,$D$4,0))))))*1000*(1+$D$2)^$B26,-3)</f>
        <v>0</v>
      </c>
      <c r="Q33">
        <f t="shared" si="2"/>
        <v>8</v>
      </c>
      <c r="R33" s="1">
        <f>HLOOKUP(Q33,E26:P32,7)</f>
        <v>2452123.3392819748</v>
      </c>
    </row>
    <row r="34" spans="2:18" x14ac:dyDescent="0.25">
      <c r="B34" s="16"/>
      <c r="C34" t="s">
        <v>72</v>
      </c>
      <c r="D34">
        <f>$J33</f>
        <v>0</v>
      </c>
      <c r="Q34">
        <f t="shared" si="2"/>
        <v>9</v>
      </c>
      <c r="R34" s="1">
        <f>HLOOKUP(Q34,E26:P32,7)</f>
        <v>2765258.4052681006</v>
      </c>
    </row>
    <row r="35" spans="2:18" x14ac:dyDescent="0.25">
      <c r="B35" s="16"/>
      <c r="C35" t="s">
        <v>58</v>
      </c>
      <c r="D35">
        <f>D33+D34</f>
        <v>0</v>
      </c>
      <c r="Q35">
        <f t="shared" si="2"/>
        <v>10</v>
      </c>
      <c r="R35" s="1">
        <f>HLOOKUP(Q35,E26:P32,7)</f>
        <v>3079887.9717715508</v>
      </c>
    </row>
    <row r="36" spans="2:18" x14ac:dyDescent="0.25">
      <c r="B36" s="16"/>
      <c r="C36" t="s">
        <v>42</v>
      </c>
      <c r="D36" s="4">
        <f>P32*(1-D28)</f>
        <v>3667238.4319537212</v>
      </c>
      <c r="Q36">
        <f t="shared" si="2"/>
        <v>11</v>
      </c>
      <c r="R36" s="1">
        <f>HLOOKUP(Q36,E26:P32,7)</f>
        <v>3396019.171598705</v>
      </c>
    </row>
    <row r="37" spans="2:18" x14ac:dyDescent="0.25">
      <c r="B37" s="16"/>
      <c r="Q37">
        <f t="shared" si="2"/>
        <v>12</v>
      </c>
      <c r="R37" s="1">
        <f>HLOOKUP(Q37,E26:P32,7)</f>
        <v>3713659.171598705</v>
      </c>
    </row>
    <row r="38" spans="2:18" x14ac:dyDescent="0.25">
      <c r="B38" s="16">
        <f>B26+1</f>
        <v>1</v>
      </c>
      <c r="C38" t="s">
        <v>40</v>
      </c>
      <c r="D38" s="2">
        <f>5.88%</f>
        <v>5.8799999999999998E-2</v>
      </c>
      <c r="E38">
        <f>($B38*12)+1</f>
        <v>13</v>
      </c>
      <c r="F38">
        <f>E38+1</f>
        <v>14</v>
      </c>
      <c r="G38">
        <f t="shared" ref="G38:P38" si="6">F38+1</f>
        <v>15</v>
      </c>
      <c r="H38">
        <f t="shared" si="6"/>
        <v>16</v>
      </c>
      <c r="I38">
        <f t="shared" si="6"/>
        <v>17</v>
      </c>
      <c r="J38">
        <f t="shared" si="6"/>
        <v>18</v>
      </c>
      <c r="K38">
        <f t="shared" si="6"/>
        <v>19</v>
      </c>
      <c r="L38">
        <f t="shared" si="6"/>
        <v>20</v>
      </c>
      <c r="M38">
        <f t="shared" si="6"/>
        <v>21</v>
      </c>
      <c r="N38">
        <f t="shared" si="6"/>
        <v>22</v>
      </c>
      <c r="O38">
        <f t="shared" si="6"/>
        <v>23</v>
      </c>
      <c r="P38">
        <f t="shared" si="6"/>
        <v>24</v>
      </c>
      <c r="Q38">
        <f t="shared" si="2"/>
        <v>13</v>
      </c>
      <c r="R38" s="1">
        <f>HLOOKUP(Q38,E38:P44,7)</f>
        <v>3986172.8808000442</v>
      </c>
    </row>
    <row r="39" spans="2:18" x14ac:dyDescent="0.25">
      <c r="B39" s="16"/>
      <c r="C39" t="s">
        <v>41</v>
      </c>
      <c r="D39" s="3">
        <f>(1+D38)^(1/12)-1</f>
        <v>4.7727025161425907E-3</v>
      </c>
      <c r="E39">
        <f>E38/12</f>
        <v>1.0833333333333333</v>
      </c>
      <c r="F39">
        <f t="shared" ref="F39" si="7">F38/12</f>
        <v>1.1666666666666667</v>
      </c>
      <c r="G39">
        <f t="shared" ref="G39" si="8">G38/12</f>
        <v>1.25</v>
      </c>
      <c r="H39">
        <f t="shared" ref="H39" si="9">H38/12</f>
        <v>1.3333333333333333</v>
      </c>
      <c r="I39">
        <f t="shared" ref="I39" si="10">I38/12</f>
        <v>1.4166666666666667</v>
      </c>
      <c r="J39">
        <f t="shared" ref="J39" si="11">J38/12</f>
        <v>1.5</v>
      </c>
      <c r="K39">
        <f t="shared" ref="K39" si="12">K38/12</f>
        <v>1.5833333333333333</v>
      </c>
      <c r="L39">
        <f t="shared" ref="L39" si="13">L38/12</f>
        <v>1.6666666666666667</v>
      </c>
      <c r="M39">
        <f t="shared" ref="M39" si="14">M38/12</f>
        <v>1.75</v>
      </c>
      <c r="N39">
        <f t="shared" ref="N39" si="15">N38/12</f>
        <v>1.8333333333333333</v>
      </c>
      <c r="O39">
        <f t="shared" ref="O39" si="16">O38/12</f>
        <v>1.9166666666666667</v>
      </c>
      <c r="P39">
        <f t="shared" ref="P39" si="17">P38/12</f>
        <v>2</v>
      </c>
      <c r="Q39">
        <f t="shared" si="2"/>
        <v>14</v>
      </c>
      <c r="R39" s="1">
        <f>HLOOKUP(Q39,E38:P44,7)</f>
        <v>4306629.5088928603</v>
      </c>
    </row>
    <row r="40" spans="2:18" x14ac:dyDescent="0.25">
      <c r="B40" s="16"/>
      <c r="C40" t="s">
        <v>53</v>
      </c>
      <c r="D40" s="2">
        <f>1.25%</f>
        <v>1.2500000000000001E-2</v>
      </c>
      <c r="E40" t="s">
        <v>59</v>
      </c>
      <c r="F40" t="s">
        <v>60</v>
      </c>
      <c r="G40" t="s">
        <v>61</v>
      </c>
      <c r="H40" t="s">
        <v>62</v>
      </c>
      <c r="I40" t="s">
        <v>63</v>
      </c>
      <c r="J40" t="s">
        <v>64</v>
      </c>
      <c r="K40" t="s">
        <v>65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>
        <f t="shared" si="2"/>
        <v>15</v>
      </c>
      <c r="R40" s="1">
        <f>HLOOKUP(Q40,E38:P44,7)</f>
        <v>4628615.5811408898</v>
      </c>
    </row>
    <row r="41" spans="2:18" x14ac:dyDescent="0.25">
      <c r="B41" s="16"/>
      <c r="C41" t="s">
        <v>54</v>
      </c>
      <c r="D41">
        <f>1</f>
        <v>1</v>
      </c>
      <c r="E41" s="2">
        <f>$D27</f>
        <v>4.7727025161425907E-3</v>
      </c>
      <c r="F41" s="2">
        <f t="shared" ref="F41:P41" si="18">$D27</f>
        <v>4.7727025161425907E-3</v>
      </c>
      <c r="G41" s="2">
        <f t="shared" si="18"/>
        <v>4.7727025161425907E-3</v>
      </c>
      <c r="H41" s="2">
        <f t="shared" si="18"/>
        <v>4.7727025161425907E-3</v>
      </c>
      <c r="I41" s="2">
        <f t="shared" si="18"/>
        <v>4.7727025161425907E-3</v>
      </c>
      <c r="J41" s="2">
        <f t="shared" si="18"/>
        <v>4.7727025161425907E-3</v>
      </c>
      <c r="K41" s="2">
        <f t="shared" si="18"/>
        <v>4.7727025161425907E-3</v>
      </c>
      <c r="L41" s="2">
        <f t="shared" si="18"/>
        <v>4.7727025161425907E-3</v>
      </c>
      <c r="M41" s="2">
        <f t="shared" si="18"/>
        <v>4.7727025161425907E-3</v>
      </c>
      <c r="N41" s="2">
        <f t="shared" si="18"/>
        <v>4.7727025161425907E-3</v>
      </c>
      <c r="O41" s="2">
        <f t="shared" si="18"/>
        <v>4.7727025161425907E-3</v>
      </c>
      <c r="P41" s="2">
        <f t="shared" si="18"/>
        <v>4.7727025161425907E-3</v>
      </c>
      <c r="Q41">
        <f t="shared" si="2"/>
        <v>16</v>
      </c>
      <c r="R41" s="1">
        <f>HLOOKUP(Q41,E38:P44,7)</f>
        <v>4952138.397126101</v>
      </c>
    </row>
    <row r="42" spans="2:18" x14ac:dyDescent="0.25">
      <c r="B42" s="16"/>
      <c r="C42" t="s">
        <v>55</v>
      </c>
      <c r="D42">
        <f>D41*12</f>
        <v>12</v>
      </c>
      <c r="E42">
        <f>1</f>
        <v>1</v>
      </c>
      <c r="F42">
        <f>1</f>
        <v>1</v>
      </c>
      <c r="G42">
        <f>1</f>
        <v>1</v>
      </c>
      <c r="H42">
        <f>1</f>
        <v>1</v>
      </c>
      <c r="I42">
        <f>1</f>
        <v>1</v>
      </c>
      <c r="J42">
        <f>1</f>
        <v>1</v>
      </c>
      <c r="K42">
        <f>1</f>
        <v>1</v>
      </c>
      <c r="L42">
        <f>1</f>
        <v>1</v>
      </c>
      <c r="M42">
        <f>1</f>
        <v>1</v>
      </c>
      <c r="N42">
        <f>1</f>
        <v>1</v>
      </c>
      <c r="O42">
        <f>1</f>
        <v>1</v>
      </c>
      <c r="P42">
        <f>1</f>
        <v>1</v>
      </c>
      <c r="Q42">
        <f t="shared" si="2"/>
        <v>17</v>
      </c>
      <c r="R42" s="1">
        <f>HLOOKUP(Q42,E38:P44,7)</f>
        <v>5277205.2912691943</v>
      </c>
    </row>
    <row r="43" spans="2:18" x14ac:dyDescent="0.25">
      <c r="B43" s="16"/>
      <c r="C43" t="s">
        <v>57</v>
      </c>
      <c r="D43" s="10">
        <f>D31*(1+$D$2)</f>
        <v>306</v>
      </c>
      <c r="E43" s="1">
        <f>$D44*1000</f>
        <v>300000</v>
      </c>
      <c r="F43" s="1">
        <f t="shared" ref="F43:P43" si="19">$D44*1000</f>
        <v>300000</v>
      </c>
      <c r="G43" s="1">
        <f t="shared" si="19"/>
        <v>300000</v>
      </c>
      <c r="H43" s="1">
        <f t="shared" si="19"/>
        <v>300000</v>
      </c>
      <c r="I43" s="1">
        <f t="shared" si="19"/>
        <v>300000</v>
      </c>
      <c r="J43" s="1">
        <f t="shared" si="19"/>
        <v>300000</v>
      </c>
      <c r="K43" s="1">
        <f t="shared" si="19"/>
        <v>300000</v>
      </c>
      <c r="L43" s="1">
        <f t="shared" si="19"/>
        <v>300000</v>
      </c>
      <c r="M43" s="1">
        <f t="shared" si="19"/>
        <v>300000</v>
      </c>
      <c r="N43" s="1">
        <f t="shared" si="19"/>
        <v>300000</v>
      </c>
      <c r="O43" s="1">
        <f t="shared" si="19"/>
        <v>300000</v>
      </c>
      <c r="P43" s="1">
        <f t="shared" si="19"/>
        <v>300000</v>
      </c>
      <c r="Q43">
        <f t="shared" si="2"/>
        <v>18</v>
      </c>
      <c r="R43" s="1">
        <f>HLOOKUP(Q43,E38:P44,7)</f>
        <v>5603823.6329958793</v>
      </c>
    </row>
    <row r="44" spans="2:18" x14ac:dyDescent="0.25">
      <c r="B44" s="16"/>
      <c r="C44" t="s">
        <v>56</v>
      </c>
      <c r="D44" s="10">
        <f>IF(D43*(1+$D$2)&gt;D32+50,D32+50,D32)</f>
        <v>300</v>
      </c>
      <c r="E44" s="1">
        <f>-FV($E$29,$E$30,$E$31,D36-E45,1)</f>
        <v>3986172.8808000442</v>
      </c>
      <c r="F44" s="1">
        <f>-FV($E$29,$E$30,$E$31,E44,1)</f>
        <v>4306629.5088928603</v>
      </c>
      <c r="G44" s="1">
        <f>-FV($E$29,$E$30,$E$31,F44,1)</f>
        <v>4628615.5811408898</v>
      </c>
      <c r="H44" s="1">
        <f>-FV($E$29,$E$30,$E$31,G44,1)</f>
        <v>4952138.397126101</v>
      </c>
      <c r="I44" s="1">
        <f>-FV($E$29,$E$30,$E$31,H44,1)</f>
        <v>5277205.2912691943</v>
      </c>
      <c r="J44" s="1">
        <f>-FV($E$29,$E$30,$E$31,I44-J45,1)</f>
        <v>5603823.6329958793</v>
      </c>
      <c r="K44" s="1">
        <f t="shared" ref="K44:P44" si="20">-FV($E$29,$E$30,$E$31,J44,1)</f>
        <v>5932000.8269039411</v>
      </c>
      <c r="L44" s="1">
        <f t="shared" si="20"/>
        <v>6261744.3129311083</v>
      </c>
      <c r="M44" s="1">
        <f t="shared" si="20"/>
        <v>6593061.5665237196</v>
      </c>
      <c r="N44" s="1">
        <f t="shared" si="20"/>
        <v>6925960.0988061931</v>
      </c>
      <c r="O44" s="1">
        <f t="shared" si="20"/>
        <v>7260447.4567513112</v>
      </c>
      <c r="P44" s="1">
        <f t="shared" si="20"/>
        <v>7596531.2233513119</v>
      </c>
      <c r="Q44">
        <f t="shared" si="2"/>
        <v>19</v>
      </c>
      <c r="R44" s="1">
        <f>HLOOKUP(Q44,E38:P44,7)</f>
        <v>5932000.8269039411</v>
      </c>
    </row>
    <row r="45" spans="2:18" x14ac:dyDescent="0.25">
      <c r="B45" s="16"/>
      <c r="C45" t="s">
        <v>71</v>
      </c>
      <c r="D45">
        <f>$E45</f>
        <v>0</v>
      </c>
      <c r="E45" s="1">
        <f>ROUNDUP(IF(E39&gt;=$E$9,$D$9,IF(E39&gt;=$E$8,$D$8,IF(E39&gt;=$E$7,$D$7,IF(E39&gt;=$E$6,$D$6,IF(E39&gt;=$E$5,$D$5,IF(E39&gt;=$E$4,$D$4,0))))))*1000*(1+$D$2)^$B38,-3)</f>
        <v>0</v>
      </c>
      <c r="J45" s="1">
        <f>ROUNDUP(IF(J39&gt;=$E$9,$D$9,IF(J39&gt;=$E$8,$D$8,IF(J39&gt;=$E$7,$D$7,IF(J39&gt;=$E$6,$D$6,IF(J39&gt;=$E$5,$D$5,IF(J39&gt;=$E$4,$D$4,0))))))*1000*(1+$D$2)^$B38,-3)</f>
        <v>0</v>
      </c>
      <c r="Q45">
        <f t="shared" si="2"/>
        <v>20</v>
      </c>
      <c r="R45" s="1">
        <f>HLOOKUP(Q45,E38:P44,7)</f>
        <v>6261744.3129311083</v>
      </c>
    </row>
    <row r="46" spans="2:18" x14ac:dyDescent="0.25">
      <c r="B46" s="16"/>
      <c r="C46" t="s">
        <v>72</v>
      </c>
      <c r="D46">
        <f>$J45</f>
        <v>0</v>
      </c>
      <c r="Q46">
        <f t="shared" si="2"/>
        <v>21</v>
      </c>
      <c r="R46" s="1">
        <f>HLOOKUP(Q46,E38:P44,7)</f>
        <v>6593061.5665237196</v>
      </c>
    </row>
    <row r="47" spans="2:18" x14ac:dyDescent="0.25">
      <c r="B47" s="16"/>
      <c r="C47" t="s">
        <v>58</v>
      </c>
      <c r="D47">
        <f>D45+D46</f>
        <v>0</v>
      </c>
      <c r="Q47">
        <f t="shared" si="2"/>
        <v>22</v>
      </c>
      <c r="R47" s="1">
        <f>HLOOKUP(Q47,E38:P44,7)</f>
        <v>6925960.0988061931</v>
      </c>
    </row>
    <row r="48" spans="2:18" x14ac:dyDescent="0.25">
      <c r="B48" s="16"/>
      <c r="C48" t="s">
        <v>42</v>
      </c>
      <c r="D48" s="4">
        <f>P44*(1-D40)</f>
        <v>7501574.5830594208</v>
      </c>
      <c r="Q48">
        <f t="shared" si="2"/>
        <v>23</v>
      </c>
      <c r="R48" s="1">
        <f>HLOOKUP(Q48,E38:P44,7)</f>
        <v>7260447.4567513112</v>
      </c>
    </row>
    <row r="49" spans="2:18" x14ac:dyDescent="0.25">
      <c r="B49" s="16"/>
      <c r="Q49">
        <f t="shared" si="2"/>
        <v>24</v>
      </c>
      <c r="R49" s="1">
        <f>HLOOKUP(Q49,E38:P44,7)</f>
        <v>7596531.2233513119</v>
      </c>
    </row>
    <row r="50" spans="2:18" x14ac:dyDescent="0.25">
      <c r="B50" s="16">
        <f t="shared" ref="B50" si="21">B38+1</f>
        <v>2</v>
      </c>
      <c r="C50" t="s">
        <v>40</v>
      </c>
      <c r="D50" s="2">
        <f t="shared" ref="D50" si="22">5.88%</f>
        <v>5.8799999999999998E-2</v>
      </c>
      <c r="E50">
        <f t="shared" ref="E50" si="23">($B50*12)+1</f>
        <v>25</v>
      </c>
      <c r="F50">
        <f t="shared" ref="F50:P50" si="24">E50+1</f>
        <v>26</v>
      </c>
      <c r="G50">
        <f t="shared" si="24"/>
        <v>27</v>
      </c>
      <c r="H50">
        <f t="shared" si="24"/>
        <v>28</v>
      </c>
      <c r="I50">
        <f t="shared" si="24"/>
        <v>29</v>
      </c>
      <c r="J50">
        <f t="shared" si="24"/>
        <v>30</v>
      </c>
      <c r="K50">
        <f t="shared" si="24"/>
        <v>31</v>
      </c>
      <c r="L50">
        <f t="shared" si="24"/>
        <v>32</v>
      </c>
      <c r="M50">
        <f t="shared" si="24"/>
        <v>33</v>
      </c>
      <c r="N50">
        <f t="shared" si="24"/>
        <v>34</v>
      </c>
      <c r="O50">
        <f t="shared" si="24"/>
        <v>35</v>
      </c>
      <c r="P50">
        <f t="shared" si="24"/>
        <v>36</v>
      </c>
      <c r="Q50">
        <f t="shared" ref="Q50:Q113" si="25">Q49+1</f>
        <v>25</v>
      </c>
      <c r="R50" s="1">
        <f t="shared" ref="R50" si="26">HLOOKUP(Q50,E50:P56,7)</f>
        <v>7838809.1777018625</v>
      </c>
    </row>
    <row r="51" spans="2:18" x14ac:dyDescent="0.25">
      <c r="B51" s="16"/>
      <c r="C51" t="s">
        <v>41</v>
      </c>
      <c r="D51" s="3">
        <f t="shared" ref="D51" si="27">(1+D50)^(1/12)-1</f>
        <v>4.7727025161425907E-3</v>
      </c>
      <c r="E51">
        <f t="shared" ref="E51" si="28">E50/12</f>
        <v>2.0833333333333335</v>
      </c>
      <c r="F51">
        <f t="shared" ref="F51" si="29">F50/12</f>
        <v>2.1666666666666665</v>
      </c>
      <c r="G51">
        <f t="shared" ref="G51" si="30">G50/12</f>
        <v>2.25</v>
      </c>
      <c r="H51">
        <f t="shared" ref="H51" si="31">H50/12</f>
        <v>2.3333333333333335</v>
      </c>
      <c r="I51">
        <f t="shared" ref="I51" si="32">I50/12</f>
        <v>2.4166666666666665</v>
      </c>
      <c r="J51">
        <f t="shared" ref="J51" si="33">J50/12</f>
        <v>2.5</v>
      </c>
      <c r="K51">
        <f t="shared" ref="K51" si="34">K50/12</f>
        <v>2.5833333333333335</v>
      </c>
      <c r="L51">
        <f t="shared" ref="L51" si="35">L50/12</f>
        <v>2.6666666666666665</v>
      </c>
      <c r="M51">
        <f t="shared" ref="M51" si="36">M50/12</f>
        <v>2.75</v>
      </c>
      <c r="N51">
        <f t="shared" ref="N51" si="37">N50/12</f>
        <v>2.8333333333333335</v>
      </c>
      <c r="O51">
        <f t="shared" ref="O51" si="38">O50/12</f>
        <v>2.9166666666666665</v>
      </c>
      <c r="P51">
        <f t="shared" ref="P51" si="39">P50/12</f>
        <v>3</v>
      </c>
      <c r="Q51">
        <f t="shared" si="25"/>
        <v>26</v>
      </c>
      <c r="R51" s="1">
        <f t="shared" ref="R51" si="40">HLOOKUP(Q51,E50:P56,7)</f>
        <v>8177653.2927426845</v>
      </c>
    </row>
    <row r="52" spans="2:18" x14ac:dyDescent="0.25">
      <c r="B52" s="16"/>
      <c r="C52" t="s">
        <v>53</v>
      </c>
      <c r="D52" s="2">
        <f t="shared" ref="D52" si="41">1.25%</f>
        <v>1.2500000000000001E-2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66</v>
      </c>
      <c r="M52" t="s">
        <v>67</v>
      </c>
      <c r="N52" t="s">
        <v>68</v>
      </c>
      <c r="O52" t="s">
        <v>69</v>
      </c>
      <c r="P52" t="s">
        <v>70</v>
      </c>
      <c r="Q52">
        <f t="shared" si="25"/>
        <v>27</v>
      </c>
      <c r="R52" s="1">
        <f t="shared" ref="R52" si="42">HLOOKUP(Q52,E50:P56,7)</f>
        <v>8518114.6099439412</v>
      </c>
    </row>
    <row r="53" spans="2:18" x14ac:dyDescent="0.25">
      <c r="B53" s="16"/>
      <c r="C53" t="s">
        <v>54</v>
      </c>
      <c r="D53">
        <f>1</f>
        <v>1</v>
      </c>
      <c r="E53" s="2">
        <f t="shared" ref="E53:P53" si="43">$D39</f>
        <v>4.7727025161425907E-3</v>
      </c>
      <c r="F53" s="2">
        <f t="shared" si="43"/>
        <v>4.7727025161425907E-3</v>
      </c>
      <c r="G53" s="2">
        <f t="shared" si="43"/>
        <v>4.7727025161425907E-3</v>
      </c>
      <c r="H53" s="2">
        <f t="shared" si="43"/>
        <v>4.7727025161425907E-3</v>
      </c>
      <c r="I53" s="2">
        <f t="shared" si="43"/>
        <v>4.7727025161425907E-3</v>
      </c>
      <c r="J53" s="2">
        <f t="shared" si="43"/>
        <v>4.7727025161425907E-3</v>
      </c>
      <c r="K53" s="2">
        <f t="shared" si="43"/>
        <v>4.7727025161425907E-3</v>
      </c>
      <c r="L53" s="2">
        <f t="shared" si="43"/>
        <v>4.7727025161425907E-3</v>
      </c>
      <c r="M53" s="2">
        <f t="shared" si="43"/>
        <v>4.7727025161425907E-3</v>
      </c>
      <c r="N53" s="2">
        <f t="shared" si="43"/>
        <v>4.7727025161425907E-3</v>
      </c>
      <c r="O53" s="2">
        <f t="shared" si="43"/>
        <v>4.7727025161425907E-3</v>
      </c>
      <c r="P53" s="2">
        <f t="shared" si="43"/>
        <v>4.7727025161425907E-3</v>
      </c>
      <c r="Q53">
        <f t="shared" si="25"/>
        <v>28</v>
      </c>
      <c r="R53" s="1">
        <f t="shared" ref="R53" si="44">HLOOKUP(Q53,E50:P56,7)</f>
        <v>8860200.8477304541</v>
      </c>
    </row>
    <row r="54" spans="2:18" x14ac:dyDescent="0.25">
      <c r="B54" s="16"/>
      <c r="C54" t="s">
        <v>55</v>
      </c>
      <c r="D54">
        <f t="shared" ref="D54" si="45">D53*12</f>
        <v>12</v>
      </c>
      <c r="E54">
        <f>1</f>
        <v>1</v>
      </c>
      <c r="F54">
        <f>1</f>
        <v>1</v>
      </c>
      <c r="G54">
        <f>1</f>
        <v>1</v>
      </c>
      <c r="H54">
        <f>1</f>
        <v>1</v>
      </c>
      <c r="I54">
        <f>1</f>
        <v>1</v>
      </c>
      <c r="J54">
        <f>1</f>
        <v>1</v>
      </c>
      <c r="K54">
        <f>1</f>
        <v>1</v>
      </c>
      <c r="L54">
        <f>1</f>
        <v>1</v>
      </c>
      <c r="M54">
        <f>1</f>
        <v>1</v>
      </c>
      <c r="N54">
        <f>1</f>
        <v>1</v>
      </c>
      <c r="O54">
        <f>1</f>
        <v>1</v>
      </c>
      <c r="P54">
        <f>1</f>
        <v>1</v>
      </c>
      <c r="Q54">
        <f t="shared" si="25"/>
        <v>29</v>
      </c>
      <c r="R54" s="1">
        <f t="shared" ref="R54" si="46">HLOOKUP(Q54,E50:P56,7)</f>
        <v>9203919.7613647897</v>
      </c>
    </row>
    <row r="55" spans="2:18" x14ac:dyDescent="0.25">
      <c r="B55" s="16"/>
      <c r="C55" t="s">
        <v>57</v>
      </c>
      <c r="D55" s="10">
        <f t="shared" ref="D55" si="47">D43*(1+$D$2)</f>
        <v>312.12</v>
      </c>
      <c r="E55" s="1">
        <f t="shared" ref="E55" si="48">$D56*1000</f>
        <v>300000</v>
      </c>
      <c r="F55" s="1">
        <f t="shared" ref="F55" si="49">$D56*1000</f>
        <v>300000</v>
      </c>
      <c r="G55" s="1">
        <f t="shared" ref="G55" si="50">$D56*1000</f>
        <v>300000</v>
      </c>
      <c r="H55" s="1">
        <f t="shared" ref="H55" si="51">$D56*1000</f>
        <v>300000</v>
      </c>
      <c r="I55" s="1">
        <f t="shared" ref="I55" si="52">$D56*1000</f>
        <v>300000</v>
      </c>
      <c r="J55" s="1">
        <f t="shared" ref="J55" si="53">$D56*1000</f>
        <v>300000</v>
      </c>
      <c r="K55" s="1">
        <f t="shared" ref="K55" si="54">$D56*1000</f>
        <v>300000</v>
      </c>
      <c r="L55" s="1">
        <f t="shared" ref="L55" si="55">$D56*1000</f>
        <v>300000</v>
      </c>
      <c r="M55" s="1">
        <f t="shared" ref="M55" si="56">$D56*1000</f>
        <v>300000</v>
      </c>
      <c r="N55" s="1">
        <f t="shared" ref="N55" si="57">$D56*1000</f>
        <v>300000</v>
      </c>
      <c r="O55" s="1">
        <f t="shared" ref="O55" si="58">$D56*1000</f>
        <v>300000</v>
      </c>
      <c r="P55" s="1">
        <f t="shared" ref="P55" si="59">$D56*1000</f>
        <v>300000</v>
      </c>
      <c r="Q55">
        <f t="shared" si="25"/>
        <v>30</v>
      </c>
      <c r="R55" s="1">
        <f t="shared" ref="R55" si="60">HLOOKUP(Q55,E50:P56,7)</f>
        <v>9549279.1431230735</v>
      </c>
    </row>
    <row r="56" spans="2:18" x14ac:dyDescent="0.25">
      <c r="B56" s="16"/>
      <c r="C56" t="s">
        <v>56</v>
      </c>
      <c r="D56" s="10">
        <f t="shared" ref="D56" si="61">IF(D55*(1+$D$2)&gt;D44+50,D44+50,D44)</f>
        <v>300</v>
      </c>
      <c r="E56" s="1">
        <f t="shared" ref="E56" si="62">-FV($E$29,$E$30,$E$31,D48-E57,1)</f>
        <v>7838809.1777018625</v>
      </c>
      <c r="F56" s="1">
        <f t="shared" ref="F56:I56" si="63">-FV($E$29,$E$30,$E$31,E56,1)</f>
        <v>8177653.2927426845</v>
      </c>
      <c r="G56" s="1">
        <f t="shared" si="63"/>
        <v>8518114.6099439412</v>
      </c>
      <c r="H56" s="1">
        <f t="shared" si="63"/>
        <v>8860200.8477304541</v>
      </c>
      <c r="I56" s="1">
        <f t="shared" si="63"/>
        <v>9203919.7613647897</v>
      </c>
      <c r="J56" s="1">
        <f t="shared" ref="J56" si="64">-FV($E$29,$E$30,$E$31,I56-J57,1)</f>
        <v>9549279.1431230735</v>
      </c>
      <c r="K56" s="1">
        <f t="shared" ref="K56:P56" si="65">-FV($E$29,$E$30,$E$31,J56,1)</f>
        <v>9896286.8224716485</v>
      </c>
      <c r="L56" s="1">
        <f t="shared" si="65"/>
        <v>10244950.66624457</v>
      </c>
      <c r="M56" s="1">
        <f t="shared" si="65"/>
        <v>10595278.578821955</v>
      </c>
      <c r="N56" s="1">
        <f t="shared" si="65"/>
        <v>10947278.502309173</v>
      </c>
      <c r="O56" s="1">
        <f t="shared" si="65"/>
        <v>11300958.416716902</v>
      </c>
      <c r="P56" s="1">
        <f t="shared" si="65"/>
        <v>11656326.340142032</v>
      </c>
      <c r="Q56">
        <f t="shared" si="25"/>
        <v>31</v>
      </c>
      <c r="R56" s="1">
        <f t="shared" ref="R56" si="66">HLOOKUP(Q56,E50:P56,7)</f>
        <v>9896286.8224716485</v>
      </c>
    </row>
    <row r="57" spans="2:18" x14ac:dyDescent="0.25">
      <c r="B57" s="16"/>
      <c r="C57" t="s">
        <v>71</v>
      </c>
      <c r="D57">
        <f t="shared" ref="D57" si="67">$E57</f>
        <v>0</v>
      </c>
      <c r="E57" s="1">
        <f t="shared" ref="E57" si="68">ROUNDUP(IF(E51&gt;=$E$9,$D$9,IF(E51&gt;=$E$8,$D$8,IF(E51&gt;=$E$7,$D$7,IF(E51&gt;=$E$6,$D$6,IF(E51&gt;=$E$5,$D$5,IF(E51&gt;=$E$4,$D$4,0))))))*1000*(1+$D$2)^$B50,-3)</f>
        <v>0</v>
      </c>
      <c r="J57" s="1">
        <f t="shared" ref="J57" si="69">ROUNDUP(IF(J51&gt;=$E$9,$D$9,IF(J51&gt;=$E$8,$D$8,IF(J51&gt;=$E$7,$D$7,IF(J51&gt;=$E$6,$D$6,IF(J51&gt;=$E$5,$D$5,IF(J51&gt;=$E$4,$D$4,0))))))*1000*(1+$D$2)^$B50,-3)</f>
        <v>0</v>
      </c>
      <c r="Q57">
        <f t="shared" si="25"/>
        <v>32</v>
      </c>
      <c r="R57" s="1">
        <f t="shared" ref="R57" si="70">HLOOKUP(Q57,E50:P56,7)</f>
        <v>10244950.66624457</v>
      </c>
    </row>
    <row r="58" spans="2:18" x14ac:dyDescent="0.25">
      <c r="B58" s="16"/>
      <c r="C58" t="s">
        <v>72</v>
      </c>
      <c r="D58">
        <f t="shared" ref="D58" si="71">$J57</f>
        <v>0</v>
      </c>
      <c r="Q58">
        <f t="shared" si="25"/>
        <v>33</v>
      </c>
      <c r="R58" s="1">
        <f t="shared" ref="R58" si="72">HLOOKUP(Q58,E50:P56,7)</f>
        <v>10595278.578821955</v>
      </c>
    </row>
    <row r="59" spans="2:18" x14ac:dyDescent="0.25">
      <c r="B59" s="16"/>
      <c r="C59" t="s">
        <v>58</v>
      </c>
      <c r="D59">
        <f t="shared" ref="D59" si="73">D57+D58</f>
        <v>0</v>
      </c>
      <c r="Q59">
        <f t="shared" si="25"/>
        <v>34</v>
      </c>
      <c r="R59" s="1">
        <f t="shared" ref="R59" si="74">HLOOKUP(Q59,E50:P56,7)</f>
        <v>10947278.502309173</v>
      </c>
    </row>
    <row r="60" spans="2:18" x14ac:dyDescent="0.25">
      <c r="B60" s="16"/>
      <c r="C60" t="s">
        <v>42</v>
      </c>
      <c r="D60" s="4">
        <f t="shared" ref="D60" si="75">P56*(1-D52)</f>
        <v>11510622.260890257</v>
      </c>
      <c r="Q60">
        <f t="shared" si="25"/>
        <v>35</v>
      </c>
      <c r="R60" s="1">
        <f t="shared" ref="R60" si="76">HLOOKUP(Q60,E50:P56,7)</f>
        <v>11300958.416716902</v>
      </c>
    </row>
    <row r="61" spans="2:18" x14ac:dyDescent="0.25">
      <c r="B61" s="16"/>
      <c r="Q61">
        <f t="shared" si="25"/>
        <v>36</v>
      </c>
      <c r="R61" s="1">
        <f t="shared" ref="R61" si="77">HLOOKUP(Q61,E50:P56,7)</f>
        <v>11656326.340142032</v>
      </c>
    </row>
    <row r="62" spans="2:18" x14ac:dyDescent="0.25">
      <c r="B62" s="16">
        <f t="shared" ref="B62" si="78">B50+1</f>
        <v>3</v>
      </c>
      <c r="C62" t="s">
        <v>40</v>
      </c>
      <c r="D62" s="2">
        <f t="shared" ref="D62" si="79">5.88%</f>
        <v>5.8799999999999998E-2</v>
      </c>
      <c r="E62">
        <f t="shared" ref="E62" si="80">($B62*12)+1</f>
        <v>37</v>
      </c>
      <c r="F62">
        <f t="shared" ref="F62:P62" si="81">E62+1</f>
        <v>38</v>
      </c>
      <c r="G62">
        <f t="shared" si="81"/>
        <v>39</v>
      </c>
      <c r="H62">
        <f t="shared" si="81"/>
        <v>40</v>
      </c>
      <c r="I62">
        <f t="shared" si="81"/>
        <v>41</v>
      </c>
      <c r="J62">
        <f t="shared" si="81"/>
        <v>42</v>
      </c>
      <c r="K62">
        <f t="shared" si="81"/>
        <v>43</v>
      </c>
      <c r="L62">
        <f t="shared" si="81"/>
        <v>44</v>
      </c>
      <c r="M62">
        <f t="shared" si="81"/>
        <v>45</v>
      </c>
      <c r="N62">
        <f t="shared" si="81"/>
        <v>46</v>
      </c>
      <c r="O62">
        <f t="shared" si="81"/>
        <v>47</v>
      </c>
      <c r="P62">
        <f t="shared" si="81"/>
        <v>48</v>
      </c>
      <c r="Q62">
        <f t="shared" si="25"/>
        <v>37</v>
      </c>
      <c r="R62" s="1">
        <f t="shared" ref="R62" si="82">HLOOKUP(Q62,E62:P68,7)</f>
        <v>11866990.847472018</v>
      </c>
    </row>
    <row r="63" spans="2:18" x14ac:dyDescent="0.25">
      <c r="B63" s="16"/>
      <c r="C63" t="s">
        <v>41</v>
      </c>
      <c r="D63" s="3">
        <f t="shared" ref="D63" si="83">(1+D62)^(1/12)-1</f>
        <v>4.7727025161425907E-3</v>
      </c>
      <c r="E63">
        <f t="shared" ref="E63" si="84">E62/12</f>
        <v>3.0833333333333335</v>
      </c>
      <c r="F63">
        <f t="shared" ref="F63" si="85">F62/12</f>
        <v>3.1666666666666665</v>
      </c>
      <c r="G63">
        <f t="shared" ref="G63" si="86">G62/12</f>
        <v>3.25</v>
      </c>
      <c r="H63">
        <f t="shared" ref="H63" si="87">H62/12</f>
        <v>3.3333333333333335</v>
      </c>
      <c r="I63">
        <f t="shared" ref="I63" si="88">I62/12</f>
        <v>3.4166666666666665</v>
      </c>
      <c r="J63">
        <f t="shared" ref="J63" si="89">J62/12</f>
        <v>3.5</v>
      </c>
      <c r="K63">
        <f t="shared" ref="K63" si="90">K62/12</f>
        <v>3.5833333333333335</v>
      </c>
      <c r="L63">
        <f t="shared" ref="L63" si="91">L62/12</f>
        <v>3.6666666666666665</v>
      </c>
      <c r="M63">
        <f t="shared" ref="M63" si="92">M62/12</f>
        <v>3.75</v>
      </c>
      <c r="N63">
        <f t="shared" ref="N63" si="93">N62/12</f>
        <v>3.8333333333333335</v>
      </c>
      <c r="O63">
        <f t="shared" ref="O63" si="94">O62/12</f>
        <v>3.9166666666666665</v>
      </c>
      <c r="P63">
        <f t="shared" ref="P63" si="95">P62/12</f>
        <v>4</v>
      </c>
      <c r="Q63">
        <f t="shared" si="25"/>
        <v>38</v>
      </c>
      <c r="R63" s="1">
        <f t="shared" ref="R63" si="96">HLOOKUP(Q63,E62:P68,7)</f>
        <v>12225060.275303632</v>
      </c>
    </row>
    <row r="64" spans="2:18" x14ac:dyDescent="0.25">
      <c r="B64" s="16"/>
      <c r="C64" t="s">
        <v>53</v>
      </c>
      <c r="D64" s="2">
        <f t="shared" ref="D64" si="97">1.25%</f>
        <v>1.2500000000000001E-2</v>
      </c>
      <c r="E64" t="s">
        <v>59</v>
      </c>
      <c r="F64" t="s">
        <v>60</v>
      </c>
      <c r="G64" t="s">
        <v>61</v>
      </c>
      <c r="H64" t="s">
        <v>62</v>
      </c>
      <c r="I64" t="s">
        <v>63</v>
      </c>
      <c r="J64" t="s">
        <v>64</v>
      </c>
      <c r="K64" t="s">
        <v>65</v>
      </c>
      <c r="L64" t="s">
        <v>66</v>
      </c>
      <c r="M64" t="s">
        <v>67</v>
      </c>
      <c r="N64" t="s">
        <v>68</v>
      </c>
      <c r="O64" t="s">
        <v>69</v>
      </c>
      <c r="P64" t="s">
        <v>70</v>
      </c>
      <c r="Q64">
        <f t="shared" si="25"/>
        <v>39</v>
      </c>
      <c r="R64" s="1">
        <f t="shared" ref="R64" si="98">HLOOKUP(Q64,E62:P68,7)</f>
        <v>12584838.661994411</v>
      </c>
    </row>
    <row r="65" spans="2:18" x14ac:dyDescent="0.25">
      <c r="B65" s="16"/>
      <c r="C65" t="s">
        <v>54</v>
      </c>
      <c r="D65">
        <f>1</f>
        <v>1</v>
      </c>
      <c r="E65" s="2">
        <f t="shared" ref="E65:P65" si="99">$D51</f>
        <v>4.7727025161425907E-3</v>
      </c>
      <c r="F65" s="2">
        <f t="shared" si="99"/>
        <v>4.7727025161425907E-3</v>
      </c>
      <c r="G65" s="2">
        <f t="shared" si="99"/>
        <v>4.7727025161425907E-3</v>
      </c>
      <c r="H65" s="2">
        <f t="shared" si="99"/>
        <v>4.7727025161425907E-3</v>
      </c>
      <c r="I65" s="2">
        <f t="shared" si="99"/>
        <v>4.7727025161425907E-3</v>
      </c>
      <c r="J65" s="2">
        <f t="shared" si="99"/>
        <v>4.7727025161425907E-3</v>
      </c>
      <c r="K65" s="2">
        <f t="shared" si="99"/>
        <v>4.7727025161425907E-3</v>
      </c>
      <c r="L65" s="2">
        <f t="shared" si="99"/>
        <v>4.7727025161425907E-3</v>
      </c>
      <c r="M65" s="2">
        <f t="shared" si="99"/>
        <v>4.7727025161425907E-3</v>
      </c>
      <c r="N65" s="2">
        <f t="shared" si="99"/>
        <v>4.7727025161425907E-3</v>
      </c>
      <c r="O65" s="2">
        <f t="shared" si="99"/>
        <v>4.7727025161425907E-3</v>
      </c>
      <c r="P65" s="2">
        <f t="shared" si="99"/>
        <v>4.7727025161425907E-3</v>
      </c>
      <c r="Q65">
        <f t="shared" si="25"/>
        <v>40</v>
      </c>
      <c r="R65" s="1">
        <f t="shared" ref="R65" si="100">HLOOKUP(Q65,E62:P68,7)</f>
        <v>12946334.163896604</v>
      </c>
    </row>
    <row r="66" spans="2:18" x14ac:dyDescent="0.25">
      <c r="B66" s="16"/>
      <c r="C66" t="s">
        <v>55</v>
      </c>
      <c r="D66">
        <f t="shared" ref="D66" si="101">D65*12</f>
        <v>12</v>
      </c>
      <c r="E66">
        <f>1</f>
        <v>1</v>
      </c>
      <c r="F66">
        <f>1</f>
        <v>1</v>
      </c>
      <c r="G66">
        <f>1</f>
        <v>1</v>
      </c>
      <c r="H66">
        <f>1</f>
        <v>1</v>
      </c>
      <c r="I66">
        <f>1</f>
        <v>1</v>
      </c>
      <c r="J66">
        <f>1</f>
        <v>1</v>
      </c>
      <c r="K66">
        <f>1</f>
        <v>1</v>
      </c>
      <c r="L66">
        <f>1</f>
        <v>1</v>
      </c>
      <c r="M66">
        <f>1</f>
        <v>1</v>
      </c>
      <c r="N66">
        <f>1</f>
        <v>1</v>
      </c>
      <c r="O66">
        <f>1</f>
        <v>1</v>
      </c>
      <c r="P66">
        <f>1</f>
        <v>1</v>
      </c>
      <c r="Q66">
        <f t="shared" si="25"/>
        <v>41</v>
      </c>
      <c r="R66" s="1">
        <f t="shared" ref="R66" si="102">HLOOKUP(Q66,E62:P68,7)</f>
        <v>13309554.976290299</v>
      </c>
    </row>
    <row r="67" spans="2:18" x14ac:dyDescent="0.25">
      <c r="B67" s="16"/>
      <c r="C67" t="s">
        <v>57</v>
      </c>
      <c r="D67" s="10">
        <f t="shared" ref="D67" si="103">D55*(1+$D$2)</f>
        <v>318.36240000000004</v>
      </c>
      <c r="E67" s="1">
        <f t="shared" ref="E67" si="104">$D68*1000</f>
        <v>300000</v>
      </c>
      <c r="F67" s="1">
        <f t="shared" ref="F67" si="105">$D68*1000</f>
        <v>300000</v>
      </c>
      <c r="G67" s="1">
        <f t="shared" ref="G67" si="106">$D68*1000</f>
        <v>300000</v>
      </c>
      <c r="H67" s="1">
        <f t="shared" ref="H67" si="107">$D68*1000</f>
        <v>300000</v>
      </c>
      <c r="I67" s="1">
        <f t="shared" ref="I67" si="108">$D68*1000</f>
        <v>300000</v>
      </c>
      <c r="J67" s="1">
        <f t="shared" ref="J67" si="109">$D68*1000</f>
        <v>300000</v>
      </c>
      <c r="K67" s="1">
        <f t="shared" ref="K67" si="110">$D68*1000</f>
        <v>300000</v>
      </c>
      <c r="L67" s="1">
        <f t="shared" ref="L67" si="111">$D68*1000</f>
        <v>300000</v>
      </c>
      <c r="M67" s="1">
        <f t="shared" ref="M67" si="112">$D68*1000</f>
        <v>300000</v>
      </c>
      <c r="N67" s="1">
        <f t="shared" ref="N67" si="113">$D68*1000</f>
        <v>300000</v>
      </c>
      <c r="O67" s="1">
        <f t="shared" ref="O67" si="114">$D68*1000</f>
        <v>300000</v>
      </c>
      <c r="P67" s="1">
        <f t="shared" ref="P67" si="115">$D68*1000</f>
        <v>300000</v>
      </c>
      <c r="Q67">
        <f t="shared" si="25"/>
        <v>42</v>
      </c>
      <c r="R67" s="1">
        <f t="shared" ref="R67" si="116">HLOOKUP(Q67,E62:P68,7)</f>
        <v>13674509.333569221</v>
      </c>
    </row>
    <row r="68" spans="2:18" x14ac:dyDescent="0.25">
      <c r="B68" s="16"/>
      <c r="C68" t="s">
        <v>56</v>
      </c>
      <c r="D68" s="10">
        <f t="shared" ref="D68" si="117">IF(D67*(1+$D$2)&gt;D56+50,D56+50,D56)</f>
        <v>300</v>
      </c>
      <c r="E68" s="1">
        <f t="shared" ref="E68" si="118">-FV($E$29,$E$30,$E$31,D60-E69,1)</f>
        <v>11866990.847472018</v>
      </c>
      <c r="F68" s="1">
        <f t="shared" ref="F68:I68" si="119">-FV($E$29,$E$30,$E$31,E68,1)</f>
        <v>12225060.275303632</v>
      </c>
      <c r="G68" s="1">
        <f t="shared" si="119"/>
        <v>12584838.661994411</v>
      </c>
      <c r="H68" s="1">
        <f t="shared" si="119"/>
        <v>12946334.163896604</v>
      </c>
      <c r="I68" s="1">
        <f t="shared" si="119"/>
        <v>13309554.976290299</v>
      </c>
      <c r="J68" s="1">
        <f t="shared" ref="J68" si="120">-FV($E$29,$E$30,$E$31,I68-J69,1)</f>
        <v>13674509.333569221</v>
      </c>
      <c r="K68" s="1">
        <f t="shared" ref="K68:P68" si="121">-FV($E$29,$E$30,$E$31,J68,1)</f>
        <v>14041205.509427406</v>
      </c>
      <c r="L68" s="1">
        <f t="shared" si="121"/>
        <v>14409651.817046769</v>
      </c>
      <c r="M68" s="1">
        <f t="shared" si="121"/>
        <v>14779856.609285571</v>
      </c>
      <c r="N68" s="1">
        <f t="shared" si="121"/>
        <v>15151828.278867777</v>
      </c>
      <c r="O68" s="1">
        <f t="shared" si="121"/>
        <v>15525575.258573333</v>
      </c>
      <c r="P68" s="1">
        <f t="shared" si="121"/>
        <v>15901106.02142933</v>
      </c>
      <c r="Q68">
        <f t="shared" si="25"/>
        <v>43</v>
      </c>
      <c r="R68" s="1">
        <f t="shared" ref="R68" si="122">HLOOKUP(Q68,E62:P68,7)</f>
        <v>14041205.509427406</v>
      </c>
    </row>
    <row r="69" spans="2:18" x14ac:dyDescent="0.25">
      <c r="B69" s="16"/>
      <c r="C69" t="s">
        <v>71</v>
      </c>
      <c r="D69">
        <f t="shared" ref="D69" si="123">$E69</f>
        <v>0</v>
      </c>
      <c r="E69" s="1">
        <f t="shared" ref="E69" si="124">ROUNDUP(IF(E63&gt;=$E$9,$D$9,IF(E63&gt;=$E$8,$D$8,IF(E63&gt;=$E$7,$D$7,IF(E63&gt;=$E$6,$D$6,IF(E63&gt;=$E$5,$D$5,IF(E63&gt;=$E$4,$D$4,0))))))*1000*(1+$D$2)^$B62,-3)</f>
        <v>0</v>
      </c>
      <c r="J69" s="1">
        <f t="shared" ref="J69" si="125">ROUNDUP(IF(J63&gt;=$E$9,$D$9,IF(J63&gt;=$E$8,$D$8,IF(J63&gt;=$E$7,$D$7,IF(J63&gt;=$E$6,$D$6,IF(J63&gt;=$E$5,$D$5,IF(J63&gt;=$E$4,$D$4,0))))))*1000*(1+$D$2)^$B62,-3)</f>
        <v>0</v>
      </c>
      <c r="Q69">
        <f t="shared" si="25"/>
        <v>44</v>
      </c>
      <c r="R69" s="1">
        <f t="shared" ref="R69" si="126">HLOOKUP(Q69,E62:P68,7)</f>
        <v>14409651.817046769</v>
      </c>
    </row>
    <row r="70" spans="2:18" x14ac:dyDescent="0.25">
      <c r="B70" s="16"/>
      <c r="C70" t="s">
        <v>72</v>
      </c>
      <c r="D70">
        <f t="shared" ref="D70" si="127">$J69</f>
        <v>0</v>
      </c>
      <c r="Q70">
        <f t="shared" si="25"/>
        <v>45</v>
      </c>
      <c r="R70" s="1">
        <f t="shared" ref="R70" si="128">HLOOKUP(Q70,E62:P68,7)</f>
        <v>14779856.609285571</v>
      </c>
    </row>
    <row r="71" spans="2:18" x14ac:dyDescent="0.25">
      <c r="B71" s="16"/>
      <c r="C71" t="s">
        <v>58</v>
      </c>
      <c r="D71">
        <f t="shared" ref="D71" si="129">D69+D70</f>
        <v>0</v>
      </c>
      <c r="Q71">
        <f t="shared" si="25"/>
        <v>46</v>
      </c>
      <c r="R71" s="1">
        <f t="shared" ref="R71" si="130">HLOOKUP(Q71,E62:P68,7)</f>
        <v>15151828.278867777</v>
      </c>
    </row>
    <row r="72" spans="2:18" x14ac:dyDescent="0.25">
      <c r="B72" s="16"/>
      <c r="C72" t="s">
        <v>42</v>
      </c>
      <c r="D72" s="4">
        <f t="shared" ref="D72" si="131">P68*(1-D64)</f>
        <v>15702342.196161464</v>
      </c>
      <c r="Q72">
        <f t="shared" si="25"/>
        <v>47</v>
      </c>
      <c r="R72" s="1">
        <f t="shared" ref="R72" si="132">HLOOKUP(Q72,E62:P68,7)</f>
        <v>15525575.258573333</v>
      </c>
    </row>
    <row r="73" spans="2:18" x14ac:dyDescent="0.25">
      <c r="B73" s="16"/>
      <c r="Q73">
        <f t="shared" si="25"/>
        <v>48</v>
      </c>
      <c r="R73" s="1">
        <f t="shared" ref="R73" si="133">HLOOKUP(Q73,E62:P68,7)</f>
        <v>15901106.02142933</v>
      </c>
    </row>
    <row r="74" spans="2:18" x14ac:dyDescent="0.25">
      <c r="B74" s="16">
        <f t="shared" ref="B74" si="134">B62+1</f>
        <v>4</v>
      </c>
      <c r="C74" t="s">
        <v>40</v>
      </c>
      <c r="D74" s="2">
        <f t="shared" ref="D74" si="135">5.88%</f>
        <v>5.8799999999999998E-2</v>
      </c>
      <c r="E74">
        <f t="shared" ref="E74" si="136">($B74*12)+1</f>
        <v>49</v>
      </c>
      <c r="F74">
        <f t="shared" ref="F74:P74" si="137">E74+1</f>
        <v>50</v>
      </c>
      <c r="G74">
        <f t="shared" si="137"/>
        <v>51</v>
      </c>
      <c r="H74">
        <f t="shared" si="137"/>
        <v>52</v>
      </c>
      <c r="I74">
        <f t="shared" si="137"/>
        <v>53</v>
      </c>
      <c r="J74">
        <f t="shared" si="137"/>
        <v>54</v>
      </c>
      <c r="K74">
        <f t="shared" si="137"/>
        <v>55</v>
      </c>
      <c r="L74">
        <f t="shared" si="137"/>
        <v>56</v>
      </c>
      <c r="M74">
        <f t="shared" si="137"/>
        <v>57</v>
      </c>
      <c r="N74">
        <f t="shared" si="137"/>
        <v>58</v>
      </c>
      <c r="O74">
        <f t="shared" si="137"/>
        <v>59</v>
      </c>
      <c r="P74">
        <f t="shared" si="137"/>
        <v>60</v>
      </c>
      <c r="Q74">
        <f t="shared" si="25"/>
        <v>49</v>
      </c>
      <c r="R74" s="1">
        <f t="shared" ref="R74" si="138">HLOOKUP(Q74,E74:P80,7)</f>
        <v>16078716.61502526</v>
      </c>
    </row>
    <row r="75" spans="2:18" x14ac:dyDescent="0.25">
      <c r="B75" s="16"/>
      <c r="C75" t="s">
        <v>41</v>
      </c>
      <c r="D75" s="3">
        <f t="shared" ref="D75" si="139">(1+D74)^(1/12)-1</f>
        <v>4.7727025161425907E-3</v>
      </c>
      <c r="E75">
        <f t="shared" ref="E75" si="140">E74/12</f>
        <v>4.083333333333333</v>
      </c>
      <c r="F75">
        <f t="shared" ref="F75" si="141">F74/12</f>
        <v>4.166666666666667</v>
      </c>
      <c r="G75">
        <f t="shared" ref="G75" si="142">G74/12</f>
        <v>4.25</v>
      </c>
      <c r="H75">
        <f t="shared" ref="H75" si="143">H74/12</f>
        <v>4.333333333333333</v>
      </c>
      <c r="I75">
        <f t="shared" ref="I75" si="144">I74/12</f>
        <v>4.416666666666667</v>
      </c>
      <c r="J75">
        <f t="shared" ref="J75" si="145">J74/12</f>
        <v>4.5</v>
      </c>
      <c r="K75">
        <f t="shared" ref="K75" si="146">K74/12</f>
        <v>4.583333333333333</v>
      </c>
      <c r="L75">
        <f t="shared" ref="L75" si="147">L74/12</f>
        <v>4.666666666666667</v>
      </c>
      <c r="M75">
        <f t="shared" ref="M75" si="148">M74/12</f>
        <v>4.75</v>
      </c>
      <c r="N75">
        <f t="shared" ref="N75" si="149">N74/12</f>
        <v>4.833333333333333</v>
      </c>
      <c r="O75">
        <f t="shared" ref="O75" si="150">O74/12</f>
        <v>4.916666666666667</v>
      </c>
      <c r="P75">
        <f t="shared" ref="P75" si="151">P74/12</f>
        <v>5</v>
      </c>
      <c r="Q75">
        <f t="shared" si="25"/>
        <v>50</v>
      </c>
      <c r="R75" s="1">
        <f t="shared" ref="R75" si="152">HLOOKUP(Q75,E74:P80,7)</f>
        <v>16456887.357024977</v>
      </c>
    </row>
    <row r="76" spans="2:18" x14ac:dyDescent="0.25">
      <c r="B76" s="16"/>
      <c r="C76" t="s">
        <v>53</v>
      </c>
      <c r="D76" s="2">
        <f t="shared" ref="D76" si="153">1.25%</f>
        <v>1.2500000000000001E-2</v>
      </c>
      <c r="E76" t="s">
        <v>59</v>
      </c>
      <c r="F76" t="s">
        <v>60</v>
      </c>
      <c r="G76" t="s">
        <v>61</v>
      </c>
      <c r="H76" t="s">
        <v>62</v>
      </c>
      <c r="I76" t="s">
        <v>63</v>
      </c>
      <c r="J76" t="s">
        <v>64</v>
      </c>
      <c r="K76" t="s">
        <v>65</v>
      </c>
      <c r="L76" t="s">
        <v>66</v>
      </c>
      <c r="M76" t="s">
        <v>67</v>
      </c>
      <c r="N76" t="s">
        <v>68</v>
      </c>
      <c r="O76" t="s">
        <v>69</v>
      </c>
      <c r="P76" t="s">
        <v>70</v>
      </c>
      <c r="Q76">
        <f t="shared" si="25"/>
        <v>51</v>
      </c>
      <c r="R76" s="1">
        <f t="shared" ref="R76" si="154">HLOOKUP(Q76,E74:P80,7)</f>
        <v>16836862.995476566</v>
      </c>
    </row>
    <row r="77" spans="2:18" x14ac:dyDescent="0.25">
      <c r="B77" s="16"/>
      <c r="C77" t="s">
        <v>54</v>
      </c>
      <c r="D77">
        <f>1</f>
        <v>1</v>
      </c>
      <c r="E77" s="2">
        <f t="shared" ref="E77:P77" si="155">$D63</f>
        <v>4.7727025161425907E-3</v>
      </c>
      <c r="F77" s="2">
        <f t="shared" si="155"/>
        <v>4.7727025161425907E-3</v>
      </c>
      <c r="G77" s="2">
        <f t="shared" si="155"/>
        <v>4.7727025161425907E-3</v>
      </c>
      <c r="H77" s="2">
        <f t="shared" si="155"/>
        <v>4.7727025161425907E-3</v>
      </c>
      <c r="I77" s="2">
        <f t="shared" si="155"/>
        <v>4.7727025161425907E-3</v>
      </c>
      <c r="J77" s="2">
        <f t="shared" si="155"/>
        <v>4.7727025161425907E-3</v>
      </c>
      <c r="K77" s="2">
        <f t="shared" si="155"/>
        <v>4.7727025161425907E-3</v>
      </c>
      <c r="L77" s="2">
        <f t="shared" si="155"/>
        <v>4.7727025161425907E-3</v>
      </c>
      <c r="M77" s="2">
        <f t="shared" si="155"/>
        <v>4.7727025161425907E-3</v>
      </c>
      <c r="N77" s="2">
        <f t="shared" si="155"/>
        <v>4.7727025161425907E-3</v>
      </c>
      <c r="O77" s="2">
        <f t="shared" si="155"/>
        <v>4.7727025161425907E-3</v>
      </c>
      <c r="P77" s="2">
        <f t="shared" si="155"/>
        <v>4.7727025161425907E-3</v>
      </c>
      <c r="Q77">
        <f t="shared" si="25"/>
        <v>52</v>
      </c>
      <c r="R77" s="1">
        <f t="shared" ref="R77" si="156">HLOOKUP(Q77,E74:P80,7)</f>
        <v>17218652.144613869</v>
      </c>
    </row>
    <row r="78" spans="2:18" x14ac:dyDescent="0.25">
      <c r="B78" s="16"/>
      <c r="C78" t="s">
        <v>55</v>
      </c>
      <c r="D78">
        <f t="shared" ref="D78" si="157">D77*12</f>
        <v>12</v>
      </c>
      <c r="E78">
        <f>1</f>
        <v>1</v>
      </c>
      <c r="F78">
        <f>1</f>
        <v>1</v>
      </c>
      <c r="G78">
        <f>1</f>
        <v>1</v>
      </c>
      <c r="H78">
        <f>1</f>
        <v>1</v>
      </c>
      <c r="I78">
        <f>1</f>
        <v>1</v>
      </c>
      <c r="J78">
        <f>1</f>
        <v>1</v>
      </c>
      <c r="K78">
        <f>1</f>
        <v>1</v>
      </c>
      <c r="L78">
        <f>1</f>
        <v>1</v>
      </c>
      <c r="M78">
        <f>1</f>
        <v>1</v>
      </c>
      <c r="N78">
        <f>1</f>
        <v>1</v>
      </c>
      <c r="O78">
        <f>1</f>
        <v>1</v>
      </c>
      <c r="P78">
        <f>1</f>
        <v>1</v>
      </c>
      <c r="Q78">
        <f t="shared" si="25"/>
        <v>53</v>
      </c>
      <c r="R78" s="1">
        <f t="shared" ref="R78" si="158">HLOOKUP(Q78,E74:P80,7)</f>
        <v>17602263.459783897</v>
      </c>
    </row>
    <row r="79" spans="2:18" x14ac:dyDescent="0.25">
      <c r="B79" s="16"/>
      <c r="C79" t="s">
        <v>57</v>
      </c>
      <c r="D79" s="10">
        <f t="shared" ref="D79" si="159">D67*(1+$D$2)</f>
        <v>324.72964800000005</v>
      </c>
      <c r="E79" s="1">
        <f t="shared" ref="E79" si="160">$D80*1000</f>
        <v>300000</v>
      </c>
      <c r="F79" s="1">
        <f t="shared" ref="F79" si="161">$D80*1000</f>
        <v>300000</v>
      </c>
      <c r="G79" s="1">
        <f t="shared" ref="G79" si="162">$D80*1000</f>
        <v>300000</v>
      </c>
      <c r="H79" s="1">
        <f t="shared" ref="H79" si="163">$D80*1000</f>
        <v>300000</v>
      </c>
      <c r="I79" s="1">
        <f t="shared" ref="I79" si="164">$D80*1000</f>
        <v>300000</v>
      </c>
      <c r="J79" s="1">
        <f t="shared" ref="J79" si="165">$D80*1000</f>
        <v>300000</v>
      </c>
      <c r="K79" s="1">
        <f t="shared" ref="K79" si="166">$D80*1000</f>
        <v>300000</v>
      </c>
      <c r="L79" s="1">
        <f t="shared" ref="L79" si="167">$D80*1000</f>
        <v>300000</v>
      </c>
      <c r="M79" s="1">
        <f t="shared" ref="M79" si="168">$D80*1000</f>
        <v>300000</v>
      </c>
      <c r="N79" s="1">
        <f t="shared" ref="N79" si="169">$D80*1000</f>
        <v>300000</v>
      </c>
      <c r="O79" s="1">
        <f t="shared" ref="O79" si="170">$D80*1000</f>
        <v>300000</v>
      </c>
      <c r="P79" s="1">
        <f t="shared" ref="P79" si="171">$D80*1000</f>
        <v>300000</v>
      </c>
      <c r="Q79">
        <f t="shared" si="25"/>
        <v>54</v>
      </c>
      <c r="R79" s="1">
        <f t="shared" ref="R79" si="172">HLOOKUP(Q79,E74:P80,7)</f>
        <v>17987705.637643054</v>
      </c>
    </row>
    <row r="80" spans="2:18" x14ac:dyDescent="0.25">
      <c r="B80" s="16"/>
      <c r="C80" t="s">
        <v>56</v>
      </c>
      <c r="D80" s="10">
        <f t="shared" ref="D80" si="173">IF(D79*(1+$D$2)&gt;D68+50,D68+50,D68)</f>
        <v>300</v>
      </c>
      <c r="E80" s="1">
        <f t="shared" ref="E80" si="174">-FV($E$29,$E$30,$E$31,D72-E81,1)</f>
        <v>16078716.61502526</v>
      </c>
      <c r="F80" s="1">
        <f t="shared" ref="F80:I80" si="175">-FV($E$29,$E$30,$E$31,E80,1)</f>
        <v>16456887.357024977</v>
      </c>
      <c r="G80" s="1">
        <f t="shared" si="175"/>
        <v>16836862.995476566</v>
      </c>
      <c r="H80" s="1">
        <f t="shared" si="175"/>
        <v>17218652.144613869</v>
      </c>
      <c r="I80" s="1">
        <f t="shared" si="175"/>
        <v>17602263.459783897</v>
      </c>
      <c r="J80" s="1">
        <f t="shared" ref="J80" si="176">-FV($E$29,$E$30,$E$31,I80-J81,1)</f>
        <v>17987705.637643054</v>
      </c>
      <c r="K80" s="1">
        <f t="shared" ref="K80:P80" si="177">-FV($E$29,$E$30,$E$31,J80,1)</f>
        <v>18374987.41635431</v>
      </c>
      <c r="L80" s="1">
        <f t="shared" si="177"/>
        <v>18764117.575785276</v>
      </c>
      <c r="M80" s="1">
        <f t="shared" si="177"/>
        <v>19155104.937707264</v>
      </c>
      <c r="N80" s="1">
        <f t="shared" si="177"/>
        <v>19547958.365995277</v>
      </c>
      <c r="O80" s="1">
        <f t="shared" si="177"/>
        <v>19942686.766828954</v>
      </c>
      <c r="P80" s="1">
        <f t="shared" si="177"/>
        <v>20339299.088894486</v>
      </c>
      <c r="Q80">
        <f t="shared" si="25"/>
        <v>55</v>
      </c>
      <c r="R80" s="1">
        <f t="shared" ref="R80" si="178">HLOOKUP(Q80,E74:P80,7)</f>
        <v>18374987.41635431</v>
      </c>
    </row>
    <row r="81" spans="2:18" x14ac:dyDescent="0.25">
      <c r="B81" s="16"/>
      <c r="C81" t="s">
        <v>71</v>
      </c>
      <c r="D81">
        <f t="shared" ref="D81" si="179">$E81</f>
        <v>0</v>
      </c>
      <c r="E81" s="1">
        <f t="shared" ref="E81" si="180">ROUNDUP(IF(E75&gt;=$E$9,$D$9,IF(E75&gt;=$E$8,$D$8,IF(E75&gt;=$E$7,$D$7,IF(E75&gt;=$E$6,$D$6,IF(E75&gt;=$E$5,$D$5,IF(E75&gt;=$E$4,$D$4,0))))))*1000*(1+$D$2)^$B74,-3)</f>
        <v>0</v>
      </c>
      <c r="J81" s="1">
        <f t="shared" ref="J81" si="181">ROUNDUP(IF(J75&gt;=$E$9,$D$9,IF(J75&gt;=$E$8,$D$8,IF(J75&gt;=$E$7,$D$7,IF(J75&gt;=$E$6,$D$6,IF(J75&gt;=$E$5,$D$5,IF(J75&gt;=$E$4,$D$4,0))))))*1000*(1+$D$2)^$B74,-3)</f>
        <v>0</v>
      </c>
      <c r="Q81">
        <f t="shared" si="25"/>
        <v>56</v>
      </c>
      <c r="R81" s="1">
        <f t="shared" ref="R81" si="182">HLOOKUP(Q81,E74:P80,7)</f>
        <v>18764117.575785276</v>
      </c>
    </row>
    <row r="82" spans="2:18" x14ac:dyDescent="0.25">
      <c r="B82" s="16"/>
      <c r="C82" t="s">
        <v>72</v>
      </c>
      <c r="D82">
        <f t="shared" ref="D82" si="183">$J81</f>
        <v>0</v>
      </c>
      <c r="Q82">
        <f t="shared" si="25"/>
        <v>57</v>
      </c>
      <c r="R82" s="1">
        <f t="shared" ref="R82" si="184">HLOOKUP(Q82,E74:P80,7)</f>
        <v>19155104.937707264</v>
      </c>
    </row>
    <row r="83" spans="2:18" x14ac:dyDescent="0.25">
      <c r="B83" s="16"/>
      <c r="C83" t="s">
        <v>58</v>
      </c>
      <c r="D83">
        <f t="shared" ref="D83" si="185">D81+D82</f>
        <v>0</v>
      </c>
      <c r="Q83">
        <f t="shared" si="25"/>
        <v>58</v>
      </c>
      <c r="R83" s="1">
        <f t="shared" ref="R83" si="186">HLOOKUP(Q83,E74:P80,7)</f>
        <v>19547958.365995277</v>
      </c>
    </row>
    <row r="84" spans="2:18" x14ac:dyDescent="0.25">
      <c r="B84" s="16"/>
      <c r="C84" t="s">
        <v>42</v>
      </c>
      <c r="D84" s="4">
        <f t="shared" ref="D84" si="187">P80*(1-D76)</f>
        <v>20085057.850283306</v>
      </c>
      <c r="Q84">
        <f t="shared" si="25"/>
        <v>59</v>
      </c>
      <c r="R84" s="1">
        <f t="shared" ref="R84" si="188">HLOOKUP(Q84,E74:P80,7)</f>
        <v>19942686.766828954</v>
      </c>
    </row>
    <row r="85" spans="2:18" x14ac:dyDescent="0.25">
      <c r="B85" s="16"/>
      <c r="Q85">
        <f t="shared" si="25"/>
        <v>60</v>
      </c>
      <c r="R85" s="1">
        <f t="shared" ref="R85" si="189">HLOOKUP(Q85,E74:P80,7)</f>
        <v>20339299.088894486</v>
      </c>
    </row>
    <row r="86" spans="2:18" x14ac:dyDescent="0.25">
      <c r="B86" s="16">
        <f t="shared" ref="B86" si="190">B74+1</f>
        <v>5</v>
      </c>
      <c r="C86" t="s">
        <v>40</v>
      </c>
      <c r="D86" s="2">
        <f t="shared" ref="D86" si="191">5.88%</f>
        <v>5.8799999999999998E-2</v>
      </c>
      <c r="E86">
        <f t="shared" ref="E86" si="192">($B86*12)+1</f>
        <v>61</v>
      </c>
      <c r="F86">
        <f t="shared" ref="F86:P86" si="193">E86+1</f>
        <v>62</v>
      </c>
      <c r="G86">
        <f t="shared" si="193"/>
        <v>63</v>
      </c>
      <c r="H86">
        <f t="shared" si="193"/>
        <v>64</v>
      </c>
      <c r="I86">
        <f t="shared" si="193"/>
        <v>65</v>
      </c>
      <c r="J86">
        <f t="shared" si="193"/>
        <v>66</v>
      </c>
      <c r="K86">
        <f t="shared" si="193"/>
        <v>67</v>
      </c>
      <c r="L86">
        <f t="shared" si="193"/>
        <v>68</v>
      </c>
      <c r="M86">
        <f t="shared" si="193"/>
        <v>69</v>
      </c>
      <c r="N86">
        <f t="shared" si="193"/>
        <v>70</v>
      </c>
      <c r="O86">
        <f t="shared" si="193"/>
        <v>71</v>
      </c>
      <c r="P86">
        <f t="shared" si="193"/>
        <v>72</v>
      </c>
      <c r="Q86">
        <f t="shared" si="25"/>
        <v>61</v>
      </c>
      <c r="R86" s="1">
        <f t="shared" ref="R86" si="194">HLOOKUP(Q86,E86:P92,7)</f>
        <v>20482349.667177066</v>
      </c>
    </row>
    <row r="87" spans="2:18" x14ac:dyDescent="0.25">
      <c r="B87" s="16"/>
      <c r="C87" t="s">
        <v>41</v>
      </c>
      <c r="D87" s="3">
        <f t="shared" ref="D87" si="195">(1+D86)^(1/12)-1</f>
        <v>4.7727025161425907E-3</v>
      </c>
      <c r="E87">
        <f t="shared" ref="E87" si="196">E86/12</f>
        <v>5.083333333333333</v>
      </c>
      <c r="F87">
        <f t="shared" ref="F87" si="197">F86/12</f>
        <v>5.166666666666667</v>
      </c>
      <c r="G87">
        <f t="shared" ref="G87" si="198">G86/12</f>
        <v>5.25</v>
      </c>
      <c r="H87">
        <f t="shared" ref="H87" si="199">H86/12</f>
        <v>5.333333333333333</v>
      </c>
      <c r="I87">
        <f t="shared" ref="I87" si="200">I86/12</f>
        <v>5.416666666666667</v>
      </c>
      <c r="J87">
        <f t="shared" ref="J87" si="201">J86/12</f>
        <v>5.5</v>
      </c>
      <c r="K87">
        <f t="shared" ref="K87" si="202">K86/12</f>
        <v>5.583333333333333</v>
      </c>
      <c r="L87">
        <f t="shared" ref="L87" si="203">L86/12</f>
        <v>5.666666666666667</v>
      </c>
      <c r="M87">
        <f t="shared" ref="M87" si="204">M86/12</f>
        <v>5.75</v>
      </c>
      <c r="N87">
        <f t="shared" ref="N87" si="205">N86/12</f>
        <v>5.833333333333333</v>
      </c>
      <c r="O87">
        <f t="shared" ref="O87" si="206">O86/12</f>
        <v>5.916666666666667</v>
      </c>
      <c r="P87">
        <f t="shared" ref="P87" si="207">P86/12</f>
        <v>6</v>
      </c>
      <c r="Q87">
        <f t="shared" si="25"/>
        <v>62</v>
      </c>
      <c r="R87" s="1">
        <f t="shared" ref="R87" si="208">HLOOKUP(Q87,E86:P92,7)</f>
        <v>20881537.639724959</v>
      </c>
    </row>
    <row r="88" spans="2:18" x14ac:dyDescent="0.25">
      <c r="B88" s="16"/>
      <c r="C88" t="s">
        <v>53</v>
      </c>
      <c r="D88" s="2">
        <f t="shared" ref="D88" si="209">1.25%</f>
        <v>1.2500000000000001E-2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  <c r="L88" t="s">
        <v>66</v>
      </c>
      <c r="M88" t="s">
        <v>67</v>
      </c>
      <c r="N88" t="s">
        <v>68</v>
      </c>
      <c r="O88" t="s">
        <v>69</v>
      </c>
      <c r="P88" t="s">
        <v>70</v>
      </c>
      <c r="Q88">
        <f t="shared" si="25"/>
        <v>63</v>
      </c>
      <c r="R88" s="1">
        <f t="shared" ref="R88" si="210">HLOOKUP(Q88,E86:P92,7)</f>
        <v>21282630.817713842</v>
      </c>
    </row>
    <row r="89" spans="2:18" x14ac:dyDescent="0.25">
      <c r="B89" s="16"/>
      <c r="C89" t="s">
        <v>54</v>
      </c>
      <c r="D89">
        <f>1</f>
        <v>1</v>
      </c>
      <c r="E89" s="2">
        <f t="shared" ref="E89:P89" si="211">$D75</f>
        <v>4.7727025161425907E-3</v>
      </c>
      <c r="F89" s="2">
        <f t="shared" si="211"/>
        <v>4.7727025161425907E-3</v>
      </c>
      <c r="G89" s="2">
        <f t="shared" si="211"/>
        <v>4.7727025161425907E-3</v>
      </c>
      <c r="H89" s="2">
        <f t="shared" si="211"/>
        <v>4.7727025161425907E-3</v>
      </c>
      <c r="I89" s="2">
        <f t="shared" si="211"/>
        <v>4.7727025161425907E-3</v>
      </c>
      <c r="J89" s="2">
        <f t="shared" si="211"/>
        <v>4.7727025161425907E-3</v>
      </c>
      <c r="K89" s="2">
        <f t="shared" si="211"/>
        <v>4.7727025161425907E-3</v>
      </c>
      <c r="L89" s="2">
        <f t="shared" si="211"/>
        <v>4.7727025161425907E-3</v>
      </c>
      <c r="M89" s="2">
        <f t="shared" si="211"/>
        <v>4.7727025161425907E-3</v>
      </c>
      <c r="N89" s="2">
        <f t="shared" si="211"/>
        <v>4.7727025161425907E-3</v>
      </c>
      <c r="O89" s="2">
        <f t="shared" si="211"/>
        <v>4.7727025161425907E-3</v>
      </c>
      <c r="P89" s="2">
        <f t="shared" si="211"/>
        <v>4.7727025161425907E-3</v>
      </c>
      <c r="Q89">
        <f t="shared" si="25"/>
        <v>64</v>
      </c>
      <c r="R89" s="1">
        <f t="shared" ref="R89" si="212">HLOOKUP(Q89,E86:P92,7)</f>
        <v>21685638.294122521</v>
      </c>
    </row>
    <row r="90" spans="2:18" x14ac:dyDescent="0.25">
      <c r="B90" s="16"/>
      <c r="C90" t="s">
        <v>55</v>
      </c>
      <c r="D90">
        <f t="shared" ref="D90" si="213">D89*12</f>
        <v>12</v>
      </c>
      <c r="E90">
        <f>1</f>
        <v>1</v>
      </c>
      <c r="F90">
        <f>1</f>
        <v>1</v>
      </c>
      <c r="G90">
        <f>1</f>
        <v>1</v>
      </c>
      <c r="H90">
        <f>1</f>
        <v>1</v>
      </c>
      <c r="I90">
        <f>1</f>
        <v>1</v>
      </c>
      <c r="J90">
        <f>1</f>
        <v>1</v>
      </c>
      <c r="K90">
        <f>1</f>
        <v>1</v>
      </c>
      <c r="L90">
        <f>1</f>
        <v>1</v>
      </c>
      <c r="M90">
        <f>1</f>
        <v>1</v>
      </c>
      <c r="N90">
        <f>1</f>
        <v>1</v>
      </c>
      <c r="O90">
        <f>1</f>
        <v>1</v>
      </c>
      <c r="P90">
        <f>1</f>
        <v>1</v>
      </c>
      <c r="Q90">
        <f t="shared" si="25"/>
        <v>65</v>
      </c>
      <c r="R90" s="1">
        <f t="shared" ref="R90" si="214">HLOOKUP(Q90,E86:P92,7)</f>
        <v>22090569.20532788</v>
      </c>
    </row>
    <row r="91" spans="2:18" x14ac:dyDescent="0.25">
      <c r="B91" s="16"/>
      <c r="C91" t="s">
        <v>57</v>
      </c>
      <c r="D91" s="10">
        <f t="shared" ref="D91" si="215">D79*(1+$D$2)</f>
        <v>331.22424096000009</v>
      </c>
      <c r="E91" s="1">
        <f t="shared" ref="E91" si="216">$D92*1000</f>
        <v>300000</v>
      </c>
      <c r="F91" s="1">
        <f t="shared" ref="F91" si="217">$D92*1000</f>
        <v>300000</v>
      </c>
      <c r="G91" s="1">
        <f t="shared" ref="G91" si="218">$D92*1000</f>
        <v>300000</v>
      </c>
      <c r="H91" s="1">
        <f t="shared" ref="H91" si="219">$D92*1000</f>
        <v>300000</v>
      </c>
      <c r="I91" s="1">
        <f t="shared" ref="I91" si="220">$D92*1000</f>
        <v>300000</v>
      </c>
      <c r="J91" s="1">
        <f t="shared" ref="J91" si="221">$D92*1000</f>
        <v>300000</v>
      </c>
      <c r="K91" s="1">
        <f t="shared" ref="K91" si="222">$D92*1000</f>
        <v>300000</v>
      </c>
      <c r="L91" s="1">
        <f t="shared" ref="L91" si="223">$D92*1000</f>
        <v>300000</v>
      </c>
      <c r="M91" s="1">
        <f t="shared" ref="M91" si="224">$D92*1000</f>
        <v>300000</v>
      </c>
      <c r="N91" s="1">
        <f t="shared" ref="N91" si="225">$D92*1000</f>
        <v>300000</v>
      </c>
      <c r="O91" s="1">
        <f t="shared" ref="O91" si="226">$D92*1000</f>
        <v>300000</v>
      </c>
      <c r="P91" s="1">
        <f t="shared" ref="P91" si="227">$D92*1000</f>
        <v>300000</v>
      </c>
      <c r="Q91">
        <f t="shared" si="25"/>
        <v>66</v>
      </c>
      <c r="R91" s="1">
        <f t="shared" ref="R91" si="228">HLOOKUP(Q91,E86:P92,7)</f>
        <v>22497432.731312014</v>
      </c>
    </row>
    <row r="92" spans="2:18" x14ac:dyDescent="0.25">
      <c r="B92" s="16"/>
      <c r="C92" t="s">
        <v>56</v>
      </c>
      <c r="D92" s="10">
        <f t="shared" ref="D92" si="229">IF(D91*(1+$D$2)&gt;D80+50,D80+50,D80)</f>
        <v>300</v>
      </c>
      <c r="E92" s="1">
        <f t="shared" ref="E92" si="230">-FV($E$29,$E$30,$E$31,D84-E93,1)</f>
        <v>20482349.667177066</v>
      </c>
      <c r="F92" s="1">
        <f t="shared" ref="F92:I92" si="231">-FV($E$29,$E$30,$E$31,E92,1)</f>
        <v>20881537.639724959</v>
      </c>
      <c r="G92" s="1">
        <f t="shared" si="231"/>
        <v>21282630.817713842</v>
      </c>
      <c r="H92" s="1">
        <f t="shared" si="231"/>
        <v>21685638.294122521</v>
      </c>
      <c r="I92" s="1">
        <f t="shared" si="231"/>
        <v>22090569.20532788</v>
      </c>
      <c r="J92" s="1">
        <f t="shared" ref="J92" si="232">-FV($E$29,$E$30,$E$31,I92-J93,1)</f>
        <v>22497432.731312014</v>
      </c>
      <c r="K92" s="1">
        <f t="shared" ref="K92:P92" si="233">-FV($E$29,$E$30,$E$31,J92,1)</f>
        <v>22906238.095870338</v>
      </c>
      <c r="L92" s="1">
        <f t="shared" si="233"/>
        <v>23316994.566820703</v>
      </c>
      <c r="M92" s="1">
        <f t="shared" si="233"/>
        <v>23729711.456213497</v>
      </c>
      <c r="N92" s="1">
        <f t="shared" si="233"/>
        <v>24144398.120542746</v>
      </c>
      <c r="O92" s="1">
        <f t="shared" si="233"/>
        <v>24561063.960958254</v>
      </c>
      <c r="P92" s="1">
        <f t="shared" si="233"/>
        <v>24979718.4234787</v>
      </c>
      <c r="Q92">
        <f t="shared" si="25"/>
        <v>67</v>
      </c>
      <c r="R92" s="1">
        <f t="shared" ref="R92" si="234">HLOOKUP(Q92,E86:P92,7)</f>
        <v>22906238.095870338</v>
      </c>
    </row>
    <row r="93" spans="2:18" x14ac:dyDescent="0.25">
      <c r="B93" s="16"/>
      <c r="C93" t="s">
        <v>71</v>
      </c>
      <c r="D93">
        <f t="shared" ref="D93" si="235">$E93</f>
        <v>0</v>
      </c>
      <c r="E93" s="1">
        <f t="shared" ref="E93" si="236">ROUNDUP(IF(E87&gt;=$E$9,$D$9,IF(E87&gt;=$E$8,$D$8,IF(E87&gt;=$E$7,$D$7,IF(E87&gt;=$E$6,$D$6,IF(E87&gt;=$E$5,$D$5,IF(E87&gt;=$E$4,$D$4,0))))))*1000*(1+$D$2)^$B86,-3)</f>
        <v>0</v>
      </c>
      <c r="J93" s="1">
        <f t="shared" ref="J93" si="237">ROUNDUP(IF(J87&gt;=$E$9,$D$9,IF(J87&gt;=$E$8,$D$8,IF(J87&gt;=$E$7,$D$7,IF(J87&gt;=$E$6,$D$6,IF(J87&gt;=$E$5,$D$5,IF(J87&gt;=$E$4,$D$4,0))))))*1000*(1+$D$2)^$B86,-3)</f>
        <v>0</v>
      </c>
      <c r="Q93">
        <f t="shared" si="25"/>
        <v>68</v>
      </c>
      <c r="R93" s="1">
        <f t="shared" ref="R93" si="238">HLOOKUP(Q93,E86:P92,7)</f>
        <v>23316994.566820703</v>
      </c>
    </row>
    <row r="94" spans="2:18" x14ac:dyDescent="0.25">
      <c r="B94" s="16"/>
      <c r="C94" t="s">
        <v>72</v>
      </c>
      <c r="D94">
        <f t="shared" ref="D94" si="239">$J93</f>
        <v>0</v>
      </c>
      <c r="Q94">
        <f t="shared" si="25"/>
        <v>69</v>
      </c>
      <c r="R94" s="1">
        <f t="shared" ref="R94" si="240">HLOOKUP(Q94,E86:P92,7)</f>
        <v>23729711.456213497</v>
      </c>
    </row>
    <row r="95" spans="2:18" x14ac:dyDescent="0.25">
      <c r="B95" s="16"/>
      <c r="C95" t="s">
        <v>58</v>
      </c>
      <c r="D95">
        <f t="shared" ref="D95" si="241">D93+D94</f>
        <v>0</v>
      </c>
      <c r="Q95">
        <f t="shared" si="25"/>
        <v>70</v>
      </c>
      <c r="R95" s="1">
        <f t="shared" ref="R95" si="242">HLOOKUP(Q95,E86:P92,7)</f>
        <v>24144398.120542746</v>
      </c>
    </row>
    <row r="96" spans="2:18" x14ac:dyDescent="0.25">
      <c r="B96" s="16"/>
      <c r="C96" t="s">
        <v>42</v>
      </c>
      <c r="D96" s="4">
        <f t="shared" ref="D96" si="243">P92*(1-D88)</f>
        <v>24667471.943185218</v>
      </c>
      <c r="Q96">
        <f t="shared" si="25"/>
        <v>71</v>
      </c>
      <c r="R96" s="1">
        <f t="shared" ref="R96" si="244">HLOOKUP(Q96,E86:P92,7)</f>
        <v>24561063.960958254</v>
      </c>
    </row>
    <row r="97" spans="2:18" x14ac:dyDescent="0.25">
      <c r="B97" s="16"/>
      <c r="Q97">
        <f t="shared" si="25"/>
        <v>72</v>
      </c>
      <c r="R97" s="1">
        <f t="shared" ref="R97" si="245">HLOOKUP(Q97,E86:P92,7)</f>
        <v>24979718.4234787</v>
      </c>
    </row>
    <row r="98" spans="2:18" x14ac:dyDescent="0.25">
      <c r="B98" s="16">
        <f t="shared" ref="B98" si="246">B86+1</f>
        <v>6</v>
      </c>
      <c r="C98" t="s">
        <v>40</v>
      </c>
      <c r="D98" s="2">
        <f t="shared" ref="D98" si="247">5.88%</f>
        <v>5.8799999999999998E-2</v>
      </c>
      <c r="E98">
        <f t="shared" ref="E98" si="248">($B98*12)+1</f>
        <v>73</v>
      </c>
      <c r="F98">
        <f t="shared" ref="F98:P98" si="249">E98+1</f>
        <v>74</v>
      </c>
      <c r="G98">
        <f t="shared" si="249"/>
        <v>75</v>
      </c>
      <c r="H98">
        <f t="shared" si="249"/>
        <v>76</v>
      </c>
      <c r="I98">
        <f t="shared" si="249"/>
        <v>77</v>
      </c>
      <c r="J98">
        <f t="shared" si="249"/>
        <v>78</v>
      </c>
      <c r="K98">
        <f t="shared" si="249"/>
        <v>79</v>
      </c>
      <c r="L98">
        <f t="shared" si="249"/>
        <v>80</v>
      </c>
      <c r="M98">
        <f t="shared" si="249"/>
        <v>81</v>
      </c>
      <c r="N98">
        <f t="shared" si="249"/>
        <v>82</v>
      </c>
      <c r="O98">
        <f t="shared" si="249"/>
        <v>83</v>
      </c>
      <c r="P98">
        <f t="shared" si="249"/>
        <v>84</v>
      </c>
      <c r="Q98">
        <f t="shared" si="25"/>
        <v>73</v>
      </c>
      <c r="R98" s="1">
        <f t="shared" ref="R98" si="250">HLOOKUP(Q98,E98:P104,7)</f>
        <v>25086634.259350177</v>
      </c>
    </row>
    <row r="99" spans="2:18" x14ac:dyDescent="0.25">
      <c r="B99" s="16"/>
      <c r="C99" t="s">
        <v>41</v>
      </c>
      <c r="D99" s="3">
        <f t="shared" ref="D99" si="251">(1+D98)^(1/12)-1</f>
        <v>4.7727025161425907E-3</v>
      </c>
      <c r="E99">
        <f t="shared" ref="E99" si="252">E98/12</f>
        <v>6.083333333333333</v>
      </c>
      <c r="F99">
        <f t="shared" ref="F99" si="253">F98/12</f>
        <v>6.166666666666667</v>
      </c>
      <c r="G99">
        <f t="shared" ref="G99" si="254">G98/12</f>
        <v>6.25</v>
      </c>
      <c r="H99">
        <f t="shared" ref="H99" si="255">H98/12</f>
        <v>6.333333333333333</v>
      </c>
      <c r="I99">
        <f t="shared" ref="I99" si="256">I98/12</f>
        <v>6.416666666666667</v>
      </c>
      <c r="J99">
        <f t="shared" ref="J99" si="257">J98/12</f>
        <v>6.5</v>
      </c>
      <c r="K99">
        <f t="shared" ref="K99" si="258">K98/12</f>
        <v>6.583333333333333</v>
      </c>
      <c r="L99">
        <f t="shared" ref="L99" si="259">L98/12</f>
        <v>6.666666666666667</v>
      </c>
      <c r="M99">
        <f t="shared" ref="M99" si="260">M98/12</f>
        <v>6.75</v>
      </c>
      <c r="N99">
        <f t="shared" ref="N99" si="261">N98/12</f>
        <v>6.833333333333333</v>
      </c>
      <c r="O99">
        <f t="shared" ref="O99" si="262">O98/12</f>
        <v>6.916666666666667</v>
      </c>
      <c r="P99">
        <f t="shared" ref="P99" si="263">P98/12</f>
        <v>7</v>
      </c>
      <c r="Q99">
        <f t="shared" si="25"/>
        <v>74</v>
      </c>
      <c r="R99" s="1">
        <f t="shared" ref="R99" si="264">HLOOKUP(Q99,E98:P104,7)</f>
        <v>25507797.112556171</v>
      </c>
    </row>
    <row r="100" spans="2:18" x14ac:dyDescent="0.25">
      <c r="B100" s="16"/>
      <c r="C100" t="s">
        <v>53</v>
      </c>
      <c r="D100" s="2">
        <f t="shared" ref="D100" si="265">1.25%</f>
        <v>1.2500000000000001E-2</v>
      </c>
      <c r="E100" t="s">
        <v>59</v>
      </c>
      <c r="F100" t="s">
        <v>60</v>
      </c>
      <c r="G100" t="s">
        <v>61</v>
      </c>
      <c r="H100" t="s">
        <v>62</v>
      </c>
      <c r="I100" t="s">
        <v>63</v>
      </c>
      <c r="J100" t="s">
        <v>64</v>
      </c>
      <c r="K100" t="s">
        <v>65</v>
      </c>
      <c r="L100" t="s">
        <v>66</v>
      </c>
      <c r="M100" t="s">
        <v>67</v>
      </c>
      <c r="N100" t="s">
        <v>68</v>
      </c>
      <c r="O100" t="s">
        <v>69</v>
      </c>
      <c r="P100" t="s">
        <v>70</v>
      </c>
      <c r="Q100">
        <f t="shared" si="25"/>
        <v>75</v>
      </c>
      <c r="R100" s="1">
        <f t="shared" ref="R100" si="266">HLOOKUP(Q100,E98:P104,7)</f>
        <v>25930970.050771367</v>
      </c>
    </row>
    <row r="101" spans="2:18" x14ac:dyDescent="0.25">
      <c r="B101" s="16"/>
      <c r="C101" t="s">
        <v>54</v>
      </c>
      <c r="D101">
        <f>1</f>
        <v>1</v>
      </c>
      <c r="E101" s="2">
        <f t="shared" ref="E101:P101" si="267">$D87</f>
        <v>4.7727025161425907E-3</v>
      </c>
      <c r="F101" s="2">
        <f t="shared" si="267"/>
        <v>4.7727025161425907E-3</v>
      </c>
      <c r="G101" s="2">
        <f t="shared" si="267"/>
        <v>4.7727025161425907E-3</v>
      </c>
      <c r="H101" s="2">
        <f t="shared" si="267"/>
        <v>4.7727025161425907E-3</v>
      </c>
      <c r="I101" s="2">
        <f t="shared" si="267"/>
        <v>4.7727025161425907E-3</v>
      </c>
      <c r="J101" s="2">
        <f t="shared" si="267"/>
        <v>4.7727025161425907E-3</v>
      </c>
      <c r="K101" s="2">
        <f t="shared" si="267"/>
        <v>4.7727025161425907E-3</v>
      </c>
      <c r="L101" s="2">
        <f t="shared" si="267"/>
        <v>4.7727025161425907E-3</v>
      </c>
      <c r="M101" s="2">
        <f t="shared" si="267"/>
        <v>4.7727025161425907E-3</v>
      </c>
      <c r="N101" s="2">
        <f t="shared" si="267"/>
        <v>4.7727025161425907E-3</v>
      </c>
      <c r="O101" s="2">
        <f t="shared" si="267"/>
        <v>4.7727025161425907E-3</v>
      </c>
      <c r="P101" s="2">
        <f t="shared" si="267"/>
        <v>4.7727025161425907E-3</v>
      </c>
      <c r="Q101">
        <f t="shared" si="25"/>
        <v>76</v>
      </c>
      <c r="R101" s="1">
        <f t="shared" ref="R101" si="268">HLOOKUP(Q101,E98:P104,7)</f>
        <v>26356162.667533543</v>
      </c>
    </row>
    <row r="102" spans="2:18" x14ac:dyDescent="0.25">
      <c r="B102" s="16"/>
      <c r="C102" t="s">
        <v>55</v>
      </c>
      <c r="D102">
        <f t="shared" ref="D102" si="269">D101*12</f>
        <v>12</v>
      </c>
      <c r="E102">
        <f>1</f>
        <v>1</v>
      </c>
      <c r="F102">
        <f>1</f>
        <v>1</v>
      </c>
      <c r="G102">
        <f>1</f>
        <v>1</v>
      </c>
      <c r="H102">
        <f>1</f>
        <v>1</v>
      </c>
      <c r="I102">
        <f>1</f>
        <v>1</v>
      </c>
      <c r="J102">
        <f>1</f>
        <v>1</v>
      </c>
      <c r="K102">
        <f>1</f>
        <v>1</v>
      </c>
      <c r="L102">
        <f>1</f>
        <v>1</v>
      </c>
      <c r="M102">
        <f>1</f>
        <v>1</v>
      </c>
      <c r="N102">
        <f>1</f>
        <v>1</v>
      </c>
      <c r="O102">
        <f>1</f>
        <v>1</v>
      </c>
      <c r="P102">
        <f>1</f>
        <v>1</v>
      </c>
      <c r="Q102">
        <f t="shared" si="25"/>
        <v>77</v>
      </c>
      <c r="R102" s="1">
        <f t="shared" ref="R102" si="270">HLOOKUP(Q102,E98:P104,7)</f>
        <v>26783384.602167588</v>
      </c>
    </row>
    <row r="103" spans="2:18" x14ac:dyDescent="0.25">
      <c r="B103" s="16"/>
      <c r="C103" t="s">
        <v>57</v>
      </c>
      <c r="D103" s="10">
        <f t="shared" ref="D103" si="271">D91*(1+$D$2)</f>
        <v>337.84872577920009</v>
      </c>
      <c r="E103" s="1">
        <f t="shared" ref="E103" si="272">$D104*1000</f>
        <v>300000</v>
      </c>
      <c r="F103" s="1">
        <f t="shared" ref="F103" si="273">$D104*1000</f>
        <v>300000</v>
      </c>
      <c r="G103" s="1">
        <f t="shared" ref="G103" si="274">$D104*1000</f>
        <v>300000</v>
      </c>
      <c r="H103" s="1">
        <f t="shared" ref="H103" si="275">$D104*1000</f>
        <v>300000</v>
      </c>
      <c r="I103" s="1">
        <f t="shared" ref="I103" si="276">$D104*1000</f>
        <v>300000</v>
      </c>
      <c r="J103" s="1">
        <f t="shared" ref="J103" si="277">$D104*1000</f>
        <v>300000</v>
      </c>
      <c r="K103" s="1">
        <f t="shared" ref="K103" si="278">$D104*1000</f>
        <v>300000</v>
      </c>
      <c r="L103" s="1">
        <f t="shared" ref="L103" si="279">$D104*1000</f>
        <v>300000</v>
      </c>
      <c r="M103" s="1">
        <f t="shared" ref="M103" si="280">$D104*1000</f>
        <v>300000</v>
      </c>
      <c r="N103" s="1">
        <f t="shared" ref="N103" si="281">$D104*1000</f>
        <v>300000</v>
      </c>
      <c r="O103" s="1">
        <f t="shared" ref="O103" si="282">$D104*1000</f>
        <v>300000</v>
      </c>
      <c r="P103" s="1">
        <f t="shared" ref="P103" si="283">$D104*1000</f>
        <v>300000</v>
      </c>
      <c r="Q103">
        <f t="shared" si="25"/>
        <v>78</v>
      </c>
      <c r="R103" s="1">
        <f t="shared" ref="R103" si="284">HLOOKUP(Q103,E98:P104,7)</f>
        <v>24836358.098553333</v>
      </c>
    </row>
    <row r="104" spans="2:18" x14ac:dyDescent="0.25">
      <c r="B104" s="16"/>
      <c r="C104" t="s">
        <v>56</v>
      </c>
      <c r="D104" s="10">
        <f t="shared" ref="D104" si="285">IF(D103*(1+$D$2)&gt;D92+50,D92+50,D92)</f>
        <v>300</v>
      </c>
      <c r="E104" s="1">
        <f t="shared" ref="E104" si="286">-FV($E$29,$E$30,$E$31,D96-E105,1)</f>
        <v>25086634.259350177</v>
      </c>
      <c r="F104" s="1">
        <f t="shared" ref="F104:I104" si="287">-FV($E$29,$E$30,$E$31,E104,1)</f>
        <v>25507797.112556171</v>
      </c>
      <c r="G104" s="1">
        <f t="shared" si="287"/>
        <v>25930970.050771367</v>
      </c>
      <c r="H104" s="1">
        <f t="shared" si="287"/>
        <v>26356162.667533543</v>
      </c>
      <c r="I104" s="1">
        <f t="shared" si="287"/>
        <v>26783384.602167588</v>
      </c>
      <c r="J104" s="1">
        <f t="shared" ref="J104" si="288">-FV($E$29,$E$30,$E$31,I104-J105,1)</f>
        <v>24836358.098553333</v>
      </c>
      <c r="K104" s="1">
        <f t="shared" ref="K104:P104" si="289">-FV($E$29,$E$30,$E$31,J104,1)</f>
        <v>25256326.458096959</v>
      </c>
      <c r="L104" s="1">
        <f t="shared" si="289"/>
        <v>25678299.201686881</v>
      </c>
      <c r="M104" s="1">
        <f t="shared" si="289"/>
        <v>26102285.895651877</v>
      </c>
      <c r="N104" s="1">
        <f t="shared" si="289"/>
        <v>26528296.151977971</v>
      </c>
      <c r="O104" s="1">
        <f t="shared" si="289"/>
        <v>26956339.628526334</v>
      </c>
      <c r="P104" s="1">
        <f t="shared" si="289"/>
        <v>27386426.029252239</v>
      </c>
      <c r="Q104">
        <f t="shared" si="25"/>
        <v>79</v>
      </c>
      <c r="R104" s="1">
        <f t="shared" ref="R104" si="290">HLOOKUP(Q104,E98:P104,7)</f>
        <v>25256326.458096959</v>
      </c>
    </row>
    <row r="105" spans="2:18" x14ac:dyDescent="0.25">
      <c r="B105" s="16"/>
      <c r="C105" t="s">
        <v>71</v>
      </c>
      <c r="D105">
        <f t="shared" ref="D105" si="291">$E105</f>
        <v>0</v>
      </c>
      <c r="E105" s="1">
        <f t="shared" ref="E105" si="292">ROUNDUP(IF(E99&gt;=$E$9,$D$9,IF(E99&gt;=$E$8,$D$8,IF(E99&gt;=$E$7,$D$7,IF(E99&gt;=$E$6,$D$6,IF(E99&gt;=$E$5,$D$5,IF(E99&gt;=$E$4,$D$4,0))))))*1000*(1+$D$2)^$B98,-3)</f>
        <v>0</v>
      </c>
      <c r="J105" s="1">
        <f>ROUNDUP(IF(J99&gt;=$E$9,$D$9,IF(J99&gt;=$E$8,$D$8,IF(J99&gt;=$E$7,$D$7,IF(J99&gt;=$E$6,$D$6,IF(J99&gt;=$E$5,$D$5,IF(J99&gt;=$E$4,$D$4,0))))))*1000*(1+$D$2)^$B98,-3)</f>
        <v>2365000</v>
      </c>
      <c r="Q105">
        <f t="shared" si="25"/>
        <v>80</v>
      </c>
      <c r="R105" s="1">
        <f t="shared" ref="R105" si="293">HLOOKUP(Q105,E98:P104,7)</f>
        <v>25678299.201686881</v>
      </c>
    </row>
    <row r="106" spans="2:18" x14ac:dyDescent="0.25">
      <c r="B106" s="16"/>
      <c r="C106" t="s">
        <v>72</v>
      </c>
      <c r="D106" s="12">
        <f>$J105</f>
        <v>2365000</v>
      </c>
      <c r="Q106">
        <f t="shared" si="25"/>
        <v>81</v>
      </c>
      <c r="R106" s="1">
        <f t="shared" ref="R106" si="294">HLOOKUP(Q106,E98:P104,7)</f>
        <v>26102285.895651877</v>
      </c>
    </row>
    <row r="107" spans="2:18" x14ac:dyDescent="0.25">
      <c r="B107" s="16"/>
      <c r="C107" t="s">
        <v>58</v>
      </c>
      <c r="D107">
        <f t="shared" ref="D107" si="295">D105+D106</f>
        <v>2365000</v>
      </c>
      <c r="Q107">
        <f t="shared" si="25"/>
        <v>82</v>
      </c>
      <c r="R107" s="1">
        <f t="shared" ref="R107" si="296">HLOOKUP(Q107,E98:P104,7)</f>
        <v>26528296.151977971</v>
      </c>
    </row>
    <row r="108" spans="2:18" x14ac:dyDescent="0.25">
      <c r="B108" s="16"/>
      <c r="C108" t="s">
        <v>42</v>
      </c>
      <c r="D108" s="4">
        <f t="shared" ref="D108" si="297">P104*(1-D100)</f>
        <v>27044095.703886587</v>
      </c>
      <c r="Q108">
        <f t="shared" si="25"/>
        <v>83</v>
      </c>
      <c r="R108" s="1">
        <f t="shared" ref="R108" si="298">HLOOKUP(Q108,E98:P104,7)</f>
        <v>26956339.628526334</v>
      </c>
    </row>
    <row r="109" spans="2:18" x14ac:dyDescent="0.25">
      <c r="B109" s="16"/>
      <c r="Q109">
        <f t="shared" si="25"/>
        <v>84</v>
      </c>
      <c r="R109" s="1">
        <f t="shared" ref="R109" si="299">HLOOKUP(Q109,E98:P104,7)</f>
        <v>27386426.029252239</v>
      </c>
    </row>
    <row r="110" spans="2:18" x14ac:dyDescent="0.25">
      <c r="B110" s="16">
        <f t="shared" ref="B110" si="300">B98+1</f>
        <v>7</v>
      </c>
      <c r="C110" t="s">
        <v>40</v>
      </c>
      <c r="D110" s="2">
        <f t="shared" ref="D110" si="301">5.88%</f>
        <v>5.8799999999999998E-2</v>
      </c>
      <c r="E110">
        <f t="shared" ref="E110" si="302">($B110*12)+1</f>
        <v>85</v>
      </c>
      <c r="F110">
        <f t="shared" ref="F110:P110" si="303">E110+1</f>
        <v>86</v>
      </c>
      <c r="G110">
        <f t="shared" si="303"/>
        <v>87</v>
      </c>
      <c r="H110">
        <f t="shared" si="303"/>
        <v>88</v>
      </c>
      <c r="I110">
        <f t="shared" si="303"/>
        <v>89</v>
      </c>
      <c r="J110">
        <f t="shared" si="303"/>
        <v>90</v>
      </c>
      <c r="K110">
        <f t="shared" si="303"/>
        <v>91</v>
      </c>
      <c r="L110">
        <f t="shared" si="303"/>
        <v>92</v>
      </c>
      <c r="M110">
        <f t="shared" si="303"/>
        <v>93</v>
      </c>
      <c r="N110">
        <f t="shared" si="303"/>
        <v>94</v>
      </c>
      <c r="O110">
        <f t="shared" si="303"/>
        <v>95</v>
      </c>
      <c r="P110">
        <f t="shared" si="303"/>
        <v>96</v>
      </c>
      <c r="Q110">
        <f t="shared" si="25"/>
        <v>85</v>
      </c>
      <c r="R110" s="1">
        <f t="shared" ref="R110" si="304">HLOOKUP(Q110,E110:P116,7)</f>
        <v>25050084.407082718</v>
      </c>
    </row>
    <row r="111" spans="2:18" x14ac:dyDescent="0.25">
      <c r="B111" s="16"/>
      <c r="C111" t="s">
        <v>41</v>
      </c>
      <c r="D111" s="3">
        <f t="shared" ref="D111" si="305">(1+D110)^(1/12)-1</f>
        <v>4.7727025161425907E-3</v>
      </c>
      <c r="E111">
        <f t="shared" ref="E111" si="306">E110/12</f>
        <v>7.083333333333333</v>
      </c>
      <c r="F111">
        <f t="shared" ref="F111" si="307">F110/12</f>
        <v>7.166666666666667</v>
      </c>
      <c r="G111">
        <f t="shared" ref="G111" si="308">G110/12</f>
        <v>7.25</v>
      </c>
      <c r="H111">
        <f t="shared" ref="H111" si="309">H110/12</f>
        <v>7.333333333333333</v>
      </c>
      <c r="I111">
        <f t="shared" ref="I111" si="310">I110/12</f>
        <v>7.416666666666667</v>
      </c>
      <c r="J111">
        <f t="shared" ref="J111" si="311">J110/12</f>
        <v>7.5</v>
      </c>
      <c r="K111">
        <f t="shared" ref="K111" si="312">K110/12</f>
        <v>7.583333333333333</v>
      </c>
      <c r="L111">
        <f t="shared" ref="L111" si="313">L110/12</f>
        <v>7.666666666666667</v>
      </c>
      <c r="M111">
        <f t="shared" ref="M111" si="314">M110/12</f>
        <v>7.75</v>
      </c>
      <c r="N111">
        <f t="shared" ref="N111" si="315">N110/12</f>
        <v>7.833333333333333</v>
      </c>
      <c r="O111">
        <f t="shared" ref="O111" si="316">O110/12</f>
        <v>7.916666666666667</v>
      </c>
      <c r="P111">
        <f t="shared" ref="P111" si="317">P110/12</f>
        <v>8</v>
      </c>
      <c r="Q111">
        <f t="shared" si="25"/>
        <v>86</v>
      </c>
      <c r="R111" s="1">
        <f t="shared" ref="R111" si="318">HLOOKUP(Q111,E110:P116,7)</f>
        <v>25471072.818716828</v>
      </c>
    </row>
    <row r="112" spans="2:18" x14ac:dyDescent="0.25">
      <c r="B112" s="16"/>
      <c r="C112" t="s">
        <v>53</v>
      </c>
      <c r="D112" s="2">
        <f t="shared" ref="D112" si="319">1.25%</f>
        <v>1.2500000000000001E-2</v>
      </c>
      <c r="E112" t="s">
        <v>59</v>
      </c>
      <c r="F112" t="s">
        <v>60</v>
      </c>
      <c r="G112" t="s">
        <v>61</v>
      </c>
      <c r="H112" t="s">
        <v>62</v>
      </c>
      <c r="I112" t="s">
        <v>63</v>
      </c>
      <c r="J112" t="s">
        <v>64</v>
      </c>
      <c r="K112" t="s">
        <v>65</v>
      </c>
      <c r="L112" t="s">
        <v>66</v>
      </c>
      <c r="M112" t="s">
        <v>67</v>
      </c>
      <c r="N112" t="s">
        <v>68</v>
      </c>
      <c r="O112" t="s">
        <v>69</v>
      </c>
      <c r="P112" t="s">
        <v>70</v>
      </c>
      <c r="Q112">
        <f t="shared" si="25"/>
        <v>87</v>
      </c>
      <c r="R112" s="1">
        <f t="shared" ref="R112" si="320">HLOOKUP(Q112,E110:P116,7)</f>
        <v>25894070.482802413</v>
      </c>
    </row>
    <row r="113" spans="2:18" x14ac:dyDescent="0.25">
      <c r="B113" s="16"/>
      <c r="C113" t="s">
        <v>54</v>
      </c>
      <c r="D113">
        <f>1</f>
        <v>1</v>
      </c>
      <c r="E113" s="2">
        <f t="shared" ref="E113:P113" si="321">$D99</f>
        <v>4.7727025161425907E-3</v>
      </c>
      <c r="F113" s="2">
        <f t="shared" si="321"/>
        <v>4.7727025161425907E-3</v>
      </c>
      <c r="G113" s="2">
        <f t="shared" si="321"/>
        <v>4.7727025161425907E-3</v>
      </c>
      <c r="H113" s="2">
        <f t="shared" si="321"/>
        <v>4.7727025161425907E-3</v>
      </c>
      <c r="I113" s="2">
        <f t="shared" si="321"/>
        <v>4.7727025161425907E-3</v>
      </c>
      <c r="J113" s="2">
        <f t="shared" si="321"/>
        <v>4.7727025161425907E-3</v>
      </c>
      <c r="K113" s="2">
        <f t="shared" si="321"/>
        <v>4.7727025161425907E-3</v>
      </c>
      <c r="L113" s="2">
        <f t="shared" si="321"/>
        <v>4.7727025161425907E-3</v>
      </c>
      <c r="M113" s="2">
        <f t="shared" si="321"/>
        <v>4.7727025161425907E-3</v>
      </c>
      <c r="N113" s="2">
        <f t="shared" si="321"/>
        <v>4.7727025161425907E-3</v>
      </c>
      <c r="O113" s="2">
        <f t="shared" si="321"/>
        <v>4.7727025161425907E-3</v>
      </c>
      <c r="P113" s="2">
        <f t="shared" si="321"/>
        <v>4.7727025161425907E-3</v>
      </c>
      <c r="Q113">
        <f t="shared" si="25"/>
        <v>88</v>
      </c>
      <c r="R113" s="1">
        <f t="shared" ref="R113" si="322">HLOOKUP(Q113,E110:P116,7)</f>
        <v>26319086.988903701</v>
      </c>
    </row>
    <row r="114" spans="2:18" x14ac:dyDescent="0.25">
      <c r="B114" s="16"/>
      <c r="C114" t="s">
        <v>55</v>
      </c>
      <c r="D114">
        <f t="shared" ref="D114" si="323">D113*12</f>
        <v>12</v>
      </c>
      <c r="E114">
        <f>1</f>
        <v>1</v>
      </c>
      <c r="F114">
        <f>1</f>
        <v>1</v>
      </c>
      <c r="G114">
        <f>1</f>
        <v>1</v>
      </c>
      <c r="H114">
        <f>1</f>
        <v>1</v>
      </c>
      <c r="I114">
        <f>1</f>
        <v>1</v>
      </c>
      <c r="J114">
        <f>1</f>
        <v>1</v>
      </c>
      <c r="K114">
        <f>1</f>
        <v>1</v>
      </c>
      <c r="L114">
        <f>1</f>
        <v>1</v>
      </c>
      <c r="M114">
        <f>1</f>
        <v>1</v>
      </c>
      <c r="N114">
        <f>1</f>
        <v>1</v>
      </c>
      <c r="O114">
        <f>1</f>
        <v>1</v>
      </c>
      <c r="P114">
        <f>1</f>
        <v>1</v>
      </c>
      <c r="Q114">
        <f t="shared" ref="Q114:Q177" si="324">Q113+1</f>
        <v>89</v>
      </c>
      <c r="R114" s="1">
        <f t="shared" ref="R114" si="325">HLOOKUP(Q114,E110:P116,7)</f>
        <v>26746131.97235306</v>
      </c>
    </row>
    <row r="115" spans="2:18" x14ac:dyDescent="0.25">
      <c r="B115" s="16"/>
      <c r="C115" t="s">
        <v>57</v>
      </c>
      <c r="D115" s="10">
        <f t="shared" ref="D115" si="326">D103*(1+$D$2)</f>
        <v>344.60570029478413</v>
      </c>
      <c r="E115" s="1">
        <f t="shared" ref="E115" si="327">$D116*1000</f>
        <v>350000</v>
      </c>
      <c r="F115" s="1">
        <f t="shared" ref="F115" si="328">$D116*1000</f>
        <v>350000</v>
      </c>
      <c r="G115" s="1">
        <f t="shared" ref="G115" si="329">$D116*1000</f>
        <v>350000</v>
      </c>
      <c r="H115" s="1">
        <f t="shared" ref="H115" si="330">$D116*1000</f>
        <v>350000</v>
      </c>
      <c r="I115" s="1">
        <f t="shared" ref="I115" si="331">$D116*1000</f>
        <v>350000</v>
      </c>
      <c r="J115" s="1">
        <f t="shared" ref="J115" si="332">$D116*1000</f>
        <v>350000</v>
      </c>
      <c r="K115" s="1">
        <f t="shared" ref="K115" si="333">$D116*1000</f>
        <v>350000</v>
      </c>
      <c r="L115" s="1">
        <f t="shared" ref="L115" si="334">$D116*1000</f>
        <v>350000</v>
      </c>
      <c r="M115" s="1">
        <f t="shared" ref="M115" si="335">$D116*1000</f>
        <v>350000</v>
      </c>
      <c r="N115" s="1">
        <f t="shared" ref="N115" si="336">$D116*1000</f>
        <v>350000</v>
      </c>
      <c r="O115" s="1">
        <f t="shared" ref="O115" si="337">$D116*1000</f>
        <v>350000</v>
      </c>
      <c r="P115" s="1">
        <f t="shared" ref="P115" si="338">$D116*1000</f>
        <v>350000</v>
      </c>
      <c r="Q115">
        <f t="shared" si="324"/>
        <v>90</v>
      </c>
      <c r="R115" s="1">
        <f t="shared" ref="R115" si="339">HLOOKUP(Q115,E110:P116,7)</f>
        <v>24750698.583297983</v>
      </c>
    </row>
    <row r="116" spans="2:18" x14ac:dyDescent="0.25">
      <c r="B116" s="16"/>
      <c r="C116" t="s">
        <v>56</v>
      </c>
      <c r="D116" s="10">
        <f t="shared" ref="D116" si="340">IF(D115*(1+$D$2)&gt;D104+50,D104+50,D104)</f>
        <v>350</v>
      </c>
      <c r="E116" s="1">
        <f t="shared" ref="E116" si="341">-FV($E$29,$E$30,$E$31,D108-E117,1)</f>
        <v>25050084.407082718</v>
      </c>
      <c r="F116" s="1">
        <f t="shared" ref="F116:I116" si="342">-FV($E$29,$E$30,$E$31,E116,1)</f>
        <v>25471072.818716828</v>
      </c>
      <c r="G116" s="1">
        <f t="shared" si="342"/>
        <v>25894070.482802413</v>
      </c>
      <c r="H116" s="1">
        <f t="shared" si="342"/>
        <v>26319086.988903701</v>
      </c>
      <c r="I116" s="1">
        <f t="shared" si="342"/>
        <v>26746131.97235306</v>
      </c>
      <c r="J116" s="1">
        <f t="shared" ref="J116" si="343">-FV($E$29,$E$30,$E$31,I116-J117,1)</f>
        <v>24750698.583297983</v>
      </c>
      <c r="K116" s="1">
        <f t="shared" ref="K116:P116" si="344">-FV($E$29,$E$30,$E$31,J116,1)</f>
        <v>25170258.11545762</v>
      </c>
      <c r="L116" s="1">
        <f t="shared" si="344"/>
        <v>25591820.080452066</v>
      </c>
      <c r="M116" s="1">
        <f t="shared" si="344"/>
        <v>26015394.03529755</v>
      </c>
      <c r="N116" s="1">
        <f t="shared" si="344"/>
        <v>26440989.582623098</v>
      </c>
      <c r="O116" s="1">
        <f t="shared" si="344"/>
        <v>26868616.370888226</v>
      </c>
      <c r="P116" s="1">
        <f t="shared" si="344"/>
        <v>27298284.094601676</v>
      </c>
      <c r="Q116">
        <f t="shared" si="324"/>
        <v>91</v>
      </c>
      <c r="R116" s="1">
        <f t="shared" ref="R116" si="345">HLOOKUP(Q116,E110:P116,7)</f>
        <v>25170258.11545762</v>
      </c>
    </row>
    <row r="117" spans="2:18" x14ac:dyDescent="0.25">
      <c r="B117" s="16"/>
      <c r="C117" t="s">
        <v>71</v>
      </c>
      <c r="D117">
        <f t="shared" ref="D117" si="346">$E117</f>
        <v>2413000</v>
      </c>
      <c r="E117" s="1">
        <f t="shared" ref="E117" si="347">ROUNDUP(IF(E111&gt;=$E$9,$D$9,IF(E111&gt;=$E$8,$D$8,IF(E111&gt;=$E$7,$D$7,IF(E111&gt;=$E$6,$D$6,IF(E111&gt;=$E$5,$D$5,IF(E111&gt;=$E$4,$D$4,0))))))*1000*(1+$D$2)^$B110,-3)</f>
        <v>2413000</v>
      </c>
      <c r="J117" s="1">
        <f t="shared" ref="J117" si="348">ROUNDUP(IF(J111&gt;=$E$9,$D$9,IF(J111&gt;=$E$8,$D$8,IF(J111&gt;=$E$7,$D$7,IF(J111&gt;=$E$6,$D$6,IF(J111&gt;=$E$5,$D$5,IF(J111&gt;=$E$4,$D$4,0))))))*1000*(1+$D$2)^$B110,-3)</f>
        <v>2413000</v>
      </c>
      <c r="Q117">
        <f t="shared" si="324"/>
        <v>92</v>
      </c>
      <c r="R117" s="1">
        <f t="shared" ref="R117" si="349">HLOOKUP(Q117,E110:P116,7)</f>
        <v>25591820.080452066</v>
      </c>
    </row>
    <row r="118" spans="2:18" x14ac:dyDescent="0.25">
      <c r="B118" s="16"/>
      <c r="C118" t="s">
        <v>72</v>
      </c>
      <c r="D118">
        <f t="shared" ref="D118" si="350">$J117</f>
        <v>2413000</v>
      </c>
      <c r="Q118">
        <f t="shared" si="324"/>
        <v>93</v>
      </c>
      <c r="R118" s="1">
        <f t="shared" ref="R118" si="351">HLOOKUP(Q118,E110:P116,7)</f>
        <v>26015394.03529755</v>
      </c>
    </row>
    <row r="119" spans="2:18" x14ac:dyDescent="0.25">
      <c r="B119" s="16"/>
      <c r="C119" t="s">
        <v>58</v>
      </c>
      <c r="D119">
        <f t="shared" ref="D119" si="352">D117+D118</f>
        <v>4826000</v>
      </c>
      <c r="Q119">
        <f t="shared" si="324"/>
        <v>94</v>
      </c>
      <c r="R119" s="1">
        <f t="shared" ref="R119" si="353">HLOOKUP(Q119,E110:P116,7)</f>
        <v>26440989.582623098</v>
      </c>
    </row>
    <row r="120" spans="2:18" x14ac:dyDescent="0.25">
      <c r="B120" s="16"/>
      <c r="C120" t="s">
        <v>42</v>
      </c>
      <c r="D120" s="4">
        <f t="shared" ref="D120" si="354">P116*(1-D112)</f>
        <v>26957055.543419156</v>
      </c>
      <c r="Q120">
        <f t="shared" si="324"/>
        <v>95</v>
      </c>
      <c r="R120" s="1">
        <f t="shared" ref="R120" si="355">HLOOKUP(Q120,E110:P116,7)</f>
        <v>26868616.370888226</v>
      </c>
    </row>
    <row r="121" spans="2:18" x14ac:dyDescent="0.25">
      <c r="B121" s="16"/>
      <c r="Q121">
        <f t="shared" si="324"/>
        <v>96</v>
      </c>
      <c r="R121" s="1">
        <f t="shared" ref="R121" si="356">HLOOKUP(Q121,E110:P116,7)</f>
        <v>27298284.094601676</v>
      </c>
    </row>
    <row r="122" spans="2:18" x14ac:dyDescent="0.25">
      <c r="B122" s="16">
        <f t="shared" ref="B122" si="357">B110+1</f>
        <v>8</v>
      </c>
      <c r="C122" t="s">
        <v>40</v>
      </c>
      <c r="D122" s="2">
        <f t="shared" ref="D122" si="358">5.88%</f>
        <v>5.8799999999999998E-2</v>
      </c>
      <c r="E122">
        <f t="shared" ref="E122" si="359">($B122*12)+1</f>
        <v>97</v>
      </c>
      <c r="F122">
        <f t="shared" ref="F122:P122" si="360">E122+1</f>
        <v>98</v>
      </c>
      <c r="G122">
        <f t="shared" si="360"/>
        <v>99</v>
      </c>
      <c r="H122">
        <f t="shared" si="360"/>
        <v>100</v>
      </c>
      <c r="I122">
        <f t="shared" si="360"/>
        <v>101</v>
      </c>
      <c r="J122">
        <f t="shared" si="360"/>
        <v>102</v>
      </c>
      <c r="K122">
        <f t="shared" si="360"/>
        <v>103</v>
      </c>
      <c r="L122">
        <f t="shared" si="360"/>
        <v>104</v>
      </c>
      <c r="M122">
        <f t="shared" si="360"/>
        <v>105</v>
      </c>
      <c r="N122">
        <f t="shared" si="360"/>
        <v>106</v>
      </c>
      <c r="O122">
        <f t="shared" si="360"/>
        <v>107</v>
      </c>
      <c r="P122">
        <f t="shared" si="360"/>
        <v>108</v>
      </c>
      <c r="Q122">
        <f t="shared" si="324"/>
        <v>97</v>
      </c>
      <c r="R122" s="1">
        <f t="shared" ref="R122" si="361">HLOOKUP(Q122,E122:P128,7)</f>
        <v>24914399.740101643</v>
      </c>
    </row>
    <row r="123" spans="2:18" x14ac:dyDescent="0.25">
      <c r="B123" s="16"/>
      <c r="C123" t="s">
        <v>41</v>
      </c>
      <c r="D123" s="3">
        <f t="shared" ref="D123" si="362">(1+D122)^(1/12)-1</f>
        <v>4.7727025161425907E-3</v>
      </c>
      <c r="E123">
        <f t="shared" ref="E123" si="363">E122/12</f>
        <v>8.0833333333333339</v>
      </c>
      <c r="F123">
        <f t="shared" ref="F123" si="364">F122/12</f>
        <v>8.1666666666666661</v>
      </c>
      <c r="G123">
        <f t="shared" ref="G123" si="365">G122/12</f>
        <v>8.25</v>
      </c>
      <c r="H123">
        <f t="shared" ref="H123" si="366">H122/12</f>
        <v>8.3333333333333339</v>
      </c>
      <c r="I123">
        <f t="shared" ref="I123" si="367">I122/12</f>
        <v>8.4166666666666661</v>
      </c>
      <c r="J123">
        <f t="shared" ref="J123" si="368">J122/12</f>
        <v>8.5</v>
      </c>
      <c r="K123">
        <f t="shared" ref="K123" si="369">K122/12</f>
        <v>8.5833333333333339</v>
      </c>
      <c r="L123">
        <f t="shared" ref="L123" si="370">L122/12</f>
        <v>8.6666666666666661</v>
      </c>
      <c r="M123">
        <f t="shared" ref="M123" si="371">M122/12</f>
        <v>8.75</v>
      </c>
      <c r="N123">
        <f t="shared" ref="N123" si="372">N122/12</f>
        <v>8.8333333333333339</v>
      </c>
      <c r="O123">
        <f t="shared" ref="O123" si="373">O122/12</f>
        <v>8.9166666666666661</v>
      </c>
      <c r="P123">
        <f t="shared" ref="P123" si="374">P122/12</f>
        <v>9</v>
      </c>
      <c r="Q123">
        <f t="shared" si="324"/>
        <v>98</v>
      </c>
      <c r="R123" s="1">
        <f t="shared" ref="R123" si="375">HLOOKUP(Q123,E122:P128,7)</f>
        <v>25334740.569184251</v>
      </c>
    </row>
    <row r="124" spans="2:18" x14ac:dyDescent="0.25">
      <c r="B124" s="16"/>
      <c r="C124" t="s">
        <v>53</v>
      </c>
      <c r="D124" s="2">
        <f t="shared" ref="D124" si="376">1.25%</f>
        <v>1.2500000000000001E-2</v>
      </c>
      <c r="E124" t="s">
        <v>59</v>
      </c>
      <c r="F124" t="s">
        <v>60</v>
      </c>
      <c r="G124" t="s">
        <v>61</v>
      </c>
      <c r="H124" t="s">
        <v>62</v>
      </c>
      <c r="I124" t="s">
        <v>63</v>
      </c>
      <c r="J124" t="s">
        <v>64</v>
      </c>
      <c r="K124" t="s">
        <v>65</v>
      </c>
      <c r="L124" t="s">
        <v>66</v>
      </c>
      <c r="M124" t="s">
        <v>67</v>
      </c>
      <c r="N124" t="s">
        <v>68</v>
      </c>
      <c r="O124" t="s">
        <v>69</v>
      </c>
      <c r="P124" t="s">
        <v>70</v>
      </c>
      <c r="Q124">
        <f t="shared" si="324"/>
        <v>99</v>
      </c>
      <c r="R124" s="1">
        <f t="shared" ref="R124" si="377">HLOOKUP(Q124,E122:P128,7)</f>
        <v>25757087.559999458</v>
      </c>
    </row>
    <row r="125" spans="2:18" x14ac:dyDescent="0.25">
      <c r="B125" s="16"/>
      <c r="C125" t="s">
        <v>54</v>
      </c>
      <c r="D125">
        <f>1</f>
        <v>1</v>
      </c>
      <c r="E125" s="2">
        <f t="shared" ref="E125:P125" si="378">$D111</f>
        <v>4.7727025161425907E-3</v>
      </c>
      <c r="F125" s="2">
        <f t="shared" si="378"/>
        <v>4.7727025161425907E-3</v>
      </c>
      <c r="G125" s="2">
        <f t="shared" si="378"/>
        <v>4.7727025161425907E-3</v>
      </c>
      <c r="H125" s="2">
        <f t="shared" si="378"/>
        <v>4.7727025161425907E-3</v>
      </c>
      <c r="I125" s="2">
        <f t="shared" si="378"/>
        <v>4.7727025161425907E-3</v>
      </c>
      <c r="J125" s="2">
        <f t="shared" si="378"/>
        <v>4.7727025161425907E-3</v>
      </c>
      <c r="K125" s="2">
        <f t="shared" si="378"/>
        <v>4.7727025161425907E-3</v>
      </c>
      <c r="L125" s="2">
        <f t="shared" si="378"/>
        <v>4.7727025161425907E-3</v>
      </c>
      <c r="M125" s="2">
        <f t="shared" si="378"/>
        <v>4.7727025161425907E-3</v>
      </c>
      <c r="N125" s="2">
        <f t="shared" si="378"/>
        <v>4.7727025161425907E-3</v>
      </c>
      <c r="O125" s="2">
        <f t="shared" si="378"/>
        <v>4.7727025161425907E-3</v>
      </c>
      <c r="P125" s="2">
        <f t="shared" si="378"/>
        <v>4.7727025161425907E-3</v>
      </c>
      <c r="Q125">
        <f t="shared" si="324"/>
        <v>100</v>
      </c>
      <c r="R125" s="1">
        <f t="shared" ref="R125" si="379">HLOOKUP(Q125,E122:P128,7)</f>
        <v>26181450.287360415</v>
      </c>
    </row>
    <row r="126" spans="2:18" x14ac:dyDescent="0.25">
      <c r="B126" s="16"/>
      <c r="C126" t="s">
        <v>55</v>
      </c>
      <c r="D126">
        <f t="shared" ref="D126" si="380">D125*12</f>
        <v>12</v>
      </c>
      <c r="E126">
        <f>1</f>
        <v>1</v>
      </c>
      <c r="F126">
        <f>1</f>
        <v>1</v>
      </c>
      <c r="G126">
        <f>1</f>
        <v>1</v>
      </c>
      <c r="H126">
        <f>1</f>
        <v>1</v>
      </c>
      <c r="I126">
        <f>1</f>
        <v>1</v>
      </c>
      <c r="J126">
        <f>1</f>
        <v>1</v>
      </c>
      <c r="K126">
        <f>1</f>
        <v>1</v>
      </c>
      <c r="L126">
        <f>1</f>
        <v>1</v>
      </c>
      <c r="M126">
        <f>1</f>
        <v>1</v>
      </c>
      <c r="N126">
        <f>1</f>
        <v>1</v>
      </c>
      <c r="O126">
        <f>1</f>
        <v>1</v>
      </c>
      <c r="P126">
        <f>1</f>
        <v>1</v>
      </c>
      <c r="Q126">
        <f t="shared" si="324"/>
        <v>101</v>
      </c>
      <c r="R126" s="1">
        <f t="shared" ref="R126" si="381">HLOOKUP(Q126,E122:P128,7)</f>
        <v>26607838.371778004</v>
      </c>
    </row>
    <row r="127" spans="2:18" x14ac:dyDescent="0.25">
      <c r="B127" s="16"/>
      <c r="C127" t="s">
        <v>57</v>
      </c>
      <c r="D127" s="10">
        <f t="shared" ref="D127" si="382">D115*(1+$D$2)</f>
        <v>351.49781430067981</v>
      </c>
      <c r="E127" s="1">
        <f t="shared" ref="E127" si="383">$D128*1000</f>
        <v>350000</v>
      </c>
      <c r="F127" s="1">
        <f t="shared" ref="F127" si="384">$D128*1000</f>
        <v>350000</v>
      </c>
      <c r="G127" s="1">
        <f t="shared" ref="G127" si="385">$D128*1000</f>
        <v>350000</v>
      </c>
      <c r="H127" s="1">
        <f t="shared" ref="H127" si="386">$D128*1000</f>
        <v>350000</v>
      </c>
      <c r="I127" s="1">
        <f t="shared" ref="I127" si="387">$D128*1000</f>
        <v>350000</v>
      </c>
      <c r="J127" s="1">
        <f t="shared" ref="J127" si="388">$D128*1000</f>
        <v>350000</v>
      </c>
      <c r="K127" s="1">
        <f t="shared" ref="K127" si="389">$D128*1000</f>
        <v>350000</v>
      </c>
      <c r="L127" s="1">
        <f t="shared" ref="L127" si="390">$D128*1000</f>
        <v>350000</v>
      </c>
      <c r="M127" s="1">
        <f t="shared" ref="M127" si="391">$D128*1000</f>
        <v>350000</v>
      </c>
      <c r="N127" s="1">
        <f t="shared" ref="N127" si="392">$D128*1000</f>
        <v>350000</v>
      </c>
      <c r="O127" s="1">
        <f t="shared" ref="O127" si="393">$D128*1000</f>
        <v>350000</v>
      </c>
      <c r="P127" s="1">
        <f t="shared" ref="P127" si="394">$D128*1000</f>
        <v>350000</v>
      </c>
      <c r="Q127">
        <f t="shared" si="324"/>
        <v>102</v>
      </c>
      <c r="R127" s="1">
        <f t="shared" ref="R127" si="395">HLOOKUP(Q127,E122:P128,7)</f>
        <v>24563515.858786721</v>
      </c>
    </row>
    <row r="128" spans="2:18" x14ac:dyDescent="0.25">
      <c r="B128" s="16"/>
      <c r="C128" t="s">
        <v>56</v>
      </c>
      <c r="D128" s="10">
        <f t="shared" ref="D128" si="396">IF(D127*(1+$D$2)&gt;D116+50,D116+50,D116)</f>
        <v>350</v>
      </c>
      <c r="E128" s="1">
        <f t="shared" ref="E128" si="397">-FV($E$29,$E$30,$E$31,D120-E129,1)</f>
        <v>24914399.740101643</v>
      </c>
      <c r="F128" s="1">
        <f t="shared" ref="F128:I128" si="398">-FV($E$29,$E$30,$E$31,E128,1)</f>
        <v>25334740.569184251</v>
      </c>
      <c r="G128" s="1">
        <f t="shared" si="398"/>
        <v>25757087.559999458</v>
      </c>
      <c r="H128" s="1">
        <f t="shared" si="398"/>
        <v>26181450.287360415</v>
      </c>
      <c r="I128" s="1">
        <f t="shared" si="398"/>
        <v>26607838.371778004</v>
      </c>
      <c r="J128" s="1">
        <f t="shared" ref="J128" si="399">-FV($E$29,$E$30,$E$31,I128-J129,1)</f>
        <v>24563515.858786721</v>
      </c>
      <c r="K128" s="1">
        <f t="shared" ref="K128:P128" si="400">-FV($E$29,$E$30,$E$31,J128,1)</f>
        <v>24982182.023486104</v>
      </c>
      <c r="L128" s="1">
        <f t="shared" si="400"/>
        <v>25402846.357243173</v>
      </c>
      <c r="M128" s="1">
        <f t="shared" si="400"/>
        <v>25825518.396724414</v>
      </c>
      <c r="N128" s="1">
        <f t="shared" si="400"/>
        <v>26250207.724111989</v>
      </c>
      <c r="O128" s="1">
        <f t="shared" si="400"/>
        <v>26676923.967320967</v>
      </c>
      <c r="P128" s="1">
        <f t="shared" si="400"/>
        <v>27105676.800217588</v>
      </c>
      <c r="Q128">
        <f t="shared" si="324"/>
        <v>103</v>
      </c>
      <c r="R128" s="1">
        <f t="shared" ref="R128" si="401">HLOOKUP(Q128,E122:P128,7)</f>
        <v>24982182.023486104</v>
      </c>
    </row>
    <row r="129" spans="2:18" x14ac:dyDescent="0.25">
      <c r="B129" s="16"/>
      <c r="C129" t="s">
        <v>71</v>
      </c>
      <c r="D129">
        <f t="shared" ref="D129" si="402">$E129</f>
        <v>2461000</v>
      </c>
      <c r="E129" s="1">
        <f t="shared" ref="E129" si="403">ROUNDUP(IF(E123&gt;=$E$9,$D$9,IF(E123&gt;=$E$8,$D$8,IF(E123&gt;=$E$7,$D$7,IF(E123&gt;=$E$6,$D$6,IF(E123&gt;=$E$5,$D$5,IF(E123&gt;=$E$4,$D$4,0))))))*1000*(1+$D$2)^$B122,-3)</f>
        <v>2461000</v>
      </c>
      <c r="J129" s="1">
        <f t="shared" ref="J129" si="404">ROUNDUP(IF(J123&gt;=$E$9,$D$9,IF(J123&gt;=$E$8,$D$8,IF(J123&gt;=$E$7,$D$7,IF(J123&gt;=$E$6,$D$6,IF(J123&gt;=$E$5,$D$5,IF(J123&gt;=$E$4,$D$4,0))))))*1000*(1+$D$2)^$B122,-3)</f>
        <v>2461000</v>
      </c>
      <c r="Q129">
        <f t="shared" si="324"/>
        <v>104</v>
      </c>
      <c r="R129" s="1">
        <f t="shared" ref="R129" si="405">HLOOKUP(Q129,E122:P128,7)</f>
        <v>25402846.357243173</v>
      </c>
    </row>
    <row r="130" spans="2:18" x14ac:dyDescent="0.25">
      <c r="B130" s="16"/>
      <c r="C130" t="s">
        <v>72</v>
      </c>
      <c r="D130">
        <f t="shared" ref="D130" si="406">$J129</f>
        <v>2461000</v>
      </c>
      <c r="Q130">
        <f t="shared" si="324"/>
        <v>105</v>
      </c>
      <c r="R130" s="1">
        <f t="shared" ref="R130" si="407">HLOOKUP(Q130,E122:P128,7)</f>
        <v>25825518.396724414</v>
      </c>
    </row>
    <row r="131" spans="2:18" x14ac:dyDescent="0.25">
      <c r="B131" s="16"/>
      <c r="C131" t="s">
        <v>58</v>
      </c>
      <c r="D131">
        <f t="shared" ref="D131" si="408">D129+D130</f>
        <v>4922000</v>
      </c>
      <c r="Q131">
        <f t="shared" si="324"/>
        <v>106</v>
      </c>
      <c r="R131" s="1">
        <f t="shared" ref="R131" si="409">HLOOKUP(Q131,E122:P128,7)</f>
        <v>26250207.724111989</v>
      </c>
    </row>
    <row r="132" spans="2:18" x14ac:dyDescent="0.25">
      <c r="B132" s="16"/>
      <c r="C132" t="s">
        <v>42</v>
      </c>
      <c r="D132" s="4">
        <f t="shared" ref="D132" si="410">P128*(1-D124)</f>
        <v>26766855.840214867</v>
      </c>
      <c r="Q132">
        <f t="shared" si="324"/>
        <v>107</v>
      </c>
      <c r="R132" s="1">
        <f t="shared" ref="R132" si="411">HLOOKUP(Q132,E122:P128,7)</f>
        <v>26676923.967320967</v>
      </c>
    </row>
    <row r="133" spans="2:18" x14ac:dyDescent="0.25">
      <c r="B133" s="16"/>
      <c r="Q133">
        <f t="shared" si="324"/>
        <v>108</v>
      </c>
      <c r="R133" s="1">
        <f t="shared" ref="R133" si="412">HLOOKUP(Q133,E122:P128,7)</f>
        <v>27105676.800217588</v>
      </c>
    </row>
    <row r="134" spans="2:18" x14ac:dyDescent="0.25">
      <c r="B134" s="16">
        <f t="shared" ref="B134" si="413">B122+1</f>
        <v>9</v>
      </c>
      <c r="C134" t="s">
        <v>40</v>
      </c>
      <c r="D134" s="2">
        <f t="shared" ref="D134" si="414">5.88%</f>
        <v>5.8799999999999998E-2</v>
      </c>
      <c r="E134">
        <f t="shared" ref="E134" si="415">($B134*12)+1</f>
        <v>109</v>
      </c>
      <c r="F134">
        <f t="shared" ref="F134:P134" si="416">E134+1</f>
        <v>110</v>
      </c>
      <c r="G134">
        <f t="shared" si="416"/>
        <v>111</v>
      </c>
      <c r="H134">
        <f t="shared" si="416"/>
        <v>112</v>
      </c>
      <c r="I134">
        <f t="shared" si="416"/>
        <v>113</v>
      </c>
      <c r="J134">
        <f t="shared" si="416"/>
        <v>114</v>
      </c>
      <c r="K134">
        <f t="shared" si="416"/>
        <v>115</v>
      </c>
      <c r="L134">
        <f t="shared" si="416"/>
        <v>116</v>
      </c>
      <c r="M134">
        <f t="shared" si="416"/>
        <v>117</v>
      </c>
      <c r="N134">
        <f t="shared" si="416"/>
        <v>118</v>
      </c>
      <c r="O134">
        <f t="shared" si="416"/>
        <v>119</v>
      </c>
      <c r="P134">
        <f t="shared" si="416"/>
        <v>120</v>
      </c>
      <c r="Q134">
        <f t="shared" si="324"/>
        <v>109</v>
      </c>
      <c r="R134" s="1">
        <f t="shared" ref="R134" si="417">HLOOKUP(Q134,E134:P140,7)</f>
        <v>24674058.40787201</v>
      </c>
    </row>
    <row r="135" spans="2:18" x14ac:dyDescent="0.25">
      <c r="B135" s="16"/>
      <c r="C135" t="s">
        <v>41</v>
      </c>
      <c r="D135" s="3">
        <f t="shared" ref="D135" si="418">(1+D134)^(1/12)-1</f>
        <v>4.7727025161425907E-3</v>
      </c>
      <c r="E135">
        <f t="shared" ref="E135" si="419">E134/12</f>
        <v>9.0833333333333339</v>
      </c>
      <c r="F135">
        <f t="shared" ref="F135" si="420">F134/12</f>
        <v>9.1666666666666661</v>
      </c>
      <c r="G135">
        <f t="shared" ref="G135" si="421">G134/12</f>
        <v>9.25</v>
      </c>
      <c r="H135">
        <f t="shared" ref="H135" si="422">H134/12</f>
        <v>9.3333333333333339</v>
      </c>
      <c r="I135">
        <f t="shared" ref="I135" si="423">I134/12</f>
        <v>9.4166666666666661</v>
      </c>
      <c r="J135">
        <f t="shared" ref="J135" si="424">J134/12</f>
        <v>9.5</v>
      </c>
      <c r="K135">
        <f t="shared" ref="K135" si="425">K134/12</f>
        <v>9.5833333333333339</v>
      </c>
      <c r="L135">
        <f t="shared" ref="L135" si="426">L134/12</f>
        <v>9.6666666666666661</v>
      </c>
      <c r="M135">
        <f t="shared" ref="M135" si="427">M134/12</f>
        <v>9.75</v>
      </c>
      <c r="N135">
        <f t="shared" ref="N135" si="428">N134/12</f>
        <v>9.8333333333333339</v>
      </c>
      <c r="O135">
        <f t="shared" ref="O135" si="429">O134/12</f>
        <v>9.9166666666666661</v>
      </c>
      <c r="P135">
        <f t="shared" ref="P135" si="430">P134/12</f>
        <v>10</v>
      </c>
      <c r="Q135">
        <f t="shared" si="324"/>
        <v>110</v>
      </c>
      <c r="R135" s="1">
        <f t="shared" ref="R135" si="431">HLOOKUP(Q135,E134:P140,7)</f>
        <v>25093252.159273554</v>
      </c>
    </row>
    <row r="136" spans="2:18" x14ac:dyDescent="0.25">
      <c r="B136" s="16"/>
      <c r="C136" t="s">
        <v>53</v>
      </c>
      <c r="D136" s="2">
        <f t="shared" ref="D136" si="432">1.25%</f>
        <v>1.2500000000000001E-2</v>
      </c>
      <c r="E136" t="s">
        <v>59</v>
      </c>
      <c r="F136" t="s">
        <v>60</v>
      </c>
      <c r="G136" t="s">
        <v>61</v>
      </c>
      <c r="H136" t="s">
        <v>62</v>
      </c>
      <c r="I136" t="s">
        <v>63</v>
      </c>
      <c r="J136" t="s">
        <v>64</v>
      </c>
      <c r="K136" t="s">
        <v>65</v>
      </c>
      <c r="L136" t="s">
        <v>66</v>
      </c>
      <c r="M136" t="s">
        <v>67</v>
      </c>
      <c r="N136" t="s">
        <v>68</v>
      </c>
      <c r="O136" t="s">
        <v>69</v>
      </c>
      <c r="P136" t="s">
        <v>70</v>
      </c>
      <c r="Q136">
        <f t="shared" si="324"/>
        <v>111</v>
      </c>
      <c r="R136" s="1">
        <f t="shared" ref="R136" si="433">HLOOKUP(Q136,E134:P140,7)</f>
        <v>25514446.597747162</v>
      </c>
    </row>
    <row r="137" spans="2:18" x14ac:dyDescent="0.25">
      <c r="B137" s="16"/>
      <c r="C137" t="s">
        <v>54</v>
      </c>
      <c r="D137">
        <f>1</f>
        <v>1</v>
      </c>
      <c r="E137" s="2">
        <f t="shared" ref="E137:P137" si="434">$D123</f>
        <v>4.7727025161425907E-3</v>
      </c>
      <c r="F137" s="2">
        <f t="shared" si="434"/>
        <v>4.7727025161425907E-3</v>
      </c>
      <c r="G137" s="2">
        <f t="shared" si="434"/>
        <v>4.7727025161425907E-3</v>
      </c>
      <c r="H137" s="2">
        <f t="shared" si="434"/>
        <v>4.7727025161425907E-3</v>
      </c>
      <c r="I137" s="2">
        <f t="shared" si="434"/>
        <v>4.7727025161425907E-3</v>
      </c>
      <c r="J137" s="2">
        <f t="shared" si="434"/>
        <v>4.7727025161425907E-3</v>
      </c>
      <c r="K137" s="2">
        <f t="shared" si="434"/>
        <v>4.7727025161425907E-3</v>
      </c>
      <c r="L137" s="2">
        <f t="shared" si="434"/>
        <v>4.7727025161425907E-3</v>
      </c>
      <c r="M137" s="2">
        <f t="shared" si="434"/>
        <v>4.7727025161425907E-3</v>
      </c>
      <c r="N137" s="2">
        <f t="shared" si="434"/>
        <v>4.7727025161425907E-3</v>
      </c>
      <c r="O137" s="2">
        <f t="shared" si="434"/>
        <v>4.7727025161425907E-3</v>
      </c>
      <c r="P137" s="2">
        <f t="shared" si="434"/>
        <v>4.7727025161425907E-3</v>
      </c>
      <c r="Q137">
        <f t="shared" si="324"/>
        <v>112</v>
      </c>
      <c r="R137" s="1">
        <f t="shared" ref="R137" si="435">HLOOKUP(Q137,E134:P140,7)</f>
        <v>25937651.27197706</v>
      </c>
    </row>
    <row r="138" spans="2:18" x14ac:dyDescent="0.25">
      <c r="B138" s="16"/>
      <c r="C138" t="s">
        <v>55</v>
      </c>
      <c r="D138">
        <f t="shared" ref="D138" si="436">D137*12</f>
        <v>12</v>
      </c>
      <c r="E138">
        <f>1</f>
        <v>1</v>
      </c>
      <c r="F138">
        <f>1</f>
        <v>1</v>
      </c>
      <c r="G138">
        <f>1</f>
        <v>1</v>
      </c>
      <c r="H138">
        <f>1</f>
        <v>1</v>
      </c>
      <c r="I138">
        <f>1</f>
        <v>1</v>
      </c>
      <c r="J138">
        <f>1</f>
        <v>1</v>
      </c>
      <c r="K138">
        <f>1</f>
        <v>1</v>
      </c>
      <c r="L138">
        <f>1</f>
        <v>1</v>
      </c>
      <c r="M138">
        <f>1</f>
        <v>1</v>
      </c>
      <c r="N138">
        <f>1</f>
        <v>1</v>
      </c>
      <c r="O138">
        <f>1</f>
        <v>1</v>
      </c>
      <c r="P138">
        <f>1</f>
        <v>1</v>
      </c>
      <c r="Q138">
        <f t="shared" si="324"/>
        <v>113</v>
      </c>
      <c r="R138" s="1">
        <f t="shared" ref="R138" si="437">HLOOKUP(Q138,E134:P140,7)</f>
        <v>26362875.776220497</v>
      </c>
    </row>
    <row r="139" spans="2:18" x14ac:dyDescent="0.25">
      <c r="B139" s="16"/>
      <c r="C139" t="s">
        <v>57</v>
      </c>
      <c r="D139" s="10">
        <f t="shared" ref="D139" si="438">D127*(1+$D$2)</f>
        <v>358.52777058669341</v>
      </c>
      <c r="E139" s="1">
        <f t="shared" ref="E139" si="439">$D140*1000</f>
        <v>350000</v>
      </c>
      <c r="F139" s="1">
        <f t="shared" ref="F139" si="440">$D140*1000</f>
        <v>350000</v>
      </c>
      <c r="G139" s="1">
        <f t="shared" ref="G139" si="441">$D140*1000</f>
        <v>350000</v>
      </c>
      <c r="H139" s="1">
        <f t="shared" ref="H139" si="442">$D140*1000</f>
        <v>350000</v>
      </c>
      <c r="I139" s="1">
        <f t="shared" ref="I139" si="443">$D140*1000</f>
        <v>350000</v>
      </c>
      <c r="J139" s="1">
        <f t="shared" ref="J139" si="444">$D140*1000</f>
        <v>350000</v>
      </c>
      <c r="K139" s="1">
        <f t="shared" ref="K139" si="445">$D140*1000</f>
        <v>350000</v>
      </c>
      <c r="L139" s="1">
        <f t="shared" ref="L139" si="446">$D140*1000</f>
        <v>350000</v>
      </c>
      <c r="M139" s="1">
        <f t="shared" ref="M139" si="447">$D140*1000</f>
        <v>350000</v>
      </c>
      <c r="N139" s="1">
        <f t="shared" ref="N139" si="448">$D140*1000</f>
        <v>350000</v>
      </c>
      <c r="O139" s="1">
        <f t="shared" ref="O139" si="449">$D140*1000</f>
        <v>350000</v>
      </c>
      <c r="P139" s="1">
        <f t="shared" ref="P139" si="450">$D140*1000</f>
        <v>350000</v>
      </c>
      <c r="Q139">
        <f t="shared" si="324"/>
        <v>114</v>
      </c>
      <c r="R139" s="1">
        <f t="shared" ref="R139" si="451">HLOOKUP(Q139,E134:P140,7)</f>
        <v>24268150.267209742</v>
      </c>
    </row>
    <row r="140" spans="2:18" x14ac:dyDescent="0.25">
      <c r="B140" s="16"/>
      <c r="C140" t="s">
        <v>56</v>
      </c>
      <c r="D140" s="10">
        <f t="shared" ref="D140" si="452">IF(D139*(1+$D$2)&gt;D128+50,D128+50,D128)</f>
        <v>350</v>
      </c>
      <c r="E140" s="1">
        <f t="shared" ref="E140" si="453">-FV($E$29,$E$30,$E$31,D132-E141,1)</f>
        <v>24674058.40787201</v>
      </c>
      <c r="F140" s="1">
        <f t="shared" ref="F140:I140" si="454">-FV($E$29,$E$30,$E$31,E140,1)</f>
        <v>25093252.159273554</v>
      </c>
      <c r="G140" s="1">
        <f t="shared" si="454"/>
        <v>25514446.597747162</v>
      </c>
      <c r="H140" s="1">
        <f t="shared" si="454"/>
        <v>25937651.27197706</v>
      </c>
      <c r="I140" s="1">
        <f t="shared" si="454"/>
        <v>26362875.776220497</v>
      </c>
      <c r="J140" s="1">
        <f t="shared" ref="J140" si="455">-FV($E$29,$E$30,$E$31,I140-J141,1)</f>
        <v>24268150.267209742</v>
      </c>
      <c r="K140" s="1">
        <f t="shared" ref="K140:P140" si="456">-FV($E$29,$E$30,$E$31,J140,1)</f>
        <v>24685406.739807025</v>
      </c>
      <c r="L140" s="1">
        <f t="shared" si="456"/>
        <v>25104654.653420947</v>
      </c>
      <c r="M140" s="1">
        <f t="shared" si="456"/>
        <v>25525903.512607064</v>
      </c>
      <c r="N140" s="1">
        <f t="shared" si="456"/>
        <v>25949162.867283341</v>
      </c>
      <c r="O140" s="1">
        <f t="shared" si="456"/>
        <v>26374442.312946662</v>
      </c>
      <c r="P140" s="1">
        <f t="shared" si="456"/>
        <v>26801751.490890365</v>
      </c>
      <c r="Q140">
        <f t="shared" si="324"/>
        <v>115</v>
      </c>
      <c r="R140" s="1">
        <f t="shared" ref="R140" si="457">HLOOKUP(Q140,E134:P140,7)</f>
        <v>24685406.739807025</v>
      </c>
    </row>
    <row r="141" spans="2:18" x14ac:dyDescent="0.25">
      <c r="B141" s="16"/>
      <c r="C141" t="s">
        <v>71</v>
      </c>
      <c r="D141">
        <f t="shared" ref="D141" si="458">$E141</f>
        <v>2510000</v>
      </c>
      <c r="E141" s="1">
        <f t="shared" ref="E141" si="459">ROUNDUP(IF(E135&gt;=$E$9,$D$9,IF(E135&gt;=$E$8,$D$8,IF(E135&gt;=$E$7,$D$7,IF(E135&gt;=$E$6,$D$6,IF(E135&gt;=$E$5,$D$5,IF(E135&gt;=$E$4,$D$4,0))))))*1000*(1+$D$2)^$B134,-3)</f>
        <v>2510000</v>
      </c>
      <c r="J141" s="1">
        <f t="shared" ref="J141" si="460">ROUNDUP(IF(J135&gt;=$E$9,$D$9,IF(J135&gt;=$E$8,$D$8,IF(J135&gt;=$E$7,$D$7,IF(J135&gt;=$E$6,$D$6,IF(J135&gt;=$E$5,$D$5,IF(J135&gt;=$E$4,$D$4,0))))))*1000*(1+$D$2)^$B134,-3)</f>
        <v>2510000</v>
      </c>
      <c r="Q141">
        <f t="shared" si="324"/>
        <v>116</v>
      </c>
      <c r="R141" s="1">
        <f t="shared" ref="R141" si="461">HLOOKUP(Q141,E134:P140,7)</f>
        <v>25104654.653420947</v>
      </c>
    </row>
    <row r="142" spans="2:18" x14ac:dyDescent="0.25">
      <c r="B142" s="16"/>
      <c r="C142" t="s">
        <v>72</v>
      </c>
      <c r="D142">
        <f t="shared" ref="D142" si="462">$J141</f>
        <v>2510000</v>
      </c>
      <c r="Q142">
        <f t="shared" si="324"/>
        <v>117</v>
      </c>
      <c r="R142" s="1">
        <f t="shared" ref="R142" si="463">HLOOKUP(Q142,E134:P140,7)</f>
        <v>25525903.512607064</v>
      </c>
    </row>
    <row r="143" spans="2:18" x14ac:dyDescent="0.25">
      <c r="B143" s="16"/>
      <c r="C143" t="s">
        <v>58</v>
      </c>
      <c r="D143">
        <f t="shared" ref="D143" si="464">D141+D142</f>
        <v>5020000</v>
      </c>
      <c r="Q143">
        <f t="shared" si="324"/>
        <v>118</v>
      </c>
      <c r="R143" s="1">
        <f t="shared" ref="R143" si="465">HLOOKUP(Q143,E134:P140,7)</f>
        <v>25949162.867283341</v>
      </c>
    </row>
    <row r="144" spans="2:18" x14ac:dyDescent="0.25">
      <c r="B144" s="16"/>
      <c r="C144" t="s">
        <v>42</v>
      </c>
      <c r="D144" s="4">
        <f t="shared" ref="D144" si="466">P140*(1-D136)</f>
        <v>26466729.597254235</v>
      </c>
      <c r="Q144">
        <f t="shared" si="324"/>
        <v>119</v>
      </c>
      <c r="R144" s="1">
        <f t="shared" ref="R144" si="467">HLOOKUP(Q144,E134:P140,7)</f>
        <v>26374442.312946662</v>
      </c>
    </row>
    <row r="145" spans="2:18" x14ac:dyDescent="0.25">
      <c r="B145" s="16"/>
      <c r="Q145">
        <f t="shared" si="324"/>
        <v>120</v>
      </c>
      <c r="R145" s="1">
        <f t="shared" ref="R145" si="468">HLOOKUP(Q145,E134:P140,7)</f>
        <v>26801751.490890365</v>
      </c>
    </row>
    <row r="146" spans="2:18" x14ac:dyDescent="0.25">
      <c r="B146" s="16">
        <f t="shared" ref="B146" si="469">B134+1</f>
        <v>10</v>
      </c>
      <c r="C146" t="s">
        <v>40</v>
      </c>
      <c r="D146" s="2">
        <f t="shared" ref="D146" si="470">5.88%</f>
        <v>5.8799999999999998E-2</v>
      </c>
      <c r="E146">
        <f t="shared" ref="E146" si="471">($B146*12)+1</f>
        <v>121</v>
      </c>
      <c r="F146">
        <f t="shared" ref="F146:P146" si="472">E146+1</f>
        <v>122</v>
      </c>
      <c r="G146">
        <f t="shared" si="472"/>
        <v>123</v>
      </c>
      <c r="H146">
        <f t="shared" si="472"/>
        <v>124</v>
      </c>
      <c r="I146">
        <f t="shared" si="472"/>
        <v>125</v>
      </c>
      <c r="J146">
        <f t="shared" si="472"/>
        <v>126</v>
      </c>
      <c r="K146">
        <f t="shared" si="472"/>
        <v>127</v>
      </c>
      <c r="L146">
        <f t="shared" si="472"/>
        <v>128</v>
      </c>
      <c r="M146">
        <f t="shared" si="472"/>
        <v>129</v>
      </c>
      <c r="N146">
        <f t="shared" si="472"/>
        <v>130</v>
      </c>
      <c r="O146">
        <f t="shared" si="472"/>
        <v>131</v>
      </c>
      <c r="P146">
        <f t="shared" si="472"/>
        <v>132</v>
      </c>
      <c r="Q146">
        <f t="shared" si="324"/>
        <v>121</v>
      </c>
      <c r="R146" s="1">
        <f t="shared" ref="R146" si="473">HLOOKUP(Q146,E146:P152,7)</f>
        <v>24322261.116510633</v>
      </c>
    </row>
    <row r="147" spans="2:18" x14ac:dyDescent="0.25">
      <c r="B147" s="16"/>
      <c r="C147" t="s">
        <v>41</v>
      </c>
      <c r="D147" s="3">
        <f t="shared" ref="D147" si="474">(1+D146)^(1/12)-1</f>
        <v>4.7727025161425907E-3</v>
      </c>
      <c r="E147">
        <f t="shared" ref="E147" si="475">E146/12</f>
        <v>10.083333333333334</v>
      </c>
      <c r="F147">
        <f t="shared" ref="F147" si="476">F146/12</f>
        <v>10.166666666666666</v>
      </c>
      <c r="G147">
        <f t="shared" ref="G147" si="477">G146/12</f>
        <v>10.25</v>
      </c>
      <c r="H147">
        <f t="shared" ref="H147" si="478">H146/12</f>
        <v>10.333333333333334</v>
      </c>
      <c r="I147">
        <f t="shared" ref="I147" si="479">I146/12</f>
        <v>10.416666666666666</v>
      </c>
      <c r="J147">
        <f t="shared" ref="J147" si="480">J146/12</f>
        <v>10.5</v>
      </c>
      <c r="K147">
        <f t="shared" ref="K147" si="481">K146/12</f>
        <v>10.583333333333334</v>
      </c>
      <c r="L147">
        <f t="shared" ref="L147" si="482">L146/12</f>
        <v>10.666666666666666</v>
      </c>
      <c r="M147">
        <f t="shared" ref="M147" si="483">M146/12</f>
        <v>10.75</v>
      </c>
      <c r="N147">
        <f t="shared" ref="N147" si="484">N146/12</f>
        <v>10.833333333333334</v>
      </c>
      <c r="O147">
        <f t="shared" ref="O147" si="485">O146/12</f>
        <v>10.916666666666666</v>
      </c>
      <c r="P147">
        <f t="shared" ref="P147" si="486">P146/12</f>
        <v>11</v>
      </c>
      <c r="Q147">
        <f t="shared" si="324"/>
        <v>122</v>
      </c>
      <c r="R147" s="1">
        <f t="shared" ref="R147" si="487">HLOOKUP(Q147,E146:P152,7)</f>
        <v>24739775.844094522</v>
      </c>
    </row>
    <row r="148" spans="2:18" x14ac:dyDescent="0.25">
      <c r="B148" s="16"/>
      <c r="C148" t="s">
        <v>53</v>
      </c>
      <c r="D148" s="2">
        <f t="shared" ref="D148" si="488">1.25%</f>
        <v>1.2500000000000001E-2</v>
      </c>
      <c r="E148" t="s">
        <v>59</v>
      </c>
      <c r="F148" t="s">
        <v>60</v>
      </c>
      <c r="G148" t="s">
        <v>61</v>
      </c>
      <c r="H148" t="s">
        <v>62</v>
      </c>
      <c r="I148" t="s">
        <v>63</v>
      </c>
      <c r="J148" t="s">
        <v>64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P148" t="s">
        <v>70</v>
      </c>
      <c r="Q148">
        <f t="shared" si="324"/>
        <v>123</v>
      </c>
      <c r="R148" s="1">
        <f t="shared" ref="R148" si="489">HLOOKUP(Q148,E146:P152,7)</f>
        <v>25159283.24526928</v>
      </c>
    </row>
    <row r="149" spans="2:18" x14ac:dyDescent="0.25">
      <c r="B149" s="16"/>
      <c r="C149" t="s">
        <v>54</v>
      </c>
      <c r="D149">
        <f>1</f>
        <v>1</v>
      </c>
      <c r="E149" s="2">
        <f t="shared" ref="E149:P149" si="490">$D135</f>
        <v>4.7727025161425907E-3</v>
      </c>
      <c r="F149" s="2">
        <f t="shared" si="490"/>
        <v>4.7727025161425907E-3</v>
      </c>
      <c r="G149" s="2">
        <f t="shared" si="490"/>
        <v>4.7727025161425907E-3</v>
      </c>
      <c r="H149" s="2">
        <f t="shared" si="490"/>
        <v>4.7727025161425907E-3</v>
      </c>
      <c r="I149" s="2">
        <f t="shared" si="490"/>
        <v>4.7727025161425907E-3</v>
      </c>
      <c r="J149" s="2">
        <f t="shared" si="490"/>
        <v>4.7727025161425907E-3</v>
      </c>
      <c r="K149" s="2">
        <f t="shared" si="490"/>
        <v>4.7727025161425907E-3</v>
      </c>
      <c r="L149" s="2">
        <f t="shared" si="490"/>
        <v>4.7727025161425907E-3</v>
      </c>
      <c r="M149" s="2">
        <f t="shared" si="490"/>
        <v>4.7727025161425907E-3</v>
      </c>
      <c r="N149" s="2">
        <f t="shared" si="490"/>
        <v>4.7727025161425907E-3</v>
      </c>
      <c r="O149" s="2">
        <f t="shared" si="490"/>
        <v>4.7727025161425907E-3</v>
      </c>
      <c r="P149" s="2">
        <f t="shared" si="490"/>
        <v>4.7727025161425907E-3</v>
      </c>
      <c r="Q149">
        <f t="shared" si="324"/>
        <v>124</v>
      </c>
      <c r="R149" s="1">
        <f t="shared" ref="R149" si="491">HLOOKUP(Q149,E146:P152,7)</f>
        <v>25580792.830473162</v>
      </c>
    </row>
    <row r="150" spans="2:18" x14ac:dyDescent="0.25">
      <c r="B150" s="16"/>
      <c r="C150" t="s">
        <v>55</v>
      </c>
      <c r="D150">
        <f t="shared" ref="D150" si="492">D149*12</f>
        <v>12</v>
      </c>
      <c r="E150">
        <f>1</f>
        <v>1</v>
      </c>
      <c r="F150">
        <f>1</f>
        <v>1</v>
      </c>
      <c r="G150">
        <f>1</f>
        <v>1</v>
      </c>
      <c r="H150">
        <f>1</f>
        <v>1</v>
      </c>
      <c r="I150">
        <f>1</f>
        <v>1</v>
      </c>
      <c r="J150">
        <f>1</f>
        <v>1</v>
      </c>
      <c r="K150">
        <f>1</f>
        <v>1</v>
      </c>
      <c r="L150">
        <f>1</f>
        <v>1</v>
      </c>
      <c r="M150">
        <f>1</f>
        <v>1</v>
      </c>
      <c r="N150">
        <f>1</f>
        <v>1</v>
      </c>
      <c r="O150">
        <f>1</f>
        <v>1</v>
      </c>
      <c r="P150">
        <f>1</f>
        <v>1</v>
      </c>
      <c r="Q150">
        <f t="shared" si="324"/>
        <v>125</v>
      </c>
      <c r="R150" s="1">
        <f t="shared" ref="R150" si="493">HLOOKUP(Q150,E146:P152,7)</f>
        <v>26004314.155534927</v>
      </c>
    </row>
    <row r="151" spans="2:18" x14ac:dyDescent="0.25">
      <c r="B151" s="16"/>
      <c r="C151" t="s">
        <v>57</v>
      </c>
      <c r="D151" s="10">
        <f t="shared" ref="D151" si="494">D139*(1+$D$2)</f>
        <v>365.69832599842726</v>
      </c>
      <c r="E151" s="1">
        <f t="shared" ref="E151" si="495">$D152*1000</f>
        <v>350000</v>
      </c>
      <c r="F151" s="1">
        <f t="shared" ref="F151" si="496">$D152*1000</f>
        <v>350000</v>
      </c>
      <c r="G151" s="1">
        <f t="shared" ref="G151" si="497">$D152*1000</f>
        <v>350000</v>
      </c>
      <c r="H151" s="1">
        <f t="shared" ref="H151" si="498">$D152*1000</f>
        <v>350000</v>
      </c>
      <c r="I151" s="1">
        <f t="shared" ref="I151" si="499">$D152*1000</f>
        <v>350000</v>
      </c>
      <c r="J151" s="1">
        <f t="shared" ref="J151" si="500">$D152*1000</f>
        <v>350000</v>
      </c>
      <c r="K151" s="1">
        <f t="shared" ref="K151" si="501">$D152*1000</f>
        <v>350000</v>
      </c>
      <c r="L151" s="1">
        <f t="shared" ref="L151" si="502">$D152*1000</f>
        <v>350000</v>
      </c>
      <c r="M151" s="1">
        <f t="shared" ref="M151" si="503">$D152*1000</f>
        <v>350000</v>
      </c>
      <c r="N151" s="1">
        <f t="shared" ref="N151" si="504">$D152*1000</f>
        <v>350000</v>
      </c>
      <c r="O151" s="1">
        <f t="shared" ref="O151" si="505">$D152*1000</f>
        <v>350000</v>
      </c>
      <c r="P151" s="1">
        <f t="shared" ref="P151" si="506">$D152*1000</f>
        <v>350000</v>
      </c>
      <c r="Q151">
        <f t="shared" si="324"/>
        <v>126</v>
      </c>
      <c r="R151" s="1">
        <f t="shared" ref="R151" si="507">HLOOKUP(Q151,E146:P152,7)</f>
        <v>23857638.70344913</v>
      </c>
    </row>
    <row r="152" spans="2:18" x14ac:dyDescent="0.25">
      <c r="B152" s="16"/>
      <c r="C152" t="s">
        <v>56</v>
      </c>
      <c r="D152" s="10">
        <f t="shared" ref="D152" si="508">IF(D151*(1+$D$2)&gt;D140+50,D140+50,D140)</f>
        <v>350</v>
      </c>
      <c r="E152" s="1">
        <f t="shared" ref="E152" si="509">-FV($E$29,$E$30,$E$31,D144-E153,1)</f>
        <v>24322261.116510633</v>
      </c>
      <c r="F152" s="1">
        <f t="shared" ref="F152:I152" si="510">-FV($E$29,$E$30,$E$31,E152,1)</f>
        <v>24739775.844094522</v>
      </c>
      <c r="G152" s="1">
        <f t="shared" si="510"/>
        <v>25159283.24526928</v>
      </c>
      <c r="H152" s="1">
        <f t="shared" si="510"/>
        <v>25580792.830473162</v>
      </c>
      <c r="I152" s="1">
        <f t="shared" si="510"/>
        <v>26004314.155534927</v>
      </c>
      <c r="J152" s="1">
        <f t="shared" ref="J152" si="511">-FV($E$29,$E$30,$E$31,I152-J153,1)</f>
        <v>23857638.70344913</v>
      </c>
      <c r="K152" s="1">
        <f t="shared" ref="K152:P152" si="512">-FV($E$29,$E$30,$E$31,J152,1)</f>
        <v>24272935.926473144</v>
      </c>
      <c r="L152" s="1">
        <f t="shared" si="512"/>
        <v>24690215.239598434</v>
      </c>
      <c r="M152" s="1">
        <f t="shared" si="512"/>
        <v>25109486.102751411</v>
      </c>
      <c r="N152" s="1">
        <f t="shared" si="512"/>
        <v>25530758.021007903</v>
      </c>
      <c r="O152" s="1">
        <f t="shared" si="512"/>
        <v>25954040.544808637</v>
      </c>
      <c r="P152" s="1">
        <f t="shared" si="512"/>
        <v>26379343.270175755</v>
      </c>
      <c r="Q152">
        <f t="shared" si="324"/>
        <v>127</v>
      </c>
      <c r="R152" s="1">
        <f t="shared" ref="R152" si="513">HLOOKUP(Q152,E146:P152,7)</f>
        <v>24272935.926473144</v>
      </c>
    </row>
    <row r="153" spans="2:18" x14ac:dyDescent="0.25">
      <c r="B153" s="16"/>
      <c r="C153" t="s">
        <v>71</v>
      </c>
      <c r="D153">
        <f t="shared" ref="D153" si="514">$E153</f>
        <v>2560000</v>
      </c>
      <c r="E153" s="1">
        <f t="shared" ref="E153" si="515">ROUNDUP(IF(E147&gt;=$E$9,$D$9,IF(E147&gt;=$E$8,$D$8,IF(E147&gt;=$E$7,$D$7,IF(E147&gt;=$E$6,$D$6,IF(E147&gt;=$E$5,$D$5,IF(E147&gt;=$E$4,$D$4,0))))))*1000*(1+$D$2)^$B146,-3)</f>
        <v>2560000</v>
      </c>
      <c r="J153" s="1">
        <f t="shared" ref="J153" si="516">ROUNDUP(IF(J147&gt;=$E$9,$D$9,IF(J147&gt;=$E$8,$D$8,IF(J147&gt;=$E$7,$D$7,IF(J147&gt;=$E$6,$D$6,IF(J147&gt;=$E$5,$D$5,IF(J147&gt;=$E$4,$D$4,0))))))*1000*(1+$D$2)^$B146,-3)</f>
        <v>2560000</v>
      </c>
      <c r="Q153">
        <f t="shared" si="324"/>
        <v>128</v>
      </c>
      <c r="R153" s="1">
        <f t="shared" ref="R153" si="517">HLOOKUP(Q153,E146:P152,7)</f>
        <v>24690215.239598434</v>
      </c>
    </row>
    <row r="154" spans="2:18" x14ac:dyDescent="0.25">
      <c r="B154" s="16"/>
      <c r="C154" t="s">
        <v>72</v>
      </c>
      <c r="D154">
        <f t="shared" ref="D154" si="518">$J153</f>
        <v>2560000</v>
      </c>
      <c r="Q154">
        <f t="shared" si="324"/>
        <v>129</v>
      </c>
      <c r="R154" s="1">
        <f t="shared" ref="R154" si="519">HLOOKUP(Q154,E146:P152,7)</f>
        <v>25109486.102751411</v>
      </c>
    </row>
    <row r="155" spans="2:18" x14ac:dyDescent="0.25">
      <c r="B155" s="16"/>
      <c r="C155" t="s">
        <v>58</v>
      </c>
      <c r="D155">
        <f t="shared" ref="D155" si="520">D153+D154</f>
        <v>5120000</v>
      </c>
      <c r="Q155">
        <f t="shared" si="324"/>
        <v>130</v>
      </c>
      <c r="R155" s="1">
        <f t="shared" ref="R155" si="521">HLOOKUP(Q155,E146:P152,7)</f>
        <v>25530758.021007903</v>
      </c>
    </row>
    <row r="156" spans="2:18" x14ac:dyDescent="0.25">
      <c r="B156" s="16"/>
      <c r="C156" t="s">
        <v>42</v>
      </c>
      <c r="D156" s="4">
        <f t="shared" ref="D156" si="522">P152*(1-D148)</f>
        <v>26049601.479298558</v>
      </c>
      <c r="Q156">
        <f t="shared" si="324"/>
        <v>131</v>
      </c>
      <c r="R156" s="1">
        <f t="shared" ref="R156" si="523">HLOOKUP(Q156,E146:P152,7)</f>
        <v>25954040.544808637</v>
      </c>
    </row>
    <row r="157" spans="2:18" x14ac:dyDescent="0.25">
      <c r="B157" s="16"/>
      <c r="Q157">
        <f t="shared" si="324"/>
        <v>132</v>
      </c>
      <c r="R157" s="1">
        <f t="shared" ref="R157" si="524">HLOOKUP(Q157,E146:P152,7)</f>
        <v>26379343.270175755</v>
      </c>
    </row>
    <row r="158" spans="2:18" x14ac:dyDescent="0.25">
      <c r="B158" s="16">
        <f t="shared" ref="B158" si="525">B146+1</f>
        <v>11</v>
      </c>
      <c r="C158" t="s">
        <v>40</v>
      </c>
      <c r="D158" s="2">
        <f t="shared" ref="D158" si="526">5.88%</f>
        <v>5.8799999999999998E-2</v>
      </c>
      <c r="E158">
        <f t="shared" ref="E158" si="527">($B158*12)+1</f>
        <v>133</v>
      </c>
      <c r="F158">
        <f t="shared" ref="F158:P158" si="528">E158+1</f>
        <v>134</v>
      </c>
      <c r="G158">
        <f t="shared" si="528"/>
        <v>135</v>
      </c>
      <c r="H158">
        <f t="shared" si="528"/>
        <v>136</v>
      </c>
      <c r="I158">
        <f t="shared" si="528"/>
        <v>137</v>
      </c>
      <c r="J158">
        <f t="shared" si="528"/>
        <v>138</v>
      </c>
      <c r="K158">
        <f t="shared" si="528"/>
        <v>139</v>
      </c>
      <c r="L158">
        <f t="shared" si="528"/>
        <v>140</v>
      </c>
      <c r="M158">
        <f t="shared" si="528"/>
        <v>141</v>
      </c>
      <c r="N158">
        <f t="shared" si="528"/>
        <v>142</v>
      </c>
      <c r="O158">
        <f t="shared" si="528"/>
        <v>143</v>
      </c>
      <c r="P158">
        <f t="shared" si="528"/>
        <v>144</v>
      </c>
      <c r="Q158">
        <f t="shared" si="324"/>
        <v>133</v>
      </c>
      <c r="R158" s="1">
        <f t="shared" ref="R158" si="529">HLOOKUP(Q158,E158:P164,7)</f>
        <v>23850893.989605997</v>
      </c>
    </row>
    <row r="159" spans="2:18" x14ac:dyDescent="0.25">
      <c r="B159" s="16"/>
      <c r="C159" t="s">
        <v>41</v>
      </c>
      <c r="D159" s="3">
        <f t="shared" ref="D159" si="530">(1+D158)^(1/12)-1</f>
        <v>4.7727025161425907E-3</v>
      </c>
      <c r="E159">
        <f t="shared" ref="E159" si="531">E158/12</f>
        <v>11.083333333333334</v>
      </c>
      <c r="F159">
        <f t="shared" ref="F159" si="532">F158/12</f>
        <v>11.166666666666666</v>
      </c>
      <c r="G159">
        <f t="shared" ref="G159" si="533">G158/12</f>
        <v>11.25</v>
      </c>
      <c r="H159">
        <f t="shared" ref="H159" si="534">H158/12</f>
        <v>11.333333333333334</v>
      </c>
      <c r="I159">
        <f t="shared" ref="I159" si="535">I158/12</f>
        <v>11.416666666666666</v>
      </c>
      <c r="J159">
        <f t="shared" ref="J159" si="536">J158/12</f>
        <v>11.5</v>
      </c>
      <c r="K159">
        <f t="shared" ref="K159" si="537">K158/12</f>
        <v>11.583333333333334</v>
      </c>
      <c r="L159">
        <f t="shared" ref="L159" si="538">L158/12</f>
        <v>11.666666666666666</v>
      </c>
      <c r="M159">
        <f t="shared" ref="M159" si="539">M158/12</f>
        <v>11.75</v>
      </c>
      <c r="N159">
        <f t="shared" ref="N159" si="540">N158/12</f>
        <v>11.833333333333334</v>
      </c>
      <c r="O159">
        <f t="shared" ref="O159" si="541">O158/12</f>
        <v>11.916666666666666</v>
      </c>
      <c r="P159">
        <f t="shared" ref="P159" si="542">P158/12</f>
        <v>12</v>
      </c>
      <c r="Q159">
        <f t="shared" si="324"/>
        <v>134</v>
      </c>
      <c r="R159" s="1">
        <f t="shared" ref="R159" si="543">HLOOKUP(Q159,E158:P164,7)</f>
        <v>24266159.022117283</v>
      </c>
    </row>
    <row r="160" spans="2:18" x14ac:dyDescent="0.25">
      <c r="B160" s="16"/>
      <c r="C160" t="s">
        <v>53</v>
      </c>
      <c r="D160" s="2">
        <f t="shared" ref="D160" si="544">1.25%</f>
        <v>1.2500000000000001E-2</v>
      </c>
      <c r="E160" t="s">
        <v>59</v>
      </c>
      <c r="F160" t="s">
        <v>60</v>
      </c>
      <c r="G160" t="s">
        <v>61</v>
      </c>
      <c r="H160" t="s">
        <v>62</v>
      </c>
      <c r="I160" t="s">
        <v>63</v>
      </c>
      <c r="J160" t="s">
        <v>64</v>
      </c>
      <c r="K160" t="s">
        <v>65</v>
      </c>
      <c r="L160" t="s">
        <v>66</v>
      </c>
      <c r="M160" t="s">
        <v>67</v>
      </c>
      <c r="N160" t="s">
        <v>68</v>
      </c>
      <c r="O160" t="s">
        <v>69</v>
      </c>
      <c r="P160" t="s">
        <v>70</v>
      </c>
      <c r="Q160">
        <f t="shared" si="324"/>
        <v>135</v>
      </c>
      <c r="R160" s="1">
        <f t="shared" ref="R160" si="545">HLOOKUP(Q160,E158:P164,7)</f>
        <v>24683405.991094101</v>
      </c>
    </row>
    <row r="161" spans="2:18" x14ac:dyDescent="0.25">
      <c r="B161" s="16"/>
      <c r="C161" t="s">
        <v>54</v>
      </c>
      <c r="D161">
        <f>1</f>
        <v>1</v>
      </c>
      <c r="E161" s="2">
        <f t="shared" ref="E161:P161" si="546">$D147</f>
        <v>4.7727025161425907E-3</v>
      </c>
      <c r="F161" s="2">
        <f t="shared" si="546"/>
        <v>4.7727025161425907E-3</v>
      </c>
      <c r="G161" s="2">
        <f t="shared" si="546"/>
        <v>4.7727025161425907E-3</v>
      </c>
      <c r="H161" s="2">
        <f t="shared" si="546"/>
        <v>4.7727025161425907E-3</v>
      </c>
      <c r="I161" s="2">
        <f t="shared" si="546"/>
        <v>4.7727025161425907E-3</v>
      </c>
      <c r="J161" s="2">
        <f t="shared" si="546"/>
        <v>4.7727025161425907E-3</v>
      </c>
      <c r="K161" s="2">
        <f t="shared" si="546"/>
        <v>4.7727025161425907E-3</v>
      </c>
      <c r="L161" s="2">
        <f t="shared" si="546"/>
        <v>4.7727025161425907E-3</v>
      </c>
      <c r="M161" s="2">
        <f t="shared" si="546"/>
        <v>4.7727025161425907E-3</v>
      </c>
      <c r="N161" s="2">
        <f t="shared" si="546"/>
        <v>4.7727025161425907E-3</v>
      </c>
      <c r="O161" s="2">
        <f t="shared" si="546"/>
        <v>4.7727025161425907E-3</v>
      </c>
      <c r="P161" s="2">
        <f t="shared" si="546"/>
        <v>4.7727025161425907E-3</v>
      </c>
      <c r="Q161">
        <f t="shared" si="324"/>
        <v>136</v>
      </c>
      <c r="R161" s="1">
        <f t="shared" ref="R161" si="547">HLOOKUP(Q161,E158:P164,7)</f>
        <v>25102644.35572961</v>
      </c>
    </row>
    <row r="162" spans="2:18" x14ac:dyDescent="0.25">
      <c r="B162" s="16"/>
      <c r="C162" t="s">
        <v>55</v>
      </c>
      <c r="D162">
        <f t="shared" ref="D162" si="548">D161*12</f>
        <v>12</v>
      </c>
      <c r="E162">
        <f>1</f>
        <v>1</v>
      </c>
      <c r="F162">
        <f>1</f>
        <v>1</v>
      </c>
      <c r="G162">
        <f>1</f>
        <v>1</v>
      </c>
      <c r="H162">
        <f>1</f>
        <v>1</v>
      </c>
      <c r="I162">
        <f>1</f>
        <v>1</v>
      </c>
      <c r="J162">
        <f>1</f>
        <v>1</v>
      </c>
      <c r="K162">
        <f>1</f>
        <v>1</v>
      </c>
      <c r="L162">
        <f>1</f>
        <v>1</v>
      </c>
      <c r="M162">
        <f>1</f>
        <v>1</v>
      </c>
      <c r="N162">
        <f>1</f>
        <v>1</v>
      </c>
      <c r="O162">
        <f>1</f>
        <v>1</v>
      </c>
      <c r="P162">
        <f>1</f>
        <v>1</v>
      </c>
      <c r="Q162">
        <f t="shared" si="324"/>
        <v>137</v>
      </c>
      <c r="R162" s="1">
        <f t="shared" ref="R162" si="549">HLOOKUP(Q162,E158:P164,7)</f>
        <v>25523883.620362878</v>
      </c>
    </row>
    <row r="163" spans="2:18" x14ac:dyDescent="0.25">
      <c r="B163" s="16"/>
      <c r="C163" t="s">
        <v>57</v>
      </c>
      <c r="D163" s="10">
        <f t="shared" ref="D163" si="550">D151*(1+$D$2)</f>
        <v>373.01229251839584</v>
      </c>
      <c r="E163" s="1">
        <f t="shared" ref="E163" si="551">$D164*1000</f>
        <v>350000</v>
      </c>
      <c r="F163" s="1">
        <f t="shared" ref="F163" si="552">$D164*1000</f>
        <v>350000</v>
      </c>
      <c r="G163" s="1">
        <f t="shared" ref="G163" si="553">$D164*1000</f>
        <v>350000</v>
      </c>
      <c r="H163" s="1">
        <f t="shared" ref="H163" si="554">$D164*1000</f>
        <v>350000</v>
      </c>
      <c r="I163" s="1">
        <f t="shared" ref="I163" si="555">$D164*1000</f>
        <v>350000</v>
      </c>
      <c r="J163" s="1">
        <f t="shared" ref="J163" si="556">$D164*1000</f>
        <v>350000</v>
      </c>
      <c r="K163" s="1">
        <f t="shared" ref="K163" si="557">$D164*1000</f>
        <v>350000</v>
      </c>
      <c r="L163" s="1">
        <f t="shared" ref="L163" si="558">$D164*1000</f>
        <v>350000</v>
      </c>
      <c r="M163" s="1">
        <f t="shared" ref="M163" si="559">$D164*1000</f>
        <v>350000</v>
      </c>
      <c r="N163" s="1">
        <f t="shared" ref="N163" si="560">$D164*1000</f>
        <v>350000</v>
      </c>
      <c r="O163" s="1">
        <f t="shared" ref="O163" si="561">$D164*1000</f>
        <v>350000</v>
      </c>
      <c r="P163" s="1">
        <f t="shared" ref="P163" si="562">$D164*1000</f>
        <v>350000</v>
      </c>
      <c r="Q163">
        <f t="shared" si="324"/>
        <v>138</v>
      </c>
      <c r="R163" s="1">
        <f t="shared" ref="R163" si="563">HLOOKUP(Q163,E158:P164,7)</f>
        <v>23322667.035722192</v>
      </c>
    </row>
    <row r="164" spans="2:18" x14ac:dyDescent="0.25">
      <c r="B164" s="16"/>
      <c r="C164" t="s">
        <v>56</v>
      </c>
      <c r="D164" s="10">
        <f t="shared" ref="D164" si="564">IF(D163*(1+$D$2)&gt;D152+50,D152+50,D152)</f>
        <v>350</v>
      </c>
      <c r="E164" s="1">
        <f t="shared" ref="E164" si="565">-FV($E$29,$E$30,$E$31,D156-E165,1)</f>
        <v>23850893.989605997</v>
      </c>
      <c r="F164" s="1">
        <f t="shared" ref="F164:I164" si="566">-FV($E$29,$E$30,$E$31,E164,1)</f>
        <v>24266159.022117283</v>
      </c>
      <c r="G164" s="1">
        <f t="shared" si="566"/>
        <v>24683405.991094101</v>
      </c>
      <c r="H164" s="1">
        <f t="shared" si="566"/>
        <v>25102644.35572961</v>
      </c>
      <c r="I164" s="1">
        <f t="shared" si="566"/>
        <v>25523883.620362878</v>
      </c>
      <c r="J164" s="1">
        <f t="shared" ref="J164" si="567">-FV($E$29,$E$30,$E$31,I164-J165,1)</f>
        <v>23322667.035722192</v>
      </c>
      <c r="K164" s="1">
        <f t="shared" ref="K164:P164" si="568">-FV($E$29,$E$30,$E$31,J164,1)</f>
        <v>23735410.998121582</v>
      </c>
      <c r="L164" s="1">
        <f t="shared" si="568"/>
        <v>24150124.864668839</v>
      </c>
      <c r="M164" s="1">
        <f t="shared" si="568"/>
        <v>24566818.037130445</v>
      </c>
      <c r="N164" s="1">
        <f t="shared" si="568"/>
        <v>24985499.962144718</v>
      </c>
      <c r="O164" s="1">
        <f t="shared" si="568"/>
        <v>25406180.131435968</v>
      </c>
      <c r="P164" s="1">
        <f t="shared" si="568"/>
        <v>25828868.082029689</v>
      </c>
      <c r="Q164">
        <f t="shared" si="324"/>
        <v>139</v>
      </c>
      <c r="R164" s="1">
        <f t="shared" ref="R164" si="569">HLOOKUP(Q164,E158:P164,7)</f>
        <v>23735410.998121582</v>
      </c>
    </row>
    <row r="165" spans="2:18" x14ac:dyDescent="0.25">
      <c r="B165" s="16"/>
      <c r="C165" t="s">
        <v>71</v>
      </c>
      <c r="D165">
        <f t="shared" ref="D165" si="570">$E165</f>
        <v>2612000</v>
      </c>
      <c r="E165" s="1">
        <f t="shared" ref="E165" si="571">ROUNDUP(IF(E159&gt;=$E$9,$D$9,IF(E159&gt;=$E$8,$D$8,IF(E159&gt;=$E$7,$D$7,IF(E159&gt;=$E$6,$D$6,IF(E159&gt;=$E$5,$D$5,IF(E159&gt;=$E$4,$D$4,0))))))*1000*(1+$D$2)^$B158,-3)</f>
        <v>2612000</v>
      </c>
      <c r="J165" s="1">
        <f t="shared" ref="J165" si="572">ROUNDUP(IF(J159&gt;=$E$9,$D$9,IF(J159&gt;=$E$8,$D$8,IF(J159&gt;=$E$7,$D$7,IF(J159&gt;=$E$6,$D$6,IF(J159&gt;=$E$5,$D$5,IF(J159&gt;=$E$4,$D$4,0))))))*1000*(1+$D$2)^$B158,-3)</f>
        <v>2612000</v>
      </c>
      <c r="Q165">
        <f t="shared" si="324"/>
        <v>140</v>
      </c>
      <c r="R165" s="1">
        <f t="shared" ref="R165" si="573">HLOOKUP(Q165,E158:P164,7)</f>
        <v>24150124.864668839</v>
      </c>
    </row>
    <row r="166" spans="2:18" x14ac:dyDescent="0.25">
      <c r="B166" s="16"/>
      <c r="C166" t="s">
        <v>72</v>
      </c>
      <c r="D166">
        <f t="shared" ref="D166" si="574">$J165</f>
        <v>2612000</v>
      </c>
      <c r="Q166">
        <f t="shared" si="324"/>
        <v>141</v>
      </c>
      <c r="R166" s="1">
        <f t="shared" ref="R166" si="575">HLOOKUP(Q166,E158:P164,7)</f>
        <v>24566818.037130445</v>
      </c>
    </row>
    <row r="167" spans="2:18" x14ac:dyDescent="0.25">
      <c r="B167" s="16"/>
      <c r="C167" t="s">
        <v>58</v>
      </c>
      <c r="D167">
        <f t="shared" ref="D167" si="576">D165+D166</f>
        <v>5224000</v>
      </c>
      <c r="Q167">
        <f t="shared" si="324"/>
        <v>142</v>
      </c>
      <c r="R167" s="1">
        <f t="shared" ref="R167" si="577">HLOOKUP(Q167,E158:P164,7)</f>
        <v>24985499.962144718</v>
      </c>
    </row>
    <row r="168" spans="2:18" x14ac:dyDescent="0.25">
      <c r="B168" s="16"/>
      <c r="C168" t="s">
        <v>42</v>
      </c>
      <c r="D168" s="4">
        <f t="shared" ref="D168" si="578">P164*(1-D160)</f>
        <v>25506007.23100432</v>
      </c>
      <c r="Q168">
        <f t="shared" si="324"/>
        <v>143</v>
      </c>
      <c r="R168" s="1">
        <f t="shared" ref="R168" si="579">HLOOKUP(Q168,E158:P164,7)</f>
        <v>25406180.131435968</v>
      </c>
    </row>
    <row r="169" spans="2:18" x14ac:dyDescent="0.25">
      <c r="B169" s="16"/>
      <c r="Q169">
        <f t="shared" si="324"/>
        <v>144</v>
      </c>
      <c r="R169" s="1">
        <f t="shared" ref="R169" si="580">HLOOKUP(Q169,E158:P164,7)</f>
        <v>25828868.082029689</v>
      </c>
    </row>
    <row r="170" spans="2:18" x14ac:dyDescent="0.25">
      <c r="B170" s="16">
        <f t="shared" ref="B170" si="581">B158+1</f>
        <v>12</v>
      </c>
      <c r="C170" t="s">
        <v>40</v>
      </c>
      <c r="D170" s="2">
        <f t="shared" ref="D170" si="582">5.88%</f>
        <v>5.8799999999999998E-2</v>
      </c>
      <c r="E170">
        <f t="shared" ref="E170" si="583">($B170*12)+1</f>
        <v>145</v>
      </c>
      <c r="F170">
        <f t="shared" ref="F170:P170" si="584">E170+1</f>
        <v>146</v>
      </c>
      <c r="G170">
        <f t="shared" si="584"/>
        <v>147</v>
      </c>
      <c r="H170">
        <f t="shared" si="584"/>
        <v>148</v>
      </c>
      <c r="I170">
        <f t="shared" si="584"/>
        <v>149</v>
      </c>
      <c r="J170">
        <f t="shared" si="584"/>
        <v>150</v>
      </c>
      <c r="K170">
        <f t="shared" si="584"/>
        <v>151</v>
      </c>
      <c r="L170">
        <f t="shared" si="584"/>
        <v>152</v>
      </c>
      <c r="M170">
        <f t="shared" si="584"/>
        <v>153</v>
      </c>
      <c r="N170">
        <f t="shared" si="584"/>
        <v>154</v>
      </c>
      <c r="O170">
        <f t="shared" si="584"/>
        <v>155</v>
      </c>
      <c r="P170">
        <f t="shared" si="584"/>
        <v>156</v>
      </c>
      <c r="Q170">
        <f t="shared" si="324"/>
        <v>145</v>
      </c>
      <c r="R170" s="1">
        <f t="shared" ref="R170" si="585">HLOOKUP(Q170,E170:P176,7)</f>
        <v>23252457.147144325</v>
      </c>
    </row>
    <row r="171" spans="2:18" x14ac:dyDescent="0.25">
      <c r="B171" s="16"/>
      <c r="C171" t="s">
        <v>41</v>
      </c>
      <c r="D171" s="3">
        <f t="shared" ref="D171" si="586">(1+D170)^(1/12)-1</f>
        <v>4.7727025161425907E-3</v>
      </c>
      <c r="E171">
        <f t="shared" ref="E171" si="587">E170/12</f>
        <v>12.083333333333334</v>
      </c>
      <c r="F171">
        <f t="shared" ref="F171" si="588">F170/12</f>
        <v>12.166666666666666</v>
      </c>
      <c r="G171">
        <f t="shared" ref="G171" si="589">G170/12</f>
        <v>12.25</v>
      </c>
      <c r="H171">
        <f t="shared" ref="H171" si="590">H170/12</f>
        <v>12.333333333333334</v>
      </c>
      <c r="I171">
        <f t="shared" ref="I171" si="591">I170/12</f>
        <v>12.416666666666666</v>
      </c>
      <c r="J171">
        <f t="shared" ref="J171" si="592">J170/12</f>
        <v>12.5</v>
      </c>
      <c r="K171">
        <f t="shared" ref="K171" si="593">K170/12</f>
        <v>12.583333333333334</v>
      </c>
      <c r="L171">
        <f t="shared" ref="L171" si="594">L170/12</f>
        <v>12.666666666666666</v>
      </c>
      <c r="M171">
        <f t="shared" ref="M171" si="595">M170/12</f>
        <v>12.75</v>
      </c>
      <c r="N171">
        <f t="shared" ref="N171" si="596">N170/12</f>
        <v>12.833333333333334</v>
      </c>
      <c r="O171">
        <f t="shared" ref="O171" si="597">O170/12</f>
        <v>12.916666666666666</v>
      </c>
      <c r="P171">
        <f t="shared" ref="P171" si="598">P170/12</f>
        <v>13</v>
      </c>
      <c r="Q171">
        <f t="shared" si="324"/>
        <v>146</v>
      </c>
      <c r="R171" s="1">
        <f t="shared" ref="R171" si="599">HLOOKUP(Q171,E170:P176,7)</f>
        <v>23664866.018631842</v>
      </c>
    </row>
    <row r="172" spans="2:18" x14ac:dyDescent="0.25">
      <c r="B172" s="16"/>
      <c r="C172" t="s">
        <v>53</v>
      </c>
      <c r="D172" s="2">
        <f t="shared" ref="D172" si="600">1.25%</f>
        <v>1.2500000000000001E-2</v>
      </c>
      <c r="E172" t="s">
        <v>59</v>
      </c>
      <c r="F172" t="s">
        <v>60</v>
      </c>
      <c r="G172" t="s">
        <v>61</v>
      </c>
      <c r="H172" t="s">
        <v>62</v>
      </c>
      <c r="I172" t="s">
        <v>63</v>
      </c>
      <c r="J172" t="s">
        <v>64</v>
      </c>
      <c r="K172" t="s">
        <v>65</v>
      </c>
      <c r="L172" t="s">
        <v>66</v>
      </c>
      <c r="M172" t="s">
        <v>67</v>
      </c>
      <c r="N172" t="s">
        <v>68</v>
      </c>
      <c r="O172" t="s">
        <v>69</v>
      </c>
      <c r="P172" t="s">
        <v>70</v>
      </c>
      <c r="Q172">
        <f t="shared" si="324"/>
        <v>147</v>
      </c>
      <c r="R172" s="1">
        <f t="shared" ref="R172" si="601">HLOOKUP(Q172,E170:P176,7)</f>
        <v>24079243.194977988</v>
      </c>
    </row>
    <row r="173" spans="2:18" x14ac:dyDescent="0.25">
      <c r="B173" s="16"/>
      <c r="C173" t="s">
        <v>54</v>
      </c>
      <c r="D173">
        <f>1</f>
        <v>1</v>
      </c>
      <c r="E173" s="2">
        <f t="shared" ref="E173:P173" si="602">$D159</f>
        <v>4.7727025161425907E-3</v>
      </c>
      <c r="F173" s="2">
        <f t="shared" si="602"/>
        <v>4.7727025161425907E-3</v>
      </c>
      <c r="G173" s="2">
        <f t="shared" si="602"/>
        <v>4.7727025161425907E-3</v>
      </c>
      <c r="H173" s="2">
        <f t="shared" si="602"/>
        <v>4.7727025161425907E-3</v>
      </c>
      <c r="I173" s="2">
        <f t="shared" si="602"/>
        <v>4.7727025161425907E-3</v>
      </c>
      <c r="J173" s="2">
        <f t="shared" si="602"/>
        <v>4.7727025161425907E-3</v>
      </c>
      <c r="K173" s="2">
        <f t="shared" si="602"/>
        <v>4.7727025161425907E-3</v>
      </c>
      <c r="L173" s="2">
        <f t="shared" si="602"/>
        <v>4.7727025161425907E-3</v>
      </c>
      <c r="M173" s="2">
        <f t="shared" si="602"/>
        <v>4.7727025161425907E-3</v>
      </c>
      <c r="N173" s="2">
        <f t="shared" si="602"/>
        <v>4.7727025161425907E-3</v>
      </c>
      <c r="O173" s="2">
        <f t="shared" si="602"/>
        <v>4.7727025161425907E-3</v>
      </c>
      <c r="P173" s="2">
        <f t="shared" si="602"/>
        <v>4.7727025161425907E-3</v>
      </c>
      <c r="Q173">
        <f t="shared" si="324"/>
        <v>148</v>
      </c>
      <c r="R173" s="1">
        <f t="shared" ref="R173" si="603">HLOOKUP(Q173,E170:P176,7)</f>
        <v>24495598.070316311</v>
      </c>
    </row>
    <row r="174" spans="2:18" x14ac:dyDescent="0.25">
      <c r="B174" s="16"/>
      <c r="C174" t="s">
        <v>55</v>
      </c>
      <c r="D174">
        <f t="shared" ref="D174" si="604">D173*12</f>
        <v>12</v>
      </c>
      <c r="E174">
        <f>1</f>
        <v>1</v>
      </c>
      <c r="F174">
        <f>1</f>
        <v>1</v>
      </c>
      <c r="G174">
        <f>1</f>
        <v>1</v>
      </c>
      <c r="H174">
        <f>1</f>
        <v>1</v>
      </c>
      <c r="I174">
        <f>1</f>
        <v>1</v>
      </c>
      <c r="J174">
        <f>1</f>
        <v>1</v>
      </c>
      <c r="K174">
        <f>1</f>
        <v>1</v>
      </c>
      <c r="L174">
        <f>1</f>
        <v>1</v>
      </c>
      <c r="M174">
        <f>1</f>
        <v>1</v>
      </c>
      <c r="N174">
        <f>1</f>
        <v>1</v>
      </c>
      <c r="O174">
        <f>1</f>
        <v>1</v>
      </c>
      <c r="P174">
        <f>1</f>
        <v>1</v>
      </c>
      <c r="Q174">
        <f t="shared" si="324"/>
        <v>149</v>
      </c>
      <c r="R174" s="1">
        <f t="shared" ref="R174" si="605">HLOOKUP(Q174,E170:P176,7)</f>
        <v>24913940.083615769</v>
      </c>
    </row>
    <row r="175" spans="2:18" x14ac:dyDescent="0.25">
      <c r="B175" s="16"/>
      <c r="C175" t="s">
        <v>57</v>
      </c>
      <c r="D175" s="10">
        <f t="shared" ref="D175" si="606">D163*(1+$D$2)</f>
        <v>380.47253836876376</v>
      </c>
      <c r="E175" s="1">
        <f t="shared" ref="E175" si="607">$D176*1000</f>
        <v>350000</v>
      </c>
      <c r="F175" s="1">
        <f t="shared" ref="F175" si="608">$D176*1000</f>
        <v>350000</v>
      </c>
      <c r="G175" s="1">
        <f t="shared" ref="G175" si="609">$D176*1000</f>
        <v>350000</v>
      </c>
      <c r="H175" s="1">
        <f t="shared" ref="H175" si="610">$D176*1000</f>
        <v>350000</v>
      </c>
      <c r="I175" s="1">
        <f t="shared" ref="I175" si="611">$D176*1000</f>
        <v>350000</v>
      </c>
      <c r="J175" s="1">
        <f t="shared" ref="J175" si="612">$D176*1000</f>
        <v>350000</v>
      </c>
      <c r="K175" s="1">
        <f t="shared" ref="K175" si="613">$D176*1000</f>
        <v>350000</v>
      </c>
      <c r="L175" s="1">
        <f t="shared" ref="L175" si="614">$D176*1000</f>
        <v>350000</v>
      </c>
      <c r="M175" s="1">
        <f t="shared" ref="M175" si="615">$D176*1000</f>
        <v>350000</v>
      </c>
      <c r="N175" s="1">
        <f t="shared" ref="N175" si="616">$D176*1000</f>
        <v>350000</v>
      </c>
      <c r="O175" s="1">
        <f t="shared" ref="O175" si="617">$D176*1000</f>
        <v>350000</v>
      </c>
      <c r="P175" s="1">
        <f t="shared" ref="P175" si="618">$D176*1000</f>
        <v>350000</v>
      </c>
      <c r="Q175">
        <f t="shared" si="324"/>
        <v>150</v>
      </c>
      <c r="R175" s="1">
        <f t="shared" ref="R175" si="619">HLOOKUP(Q175,E170:P176,7)</f>
        <v>22657564.239391707</v>
      </c>
    </row>
    <row r="176" spans="2:18" x14ac:dyDescent="0.25">
      <c r="B176" s="16"/>
      <c r="C176" t="s">
        <v>56</v>
      </c>
      <c r="D176" s="10">
        <f t="shared" ref="D176" si="620">IF(D175*(1+$D$2)&gt;D164+50,D164+50,D164)</f>
        <v>350</v>
      </c>
      <c r="E176" s="1">
        <f t="shared" ref="E176" si="621">-FV($E$29,$E$30,$E$31,D168-E177,1)</f>
        <v>23252457.147144325</v>
      </c>
      <c r="F176" s="1">
        <f t="shared" ref="F176:I176" si="622">-FV($E$29,$E$30,$E$31,E176,1)</f>
        <v>23664866.018631842</v>
      </c>
      <c r="G176" s="1">
        <f t="shared" si="622"/>
        <v>24079243.194977988</v>
      </c>
      <c r="H176" s="1">
        <f t="shared" si="622"/>
        <v>24495598.070316311</v>
      </c>
      <c r="I176" s="1">
        <f t="shared" si="622"/>
        <v>24913940.083615769</v>
      </c>
      <c r="J176" s="1">
        <f t="shared" ref="J176" si="623">-FV($E$29,$E$30,$E$31,I176-J177,1)</f>
        <v>22657564.239391707</v>
      </c>
      <c r="K176" s="1">
        <f t="shared" ref="K176:P176" si="624">-FV($E$29,$E$30,$E$31,J176,1)</f>
        <v>23067133.864001557</v>
      </c>
      <c r="L176" s="1">
        <f t="shared" si="624"/>
        <v>23478658.242589317</v>
      </c>
      <c r="M176" s="1">
        <f t="shared" si="624"/>
        <v>23892146.704614218</v>
      </c>
      <c r="N176" s="1">
        <f t="shared" si="624"/>
        <v>24307608.624062221</v>
      </c>
      <c r="O176" s="1">
        <f t="shared" si="624"/>
        <v>24725053.419658534</v>
      </c>
      <c r="P176" s="1">
        <f t="shared" si="624"/>
        <v>25144490.55508114</v>
      </c>
      <c r="Q176">
        <f t="shared" si="324"/>
        <v>151</v>
      </c>
      <c r="R176" s="1">
        <f t="shared" ref="R176" si="625">HLOOKUP(Q176,E170:P176,7)</f>
        <v>23067133.864001557</v>
      </c>
    </row>
    <row r="177" spans="2:18" x14ac:dyDescent="0.25">
      <c r="B177" s="16"/>
      <c r="C177" t="s">
        <v>71</v>
      </c>
      <c r="D177">
        <f t="shared" ref="D177" si="626">$E177</f>
        <v>2664000</v>
      </c>
      <c r="E177" s="1">
        <f t="shared" ref="E177" si="627">ROUNDUP(IF(E171&gt;=$E$9,$D$9,IF(E171&gt;=$E$8,$D$8,IF(E171&gt;=$E$7,$D$7,IF(E171&gt;=$E$6,$D$6,IF(E171&gt;=$E$5,$D$5,IF(E171&gt;=$E$4,$D$4,0))))))*1000*(1+$D$2)^$B170,-3)</f>
        <v>2664000</v>
      </c>
      <c r="J177" s="1">
        <f t="shared" ref="J177" si="628">ROUNDUP(IF(J171&gt;=$E$9,$D$9,IF(J171&gt;=$E$8,$D$8,IF(J171&gt;=$E$7,$D$7,IF(J171&gt;=$E$6,$D$6,IF(J171&gt;=$E$5,$D$5,IF(J171&gt;=$E$4,$D$4,0))))))*1000*(1+$D$2)^$B170,-3)</f>
        <v>2664000</v>
      </c>
      <c r="Q177">
        <f t="shared" si="324"/>
        <v>152</v>
      </c>
      <c r="R177" s="1">
        <f t="shared" ref="R177" si="629">HLOOKUP(Q177,E170:P176,7)</f>
        <v>23478658.242589317</v>
      </c>
    </row>
    <row r="178" spans="2:18" x14ac:dyDescent="0.25">
      <c r="B178" s="16"/>
      <c r="C178" t="s">
        <v>72</v>
      </c>
      <c r="D178">
        <f t="shared" ref="D178" si="630">$J177</f>
        <v>2664000</v>
      </c>
      <c r="Q178">
        <f t="shared" ref="Q178:Q241" si="631">Q177+1</f>
        <v>153</v>
      </c>
      <c r="R178" s="1">
        <f t="shared" ref="R178" si="632">HLOOKUP(Q178,E170:P176,7)</f>
        <v>23892146.704614218</v>
      </c>
    </row>
    <row r="179" spans="2:18" x14ac:dyDescent="0.25">
      <c r="B179" s="16"/>
      <c r="C179" t="s">
        <v>58</v>
      </c>
      <c r="D179">
        <f t="shared" ref="D179" si="633">D177+D178</f>
        <v>5328000</v>
      </c>
      <c r="Q179">
        <f t="shared" si="631"/>
        <v>154</v>
      </c>
      <c r="R179" s="1">
        <f t="shared" ref="R179" si="634">HLOOKUP(Q179,E170:P176,7)</f>
        <v>24307608.624062221</v>
      </c>
    </row>
    <row r="180" spans="2:18" x14ac:dyDescent="0.25">
      <c r="B180" s="16"/>
      <c r="C180" t="s">
        <v>42</v>
      </c>
      <c r="D180" s="4">
        <f t="shared" ref="D180" si="635">P176*(1-D172)</f>
        <v>24830184.423142627</v>
      </c>
      <c r="Q180">
        <f t="shared" si="631"/>
        <v>155</v>
      </c>
      <c r="R180" s="1">
        <f t="shared" ref="R180" si="636">HLOOKUP(Q180,E170:P176,7)</f>
        <v>24725053.419658534</v>
      </c>
    </row>
    <row r="181" spans="2:18" x14ac:dyDescent="0.25">
      <c r="B181" s="16"/>
      <c r="Q181">
        <f t="shared" si="631"/>
        <v>156</v>
      </c>
      <c r="R181" s="1">
        <f t="shared" ref="R181" si="637">HLOOKUP(Q181,E170:P176,7)</f>
        <v>25144490.55508114</v>
      </c>
    </row>
    <row r="182" spans="2:18" x14ac:dyDescent="0.25">
      <c r="B182" s="16">
        <f t="shared" ref="B182" si="638">B170+1</f>
        <v>13</v>
      </c>
      <c r="C182" t="s">
        <v>40</v>
      </c>
      <c r="D182" s="2">
        <f t="shared" ref="D182" si="639">5.88%</f>
        <v>5.8799999999999998E-2</v>
      </c>
      <c r="E182">
        <f t="shared" ref="E182" si="640">($B182*12)+1</f>
        <v>157</v>
      </c>
      <c r="F182">
        <f t="shared" ref="F182:P182" si="641">E182+1</f>
        <v>158</v>
      </c>
      <c r="G182">
        <f t="shared" si="641"/>
        <v>159</v>
      </c>
      <c r="H182">
        <f t="shared" si="641"/>
        <v>160</v>
      </c>
      <c r="I182">
        <f t="shared" si="641"/>
        <v>161</v>
      </c>
      <c r="J182">
        <f t="shared" si="641"/>
        <v>162</v>
      </c>
      <c r="K182">
        <f t="shared" si="641"/>
        <v>163</v>
      </c>
      <c r="L182">
        <f t="shared" si="641"/>
        <v>164</v>
      </c>
      <c r="M182">
        <f t="shared" si="641"/>
        <v>165</v>
      </c>
      <c r="N182">
        <f t="shared" si="641"/>
        <v>166</v>
      </c>
      <c r="O182">
        <f t="shared" si="641"/>
        <v>167</v>
      </c>
      <c r="P182">
        <f t="shared" si="641"/>
        <v>168</v>
      </c>
      <c r="Q182">
        <f t="shared" si="631"/>
        <v>157</v>
      </c>
      <c r="R182" s="1">
        <f t="shared" ref="R182" si="642">HLOOKUP(Q182,E182:P188,7)</f>
        <v>22520155.884833727</v>
      </c>
    </row>
    <row r="183" spans="2:18" x14ac:dyDescent="0.25">
      <c r="B183" s="16"/>
      <c r="C183" t="s">
        <v>41</v>
      </c>
      <c r="D183" s="3">
        <f t="shared" ref="D183" si="643">(1+D182)^(1/12)-1</f>
        <v>4.7727025161425907E-3</v>
      </c>
      <c r="E183">
        <f t="shared" ref="E183" si="644">E182/12</f>
        <v>13.083333333333334</v>
      </c>
      <c r="F183">
        <f t="shared" ref="F183" si="645">F182/12</f>
        <v>13.166666666666666</v>
      </c>
      <c r="G183">
        <f t="shared" ref="G183" si="646">G182/12</f>
        <v>13.25</v>
      </c>
      <c r="H183">
        <f t="shared" ref="H183" si="647">H182/12</f>
        <v>13.333333333333334</v>
      </c>
      <c r="I183">
        <f t="shared" ref="I183" si="648">I182/12</f>
        <v>13.416666666666666</v>
      </c>
      <c r="J183">
        <f t="shared" ref="J183" si="649">J182/12</f>
        <v>13.5</v>
      </c>
      <c r="K183">
        <f t="shared" ref="K183" si="650">K182/12</f>
        <v>13.583333333333334</v>
      </c>
      <c r="L183">
        <f t="shared" ref="L183" si="651">L182/12</f>
        <v>13.666666666666666</v>
      </c>
      <c r="M183">
        <f t="shared" ref="M183" si="652">M182/12</f>
        <v>13.75</v>
      </c>
      <c r="N183">
        <f t="shared" ref="N183" si="653">N182/12</f>
        <v>13.833333333333334</v>
      </c>
      <c r="O183">
        <f t="shared" ref="O183" si="654">O182/12</f>
        <v>13.916666666666666</v>
      </c>
      <c r="P183">
        <f t="shared" ref="P183" si="655">P182/12</f>
        <v>14</v>
      </c>
      <c r="Q183">
        <f t="shared" si="631"/>
        <v>158</v>
      </c>
      <c r="R183" s="1">
        <f t="shared" ref="R183" si="656">HLOOKUP(Q183,E182:P188,7)</f>
        <v>22929069.700244039</v>
      </c>
    </row>
    <row r="184" spans="2:18" x14ac:dyDescent="0.25">
      <c r="B184" s="16"/>
      <c r="C184" t="s">
        <v>53</v>
      </c>
      <c r="D184" s="2">
        <f t="shared" ref="D184" si="657">1.25%</f>
        <v>1.2500000000000001E-2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  <c r="J184" t="s">
        <v>64</v>
      </c>
      <c r="K184" t="s">
        <v>65</v>
      </c>
      <c r="L184" t="s">
        <v>66</v>
      </c>
      <c r="M184" t="s">
        <v>67</v>
      </c>
      <c r="N184" t="s">
        <v>68</v>
      </c>
      <c r="O184" t="s">
        <v>69</v>
      </c>
      <c r="P184" t="s">
        <v>70</v>
      </c>
      <c r="Q184">
        <f t="shared" si="631"/>
        <v>159</v>
      </c>
      <c r="R184" s="1">
        <f t="shared" ref="R184" si="658">HLOOKUP(Q184,E182:P188,7)</f>
        <v>23339935.139650047</v>
      </c>
    </row>
    <row r="185" spans="2:18" x14ac:dyDescent="0.25">
      <c r="B185" s="16"/>
      <c r="C185" t="s">
        <v>54</v>
      </c>
      <c r="D185">
        <f>1</f>
        <v>1</v>
      </c>
      <c r="E185" s="2">
        <f t="shared" ref="E185:P185" si="659">$D171</f>
        <v>4.7727025161425907E-3</v>
      </c>
      <c r="F185" s="2">
        <f t="shared" si="659"/>
        <v>4.7727025161425907E-3</v>
      </c>
      <c r="G185" s="2">
        <f t="shared" si="659"/>
        <v>4.7727025161425907E-3</v>
      </c>
      <c r="H185" s="2">
        <f t="shared" si="659"/>
        <v>4.7727025161425907E-3</v>
      </c>
      <c r="I185" s="2">
        <f t="shared" si="659"/>
        <v>4.7727025161425907E-3</v>
      </c>
      <c r="J185" s="2">
        <f t="shared" si="659"/>
        <v>4.7727025161425907E-3</v>
      </c>
      <c r="K185" s="2">
        <f t="shared" si="659"/>
        <v>4.7727025161425907E-3</v>
      </c>
      <c r="L185" s="2">
        <f t="shared" si="659"/>
        <v>4.7727025161425907E-3</v>
      </c>
      <c r="M185" s="2">
        <f t="shared" si="659"/>
        <v>4.7727025161425907E-3</v>
      </c>
      <c r="N185" s="2">
        <f t="shared" si="659"/>
        <v>4.7727025161425907E-3</v>
      </c>
      <c r="O185" s="2">
        <f t="shared" si="659"/>
        <v>4.7727025161425907E-3</v>
      </c>
      <c r="P185" s="2">
        <f t="shared" si="659"/>
        <v>4.7727025161425907E-3</v>
      </c>
      <c r="Q185">
        <f t="shared" si="631"/>
        <v>160</v>
      </c>
      <c r="R185" s="1">
        <f t="shared" ref="R185" si="660">HLOOKUP(Q185,E182:P188,7)</f>
        <v>23752761.517572504</v>
      </c>
    </row>
    <row r="186" spans="2:18" x14ac:dyDescent="0.25">
      <c r="B186" s="16"/>
      <c r="C186" t="s">
        <v>55</v>
      </c>
      <c r="D186">
        <f t="shared" ref="D186" si="661">D185*12</f>
        <v>12</v>
      </c>
      <c r="E186">
        <f>1</f>
        <v>1</v>
      </c>
      <c r="F186">
        <f>1</f>
        <v>1</v>
      </c>
      <c r="G186">
        <f>1</f>
        <v>1</v>
      </c>
      <c r="H186">
        <f>1</f>
        <v>1</v>
      </c>
      <c r="I186">
        <f>1</f>
        <v>1</v>
      </c>
      <c r="J186">
        <f>1</f>
        <v>1</v>
      </c>
      <c r="K186">
        <f>1</f>
        <v>1</v>
      </c>
      <c r="L186">
        <f>1</f>
        <v>1</v>
      </c>
      <c r="M186">
        <f>1</f>
        <v>1</v>
      </c>
      <c r="N186">
        <f>1</f>
        <v>1</v>
      </c>
      <c r="O186">
        <f>1</f>
        <v>1</v>
      </c>
      <c r="P186">
        <f>1</f>
        <v>1</v>
      </c>
      <c r="Q186">
        <f t="shared" si="631"/>
        <v>161</v>
      </c>
      <c r="R186" s="1">
        <f t="shared" ref="R186" si="662">HLOOKUP(Q186,E182:P188,7)</f>
        <v>24167558.192987598</v>
      </c>
    </row>
    <row r="187" spans="2:18" x14ac:dyDescent="0.25">
      <c r="B187" s="16"/>
      <c r="C187" t="s">
        <v>57</v>
      </c>
      <c r="D187" s="10">
        <f t="shared" ref="D187" si="663">D175*(1+$D$2)</f>
        <v>388.08198913613904</v>
      </c>
      <c r="E187" s="1">
        <f t="shared" ref="E187" si="664">$D188*1000</f>
        <v>350000</v>
      </c>
      <c r="F187" s="1">
        <f t="shared" ref="F187" si="665">$D188*1000</f>
        <v>350000</v>
      </c>
      <c r="G187" s="1">
        <f t="shared" ref="G187" si="666">$D188*1000</f>
        <v>350000</v>
      </c>
      <c r="H187" s="1">
        <f t="shared" ref="H187" si="667">$D188*1000</f>
        <v>350000</v>
      </c>
      <c r="I187" s="1">
        <f t="shared" ref="I187" si="668">$D188*1000</f>
        <v>350000</v>
      </c>
      <c r="J187" s="1">
        <f t="shared" ref="J187" si="669">$D188*1000</f>
        <v>350000</v>
      </c>
      <c r="K187" s="1">
        <f t="shared" ref="K187" si="670">$D188*1000</f>
        <v>350000</v>
      </c>
      <c r="L187" s="1">
        <f t="shared" ref="L187" si="671">$D188*1000</f>
        <v>350000</v>
      </c>
      <c r="M187" s="1">
        <f t="shared" ref="M187" si="672">$D188*1000</f>
        <v>350000</v>
      </c>
      <c r="N187" s="1">
        <f t="shared" ref="N187" si="673">$D188*1000</f>
        <v>350000</v>
      </c>
      <c r="O187" s="1">
        <f t="shared" ref="O187" si="674">$D188*1000</f>
        <v>350000</v>
      </c>
      <c r="P187" s="1">
        <f t="shared" ref="P187" si="675">$D188*1000</f>
        <v>350000</v>
      </c>
      <c r="Q187">
        <f t="shared" si="631"/>
        <v>162</v>
      </c>
      <c r="R187" s="1">
        <f t="shared" ref="R187" si="676">HLOOKUP(Q187,E182:P188,7)</f>
        <v>21854367.136802778</v>
      </c>
    </row>
    <row r="188" spans="2:18" x14ac:dyDescent="0.25">
      <c r="B188" s="16"/>
      <c r="C188" t="s">
        <v>56</v>
      </c>
      <c r="D188" s="10">
        <f t="shared" ref="D188" si="677">IF(D187*(1+$D$2)&gt;D176+50,D176+50,D176)</f>
        <v>350</v>
      </c>
      <c r="E188" s="1">
        <f t="shared" ref="E188" si="678">-FV($E$29,$E$30,$E$31,D180-E189,1)</f>
        <v>22520155.884833727</v>
      </c>
      <c r="F188" s="1">
        <f t="shared" ref="F188:I188" si="679">-FV($E$29,$E$30,$E$31,E188,1)</f>
        <v>22929069.700244039</v>
      </c>
      <c r="G188" s="1">
        <f t="shared" si="679"/>
        <v>23339935.139650047</v>
      </c>
      <c r="H188" s="1">
        <f t="shared" si="679"/>
        <v>23752761.517572504</v>
      </c>
      <c r="I188" s="1">
        <f t="shared" si="679"/>
        <v>24167558.192987598</v>
      </c>
      <c r="J188" s="1">
        <f t="shared" ref="J188" si="680">-FV($E$29,$E$30,$E$31,I188-J189,1)</f>
        <v>21854367.136802778</v>
      </c>
      <c r="K188" s="1">
        <f t="shared" ref="K188:P188" si="681">-FV($E$29,$E$30,$E$31,J188,1)</f>
        <v>22260103.340580143</v>
      </c>
      <c r="L188" s="1">
        <f t="shared" si="681"/>
        <v>22667776.002558168</v>
      </c>
      <c r="M188" s="1">
        <f t="shared" si="681"/>
        <v>23077394.364875779</v>
      </c>
      <c r="N188" s="1">
        <f t="shared" si="681"/>
        <v>23488967.713781878</v>
      </c>
      <c r="O188" s="1">
        <f t="shared" si="681"/>
        <v>23902505.37984588</v>
      </c>
      <c r="P188" s="1">
        <f t="shared" si="681"/>
        <v>24318016.738169227</v>
      </c>
      <c r="Q188">
        <f t="shared" si="631"/>
        <v>163</v>
      </c>
      <c r="R188" s="1">
        <f t="shared" ref="R188" si="682">HLOOKUP(Q188,E182:P188,7)</f>
        <v>22260103.340580143</v>
      </c>
    </row>
    <row r="189" spans="2:18" x14ac:dyDescent="0.25">
      <c r="B189" s="16"/>
      <c r="C189" t="s">
        <v>71</v>
      </c>
      <c r="D189">
        <f t="shared" ref="D189" si="683">$E189</f>
        <v>2717000</v>
      </c>
      <c r="E189" s="1">
        <f t="shared" ref="E189" si="684">ROUNDUP(IF(E183&gt;=$E$9,$D$9,IF(E183&gt;=$E$8,$D$8,IF(E183&gt;=$E$7,$D$7,IF(E183&gt;=$E$6,$D$6,IF(E183&gt;=$E$5,$D$5,IF(E183&gt;=$E$4,$D$4,0))))))*1000*(1+$D$2)^$B182,-3)</f>
        <v>2717000</v>
      </c>
      <c r="J189" s="1">
        <f t="shared" ref="J189" si="685">ROUNDUP(IF(J183&gt;=$E$9,$D$9,IF(J183&gt;=$E$8,$D$8,IF(J183&gt;=$E$7,$D$7,IF(J183&gt;=$E$6,$D$6,IF(J183&gt;=$E$5,$D$5,IF(J183&gt;=$E$4,$D$4,0))))))*1000*(1+$D$2)^$B182,-3)</f>
        <v>2717000</v>
      </c>
      <c r="Q189">
        <f t="shared" si="631"/>
        <v>164</v>
      </c>
      <c r="R189" s="1">
        <f t="shared" ref="R189" si="686">HLOOKUP(Q189,E182:P188,7)</f>
        <v>22667776.002558168</v>
      </c>
    </row>
    <row r="190" spans="2:18" x14ac:dyDescent="0.25">
      <c r="B190" s="16"/>
      <c r="C190" t="s">
        <v>72</v>
      </c>
      <c r="D190">
        <f t="shared" ref="D190" si="687">$J189</f>
        <v>2717000</v>
      </c>
      <c r="Q190">
        <f t="shared" si="631"/>
        <v>165</v>
      </c>
      <c r="R190" s="1">
        <f t="shared" ref="R190" si="688">HLOOKUP(Q190,E182:P188,7)</f>
        <v>23077394.364875779</v>
      </c>
    </row>
    <row r="191" spans="2:18" x14ac:dyDescent="0.25">
      <c r="B191" s="16"/>
      <c r="C191" t="s">
        <v>58</v>
      </c>
      <c r="D191">
        <f t="shared" ref="D191" si="689">D189+D190</f>
        <v>5434000</v>
      </c>
      <c r="Q191">
        <f t="shared" si="631"/>
        <v>166</v>
      </c>
      <c r="R191" s="1">
        <f t="shared" ref="R191" si="690">HLOOKUP(Q191,E182:P188,7)</f>
        <v>23488967.713781878</v>
      </c>
    </row>
    <row r="192" spans="2:18" x14ac:dyDescent="0.25">
      <c r="B192" s="16"/>
      <c r="C192" t="s">
        <v>42</v>
      </c>
      <c r="D192" s="4">
        <f t="shared" ref="D192" si="691">P188*(1-D184)</f>
        <v>24014041.528942112</v>
      </c>
      <c r="Q192">
        <f t="shared" si="631"/>
        <v>167</v>
      </c>
      <c r="R192" s="1">
        <f t="shared" ref="R192" si="692">HLOOKUP(Q192,E182:P188,7)</f>
        <v>23902505.37984588</v>
      </c>
    </row>
    <row r="193" spans="2:18" x14ac:dyDescent="0.25">
      <c r="B193" s="16"/>
      <c r="Q193">
        <f t="shared" si="631"/>
        <v>168</v>
      </c>
      <c r="R193" s="1">
        <f t="shared" ref="R193" si="693">HLOOKUP(Q193,E182:P188,7)</f>
        <v>24318016.738169227</v>
      </c>
    </row>
    <row r="194" spans="2:18" x14ac:dyDescent="0.25">
      <c r="B194" s="16">
        <f t="shared" ref="B194" si="694">B182+1</f>
        <v>14</v>
      </c>
      <c r="C194" t="s">
        <v>40</v>
      </c>
      <c r="D194" s="2">
        <f t="shared" ref="D194" si="695">5.88%</f>
        <v>5.8799999999999998E-2</v>
      </c>
      <c r="E194">
        <f t="shared" ref="E194" si="696">($B194*12)+1</f>
        <v>169</v>
      </c>
      <c r="F194">
        <f t="shared" ref="F194:P194" si="697">E194+1</f>
        <v>170</v>
      </c>
      <c r="G194">
        <f t="shared" si="697"/>
        <v>171</v>
      </c>
      <c r="H194">
        <f t="shared" si="697"/>
        <v>172</v>
      </c>
      <c r="I194">
        <f t="shared" si="697"/>
        <v>173</v>
      </c>
      <c r="J194">
        <f t="shared" si="697"/>
        <v>174</v>
      </c>
      <c r="K194">
        <f t="shared" si="697"/>
        <v>175</v>
      </c>
      <c r="L194">
        <f t="shared" si="697"/>
        <v>176</v>
      </c>
      <c r="M194">
        <f t="shared" si="697"/>
        <v>177</v>
      </c>
      <c r="N194">
        <f t="shared" si="697"/>
        <v>178</v>
      </c>
      <c r="O194">
        <f t="shared" si="697"/>
        <v>179</v>
      </c>
      <c r="P194">
        <f t="shared" si="697"/>
        <v>180</v>
      </c>
      <c r="Q194">
        <f t="shared" si="631"/>
        <v>169</v>
      </c>
      <c r="R194" s="1">
        <f t="shared" ref="R194" si="698">HLOOKUP(Q194,E194:P200,7)</f>
        <v>21645860.05745266</v>
      </c>
    </row>
    <row r="195" spans="2:18" x14ac:dyDescent="0.25">
      <c r="B195" s="16"/>
      <c r="C195" t="s">
        <v>41</v>
      </c>
      <c r="D195" s="3">
        <f t="shared" ref="D195" si="699">(1+D194)^(1/12)-1</f>
        <v>4.7727025161425907E-3</v>
      </c>
      <c r="E195">
        <f t="shared" ref="E195" si="700">E194/12</f>
        <v>14.083333333333334</v>
      </c>
      <c r="F195">
        <f t="shared" ref="F195" si="701">F194/12</f>
        <v>14.166666666666666</v>
      </c>
      <c r="G195">
        <f t="shared" ref="G195" si="702">G194/12</f>
        <v>14.25</v>
      </c>
      <c r="H195">
        <f t="shared" ref="H195" si="703">H194/12</f>
        <v>14.333333333333334</v>
      </c>
      <c r="I195">
        <f t="shared" ref="I195" si="704">I194/12</f>
        <v>14.416666666666666</v>
      </c>
      <c r="J195">
        <f t="shared" ref="J195" si="705">J194/12</f>
        <v>14.5</v>
      </c>
      <c r="K195">
        <f t="shared" ref="K195" si="706">K194/12</f>
        <v>14.583333333333334</v>
      </c>
      <c r="L195">
        <f t="shared" ref="L195" si="707">L194/12</f>
        <v>14.666666666666666</v>
      </c>
      <c r="M195">
        <f t="shared" ref="M195" si="708">M194/12</f>
        <v>14.75</v>
      </c>
      <c r="N195">
        <f t="shared" ref="N195" si="709">N194/12</f>
        <v>14.833333333333334</v>
      </c>
      <c r="O195">
        <f t="shared" ref="O195" si="710">O194/12</f>
        <v>14.916666666666666</v>
      </c>
      <c r="P195">
        <f t="shared" ref="P195" si="711">P194/12</f>
        <v>15</v>
      </c>
      <c r="Q195">
        <f t="shared" si="631"/>
        <v>170</v>
      </c>
      <c r="R195" s="1">
        <f t="shared" ref="R195" si="712">HLOOKUP(Q195,E194:P200,7)</f>
        <v>22050601.118967779</v>
      </c>
    </row>
    <row r="196" spans="2:18" x14ac:dyDescent="0.25">
      <c r="B196" s="16"/>
      <c r="C196" t="s">
        <v>53</v>
      </c>
      <c r="D196" s="2">
        <f t="shared" ref="D196" si="713">1.25%</f>
        <v>1.2500000000000001E-2</v>
      </c>
      <c r="E196" t="s">
        <v>59</v>
      </c>
      <c r="F196" t="s">
        <v>60</v>
      </c>
      <c r="G196" t="s">
        <v>61</v>
      </c>
      <c r="H196" t="s">
        <v>62</v>
      </c>
      <c r="I196" t="s">
        <v>63</v>
      </c>
      <c r="J196" t="s">
        <v>64</v>
      </c>
      <c r="K196" t="s">
        <v>65</v>
      </c>
      <c r="L196" t="s">
        <v>66</v>
      </c>
      <c r="M196" t="s">
        <v>67</v>
      </c>
      <c r="N196" t="s">
        <v>68</v>
      </c>
      <c r="O196" t="s">
        <v>69</v>
      </c>
      <c r="P196" t="s">
        <v>70</v>
      </c>
      <c r="Q196">
        <f t="shared" si="631"/>
        <v>171</v>
      </c>
      <c r="R196" s="1">
        <f t="shared" ref="R196" si="714">HLOOKUP(Q196,E194:P200,7)</f>
        <v>22457273.889165577</v>
      </c>
    </row>
    <row r="197" spans="2:18" x14ac:dyDescent="0.25">
      <c r="B197" s="16"/>
      <c r="C197" t="s">
        <v>54</v>
      </c>
      <c r="D197">
        <f>1</f>
        <v>1</v>
      </c>
      <c r="E197" s="2">
        <f t="shared" ref="E197:P197" si="715">$D183</f>
        <v>4.7727025161425907E-3</v>
      </c>
      <c r="F197" s="2">
        <f t="shared" si="715"/>
        <v>4.7727025161425907E-3</v>
      </c>
      <c r="G197" s="2">
        <f t="shared" si="715"/>
        <v>4.7727025161425907E-3</v>
      </c>
      <c r="H197" s="2">
        <f t="shared" si="715"/>
        <v>4.7727025161425907E-3</v>
      </c>
      <c r="I197" s="2">
        <f t="shared" si="715"/>
        <v>4.7727025161425907E-3</v>
      </c>
      <c r="J197" s="2">
        <f t="shared" si="715"/>
        <v>4.7727025161425907E-3</v>
      </c>
      <c r="K197" s="2">
        <f t="shared" si="715"/>
        <v>4.7727025161425907E-3</v>
      </c>
      <c r="L197" s="2">
        <f t="shared" si="715"/>
        <v>4.7727025161425907E-3</v>
      </c>
      <c r="M197" s="2">
        <f t="shared" si="715"/>
        <v>4.7727025161425907E-3</v>
      </c>
      <c r="N197" s="2">
        <f t="shared" si="715"/>
        <v>4.7727025161425907E-3</v>
      </c>
      <c r="O197" s="2">
        <f t="shared" si="715"/>
        <v>4.7727025161425907E-3</v>
      </c>
      <c r="P197" s="2">
        <f t="shared" si="715"/>
        <v>4.7727025161425907E-3</v>
      </c>
      <c r="Q197">
        <f t="shared" si="631"/>
        <v>172</v>
      </c>
      <c r="R197" s="1">
        <f t="shared" ref="R197" si="716">HLOOKUP(Q197,E194:P200,7)</f>
        <v>22865887.587516945</v>
      </c>
    </row>
    <row r="198" spans="2:18" x14ac:dyDescent="0.25">
      <c r="B198" s="16"/>
      <c r="C198" t="s">
        <v>55</v>
      </c>
      <c r="D198">
        <f t="shared" ref="D198" si="717">D197*12</f>
        <v>12</v>
      </c>
      <c r="E198">
        <f>1</f>
        <v>1</v>
      </c>
      <c r="F198">
        <f>1</f>
        <v>1</v>
      </c>
      <c r="G198">
        <f>1</f>
        <v>1</v>
      </c>
      <c r="H198">
        <f>1</f>
        <v>1</v>
      </c>
      <c r="I198">
        <f>1</f>
        <v>1</v>
      </c>
      <c r="J198">
        <f>1</f>
        <v>1</v>
      </c>
      <c r="K198">
        <f>1</f>
        <v>1</v>
      </c>
      <c r="L198">
        <f>1</f>
        <v>1</v>
      </c>
      <c r="M198">
        <f>1</f>
        <v>1</v>
      </c>
      <c r="N198">
        <f>1</f>
        <v>1</v>
      </c>
      <c r="O198">
        <f>1</f>
        <v>1</v>
      </c>
      <c r="P198">
        <f>1</f>
        <v>1</v>
      </c>
      <c r="Q198">
        <f t="shared" si="631"/>
        <v>173</v>
      </c>
      <c r="R198" s="1">
        <f t="shared" ref="R198" si="718">HLOOKUP(Q198,E194:P200,7)</f>
        <v>23276451.477494564</v>
      </c>
    </row>
    <row r="199" spans="2:18" x14ac:dyDescent="0.25">
      <c r="B199" s="16"/>
      <c r="C199" t="s">
        <v>57</v>
      </c>
      <c r="D199" s="10">
        <f t="shared" ref="D199" si="719">D187*(1+$D$2)</f>
        <v>395.84362891886184</v>
      </c>
      <c r="E199" s="1">
        <f t="shared" ref="E199" si="720">$D200*1000</f>
        <v>400000</v>
      </c>
      <c r="F199" s="1">
        <f t="shared" ref="F199" si="721">$D200*1000</f>
        <v>400000</v>
      </c>
      <c r="G199" s="1">
        <f t="shared" ref="G199" si="722">$D200*1000</f>
        <v>400000</v>
      </c>
      <c r="H199" s="1">
        <f t="shared" ref="H199" si="723">$D200*1000</f>
        <v>400000</v>
      </c>
      <c r="I199" s="1">
        <f t="shared" ref="I199" si="724">$D200*1000</f>
        <v>400000</v>
      </c>
      <c r="J199" s="1">
        <f t="shared" ref="J199" si="725">$D200*1000</f>
        <v>400000</v>
      </c>
      <c r="K199" s="1">
        <f t="shared" ref="K199" si="726">$D200*1000</f>
        <v>400000</v>
      </c>
      <c r="L199" s="1">
        <f t="shared" ref="L199" si="727">$D200*1000</f>
        <v>400000</v>
      </c>
      <c r="M199" s="1">
        <f t="shared" ref="M199" si="728">$D200*1000</f>
        <v>400000</v>
      </c>
      <c r="N199" s="1">
        <f t="shared" ref="N199" si="729">$D200*1000</f>
        <v>400000</v>
      </c>
      <c r="O199" s="1">
        <f t="shared" ref="O199" si="730">$D200*1000</f>
        <v>400000</v>
      </c>
      <c r="P199" s="1">
        <f t="shared" ref="P199" si="731">$D200*1000</f>
        <v>400000</v>
      </c>
      <c r="Q199">
        <f t="shared" si="631"/>
        <v>174</v>
      </c>
      <c r="R199" s="1">
        <f t="shared" ref="R199" si="732">HLOOKUP(Q199,E194:P200,7)</f>
        <v>20904749.708110686</v>
      </c>
    </row>
    <row r="200" spans="2:18" x14ac:dyDescent="0.25">
      <c r="B200" s="16"/>
      <c r="C200" t="s">
        <v>56</v>
      </c>
      <c r="D200" s="10">
        <f t="shared" ref="D200" si="733">IF(D199*(1+$D$2)&gt;D188+50,D188+50,D188)</f>
        <v>400</v>
      </c>
      <c r="E200" s="1">
        <f t="shared" ref="E200" si="734">-FV($E$29,$E$30,$E$31,D192-E201,1)</f>
        <v>21645860.05745266</v>
      </c>
      <c r="F200" s="1">
        <f t="shared" ref="F200:I200" si="735">-FV($E$29,$E$30,$E$31,E200,1)</f>
        <v>22050601.118967779</v>
      </c>
      <c r="G200" s="1">
        <f t="shared" si="735"/>
        <v>22457273.889165577</v>
      </c>
      <c r="H200" s="1">
        <f t="shared" si="735"/>
        <v>22865887.587516945</v>
      </c>
      <c r="I200" s="1">
        <f t="shared" si="735"/>
        <v>23276451.477494564</v>
      </c>
      <c r="J200" s="1">
        <f t="shared" ref="J200" si="736">-FV($E$29,$E$30,$E$31,I200-J201,1)</f>
        <v>20904749.708110686</v>
      </c>
      <c r="K200" s="1">
        <f t="shared" ref="K200:P200" si="737">-FV($E$29,$E$30,$E$31,J200,1)</f>
        <v>21305953.67039676</v>
      </c>
      <c r="L200" s="1">
        <f t="shared" si="737"/>
        <v>21709072.459843121</v>
      </c>
      <c r="M200" s="1">
        <f t="shared" si="737"/>
        <v>22114115.215350181</v>
      </c>
      <c r="N200" s="1">
        <f t="shared" si="737"/>
        <v>22521091.119435593</v>
      </c>
      <c r="O200" s="1">
        <f t="shared" si="737"/>
        <v>22930009.398442443</v>
      </c>
      <c r="P200" s="1">
        <f t="shared" si="737"/>
        <v>23340879.322748408</v>
      </c>
      <c r="Q200">
        <f t="shared" si="631"/>
        <v>175</v>
      </c>
      <c r="R200" s="1">
        <f t="shared" ref="R200" si="738">HLOOKUP(Q200,E194:P200,7)</f>
        <v>21305953.67039676</v>
      </c>
    </row>
    <row r="201" spans="2:18" x14ac:dyDescent="0.25">
      <c r="B201" s="16"/>
      <c r="C201" t="s">
        <v>71</v>
      </c>
      <c r="D201">
        <f t="shared" ref="D201" si="739">$E201</f>
        <v>2771000</v>
      </c>
      <c r="E201" s="1">
        <f t="shared" ref="E201" si="740">ROUNDUP(IF(E195&gt;=$E$9,$D$9,IF(E195&gt;=$E$8,$D$8,IF(E195&gt;=$E$7,$D$7,IF(E195&gt;=$E$6,$D$6,IF(E195&gt;=$E$5,$D$5,IF(E195&gt;=$E$4,$D$4,0))))))*1000*(1+$D$2)^$B194,-3)</f>
        <v>2771000</v>
      </c>
      <c r="J201" s="1">
        <f t="shared" ref="J201" si="741">ROUNDUP(IF(J195&gt;=$E$9,$D$9,IF(J195&gt;=$E$8,$D$8,IF(J195&gt;=$E$7,$D$7,IF(J195&gt;=$E$6,$D$6,IF(J195&gt;=$E$5,$D$5,IF(J195&gt;=$E$4,$D$4,0))))))*1000*(1+$D$2)^$B194,-3)</f>
        <v>2771000</v>
      </c>
      <c r="Q201">
        <f t="shared" si="631"/>
        <v>176</v>
      </c>
      <c r="R201" s="1">
        <f t="shared" ref="R201" si="742">HLOOKUP(Q201,E194:P200,7)</f>
        <v>21709072.459843121</v>
      </c>
    </row>
    <row r="202" spans="2:18" x14ac:dyDescent="0.25">
      <c r="B202" s="16"/>
      <c r="C202" t="s">
        <v>72</v>
      </c>
      <c r="D202">
        <f t="shared" ref="D202" si="743">$J201</f>
        <v>2771000</v>
      </c>
      <c r="Q202">
        <f t="shared" si="631"/>
        <v>177</v>
      </c>
      <c r="R202" s="1">
        <f t="shared" ref="R202" si="744">HLOOKUP(Q202,E194:P200,7)</f>
        <v>22114115.215350181</v>
      </c>
    </row>
    <row r="203" spans="2:18" x14ac:dyDescent="0.25">
      <c r="B203" s="16"/>
      <c r="C203" t="s">
        <v>58</v>
      </c>
      <c r="D203">
        <f t="shared" ref="D203" si="745">D201+D202</f>
        <v>5542000</v>
      </c>
      <c r="Q203">
        <f t="shared" si="631"/>
        <v>178</v>
      </c>
      <c r="R203" s="1">
        <f t="shared" ref="R203" si="746">HLOOKUP(Q203,E194:P200,7)</f>
        <v>22521091.119435593</v>
      </c>
    </row>
    <row r="204" spans="2:18" x14ac:dyDescent="0.25">
      <c r="B204" s="16"/>
      <c r="C204" t="s">
        <v>42</v>
      </c>
      <c r="D204" s="4">
        <f t="shared" ref="D204" si="747">P200*(1-D196)</f>
        <v>23049118.331214055</v>
      </c>
      <c r="Q204">
        <f t="shared" si="631"/>
        <v>179</v>
      </c>
      <c r="R204" s="1">
        <f t="shared" ref="R204" si="748">HLOOKUP(Q204,E194:P200,7)</f>
        <v>22930009.398442443</v>
      </c>
    </row>
    <row r="205" spans="2:18" x14ac:dyDescent="0.25">
      <c r="B205" s="16"/>
      <c r="Q205">
        <f t="shared" si="631"/>
        <v>180</v>
      </c>
      <c r="R205" s="1">
        <f t="shared" ref="R205" si="749">HLOOKUP(Q205,E194:P200,7)</f>
        <v>23340879.322748408</v>
      </c>
    </row>
    <row r="206" spans="2:18" x14ac:dyDescent="0.25">
      <c r="B206" s="16">
        <f t="shared" ref="B206" si="750">B194+1</f>
        <v>15</v>
      </c>
      <c r="C206" t="s">
        <v>40</v>
      </c>
      <c r="D206" s="2">
        <f t="shared" ref="D206" si="751">5.88%</f>
        <v>5.8799999999999998E-2</v>
      </c>
      <c r="E206">
        <f t="shared" ref="E206" si="752">($B206*12)+1</f>
        <v>181</v>
      </c>
      <c r="F206">
        <f t="shared" ref="F206:P206" si="753">E206+1</f>
        <v>182</v>
      </c>
      <c r="G206">
        <f t="shared" si="753"/>
        <v>183</v>
      </c>
      <c r="H206">
        <f t="shared" si="753"/>
        <v>184</v>
      </c>
      <c r="I206">
        <f t="shared" si="753"/>
        <v>185</v>
      </c>
      <c r="J206">
        <f t="shared" si="753"/>
        <v>186</v>
      </c>
      <c r="K206">
        <f t="shared" si="753"/>
        <v>187</v>
      </c>
      <c r="L206">
        <f t="shared" si="753"/>
        <v>188</v>
      </c>
      <c r="M206">
        <f t="shared" si="753"/>
        <v>189</v>
      </c>
      <c r="N206">
        <f t="shared" si="753"/>
        <v>190</v>
      </c>
      <c r="O206">
        <f t="shared" si="753"/>
        <v>191</v>
      </c>
      <c r="P206">
        <f t="shared" si="753"/>
        <v>192</v>
      </c>
      <c r="Q206">
        <f t="shared" si="631"/>
        <v>181</v>
      </c>
      <c r="R206" s="1">
        <f t="shared" ref="R206" si="754">HLOOKUP(Q206,E206:P212,7)</f>
        <v>20620064.297010016</v>
      </c>
    </row>
    <row r="207" spans="2:18" x14ac:dyDescent="0.25">
      <c r="B207" s="16"/>
      <c r="C207" t="s">
        <v>41</v>
      </c>
      <c r="D207" s="3">
        <f t="shared" ref="D207" si="755">(1+D206)^(1/12)-1</f>
        <v>4.7727025161425907E-3</v>
      </c>
      <c r="E207">
        <f t="shared" ref="E207" si="756">E206/12</f>
        <v>15.083333333333334</v>
      </c>
      <c r="F207">
        <f t="shared" ref="F207" si="757">F206/12</f>
        <v>15.166666666666666</v>
      </c>
      <c r="G207">
        <f t="shared" ref="G207" si="758">G206/12</f>
        <v>15.25</v>
      </c>
      <c r="H207">
        <f t="shared" ref="H207" si="759">H206/12</f>
        <v>15.333333333333334</v>
      </c>
      <c r="I207">
        <f t="shared" ref="I207" si="760">I206/12</f>
        <v>15.416666666666666</v>
      </c>
      <c r="J207">
        <f t="shared" ref="J207" si="761">J206/12</f>
        <v>15.5</v>
      </c>
      <c r="K207">
        <f t="shared" ref="K207" si="762">K206/12</f>
        <v>15.583333333333334</v>
      </c>
      <c r="L207">
        <f t="shared" ref="L207" si="763">L206/12</f>
        <v>15.666666666666666</v>
      </c>
      <c r="M207">
        <f t="shared" ref="M207" si="764">M206/12</f>
        <v>15.75</v>
      </c>
      <c r="N207">
        <f t="shared" ref="N207" si="765">N206/12</f>
        <v>15.833333333333334</v>
      </c>
      <c r="O207">
        <f t="shared" ref="O207" si="766">O206/12</f>
        <v>15.916666666666666</v>
      </c>
      <c r="P207">
        <f t="shared" ref="P207" si="767">P206/12</f>
        <v>16</v>
      </c>
      <c r="Q207">
        <f t="shared" si="631"/>
        <v>182</v>
      </c>
      <c r="R207" s="1">
        <f t="shared" ref="R207" si="768">HLOOKUP(Q207,E206:P212,7)</f>
        <v>21019909.540518221</v>
      </c>
    </row>
    <row r="208" spans="2:18" x14ac:dyDescent="0.25">
      <c r="B208" s="16"/>
      <c r="C208" t="s">
        <v>53</v>
      </c>
      <c r="D208" s="2">
        <f t="shared" ref="D208" si="769">1.25%</f>
        <v>1.2500000000000001E-2</v>
      </c>
      <c r="E208" t="s">
        <v>59</v>
      </c>
      <c r="F208" t="s">
        <v>60</v>
      </c>
      <c r="G208" t="s">
        <v>61</v>
      </c>
      <c r="H208" t="s">
        <v>62</v>
      </c>
      <c r="I208" t="s">
        <v>63</v>
      </c>
      <c r="J208" t="s">
        <v>64</v>
      </c>
      <c r="K208" t="s">
        <v>65</v>
      </c>
      <c r="L208" t="s">
        <v>66</v>
      </c>
      <c r="M208" t="s">
        <v>67</v>
      </c>
      <c r="N208" t="s">
        <v>68</v>
      </c>
      <c r="O208" t="s">
        <v>69</v>
      </c>
      <c r="P208" t="s">
        <v>70</v>
      </c>
      <c r="Q208">
        <f t="shared" si="631"/>
        <v>183</v>
      </c>
      <c r="R208" s="1">
        <f t="shared" ref="R208" si="770">HLOOKUP(Q208,E206:P212,7)</f>
        <v>21421663.126426183</v>
      </c>
    </row>
    <row r="209" spans="2:18" x14ac:dyDescent="0.25">
      <c r="B209" s="16"/>
      <c r="C209" t="s">
        <v>54</v>
      </c>
      <c r="D209">
        <f>1</f>
        <v>1</v>
      </c>
      <c r="E209" s="2">
        <f t="shared" ref="E209:P209" si="771">$D195</f>
        <v>4.7727025161425907E-3</v>
      </c>
      <c r="F209" s="2">
        <f t="shared" si="771"/>
        <v>4.7727025161425907E-3</v>
      </c>
      <c r="G209" s="2">
        <f t="shared" si="771"/>
        <v>4.7727025161425907E-3</v>
      </c>
      <c r="H209" s="2">
        <f t="shared" si="771"/>
        <v>4.7727025161425907E-3</v>
      </c>
      <c r="I209" s="2">
        <f t="shared" si="771"/>
        <v>4.7727025161425907E-3</v>
      </c>
      <c r="J209" s="2">
        <f t="shared" si="771"/>
        <v>4.7727025161425907E-3</v>
      </c>
      <c r="K209" s="2">
        <f t="shared" si="771"/>
        <v>4.7727025161425907E-3</v>
      </c>
      <c r="L209" s="2">
        <f t="shared" si="771"/>
        <v>4.7727025161425907E-3</v>
      </c>
      <c r="M209" s="2">
        <f t="shared" si="771"/>
        <v>4.7727025161425907E-3</v>
      </c>
      <c r="N209" s="2">
        <f t="shared" si="771"/>
        <v>4.7727025161425907E-3</v>
      </c>
      <c r="O209" s="2">
        <f t="shared" si="771"/>
        <v>4.7727025161425907E-3</v>
      </c>
      <c r="P209" s="2">
        <f t="shared" si="771"/>
        <v>4.7727025161425907E-3</v>
      </c>
      <c r="Q209">
        <f t="shared" si="631"/>
        <v>184</v>
      </c>
      <c r="R209" s="1">
        <f t="shared" ref="R209" si="772">HLOOKUP(Q209,E206:P212,7)</f>
        <v>21825334.162684478</v>
      </c>
    </row>
    <row r="210" spans="2:18" x14ac:dyDescent="0.25">
      <c r="B210" s="16"/>
      <c r="C210" t="s">
        <v>55</v>
      </c>
      <c r="D210">
        <f t="shared" ref="D210" si="773">D209*12</f>
        <v>12</v>
      </c>
      <c r="E210">
        <f>1</f>
        <v>1</v>
      </c>
      <c r="F210">
        <f>1</f>
        <v>1</v>
      </c>
      <c r="G210">
        <f>1</f>
        <v>1</v>
      </c>
      <c r="H210">
        <f>1</f>
        <v>1</v>
      </c>
      <c r="I210">
        <f>1</f>
        <v>1</v>
      </c>
      <c r="J210">
        <f>1</f>
        <v>1</v>
      </c>
      <c r="K210">
        <f>1</f>
        <v>1</v>
      </c>
      <c r="L210">
        <f>1</f>
        <v>1</v>
      </c>
      <c r="M210">
        <f>1</f>
        <v>1</v>
      </c>
      <c r="N210">
        <f>1</f>
        <v>1</v>
      </c>
      <c r="O210">
        <f>1</f>
        <v>1</v>
      </c>
      <c r="P210">
        <f>1</f>
        <v>1</v>
      </c>
      <c r="Q210">
        <f t="shared" si="631"/>
        <v>185</v>
      </c>
      <c r="R210" s="1">
        <f t="shared" ref="R210" si="774">HLOOKUP(Q210,E206:P212,7)</f>
        <v>22230931.800713219</v>
      </c>
    </row>
    <row r="211" spans="2:18" x14ac:dyDescent="0.25">
      <c r="B211" s="16"/>
      <c r="C211" t="s">
        <v>57</v>
      </c>
      <c r="D211" s="10">
        <f t="shared" ref="D211" si="775">D199*(1+$D$2)</f>
        <v>403.76050149723909</v>
      </c>
      <c r="E211" s="1">
        <f t="shared" ref="E211" si="776">$D212*1000</f>
        <v>400000</v>
      </c>
      <c r="F211" s="1">
        <f t="shared" ref="F211" si="777">$D212*1000</f>
        <v>400000</v>
      </c>
      <c r="G211" s="1">
        <f t="shared" ref="G211" si="778">$D212*1000</f>
        <v>400000</v>
      </c>
      <c r="H211" s="1">
        <f t="shared" ref="H211" si="779">$D212*1000</f>
        <v>400000</v>
      </c>
      <c r="I211" s="1">
        <f t="shared" ref="I211" si="780">$D212*1000</f>
        <v>400000</v>
      </c>
      <c r="J211" s="1">
        <f t="shared" ref="J211" si="781">$D212*1000</f>
        <v>400000</v>
      </c>
      <c r="K211" s="1">
        <f t="shared" ref="K211" si="782">$D212*1000</f>
        <v>400000</v>
      </c>
      <c r="L211" s="1">
        <f t="shared" ref="L211" si="783">$D212*1000</f>
        <v>400000</v>
      </c>
      <c r="M211" s="1">
        <f t="shared" ref="M211" si="784">$D212*1000</f>
        <v>400000</v>
      </c>
      <c r="N211" s="1">
        <f t="shared" ref="N211" si="785">$D212*1000</f>
        <v>400000</v>
      </c>
      <c r="O211" s="1">
        <f t="shared" ref="O211" si="786">$D212*1000</f>
        <v>400000</v>
      </c>
      <c r="P211" s="1">
        <f t="shared" ref="P211" si="787">$D212*1000</f>
        <v>400000</v>
      </c>
      <c r="Q211">
        <f t="shared" si="631"/>
        <v>186</v>
      </c>
      <c r="R211" s="1">
        <f t="shared" ref="R211" si="788">HLOOKUP(Q211,E206:P212,7)</f>
        <v>21745222.303072669</v>
      </c>
    </row>
    <row r="212" spans="2:18" x14ac:dyDescent="0.25">
      <c r="B212" s="16"/>
      <c r="C212" t="s">
        <v>56</v>
      </c>
      <c r="D212" s="10">
        <f t="shared" ref="D212" si="789">IF(D211*(1+$D$2)&gt;D200+50,D200+50,D200)</f>
        <v>400</v>
      </c>
      <c r="E212" s="1">
        <f t="shared" ref="E212" si="790">-FV($E$29,$E$30,$E$31,D204-E213,1)</f>
        <v>20620064.297010016</v>
      </c>
      <c r="F212" s="1">
        <f t="shared" ref="F212:I212" si="791">-FV($E$29,$E$30,$E$31,E212,1)</f>
        <v>21019909.540518221</v>
      </c>
      <c r="G212" s="1">
        <f t="shared" si="791"/>
        <v>21421663.126426183</v>
      </c>
      <c r="H212" s="1">
        <f t="shared" si="791"/>
        <v>21825334.162684478</v>
      </c>
      <c r="I212" s="1">
        <f t="shared" si="791"/>
        <v>22230931.800713219</v>
      </c>
      <c r="J212" s="1">
        <f t="shared" ref="J212" si="792">-FV($E$29,$E$30,$E$31,I212-J213,1)</f>
        <v>21745222.303072669</v>
      </c>
      <c r="K212" s="1">
        <f t="shared" ref="K212:P212" si="793">-FV($E$29,$E$30,$E$31,J212,1)</f>
        <v>22150437.591027465</v>
      </c>
      <c r="L212" s="1">
        <f t="shared" si="793"/>
        <v>22557586.851006664</v>
      </c>
      <c r="M212" s="1">
        <f t="shared" si="793"/>
        <v>22966679.313283414</v>
      </c>
      <c r="N212" s="1">
        <f t="shared" si="793"/>
        <v>23377724.252184205</v>
      </c>
      <c r="O212" s="1">
        <f t="shared" si="793"/>
        <v>23790730.986299135</v>
      </c>
      <c r="P212" s="1">
        <f t="shared" si="793"/>
        <v>24205708.87869316</v>
      </c>
      <c r="Q212">
        <f t="shared" si="631"/>
        <v>187</v>
      </c>
      <c r="R212" s="1">
        <f t="shared" ref="R212" si="794">HLOOKUP(Q212,E206:P212,7)</f>
        <v>22150437.591027465</v>
      </c>
    </row>
    <row r="213" spans="2:18" x14ac:dyDescent="0.25">
      <c r="B213" s="16"/>
      <c r="C213" t="s">
        <v>71</v>
      </c>
      <c r="D213">
        <f t="shared" ref="D213" si="795">$E213</f>
        <v>2827000</v>
      </c>
      <c r="E213" s="1">
        <f t="shared" ref="E213" si="796">ROUNDUP(IF(E207&gt;=$E$9,$D$9,IF(E207&gt;=$E$8,$D$8,IF(E207&gt;=$E$7,$D$7,IF(E207&gt;=$E$6,$D$6,IF(E207&gt;=$E$5,$D$5,IF(E207&gt;=$E$4,$D$4,0))))))*1000*(1+$D$2)^$B206,-3)</f>
        <v>2827000</v>
      </c>
      <c r="J213" s="1">
        <f t="shared" ref="J213" si="797">ROUNDUP(IF(J207&gt;=$E$9,$D$9,IF(J207&gt;=$E$8,$D$8,IF(J207&gt;=$E$7,$D$7,IF(J207&gt;=$E$6,$D$6,IF(J207&gt;=$E$5,$D$5,IF(J207&gt;=$E$4,$D$4,0))))))*1000*(1+$D$2)^$B206,-3)</f>
        <v>889000</v>
      </c>
      <c r="Q213">
        <f t="shared" si="631"/>
        <v>188</v>
      </c>
      <c r="R213" s="1">
        <f t="shared" ref="R213" si="798">HLOOKUP(Q213,E206:P212,7)</f>
        <v>22557586.851006664</v>
      </c>
    </row>
    <row r="214" spans="2:18" x14ac:dyDescent="0.25">
      <c r="B214" s="16"/>
      <c r="C214" t="s">
        <v>72</v>
      </c>
      <c r="D214">
        <f t="shared" ref="D214" si="799">$J213</f>
        <v>889000</v>
      </c>
      <c r="Q214">
        <f t="shared" si="631"/>
        <v>189</v>
      </c>
      <c r="R214" s="1">
        <f t="shared" ref="R214" si="800">HLOOKUP(Q214,E206:P212,7)</f>
        <v>22966679.313283414</v>
      </c>
    </row>
    <row r="215" spans="2:18" x14ac:dyDescent="0.25">
      <c r="B215" s="16"/>
      <c r="C215" t="s">
        <v>58</v>
      </c>
      <c r="D215">
        <f t="shared" ref="D215" si="801">D213+D214</f>
        <v>3716000</v>
      </c>
      <c r="Q215">
        <f t="shared" si="631"/>
        <v>190</v>
      </c>
      <c r="R215" s="1">
        <f t="shared" ref="R215" si="802">HLOOKUP(Q215,E206:P212,7)</f>
        <v>23377724.252184205</v>
      </c>
    </row>
    <row r="216" spans="2:18" x14ac:dyDescent="0.25">
      <c r="B216" s="16"/>
      <c r="C216" t="s">
        <v>42</v>
      </c>
      <c r="D216" s="4">
        <f t="shared" ref="D216" si="803">P212*(1-D208)</f>
        <v>23903137.517709497</v>
      </c>
      <c r="Q216">
        <f t="shared" si="631"/>
        <v>191</v>
      </c>
      <c r="R216" s="1">
        <f t="shared" ref="R216" si="804">HLOOKUP(Q216,E206:P212,7)</f>
        <v>23790730.986299135</v>
      </c>
    </row>
    <row r="217" spans="2:18" x14ac:dyDescent="0.25">
      <c r="B217" s="16"/>
      <c r="Q217">
        <f t="shared" si="631"/>
        <v>192</v>
      </c>
      <c r="R217" s="1">
        <f t="shared" ref="R217" si="805">HLOOKUP(Q217,E206:P212,7)</f>
        <v>24205708.87869316</v>
      </c>
    </row>
    <row r="218" spans="2:18" x14ac:dyDescent="0.25">
      <c r="B218" s="16">
        <f t="shared" ref="B218" si="806">B206+1</f>
        <v>16</v>
      </c>
      <c r="C218" t="s">
        <v>40</v>
      </c>
      <c r="D218" s="2">
        <f t="shared" ref="D218" si="807">5.88%</f>
        <v>5.8799999999999998E-2</v>
      </c>
      <c r="E218">
        <f t="shared" ref="E218" si="808">($B218*12)+1</f>
        <v>193</v>
      </c>
      <c r="F218">
        <f t="shared" ref="F218:P218" si="809">E218+1</f>
        <v>194</v>
      </c>
      <c r="G218">
        <f t="shared" si="809"/>
        <v>195</v>
      </c>
      <c r="H218">
        <f t="shared" si="809"/>
        <v>196</v>
      </c>
      <c r="I218">
        <f t="shared" si="809"/>
        <v>197</v>
      </c>
      <c r="J218">
        <f t="shared" si="809"/>
        <v>198</v>
      </c>
      <c r="K218">
        <f t="shared" si="809"/>
        <v>199</v>
      </c>
      <c r="L218">
        <f t="shared" si="809"/>
        <v>200</v>
      </c>
      <c r="M218">
        <f t="shared" si="809"/>
        <v>201</v>
      </c>
      <c r="N218">
        <f t="shared" si="809"/>
        <v>202</v>
      </c>
      <c r="O218">
        <f t="shared" si="809"/>
        <v>203</v>
      </c>
      <c r="P218">
        <f t="shared" si="809"/>
        <v>204</v>
      </c>
      <c r="Q218">
        <f t="shared" si="631"/>
        <v>193</v>
      </c>
      <c r="R218" s="1">
        <f t="shared" ref="R218" si="810">HLOOKUP(Q218,E218:P224,7)</f>
        <v>23407323.051856674</v>
      </c>
    </row>
    <row r="219" spans="2:18" x14ac:dyDescent="0.25">
      <c r="B219" s="16"/>
      <c r="C219" t="s">
        <v>41</v>
      </c>
      <c r="D219" s="3">
        <f t="shared" ref="D219" si="811">(1+D218)^(1/12)-1</f>
        <v>4.7727025161425907E-3</v>
      </c>
      <c r="E219">
        <f t="shared" ref="E219" si="812">E218/12</f>
        <v>16.083333333333332</v>
      </c>
      <c r="F219">
        <f t="shared" ref="F219" si="813">F218/12</f>
        <v>16.166666666666668</v>
      </c>
      <c r="G219">
        <f t="shared" ref="G219" si="814">G218/12</f>
        <v>16.25</v>
      </c>
      <c r="H219">
        <f t="shared" ref="H219" si="815">H218/12</f>
        <v>16.333333333333332</v>
      </c>
      <c r="I219">
        <f t="shared" ref="I219" si="816">I218/12</f>
        <v>16.416666666666668</v>
      </c>
      <c r="J219">
        <f t="shared" ref="J219" si="817">J218/12</f>
        <v>16.5</v>
      </c>
      <c r="K219">
        <f t="shared" ref="K219" si="818">K218/12</f>
        <v>16.583333333333332</v>
      </c>
      <c r="L219">
        <f t="shared" ref="L219" si="819">L218/12</f>
        <v>16.666666666666668</v>
      </c>
      <c r="M219">
        <f t="shared" ref="M219" si="820">M218/12</f>
        <v>16.75</v>
      </c>
      <c r="N219">
        <f t="shared" ref="N219" si="821">N218/12</f>
        <v>16.833333333333332</v>
      </c>
      <c r="O219">
        <f t="shared" ref="O219" si="822">O218/12</f>
        <v>16.916666666666668</v>
      </c>
      <c r="P219">
        <f t="shared" ref="P219" si="823">P218/12</f>
        <v>17</v>
      </c>
      <c r="Q219">
        <f t="shared" si="631"/>
        <v>194</v>
      </c>
      <c r="R219" s="1">
        <f t="shared" ref="R219" si="824">HLOOKUP(Q219,E218:P224,7)</f>
        <v>23820471.052237276</v>
      </c>
    </row>
    <row r="220" spans="2:18" x14ac:dyDescent="0.25">
      <c r="B220" s="16"/>
      <c r="C220" t="s">
        <v>53</v>
      </c>
      <c r="D220" s="2">
        <f t="shared" ref="D220" si="825">1.25%</f>
        <v>1.2500000000000001E-2</v>
      </c>
      <c r="E220" t="s">
        <v>59</v>
      </c>
      <c r="F220" t="s">
        <v>60</v>
      </c>
      <c r="G220" t="s">
        <v>61</v>
      </c>
      <c r="H220" t="s">
        <v>62</v>
      </c>
      <c r="I220" t="s">
        <v>63</v>
      </c>
      <c r="J220" t="s">
        <v>64</v>
      </c>
      <c r="K220" t="s">
        <v>65</v>
      </c>
      <c r="L220" t="s">
        <v>66</v>
      </c>
      <c r="M220" t="s">
        <v>67</v>
      </c>
      <c r="N220" t="s">
        <v>68</v>
      </c>
      <c r="O220" t="s">
        <v>69</v>
      </c>
      <c r="P220" t="s">
        <v>70</v>
      </c>
      <c r="Q220">
        <f t="shared" si="631"/>
        <v>195</v>
      </c>
      <c r="R220" s="1">
        <f t="shared" ref="R220" si="826">HLOOKUP(Q220,E218:P224,7)</f>
        <v>24235590.885118835</v>
      </c>
    </row>
    <row r="221" spans="2:18" x14ac:dyDescent="0.25">
      <c r="B221" s="16"/>
      <c r="C221" t="s">
        <v>54</v>
      </c>
      <c r="D221">
        <f>1</f>
        <v>1</v>
      </c>
      <c r="E221" s="2">
        <f t="shared" ref="E221:P221" si="827">$D207</f>
        <v>4.7727025161425907E-3</v>
      </c>
      <c r="F221" s="2">
        <f t="shared" si="827"/>
        <v>4.7727025161425907E-3</v>
      </c>
      <c r="G221" s="2">
        <f t="shared" si="827"/>
        <v>4.7727025161425907E-3</v>
      </c>
      <c r="H221" s="2">
        <f t="shared" si="827"/>
        <v>4.7727025161425907E-3</v>
      </c>
      <c r="I221" s="2">
        <f t="shared" si="827"/>
        <v>4.7727025161425907E-3</v>
      </c>
      <c r="J221" s="2">
        <f t="shared" si="827"/>
        <v>4.7727025161425907E-3</v>
      </c>
      <c r="K221" s="2">
        <f t="shared" si="827"/>
        <v>4.7727025161425907E-3</v>
      </c>
      <c r="L221" s="2">
        <f t="shared" si="827"/>
        <v>4.7727025161425907E-3</v>
      </c>
      <c r="M221" s="2">
        <f t="shared" si="827"/>
        <v>4.7727025161425907E-3</v>
      </c>
      <c r="N221" s="2">
        <f t="shared" si="827"/>
        <v>4.7727025161425907E-3</v>
      </c>
      <c r="O221" s="2">
        <f t="shared" si="827"/>
        <v>4.7727025161425907E-3</v>
      </c>
      <c r="P221" s="2">
        <f t="shared" si="827"/>
        <v>4.7727025161425907E-3</v>
      </c>
      <c r="Q221">
        <f t="shared" si="631"/>
        <v>196</v>
      </c>
      <c r="R221" s="1">
        <f t="shared" ref="R221" si="828">HLOOKUP(Q221,E218:P224,7)</f>
        <v>24652691.961471286</v>
      </c>
    </row>
    <row r="222" spans="2:18" x14ac:dyDescent="0.25">
      <c r="B222" s="16"/>
      <c r="C222" t="s">
        <v>55</v>
      </c>
      <c r="D222">
        <f t="shared" ref="D222" si="829">D221*12</f>
        <v>12</v>
      </c>
      <c r="E222">
        <f>1</f>
        <v>1</v>
      </c>
      <c r="F222">
        <f>1</f>
        <v>1</v>
      </c>
      <c r="G222">
        <f>1</f>
        <v>1</v>
      </c>
      <c r="H222">
        <f>1</f>
        <v>1</v>
      </c>
      <c r="I222">
        <f>1</f>
        <v>1</v>
      </c>
      <c r="J222">
        <f>1</f>
        <v>1</v>
      </c>
      <c r="K222">
        <f>1</f>
        <v>1</v>
      </c>
      <c r="L222">
        <f>1</f>
        <v>1</v>
      </c>
      <c r="M222">
        <f>1</f>
        <v>1</v>
      </c>
      <c r="N222">
        <f>1</f>
        <v>1</v>
      </c>
      <c r="O222">
        <f>1</f>
        <v>1</v>
      </c>
      <c r="P222">
        <f>1</f>
        <v>1</v>
      </c>
      <c r="Q222">
        <f t="shared" si="631"/>
        <v>197</v>
      </c>
      <c r="R222" s="1">
        <f t="shared" ref="R222" si="830">HLOOKUP(Q222,E218:P224,7)</f>
        <v>25071783.73718033</v>
      </c>
    </row>
    <row r="223" spans="2:18" x14ac:dyDescent="0.25">
      <c r="B223" s="16"/>
      <c r="C223" t="s">
        <v>57</v>
      </c>
      <c r="D223" s="10">
        <f t="shared" ref="D223" si="831">D211*(1+$D$2)</f>
        <v>411.83571152718389</v>
      </c>
      <c r="E223" s="1">
        <f t="shared" ref="E223" si="832">$D224*1000</f>
        <v>400000</v>
      </c>
      <c r="F223" s="1">
        <f t="shared" ref="F223" si="833">$D224*1000</f>
        <v>400000</v>
      </c>
      <c r="G223" s="1">
        <f t="shared" ref="G223" si="834">$D224*1000</f>
        <v>400000</v>
      </c>
      <c r="H223" s="1">
        <f t="shared" ref="H223" si="835">$D224*1000</f>
        <v>400000</v>
      </c>
      <c r="I223" s="1">
        <f t="shared" ref="I223" si="836">$D224*1000</f>
        <v>400000</v>
      </c>
      <c r="J223" s="1">
        <f t="shared" ref="J223" si="837">$D224*1000</f>
        <v>400000</v>
      </c>
      <c r="K223" s="1">
        <f t="shared" ref="K223" si="838">$D224*1000</f>
        <v>400000</v>
      </c>
      <c r="L223" s="1">
        <f t="shared" ref="L223" si="839">$D224*1000</f>
        <v>400000</v>
      </c>
      <c r="M223" s="1">
        <f t="shared" ref="M223" si="840">$D224*1000</f>
        <v>400000</v>
      </c>
      <c r="N223" s="1">
        <f t="shared" ref="N223" si="841">$D224*1000</f>
        <v>400000</v>
      </c>
      <c r="O223" s="1">
        <f t="shared" ref="O223" si="842">$D224*1000</f>
        <v>400000</v>
      </c>
      <c r="P223" s="1">
        <f t="shared" ref="P223" si="843">$D224*1000</f>
        <v>400000</v>
      </c>
      <c r="Q223">
        <f t="shared" si="631"/>
        <v>198</v>
      </c>
      <c r="R223" s="1">
        <f t="shared" ref="R223" si="844">HLOOKUP(Q223,E218:P224,7)</f>
        <v>24581546.872079656</v>
      </c>
    </row>
    <row r="224" spans="2:18" x14ac:dyDescent="0.25">
      <c r="B224" s="16"/>
      <c r="C224" t="s">
        <v>56</v>
      </c>
      <c r="D224" s="10">
        <f t="shared" ref="D224" si="845">IF(D223*(1+$D$2)&gt;D212+50,D212+50,D212)</f>
        <v>400</v>
      </c>
      <c r="E224" s="1">
        <f t="shared" ref="E224" si="846">-FV($E$29,$E$30,$E$31,D216-E225,1)</f>
        <v>23407323.051856674</v>
      </c>
      <c r="F224" s="1">
        <f t="shared" ref="F224:I224" si="847">-FV($E$29,$E$30,$E$31,E224,1)</f>
        <v>23820471.052237276</v>
      </c>
      <c r="G224" s="1">
        <f t="shared" si="847"/>
        <v>24235590.885118835</v>
      </c>
      <c r="H224" s="1">
        <f t="shared" si="847"/>
        <v>24652691.961471286</v>
      </c>
      <c r="I224" s="1">
        <f t="shared" si="847"/>
        <v>25071783.73718033</v>
      </c>
      <c r="J224" s="1">
        <f t="shared" ref="J224" si="848">-FV($E$29,$E$30,$E$31,I224-J225,1)</f>
        <v>24581546.872079656</v>
      </c>
      <c r="K224" s="1">
        <f t="shared" ref="K224:P224" si="849">-FV($E$29,$E$30,$E$31,J224,1)</f>
        <v>25000299.09344155</v>
      </c>
      <c r="L224" s="1">
        <f t="shared" si="849"/>
        <v>25421049.894583978</v>
      </c>
      <c r="M224" s="1">
        <f t="shared" si="849"/>
        <v>25843808.814133689</v>
      </c>
      <c r="N224" s="1">
        <f t="shared" si="849"/>
        <v>26268585.436242457</v>
      </c>
      <c r="O224" s="1">
        <f t="shared" si="849"/>
        <v>26695389.390804362</v>
      </c>
      <c r="P224" s="1">
        <f t="shared" si="849"/>
        <v>27124230.353674103</v>
      </c>
      <c r="Q224">
        <f t="shared" si="631"/>
        <v>199</v>
      </c>
      <c r="R224" s="1">
        <f t="shared" ref="R224" si="850">HLOOKUP(Q224,E218:P224,7)</f>
        <v>25000299.09344155</v>
      </c>
    </row>
    <row r="225" spans="2:18" x14ac:dyDescent="0.25">
      <c r="B225" s="16"/>
      <c r="C225" t="s">
        <v>71</v>
      </c>
      <c r="D225">
        <f t="shared" ref="D225" si="851">$E225</f>
        <v>907000</v>
      </c>
      <c r="E225" s="1">
        <f t="shared" ref="E225" si="852">ROUNDUP(IF(E219&gt;=$E$9,$D$9,IF(E219&gt;=$E$8,$D$8,IF(E219&gt;=$E$7,$D$7,IF(E219&gt;=$E$6,$D$6,IF(E219&gt;=$E$5,$D$5,IF(E219&gt;=$E$4,$D$4,0))))))*1000*(1+$D$2)^$B218,-3)</f>
        <v>907000</v>
      </c>
      <c r="J225" s="1">
        <f t="shared" ref="J225" si="853">ROUNDUP(IF(J219&gt;=$E$9,$D$9,IF(J219&gt;=$E$8,$D$8,IF(J219&gt;=$E$7,$D$7,IF(J219&gt;=$E$6,$D$6,IF(J219&gt;=$E$5,$D$5,IF(J219&gt;=$E$4,$D$4,0))))))*1000*(1+$D$2)^$B218,-3)</f>
        <v>907000</v>
      </c>
      <c r="Q225">
        <f t="shared" si="631"/>
        <v>200</v>
      </c>
      <c r="R225" s="1">
        <f t="shared" ref="R225" si="854">HLOOKUP(Q225,E218:P224,7)</f>
        <v>25421049.894583978</v>
      </c>
    </row>
    <row r="226" spans="2:18" x14ac:dyDescent="0.25">
      <c r="B226" s="16"/>
      <c r="C226" t="s">
        <v>72</v>
      </c>
      <c r="D226">
        <f t="shared" ref="D226" si="855">$J225</f>
        <v>907000</v>
      </c>
      <c r="Q226">
        <f t="shared" si="631"/>
        <v>201</v>
      </c>
      <c r="R226" s="1">
        <f t="shared" ref="R226" si="856">HLOOKUP(Q226,E218:P224,7)</f>
        <v>25843808.814133689</v>
      </c>
    </row>
    <row r="227" spans="2:18" x14ac:dyDescent="0.25">
      <c r="B227" s="16"/>
      <c r="C227" t="s">
        <v>58</v>
      </c>
      <c r="D227">
        <f t="shared" ref="D227" si="857">D225+D226</f>
        <v>1814000</v>
      </c>
      <c r="Q227">
        <f t="shared" si="631"/>
        <v>202</v>
      </c>
      <c r="R227" s="1">
        <f t="shared" ref="R227" si="858">HLOOKUP(Q227,E218:P224,7)</f>
        <v>26268585.436242457</v>
      </c>
    </row>
    <row r="228" spans="2:18" x14ac:dyDescent="0.25">
      <c r="B228" s="16"/>
      <c r="C228" t="s">
        <v>42</v>
      </c>
      <c r="D228" s="4">
        <f t="shared" ref="D228" si="859">P224*(1-D220)</f>
        <v>26785177.474253178</v>
      </c>
      <c r="Q228">
        <f t="shared" si="631"/>
        <v>203</v>
      </c>
      <c r="R228" s="1">
        <f t="shared" ref="R228" si="860">HLOOKUP(Q228,E218:P224,7)</f>
        <v>26695389.390804362</v>
      </c>
    </row>
    <row r="229" spans="2:18" x14ac:dyDescent="0.25">
      <c r="B229" s="16"/>
      <c r="Q229">
        <f t="shared" si="631"/>
        <v>204</v>
      </c>
      <c r="R229" s="1">
        <f t="shared" ref="R229" si="861">HLOOKUP(Q229,E218:P224,7)</f>
        <v>27124230.353674103</v>
      </c>
    </row>
    <row r="230" spans="2:18" x14ac:dyDescent="0.25">
      <c r="B230" s="16">
        <f t="shared" ref="B230" si="862">B218+1</f>
        <v>17</v>
      </c>
      <c r="C230" t="s">
        <v>40</v>
      </c>
      <c r="D230" s="2">
        <f t="shared" ref="D230" si="863">5.88%</f>
        <v>5.8799999999999998E-2</v>
      </c>
      <c r="E230">
        <f t="shared" ref="E230" si="864">($B230*12)+1</f>
        <v>205</v>
      </c>
      <c r="F230">
        <f t="shared" ref="F230:P230" si="865">E230+1</f>
        <v>206</v>
      </c>
      <c r="G230">
        <f t="shared" si="865"/>
        <v>207</v>
      </c>
      <c r="H230">
        <f t="shared" si="865"/>
        <v>208</v>
      </c>
      <c r="I230">
        <f t="shared" si="865"/>
        <v>209</v>
      </c>
      <c r="J230">
        <f t="shared" si="865"/>
        <v>210</v>
      </c>
      <c r="K230">
        <f t="shared" si="865"/>
        <v>211</v>
      </c>
      <c r="L230">
        <f t="shared" si="865"/>
        <v>212</v>
      </c>
      <c r="M230">
        <f t="shared" si="865"/>
        <v>213</v>
      </c>
      <c r="N230">
        <f t="shared" si="865"/>
        <v>214</v>
      </c>
      <c r="O230">
        <f t="shared" si="865"/>
        <v>215</v>
      </c>
      <c r="P230">
        <f t="shared" si="865"/>
        <v>216</v>
      </c>
      <c r="Q230">
        <f t="shared" si="631"/>
        <v>205</v>
      </c>
      <c r="R230" s="1">
        <f t="shared" ref="R230" si="866">HLOOKUP(Q230,E230:P236,7)</f>
        <v>26285032.219107281</v>
      </c>
    </row>
    <row r="231" spans="2:18" x14ac:dyDescent="0.25">
      <c r="B231" s="16"/>
      <c r="C231" t="s">
        <v>41</v>
      </c>
      <c r="D231" s="3">
        <f t="shared" ref="D231" si="867">(1+D230)^(1/12)-1</f>
        <v>4.7727025161425907E-3</v>
      </c>
      <c r="E231">
        <f t="shared" ref="E231" si="868">E230/12</f>
        <v>17.083333333333332</v>
      </c>
      <c r="F231">
        <f t="shared" ref="F231" si="869">F230/12</f>
        <v>17.166666666666668</v>
      </c>
      <c r="G231">
        <f t="shared" ref="G231" si="870">G230/12</f>
        <v>17.25</v>
      </c>
      <c r="H231">
        <f t="shared" ref="H231" si="871">H230/12</f>
        <v>17.333333333333332</v>
      </c>
      <c r="I231">
        <f t="shared" ref="I231" si="872">I230/12</f>
        <v>17.416666666666668</v>
      </c>
      <c r="J231">
        <f t="shared" ref="J231" si="873">J230/12</f>
        <v>17.5</v>
      </c>
      <c r="K231">
        <f t="shared" ref="K231" si="874">K230/12</f>
        <v>17.583333333333332</v>
      </c>
      <c r="L231">
        <f t="shared" ref="L231" si="875">L230/12</f>
        <v>17.666666666666668</v>
      </c>
      <c r="M231">
        <f t="shared" ref="M231" si="876">M230/12</f>
        <v>17.75</v>
      </c>
      <c r="N231">
        <f t="shared" ref="N231" si="877">N230/12</f>
        <v>17.833333333333332</v>
      </c>
      <c r="O231">
        <f t="shared" ref="O231" si="878">O230/12</f>
        <v>17.916666666666668</v>
      </c>
      <c r="P231">
        <f t="shared" ref="P231" si="879">P230/12</f>
        <v>18</v>
      </c>
      <c r="Q231">
        <f t="shared" si="631"/>
        <v>206</v>
      </c>
      <c r="R231" s="1">
        <f t="shared" ref="R231" si="880">HLOOKUP(Q231,E230:P236,7)</f>
        <v>26711914.669271145</v>
      </c>
    </row>
    <row r="232" spans="2:18" x14ac:dyDescent="0.25">
      <c r="B232" s="16"/>
      <c r="C232" t="s">
        <v>53</v>
      </c>
      <c r="D232" s="2">
        <f t="shared" ref="D232" si="881">1.25%</f>
        <v>1.2500000000000001E-2</v>
      </c>
      <c r="E232" t="s">
        <v>59</v>
      </c>
      <c r="F232" t="s">
        <v>60</v>
      </c>
      <c r="G232" t="s">
        <v>61</v>
      </c>
      <c r="H232" t="s">
        <v>62</v>
      </c>
      <c r="I232" t="s">
        <v>63</v>
      </c>
      <c r="J232" t="s">
        <v>64</v>
      </c>
      <c r="K232" t="s">
        <v>65</v>
      </c>
      <c r="L232" t="s">
        <v>66</v>
      </c>
      <c r="M232" t="s">
        <v>67</v>
      </c>
      <c r="N232" t="s">
        <v>68</v>
      </c>
      <c r="O232" t="s">
        <v>69</v>
      </c>
      <c r="P232" t="s">
        <v>70</v>
      </c>
      <c r="Q232">
        <f t="shared" si="631"/>
        <v>207</v>
      </c>
      <c r="R232" s="1">
        <f t="shared" ref="R232" si="882">HLOOKUP(Q232,E230:P236,7)</f>
        <v>27140834.502379004</v>
      </c>
    </row>
    <row r="233" spans="2:18" x14ac:dyDescent="0.25">
      <c r="B233" s="16"/>
      <c r="C233" t="s">
        <v>54</v>
      </c>
      <c r="D233">
        <f>1</f>
        <v>1</v>
      </c>
      <c r="E233" s="2">
        <f t="shared" ref="E233:P233" si="883">$D219</f>
        <v>4.7727025161425907E-3</v>
      </c>
      <c r="F233" s="2">
        <f t="shared" si="883"/>
        <v>4.7727025161425907E-3</v>
      </c>
      <c r="G233" s="2">
        <f t="shared" si="883"/>
        <v>4.7727025161425907E-3</v>
      </c>
      <c r="H233" s="2">
        <f t="shared" si="883"/>
        <v>4.7727025161425907E-3</v>
      </c>
      <c r="I233" s="2">
        <f t="shared" si="883"/>
        <v>4.7727025161425907E-3</v>
      </c>
      <c r="J233" s="2">
        <f t="shared" si="883"/>
        <v>4.7727025161425907E-3</v>
      </c>
      <c r="K233" s="2">
        <f t="shared" si="883"/>
        <v>4.7727025161425907E-3</v>
      </c>
      <c r="L233" s="2">
        <f t="shared" si="883"/>
        <v>4.7727025161425907E-3</v>
      </c>
      <c r="M233" s="2">
        <f t="shared" si="883"/>
        <v>4.7727025161425907E-3</v>
      </c>
      <c r="N233" s="2">
        <f t="shared" si="883"/>
        <v>4.7727025161425907E-3</v>
      </c>
      <c r="O233" s="2">
        <f t="shared" si="883"/>
        <v>4.7727025161425907E-3</v>
      </c>
      <c r="P233" s="2">
        <f t="shared" si="883"/>
        <v>4.7727025161425907E-3</v>
      </c>
      <c r="Q233">
        <f t="shared" si="631"/>
        <v>208</v>
      </c>
      <c r="R233" s="1">
        <f t="shared" ref="R233" si="884">HLOOKUP(Q233,E230:P236,7)</f>
        <v>27571801.44225356</v>
      </c>
    </row>
    <row r="234" spans="2:18" x14ac:dyDescent="0.25">
      <c r="B234" s="16"/>
      <c r="C234" t="s">
        <v>55</v>
      </c>
      <c r="D234">
        <f t="shared" ref="D234" si="885">D233*12</f>
        <v>12</v>
      </c>
      <c r="E234">
        <f>1</f>
        <v>1</v>
      </c>
      <c r="F234">
        <f>1</f>
        <v>1</v>
      </c>
      <c r="G234">
        <f>1</f>
        <v>1</v>
      </c>
      <c r="H234">
        <f>1</f>
        <v>1</v>
      </c>
      <c r="I234">
        <f>1</f>
        <v>1</v>
      </c>
      <c r="J234">
        <f>1</f>
        <v>1</v>
      </c>
      <c r="K234">
        <f>1</f>
        <v>1</v>
      </c>
      <c r="L234">
        <f>1</f>
        <v>1</v>
      </c>
      <c r="M234">
        <f>1</f>
        <v>1</v>
      </c>
      <c r="N234">
        <f>1</f>
        <v>1</v>
      </c>
      <c r="O234">
        <f>1</f>
        <v>1</v>
      </c>
      <c r="P234">
        <f>1</f>
        <v>1</v>
      </c>
      <c r="Q234">
        <f t="shared" si="631"/>
        <v>209</v>
      </c>
      <c r="R234" s="1">
        <f t="shared" ref="R234" si="886">HLOOKUP(Q234,E230:P236,7)</f>
        <v>28004825.259126429</v>
      </c>
    </row>
    <row r="235" spans="2:18" x14ac:dyDescent="0.25">
      <c r="B235" s="16"/>
      <c r="C235" t="s">
        <v>57</v>
      </c>
      <c r="D235" s="10">
        <f t="shared" ref="D235" si="887">D223*(1+$D$2)</f>
        <v>420.07242575772756</v>
      </c>
      <c r="E235" s="1">
        <f t="shared" ref="E235" si="888">$D236*1000</f>
        <v>400000</v>
      </c>
      <c r="F235" s="1">
        <f t="shared" ref="F235" si="889">$D236*1000</f>
        <v>400000</v>
      </c>
      <c r="G235" s="1">
        <f t="shared" ref="G235" si="890">$D236*1000</f>
        <v>400000</v>
      </c>
      <c r="H235" s="1">
        <f t="shared" ref="H235" si="891">$D236*1000</f>
        <v>400000</v>
      </c>
      <c r="I235" s="1">
        <f t="shared" ref="I235" si="892">$D236*1000</f>
        <v>400000</v>
      </c>
      <c r="J235" s="1">
        <f t="shared" ref="J235" si="893">$D236*1000</f>
        <v>400000</v>
      </c>
      <c r="K235" s="1">
        <f t="shared" ref="K235" si="894">$D236*1000</f>
        <v>400000</v>
      </c>
      <c r="L235" s="1">
        <f t="shared" ref="L235" si="895">$D236*1000</f>
        <v>400000</v>
      </c>
      <c r="M235" s="1">
        <f t="shared" ref="M235" si="896">$D236*1000</f>
        <v>400000</v>
      </c>
      <c r="N235" s="1">
        <f t="shared" ref="N235" si="897">$D236*1000</f>
        <v>400000</v>
      </c>
      <c r="O235" s="1">
        <f t="shared" ref="O235" si="898">$D236*1000</f>
        <v>400000</v>
      </c>
      <c r="P235" s="1">
        <f t="shared" ref="P235" si="899">$D236*1000</f>
        <v>400000</v>
      </c>
      <c r="Q235">
        <f t="shared" si="631"/>
        <v>210</v>
      </c>
      <c r="R235" s="1">
        <f t="shared" ref="R235" si="900">HLOOKUP(Q235,E230:P236,7)</f>
        <v>27510501.020032205</v>
      </c>
    </row>
    <row r="236" spans="2:18" x14ac:dyDescent="0.25">
      <c r="B236" s="16"/>
      <c r="C236" t="s">
        <v>56</v>
      </c>
      <c r="D236" s="10">
        <f t="shared" ref="D236" si="901">IF(D235*(1+$D$2)&gt;D224+50,D224+50,D224)</f>
        <v>400</v>
      </c>
      <c r="E236" s="1">
        <f t="shared" ref="E236" si="902">-FV($E$29,$E$30,$E$31,D228-E237,1)</f>
        <v>26285032.219107281</v>
      </c>
      <c r="F236" s="1">
        <f t="shared" ref="F236:I236" si="903">-FV($E$29,$E$30,$E$31,E236,1)</f>
        <v>26711914.669271145</v>
      </c>
      <c r="G236" s="1">
        <f t="shared" si="903"/>
        <v>27140834.502379004</v>
      </c>
      <c r="H236" s="1">
        <f t="shared" si="903"/>
        <v>27571801.44225356</v>
      </c>
      <c r="I236" s="1">
        <f t="shared" si="903"/>
        <v>28004825.259126429</v>
      </c>
      <c r="J236" s="1">
        <f t="shared" ref="J236" si="904">-FV($E$29,$E$30,$E$31,I236-J237,1)</f>
        <v>27510501.020032205</v>
      </c>
      <c r="K236" s="1">
        <f t="shared" ref="K236:P236" si="905">-FV($E$29,$E$30,$E$31,J236,1)</f>
        <v>27943232.2682257</v>
      </c>
      <c r="L236" s="1">
        <f t="shared" si="905"/>
        <v>28378028.81393626</v>
      </c>
      <c r="M236" s="1">
        <f t="shared" si="905"/>
        <v>28814900.514214542</v>
      </c>
      <c r="N236" s="1">
        <f t="shared" si="905"/>
        <v>29253857.273155976</v>
      </c>
      <c r="O236" s="1">
        <f t="shared" si="905"/>
        <v>29694909.042125288</v>
      </c>
      <c r="P236" s="1">
        <f t="shared" si="905"/>
        <v>30138065.819982108</v>
      </c>
      <c r="Q236">
        <f t="shared" si="631"/>
        <v>211</v>
      </c>
      <c r="R236" s="1">
        <f t="shared" ref="R236" si="906">HLOOKUP(Q236,E230:P236,7)</f>
        <v>27943232.2682257</v>
      </c>
    </row>
    <row r="237" spans="2:18" x14ac:dyDescent="0.25">
      <c r="B237" s="16"/>
      <c r="C237" t="s">
        <v>71</v>
      </c>
      <c r="D237">
        <f t="shared" ref="D237" si="907">$E237</f>
        <v>925000</v>
      </c>
      <c r="E237" s="1">
        <f t="shared" ref="E237" si="908">ROUNDUP(IF(E231&gt;=$E$9,$D$9,IF(E231&gt;=$E$8,$D$8,IF(E231&gt;=$E$7,$D$7,IF(E231&gt;=$E$6,$D$6,IF(E231&gt;=$E$5,$D$5,IF(E231&gt;=$E$4,$D$4,0))))))*1000*(1+$D$2)^$B230,-3)</f>
        <v>925000</v>
      </c>
      <c r="J237" s="1">
        <f t="shared" ref="J237" si="909">ROUNDUP(IF(J231&gt;=$E$9,$D$9,IF(J231&gt;=$E$8,$D$8,IF(J231&gt;=$E$7,$D$7,IF(J231&gt;=$E$6,$D$6,IF(J231&gt;=$E$5,$D$5,IF(J231&gt;=$E$4,$D$4,0))))))*1000*(1+$D$2)^$B230,-3)</f>
        <v>925000</v>
      </c>
      <c r="Q237">
        <f t="shared" si="631"/>
        <v>212</v>
      </c>
      <c r="R237" s="1">
        <f t="shared" ref="R237" si="910">HLOOKUP(Q237,E230:P236,7)</f>
        <v>28378028.81393626</v>
      </c>
    </row>
    <row r="238" spans="2:18" x14ac:dyDescent="0.25">
      <c r="B238" s="16"/>
      <c r="C238" t="s">
        <v>72</v>
      </c>
      <c r="D238">
        <f t="shared" ref="D238" si="911">$J237</f>
        <v>925000</v>
      </c>
      <c r="Q238">
        <f t="shared" si="631"/>
        <v>213</v>
      </c>
      <c r="R238" s="1">
        <f t="shared" ref="R238" si="912">HLOOKUP(Q238,E230:P236,7)</f>
        <v>28814900.514214542</v>
      </c>
    </row>
    <row r="239" spans="2:18" x14ac:dyDescent="0.25">
      <c r="B239" s="16"/>
      <c r="C239" t="s">
        <v>58</v>
      </c>
      <c r="D239">
        <f t="shared" ref="D239" si="913">D237+D238</f>
        <v>1850000</v>
      </c>
      <c r="Q239">
        <f t="shared" si="631"/>
        <v>214</v>
      </c>
      <c r="R239" s="1">
        <f t="shared" ref="R239" si="914">HLOOKUP(Q239,E230:P236,7)</f>
        <v>29253857.273155976</v>
      </c>
    </row>
    <row r="240" spans="2:18" x14ac:dyDescent="0.25">
      <c r="B240" s="16"/>
      <c r="C240" t="s">
        <v>42</v>
      </c>
      <c r="D240" s="4">
        <f t="shared" ref="D240" si="915">P236*(1-D232)</f>
        <v>29761339.997232333</v>
      </c>
      <c r="Q240">
        <f t="shared" si="631"/>
        <v>215</v>
      </c>
      <c r="R240" s="1">
        <f t="shared" ref="R240" si="916">HLOOKUP(Q240,E230:P236,7)</f>
        <v>29694909.042125288</v>
      </c>
    </row>
    <row r="241" spans="2:18" x14ac:dyDescent="0.25">
      <c r="B241" s="16"/>
      <c r="Q241">
        <f t="shared" si="631"/>
        <v>216</v>
      </c>
      <c r="R241" s="1">
        <f t="shared" ref="R241" si="917">HLOOKUP(Q241,E230:P236,7)</f>
        <v>30138065.819982108</v>
      </c>
    </row>
    <row r="242" spans="2:18" x14ac:dyDescent="0.25">
      <c r="B242" s="16">
        <f t="shared" ref="B242" si="918">B230+1</f>
        <v>18</v>
      </c>
      <c r="C242" t="s">
        <v>40</v>
      </c>
      <c r="D242" s="2">
        <f t="shared" ref="D242" si="919">5.88%</f>
        <v>5.8799999999999998E-2</v>
      </c>
      <c r="E242">
        <f t="shared" ref="E242" si="920">($B242*12)+1</f>
        <v>217</v>
      </c>
      <c r="F242">
        <f t="shared" ref="F242:P242" si="921">E242+1</f>
        <v>218</v>
      </c>
      <c r="G242">
        <f t="shared" si="921"/>
        <v>219</v>
      </c>
      <c r="H242">
        <f t="shared" si="921"/>
        <v>220</v>
      </c>
      <c r="I242">
        <f t="shared" si="921"/>
        <v>221</v>
      </c>
      <c r="J242">
        <f t="shared" si="921"/>
        <v>222</v>
      </c>
      <c r="K242">
        <f t="shared" si="921"/>
        <v>223</v>
      </c>
      <c r="L242">
        <f t="shared" si="921"/>
        <v>224</v>
      </c>
      <c r="M242">
        <f t="shared" si="921"/>
        <v>225</v>
      </c>
      <c r="N242">
        <f t="shared" si="921"/>
        <v>226</v>
      </c>
      <c r="O242">
        <f t="shared" si="921"/>
        <v>227</v>
      </c>
      <c r="P242">
        <f t="shared" si="921"/>
        <v>228</v>
      </c>
      <c r="Q242">
        <f t="shared" ref="Q242:Q305" si="922">Q241+1</f>
        <v>217</v>
      </c>
      <c r="R242" s="1">
        <f t="shared" ref="R242" si="923">HLOOKUP(Q242,E242:P248,7)</f>
        <v>29257313.17180302</v>
      </c>
    </row>
    <row r="243" spans="2:18" x14ac:dyDescent="0.25">
      <c r="B243" s="16"/>
      <c r="C243" t="s">
        <v>41</v>
      </c>
      <c r="D243" s="3">
        <f t="shared" ref="D243" si="924">(1+D242)^(1/12)-1</f>
        <v>4.7727025161425907E-3</v>
      </c>
      <c r="E243">
        <f t="shared" ref="E243" si="925">E242/12</f>
        <v>18.083333333333332</v>
      </c>
      <c r="F243">
        <f t="shared" ref="F243" si="926">F242/12</f>
        <v>18.166666666666668</v>
      </c>
      <c r="G243">
        <f t="shared" ref="G243" si="927">G242/12</f>
        <v>18.25</v>
      </c>
      <c r="H243">
        <f t="shared" ref="H243" si="928">H242/12</f>
        <v>18.333333333333332</v>
      </c>
      <c r="I243">
        <f t="shared" ref="I243" si="929">I242/12</f>
        <v>18.416666666666668</v>
      </c>
      <c r="J243">
        <f t="shared" ref="J243" si="930">J242/12</f>
        <v>18.5</v>
      </c>
      <c r="K243">
        <f t="shared" ref="K243" si="931">K242/12</f>
        <v>18.583333333333332</v>
      </c>
      <c r="L243">
        <f t="shared" ref="L243" si="932">L242/12</f>
        <v>18.666666666666668</v>
      </c>
      <c r="M243">
        <f t="shared" ref="M243" si="933">M242/12</f>
        <v>18.75</v>
      </c>
      <c r="N243">
        <f t="shared" ref="N243" si="934">N242/12</f>
        <v>18.833333333333332</v>
      </c>
      <c r="O243">
        <f t="shared" ref="O243" si="935">O242/12</f>
        <v>18.916666666666668</v>
      </c>
      <c r="P243">
        <f t="shared" ref="P243" si="936">P242/12</f>
        <v>19</v>
      </c>
      <c r="Q243">
        <f t="shared" si="922"/>
        <v>218</v>
      </c>
      <c r="R243" s="1">
        <f t="shared" ref="R243" si="937">HLOOKUP(Q243,E242:P248,7)</f>
        <v>29698381.434748501</v>
      </c>
    </row>
    <row r="244" spans="2:18" x14ac:dyDescent="0.25">
      <c r="B244" s="16"/>
      <c r="C244" t="s">
        <v>53</v>
      </c>
      <c r="D244" s="2">
        <f t="shared" ref="D244" si="938">1.25%</f>
        <v>1.2500000000000001E-2</v>
      </c>
      <c r="E244" t="s">
        <v>59</v>
      </c>
      <c r="F244" t="s">
        <v>60</v>
      </c>
      <c r="G244" t="s">
        <v>61</v>
      </c>
      <c r="H244" t="s">
        <v>62</v>
      </c>
      <c r="I244" t="s">
        <v>63</v>
      </c>
      <c r="J244" t="s">
        <v>64</v>
      </c>
      <c r="K244" t="s">
        <v>65</v>
      </c>
      <c r="L244" t="s">
        <v>66</v>
      </c>
      <c r="M244" t="s">
        <v>67</v>
      </c>
      <c r="N244" t="s">
        <v>68</v>
      </c>
      <c r="O244" t="s">
        <v>69</v>
      </c>
      <c r="P244" t="s">
        <v>70</v>
      </c>
      <c r="Q244">
        <f t="shared" si="922"/>
        <v>219</v>
      </c>
      <c r="R244" s="1">
        <f t="shared" ref="R244" si="939">HLOOKUP(Q244,E242:P248,7)</f>
        <v>30141554.78530233</v>
      </c>
    </row>
    <row r="245" spans="2:18" x14ac:dyDescent="0.25">
      <c r="B245" s="16"/>
      <c r="C245" t="s">
        <v>54</v>
      </c>
      <c r="D245">
        <f>1</f>
        <v>1</v>
      </c>
      <c r="E245" s="2">
        <f t="shared" ref="E245:P245" si="940">$D231</f>
        <v>4.7727025161425907E-3</v>
      </c>
      <c r="F245" s="2">
        <f t="shared" si="940"/>
        <v>4.7727025161425907E-3</v>
      </c>
      <c r="G245" s="2">
        <f t="shared" si="940"/>
        <v>4.7727025161425907E-3</v>
      </c>
      <c r="H245" s="2">
        <f t="shared" si="940"/>
        <v>4.7727025161425907E-3</v>
      </c>
      <c r="I245" s="2">
        <f t="shared" si="940"/>
        <v>4.7727025161425907E-3</v>
      </c>
      <c r="J245" s="2">
        <f t="shared" si="940"/>
        <v>4.7727025161425907E-3</v>
      </c>
      <c r="K245" s="2">
        <f t="shared" si="940"/>
        <v>4.7727025161425907E-3</v>
      </c>
      <c r="L245" s="2">
        <f t="shared" si="940"/>
        <v>4.7727025161425907E-3</v>
      </c>
      <c r="M245" s="2">
        <f t="shared" si="940"/>
        <v>4.7727025161425907E-3</v>
      </c>
      <c r="N245" s="2">
        <f t="shared" si="940"/>
        <v>4.7727025161425907E-3</v>
      </c>
      <c r="O245" s="2">
        <f t="shared" si="940"/>
        <v>4.7727025161425907E-3</v>
      </c>
      <c r="P245" s="2">
        <f t="shared" si="940"/>
        <v>4.7727025161425907E-3</v>
      </c>
      <c r="Q245">
        <f t="shared" si="922"/>
        <v>220</v>
      </c>
      <c r="R245" s="1">
        <f t="shared" ref="R245" si="941">HLOOKUP(Q245,E242:P248,7)</f>
        <v>30586843.270421434</v>
      </c>
    </row>
    <row r="246" spans="2:18" x14ac:dyDescent="0.25">
      <c r="B246" s="16"/>
      <c r="C246" t="s">
        <v>55</v>
      </c>
      <c r="D246">
        <f t="shared" ref="D246" si="942">D245*12</f>
        <v>12</v>
      </c>
      <c r="E246">
        <f>1</f>
        <v>1</v>
      </c>
      <c r="F246">
        <f>1</f>
        <v>1</v>
      </c>
      <c r="G246">
        <f>1</f>
        <v>1</v>
      </c>
      <c r="H246">
        <f>1</f>
        <v>1</v>
      </c>
      <c r="I246">
        <f>1</f>
        <v>1</v>
      </c>
      <c r="J246">
        <f>1</f>
        <v>1</v>
      </c>
      <c r="K246">
        <f>1</f>
        <v>1</v>
      </c>
      <c r="L246">
        <f>1</f>
        <v>1</v>
      </c>
      <c r="M246">
        <f>1</f>
        <v>1</v>
      </c>
      <c r="N246">
        <f>1</f>
        <v>1</v>
      </c>
      <c r="O246">
        <f>1</f>
        <v>1</v>
      </c>
      <c r="P246">
        <f>1</f>
        <v>1</v>
      </c>
      <c r="Q246">
        <f t="shared" si="922"/>
        <v>221</v>
      </c>
      <c r="R246" s="1">
        <f t="shared" ref="R246" si="943">HLOOKUP(Q246,E242:P248,7)</f>
        <v>31034256.985013876</v>
      </c>
    </row>
    <row r="247" spans="2:18" x14ac:dyDescent="0.25">
      <c r="B247" s="16"/>
      <c r="C247" t="s">
        <v>57</v>
      </c>
      <c r="D247" s="10">
        <f t="shared" ref="D247" si="944">D235*(1+$D$2)</f>
        <v>428.47387427288214</v>
      </c>
      <c r="E247" s="1">
        <f t="shared" ref="E247" si="945">$D248*1000</f>
        <v>400000</v>
      </c>
      <c r="F247" s="1">
        <f t="shared" ref="F247" si="946">$D248*1000</f>
        <v>400000</v>
      </c>
      <c r="G247" s="1">
        <f t="shared" ref="G247" si="947">$D248*1000</f>
        <v>400000</v>
      </c>
      <c r="H247" s="1">
        <f t="shared" ref="H247" si="948">$D248*1000</f>
        <v>400000</v>
      </c>
      <c r="I247" s="1">
        <f t="shared" ref="I247" si="949">$D248*1000</f>
        <v>400000</v>
      </c>
      <c r="J247" s="1">
        <f t="shared" ref="J247" si="950">$D248*1000</f>
        <v>400000</v>
      </c>
      <c r="K247" s="1">
        <f t="shared" ref="K247" si="951">$D248*1000</f>
        <v>400000</v>
      </c>
      <c r="L247" s="1">
        <f t="shared" ref="L247" si="952">$D248*1000</f>
        <v>400000</v>
      </c>
      <c r="M247" s="1">
        <f t="shared" ref="M247" si="953">$D248*1000</f>
        <v>400000</v>
      </c>
      <c r="N247" s="1">
        <f t="shared" ref="N247" si="954">$D248*1000</f>
        <v>400000</v>
      </c>
      <c r="O247" s="1">
        <f t="shared" ref="O247" si="955">$D248*1000</f>
        <v>400000</v>
      </c>
      <c r="P247" s="1">
        <f t="shared" ref="P247" si="956">$D248*1000</f>
        <v>400000</v>
      </c>
      <c r="Q247">
        <f t="shared" si="922"/>
        <v>222</v>
      </c>
      <c r="R247" s="1">
        <f t="shared" ref="R247" si="957">HLOOKUP(Q247,E242:P248,7)</f>
        <v>26460947.332289513</v>
      </c>
    </row>
    <row r="248" spans="2:18" x14ac:dyDescent="0.25">
      <c r="B248" s="16"/>
      <c r="C248" t="s">
        <v>56</v>
      </c>
      <c r="D248" s="10">
        <f t="shared" ref="D248" si="958">IF(D247*(1+$D$2)&gt;D236+50,D236+50,D236)</f>
        <v>400</v>
      </c>
      <c r="E248" s="1">
        <f t="shared" ref="E248" si="959">-FV($E$29,$E$30,$E$31,D240-E249,1)</f>
        <v>29257313.17180302</v>
      </c>
      <c r="F248" s="1">
        <f t="shared" ref="F248:I248" si="960">-FV($E$29,$E$30,$E$31,E248,1)</f>
        <v>29698381.434748501</v>
      </c>
      <c r="G248" s="1">
        <f t="shared" si="960"/>
        <v>30141554.78530233</v>
      </c>
      <c r="H248" s="1">
        <f t="shared" si="960"/>
        <v>30586843.270421434</v>
      </c>
      <c r="I248" s="1">
        <f t="shared" si="960"/>
        <v>31034256.985013876</v>
      </c>
      <c r="J248" s="1">
        <f t="shared" ref="J248" si="961">-FV($E$29,$E$30,$E$31,I248-J249,1)</f>
        <v>26460947.332289513</v>
      </c>
      <c r="K248" s="1">
        <f t="shared" ref="K248:P248" si="962">-FV($E$29,$E$30,$E$31,J248,1)</f>
        <v>26888669.372956689</v>
      </c>
      <c r="L248" s="1">
        <f t="shared" si="962"/>
        <v>27318432.803683568</v>
      </c>
      <c r="M248" s="1">
        <f t="shared" si="962"/>
        <v>27750247.367417622</v>
      </c>
      <c r="N248" s="1">
        <f t="shared" si="962"/>
        <v>28184122.853606518</v>
      </c>
      <c r="O248" s="1">
        <f t="shared" si="962"/>
        <v>28620069.098420043</v>
      </c>
      <c r="P248" s="1">
        <f t="shared" si="962"/>
        <v>29058095.984973088</v>
      </c>
      <c r="Q248">
        <f t="shared" si="922"/>
        <v>223</v>
      </c>
      <c r="R248" s="1">
        <f t="shared" ref="R248" si="963">HLOOKUP(Q248,E242:P248,7)</f>
        <v>26888669.372956689</v>
      </c>
    </row>
    <row r="249" spans="2:18" x14ac:dyDescent="0.25">
      <c r="B249" s="16"/>
      <c r="C249" t="s">
        <v>71</v>
      </c>
      <c r="D249">
        <f t="shared" ref="D249" si="964">$E249</f>
        <v>943000</v>
      </c>
      <c r="E249" s="1">
        <f t="shared" ref="E249" si="965">ROUNDUP(IF(E243&gt;=$E$9,$D$9,IF(E243&gt;=$E$8,$D$8,IF(E243&gt;=$E$7,$D$7,IF(E243&gt;=$E$6,$D$6,IF(E243&gt;=$E$5,$D$5,IF(E243&gt;=$E$4,$D$4,0))))))*1000*(1+$D$2)^$B242,-3)</f>
        <v>943000</v>
      </c>
      <c r="J249" s="1">
        <f t="shared" ref="J249" si="966">ROUNDUP(IF(J243&gt;=$E$9,$D$9,IF(J243&gt;=$E$8,$D$8,IF(J243&gt;=$E$7,$D$7,IF(J243&gt;=$E$6,$D$6,IF(J243&gt;=$E$5,$D$5,IF(J243&gt;=$E$4,$D$4,0))))))*1000*(1+$D$2)^$B242,-3)</f>
        <v>4999000</v>
      </c>
      <c r="Q249">
        <f t="shared" si="922"/>
        <v>224</v>
      </c>
      <c r="R249" s="1">
        <f t="shared" ref="R249" si="967">HLOOKUP(Q249,E242:P248,7)</f>
        <v>27318432.803683568</v>
      </c>
    </row>
    <row r="250" spans="2:18" x14ac:dyDescent="0.25">
      <c r="B250" s="16"/>
      <c r="C250" t="s">
        <v>72</v>
      </c>
      <c r="D250">
        <f t="shared" ref="D250" si="968">$J249</f>
        <v>4999000</v>
      </c>
      <c r="Q250">
        <f t="shared" si="922"/>
        <v>225</v>
      </c>
      <c r="R250" s="1">
        <f t="shared" ref="R250" si="969">HLOOKUP(Q250,E242:P248,7)</f>
        <v>27750247.367417622</v>
      </c>
    </row>
    <row r="251" spans="2:18" x14ac:dyDescent="0.25">
      <c r="B251" s="16"/>
      <c r="C251" t="s">
        <v>58</v>
      </c>
      <c r="D251">
        <f t="shared" ref="D251" si="970">D249+D250</f>
        <v>5942000</v>
      </c>
      <c r="Q251">
        <f t="shared" si="922"/>
        <v>226</v>
      </c>
      <c r="R251" s="1">
        <f t="shared" ref="R251" si="971">HLOOKUP(Q251,E242:P248,7)</f>
        <v>28184122.853606518</v>
      </c>
    </row>
    <row r="252" spans="2:18" x14ac:dyDescent="0.25">
      <c r="B252" s="16"/>
      <c r="C252" t="s">
        <v>42</v>
      </c>
      <c r="D252" s="4">
        <f t="shared" ref="D252" si="972">P248*(1-D244)</f>
        <v>28694869.785160925</v>
      </c>
      <c r="Q252">
        <f t="shared" si="922"/>
        <v>227</v>
      </c>
      <c r="R252" s="1">
        <f t="shared" ref="R252" si="973">HLOOKUP(Q252,E242:P248,7)</f>
        <v>28620069.098420043</v>
      </c>
    </row>
    <row r="253" spans="2:18" x14ac:dyDescent="0.25">
      <c r="B253" s="16"/>
      <c r="Q253">
        <f t="shared" si="922"/>
        <v>228</v>
      </c>
      <c r="R253" s="1">
        <f t="shared" ref="R253" si="974">HLOOKUP(Q253,E242:P248,7)</f>
        <v>29058095.984973088</v>
      </c>
    </row>
    <row r="254" spans="2:18" x14ac:dyDescent="0.25">
      <c r="B254" s="16">
        <f t="shared" ref="B254" si="975">B242+1</f>
        <v>19</v>
      </c>
      <c r="C254" t="s">
        <v>40</v>
      </c>
      <c r="D254" s="2">
        <f t="shared" ref="D254" si="976">5.88%</f>
        <v>5.8799999999999998E-2</v>
      </c>
      <c r="E254">
        <f t="shared" ref="E254" si="977">($B254*12)+1</f>
        <v>229</v>
      </c>
      <c r="F254">
        <f t="shared" ref="F254:P254" si="978">E254+1</f>
        <v>230</v>
      </c>
      <c r="G254">
        <f t="shared" si="978"/>
        <v>231</v>
      </c>
      <c r="H254">
        <f t="shared" si="978"/>
        <v>232</v>
      </c>
      <c r="I254">
        <f t="shared" si="978"/>
        <v>233</v>
      </c>
      <c r="J254">
        <f t="shared" si="978"/>
        <v>234</v>
      </c>
      <c r="K254">
        <f t="shared" si="978"/>
        <v>235</v>
      </c>
      <c r="L254">
        <f t="shared" si="978"/>
        <v>236</v>
      </c>
      <c r="M254">
        <f t="shared" si="978"/>
        <v>237</v>
      </c>
      <c r="N254">
        <f t="shared" si="978"/>
        <v>238</v>
      </c>
      <c r="O254">
        <f t="shared" si="978"/>
        <v>239</v>
      </c>
      <c r="P254">
        <f t="shared" si="978"/>
        <v>240</v>
      </c>
      <c r="Q254">
        <f t="shared" si="922"/>
        <v>229</v>
      </c>
      <c r="R254" s="1">
        <f t="shared" ref="R254" si="979">HLOOKUP(Q254,E254:P260,7)</f>
        <v>24009917.663009979</v>
      </c>
    </row>
    <row r="255" spans="2:18" x14ac:dyDescent="0.25">
      <c r="B255" s="16"/>
      <c r="C255" t="s">
        <v>41</v>
      </c>
      <c r="D255" s="3">
        <f t="shared" ref="D255" si="980">(1+D254)^(1/12)-1</f>
        <v>4.7727025161425907E-3</v>
      </c>
      <c r="E255">
        <f t="shared" ref="E255" si="981">E254/12</f>
        <v>19.083333333333332</v>
      </c>
      <c r="F255">
        <f t="shared" ref="F255" si="982">F254/12</f>
        <v>19.166666666666668</v>
      </c>
      <c r="G255">
        <f t="shared" ref="G255" si="983">G254/12</f>
        <v>19.25</v>
      </c>
      <c r="H255">
        <f t="shared" ref="H255" si="984">H254/12</f>
        <v>19.333333333333332</v>
      </c>
      <c r="I255">
        <f t="shared" ref="I255" si="985">I254/12</f>
        <v>19.416666666666668</v>
      </c>
      <c r="J255">
        <f t="shared" ref="J255" si="986">J254/12</f>
        <v>19.5</v>
      </c>
      <c r="K255">
        <f t="shared" ref="K255" si="987">K254/12</f>
        <v>19.583333333333332</v>
      </c>
      <c r="L255">
        <f t="shared" ref="L255" si="988">L254/12</f>
        <v>19.666666666666668</v>
      </c>
      <c r="M255">
        <f t="shared" ref="M255" si="989">M254/12</f>
        <v>19.75</v>
      </c>
      <c r="N255">
        <f t="shared" ref="N255" si="990">N254/12</f>
        <v>19.833333333333332</v>
      </c>
      <c r="O255">
        <f t="shared" ref="O255" si="991">O254/12</f>
        <v>19.916666666666668</v>
      </c>
      <c r="P255">
        <f t="shared" ref="P255" si="992">P254/12</f>
        <v>20</v>
      </c>
      <c r="Q255">
        <f t="shared" si="922"/>
        <v>230</v>
      </c>
      <c r="R255" s="1">
        <f t="shared" ref="R255" si="993">HLOOKUP(Q255,E254:P260,7)</f>
        <v>24425941.668207444</v>
      </c>
    </row>
    <row r="256" spans="2:18" x14ac:dyDescent="0.25">
      <c r="B256" s="16"/>
      <c r="C256" t="s">
        <v>53</v>
      </c>
      <c r="D256" s="2">
        <f t="shared" ref="D256" si="994">1.25%</f>
        <v>1.2500000000000001E-2</v>
      </c>
      <c r="E256" t="s">
        <v>59</v>
      </c>
      <c r="F256" t="s">
        <v>60</v>
      </c>
      <c r="G256" t="s">
        <v>61</v>
      </c>
      <c r="H256" t="s">
        <v>62</v>
      </c>
      <c r="I256" t="s">
        <v>63</v>
      </c>
      <c r="J256" t="s">
        <v>64</v>
      </c>
      <c r="K256" t="s">
        <v>65</v>
      </c>
      <c r="L256" t="s">
        <v>66</v>
      </c>
      <c r="M256" t="s">
        <v>67</v>
      </c>
      <c r="N256" t="s">
        <v>68</v>
      </c>
      <c r="O256" t="s">
        <v>69</v>
      </c>
      <c r="P256" t="s">
        <v>70</v>
      </c>
      <c r="Q256">
        <f t="shared" si="922"/>
        <v>231</v>
      </c>
      <c r="R256" s="1">
        <f t="shared" ref="R256" si="995">HLOOKUP(Q256,E254:P260,7)</f>
        <v>24843951.232221294</v>
      </c>
    </row>
    <row r="257" spans="2:18" x14ac:dyDescent="0.25">
      <c r="B257" s="16"/>
      <c r="C257" t="s">
        <v>54</v>
      </c>
      <c r="D257">
        <f>1</f>
        <v>1</v>
      </c>
      <c r="E257" s="2">
        <f t="shared" ref="E257:P257" si="996">$D243</f>
        <v>4.7727025161425907E-3</v>
      </c>
      <c r="F257" s="2">
        <f t="shared" si="996"/>
        <v>4.7727025161425907E-3</v>
      </c>
      <c r="G257" s="2">
        <f t="shared" si="996"/>
        <v>4.7727025161425907E-3</v>
      </c>
      <c r="H257" s="2">
        <f t="shared" si="996"/>
        <v>4.7727025161425907E-3</v>
      </c>
      <c r="I257" s="2">
        <f t="shared" si="996"/>
        <v>4.7727025161425907E-3</v>
      </c>
      <c r="J257" s="2">
        <f t="shared" si="996"/>
        <v>4.7727025161425907E-3</v>
      </c>
      <c r="K257" s="2">
        <f t="shared" si="996"/>
        <v>4.7727025161425907E-3</v>
      </c>
      <c r="L257" s="2">
        <f t="shared" si="996"/>
        <v>4.7727025161425907E-3</v>
      </c>
      <c r="M257" s="2">
        <f t="shared" si="996"/>
        <v>4.7727025161425907E-3</v>
      </c>
      <c r="N257" s="2">
        <f t="shared" si="996"/>
        <v>4.7727025161425907E-3</v>
      </c>
      <c r="O257" s="2">
        <f t="shared" si="996"/>
        <v>4.7727025161425907E-3</v>
      </c>
      <c r="P257" s="2">
        <f t="shared" si="996"/>
        <v>4.7727025161425907E-3</v>
      </c>
      <c r="Q257">
        <f t="shared" si="922"/>
        <v>232</v>
      </c>
      <c r="R257" s="1">
        <f t="shared" ref="R257" si="997">HLOOKUP(Q257,E254:P260,7)</f>
        <v>25263955.831533082</v>
      </c>
    </row>
    <row r="258" spans="2:18" x14ac:dyDescent="0.25">
      <c r="B258" s="16"/>
      <c r="C258" t="s">
        <v>55</v>
      </c>
      <c r="D258">
        <f t="shared" ref="D258" si="998">D257*12</f>
        <v>12</v>
      </c>
      <c r="E258">
        <f>1</f>
        <v>1</v>
      </c>
      <c r="F258">
        <f>1</f>
        <v>1</v>
      </c>
      <c r="G258">
        <f>1</f>
        <v>1</v>
      </c>
      <c r="H258">
        <f>1</f>
        <v>1</v>
      </c>
      <c r="I258">
        <f>1</f>
        <v>1</v>
      </c>
      <c r="J258">
        <f>1</f>
        <v>1</v>
      </c>
      <c r="K258">
        <f>1</f>
        <v>1</v>
      </c>
      <c r="L258">
        <f>1</f>
        <v>1</v>
      </c>
      <c r="M258">
        <f>1</f>
        <v>1</v>
      </c>
      <c r="N258">
        <f>1</f>
        <v>1</v>
      </c>
      <c r="O258">
        <f>1</f>
        <v>1</v>
      </c>
      <c r="P258">
        <f>1</f>
        <v>1</v>
      </c>
      <c r="Q258">
        <f t="shared" si="922"/>
        <v>233</v>
      </c>
      <c r="R258" s="1">
        <f t="shared" ref="R258" si="999">HLOOKUP(Q258,E254:P260,7)</f>
        <v>25685964.987852797</v>
      </c>
    </row>
    <row r="259" spans="2:18" x14ac:dyDescent="0.25">
      <c r="B259" s="16"/>
      <c r="C259" t="s">
        <v>57</v>
      </c>
      <c r="D259" s="10">
        <f t="shared" ref="D259" si="1000">D247*(1+$D$2)</f>
        <v>437.04335175833978</v>
      </c>
      <c r="E259" s="1">
        <f t="shared" ref="E259" si="1001">$D260*1000</f>
        <v>400000</v>
      </c>
      <c r="F259" s="1">
        <f t="shared" ref="F259" si="1002">$D260*1000</f>
        <v>400000</v>
      </c>
      <c r="G259" s="1">
        <f t="shared" ref="G259" si="1003">$D260*1000</f>
        <v>400000</v>
      </c>
      <c r="H259" s="1">
        <f t="shared" ref="H259" si="1004">$D260*1000</f>
        <v>400000</v>
      </c>
      <c r="I259" s="1">
        <f t="shared" ref="I259" si="1005">$D260*1000</f>
        <v>400000</v>
      </c>
      <c r="J259" s="1">
        <f t="shared" ref="J259" si="1006">$D260*1000</f>
        <v>400000</v>
      </c>
      <c r="K259" s="1">
        <f t="shared" ref="K259" si="1007">$D260*1000</f>
        <v>400000</v>
      </c>
      <c r="L259" s="1">
        <f t="shared" ref="L259" si="1008">$D260*1000</f>
        <v>400000</v>
      </c>
      <c r="M259" s="1">
        <f t="shared" ref="M259" si="1009">$D260*1000</f>
        <v>400000</v>
      </c>
      <c r="N259" s="1">
        <f t="shared" ref="N259" si="1010">$D260*1000</f>
        <v>400000</v>
      </c>
      <c r="O259" s="1">
        <f t="shared" ref="O259" si="1011">$D260*1000</f>
        <v>400000</v>
      </c>
      <c r="P259" s="1">
        <f t="shared" ref="P259" si="1012">$D260*1000</f>
        <v>400000</v>
      </c>
      <c r="Q259">
        <f t="shared" si="922"/>
        <v>234</v>
      </c>
      <c r="R259" s="1">
        <f t="shared" ref="R259" si="1013">HLOOKUP(Q259,E254:P260,7)</f>
        <v>20986652.258204903</v>
      </c>
    </row>
    <row r="260" spans="2:18" x14ac:dyDescent="0.25">
      <c r="B260" s="16"/>
      <c r="C260" t="s">
        <v>56</v>
      </c>
      <c r="D260" s="10">
        <f t="shared" ref="D260" si="1014">IF(D259*(1+$D$2)&gt;D248+50,D248+50,D248)</f>
        <v>400</v>
      </c>
      <c r="E260" s="1">
        <f t="shared" ref="E260" si="1015">-FV($E$29,$E$30,$E$31,D252-E261,1)</f>
        <v>24009917.663009979</v>
      </c>
      <c r="F260" s="1">
        <f t="shared" ref="F260:I260" si="1016">-FV($E$29,$E$30,$E$31,E260,1)</f>
        <v>24425941.668207444</v>
      </c>
      <c r="G260" s="1">
        <f t="shared" si="1016"/>
        <v>24843951.232221294</v>
      </c>
      <c r="H260" s="1">
        <f t="shared" si="1016"/>
        <v>25263955.831533082</v>
      </c>
      <c r="I260" s="1">
        <f t="shared" si="1016"/>
        <v>25685964.987852797</v>
      </c>
      <c r="J260" s="1">
        <f t="shared" ref="J260" si="1017">-FV($E$29,$E$30,$E$31,I260-J261,1)</f>
        <v>20986652.258204903</v>
      </c>
      <c r="K260" s="1">
        <f t="shared" ref="K260:P260" si="1018">-FV($E$29,$E$30,$E$31,J260,1)</f>
        <v>21388247.11699789</v>
      </c>
      <c r="L260" s="1">
        <f t="shared" si="1018"/>
        <v>21791758.668583907</v>
      </c>
      <c r="M260" s="1">
        <f t="shared" si="1018"/>
        <v>22197196.060767472</v>
      </c>
      <c r="N260" s="1">
        <f t="shared" si="1018"/>
        <v>22604568.485012852</v>
      </c>
      <c r="O260" s="1">
        <f t="shared" si="1018"/>
        <v>23013885.176652431</v>
      </c>
      <c r="P260" s="1">
        <f t="shared" si="1018"/>
        <v>23425155.4150961</v>
      </c>
      <c r="Q260">
        <f t="shared" si="922"/>
        <v>235</v>
      </c>
      <c r="R260" s="1">
        <f t="shared" ref="R260" si="1019">HLOOKUP(Q260,E254:P260,7)</f>
        <v>21388247.11699789</v>
      </c>
    </row>
    <row r="261" spans="2:18" x14ac:dyDescent="0.25">
      <c r="B261" s="16"/>
      <c r="C261" t="s">
        <v>71</v>
      </c>
      <c r="D261">
        <f t="shared" ref="D261" si="1020">$E261</f>
        <v>5099000</v>
      </c>
      <c r="E261" s="1">
        <f t="shared" ref="E261" si="1021">ROUNDUP(IF(E255&gt;=$E$9,$D$9,IF(E255&gt;=$E$8,$D$8,IF(E255&gt;=$E$7,$D$7,IF(E255&gt;=$E$6,$D$6,IF(E255&gt;=$E$5,$D$5,IF(E255&gt;=$E$4,$D$4,0))))))*1000*(1+$D$2)^$B254,-3)</f>
        <v>5099000</v>
      </c>
      <c r="J261" s="1">
        <f t="shared" ref="J261" si="1022">ROUNDUP(IF(J255&gt;=$E$9,$D$9,IF(J255&gt;=$E$8,$D$8,IF(J255&gt;=$E$7,$D$7,IF(J255&gt;=$E$6,$D$6,IF(J255&gt;=$E$5,$D$5,IF(J255&gt;=$E$4,$D$4,0))))))*1000*(1+$D$2)^$B254,-3)</f>
        <v>5099000</v>
      </c>
      <c r="Q261">
        <f t="shared" si="922"/>
        <v>236</v>
      </c>
      <c r="R261" s="1">
        <f t="shared" ref="R261" si="1023">HLOOKUP(Q261,E254:P260,7)</f>
        <v>21791758.668583907</v>
      </c>
    </row>
    <row r="262" spans="2:18" x14ac:dyDescent="0.25">
      <c r="B262" s="16"/>
      <c r="C262" t="s">
        <v>72</v>
      </c>
      <c r="D262">
        <f t="shared" ref="D262" si="1024">$J261</f>
        <v>5099000</v>
      </c>
      <c r="Q262">
        <f t="shared" si="922"/>
        <v>237</v>
      </c>
      <c r="R262" s="1">
        <f t="shared" ref="R262" si="1025">HLOOKUP(Q262,E254:P260,7)</f>
        <v>22197196.060767472</v>
      </c>
    </row>
    <row r="263" spans="2:18" x14ac:dyDescent="0.25">
      <c r="B263" s="16"/>
      <c r="C263" t="s">
        <v>58</v>
      </c>
      <c r="D263">
        <f t="shared" ref="D263" si="1026">D261+D262</f>
        <v>10198000</v>
      </c>
      <c r="Q263">
        <f t="shared" si="922"/>
        <v>238</v>
      </c>
      <c r="R263" s="1">
        <f t="shared" ref="R263" si="1027">HLOOKUP(Q263,E254:P260,7)</f>
        <v>22604568.485012852</v>
      </c>
    </row>
    <row r="264" spans="2:18" x14ac:dyDescent="0.25">
      <c r="B264" s="16"/>
      <c r="C264" t="s">
        <v>42</v>
      </c>
      <c r="D264" s="4">
        <f t="shared" ref="D264" si="1028">P260*(1-D256)</f>
        <v>23132340.972407401</v>
      </c>
      <c r="Q264">
        <f t="shared" si="922"/>
        <v>239</v>
      </c>
      <c r="R264" s="1">
        <f t="shared" ref="R264" si="1029">HLOOKUP(Q264,E254:P260,7)</f>
        <v>23013885.176652431</v>
      </c>
    </row>
    <row r="265" spans="2:18" x14ac:dyDescent="0.25">
      <c r="B265" s="16"/>
      <c r="Q265">
        <f t="shared" si="922"/>
        <v>240</v>
      </c>
      <c r="R265" s="1">
        <f t="shared" ref="R265" si="1030">HLOOKUP(Q265,E254:P260,7)</f>
        <v>23425155.4150961</v>
      </c>
    </row>
    <row r="266" spans="2:18" x14ac:dyDescent="0.25">
      <c r="B266" s="16">
        <f t="shared" ref="B266" si="1031">B254+1</f>
        <v>20</v>
      </c>
      <c r="C266" t="s">
        <v>40</v>
      </c>
      <c r="D266" s="2">
        <f t="shared" ref="D266" si="1032">5.88%</f>
        <v>5.8799999999999998E-2</v>
      </c>
      <c r="E266">
        <f t="shared" ref="E266" si="1033">($B266*12)+1</f>
        <v>241</v>
      </c>
      <c r="F266">
        <f t="shared" ref="F266:P266" si="1034">E266+1</f>
        <v>242</v>
      </c>
      <c r="G266">
        <f t="shared" si="1034"/>
        <v>243</v>
      </c>
      <c r="H266">
        <f t="shared" si="1034"/>
        <v>244</v>
      </c>
      <c r="I266">
        <f t="shared" si="1034"/>
        <v>245</v>
      </c>
      <c r="J266">
        <f t="shared" si="1034"/>
        <v>246</v>
      </c>
      <c r="K266">
        <f t="shared" si="1034"/>
        <v>247</v>
      </c>
      <c r="L266">
        <f t="shared" si="1034"/>
        <v>248</v>
      </c>
      <c r="M266">
        <f t="shared" si="1034"/>
        <v>249</v>
      </c>
      <c r="N266">
        <f t="shared" si="1034"/>
        <v>250</v>
      </c>
      <c r="O266">
        <f t="shared" si="1034"/>
        <v>251</v>
      </c>
      <c r="P266">
        <f t="shared" si="1034"/>
        <v>252</v>
      </c>
      <c r="Q266">
        <f t="shared" si="922"/>
        <v>241</v>
      </c>
      <c r="R266" s="1">
        <f t="shared" ref="R266" si="1035">HLOOKUP(Q266,E266:P272,7)</f>
        <v>18318353.739339065</v>
      </c>
    </row>
    <row r="267" spans="2:18" x14ac:dyDescent="0.25">
      <c r="B267" s="16"/>
      <c r="C267" t="s">
        <v>41</v>
      </c>
      <c r="D267" s="3">
        <f t="shared" ref="D267" si="1036">(1+D266)^(1/12)-1</f>
        <v>4.7727025161425907E-3</v>
      </c>
      <c r="E267">
        <f t="shared" ref="E267" si="1037">E266/12</f>
        <v>20.083333333333332</v>
      </c>
      <c r="F267">
        <f t="shared" ref="F267" si="1038">F266/12</f>
        <v>20.166666666666668</v>
      </c>
      <c r="G267">
        <f t="shared" ref="G267" si="1039">G266/12</f>
        <v>20.25</v>
      </c>
      <c r="H267">
        <f t="shared" ref="H267" si="1040">H266/12</f>
        <v>20.333333333333332</v>
      </c>
      <c r="I267">
        <f t="shared" ref="I267" si="1041">I266/12</f>
        <v>20.416666666666668</v>
      </c>
      <c r="J267">
        <f t="shared" ref="J267" si="1042">J266/12</f>
        <v>20.5</v>
      </c>
      <c r="K267">
        <f t="shared" ref="K267" si="1043">K266/12</f>
        <v>20.583333333333332</v>
      </c>
      <c r="L267">
        <f t="shared" ref="L267" si="1044">L266/12</f>
        <v>20.666666666666668</v>
      </c>
      <c r="M267">
        <f t="shared" ref="M267" si="1045">M266/12</f>
        <v>20.75</v>
      </c>
      <c r="N267">
        <f t="shared" ref="N267" si="1046">N266/12</f>
        <v>20.833333333333332</v>
      </c>
      <c r="O267">
        <f t="shared" ref="O267" si="1047">O266/12</f>
        <v>20.916666666666668</v>
      </c>
      <c r="P267">
        <f t="shared" ref="P267" si="1048">P266/12</f>
        <v>21</v>
      </c>
      <c r="Q267">
        <f t="shared" si="922"/>
        <v>242</v>
      </c>
      <c r="R267" s="1">
        <f t="shared" ref="R267" si="1049">HLOOKUP(Q267,E266:P272,7)</f>
        <v>18707213.60307724</v>
      </c>
    </row>
    <row r="268" spans="2:18" x14ac:dyDescent="0.25">
      <c r="B268" s="16"/>
      <c r="C268" t="s">
        <v>53</v>
      </c>
      <c r="D268" s="2">
        <f t="shared" ref="D268" si="1050">1.25%</f>
        <v>1.2500000000000001E-2</v>
      </c>
      <c r="E268" t="s">
        <v>59</v>
      </c>
      <c r="F268" t="s">
        <v>60</v>
      </c>
      <c r="G268" t="s">
        <v>61</v>
      </c>
      <c r="H268" t="s">
        <v>62</v>
      </c>
      <c r="I268" t="s">
        <v>63</v>
      </c>
      <c r="J268" t="s">
        <v>64</v>
      </c>
      <c r="K268" t="s">
        <v>65</v>
      </c>
      <c r="L268" t="s">
        <v>66</v>
      </c>
      <c r="M268" t="s">
        <v>67</v>
      </c>
      <c r="N268" t="s">
        <v>68</v>
      </c>
      <c r="O268" t="s">
        <v>69</v>
      </c>
      <c r="P268" t="s">
        <v>70</v>
      </c>
      <c r="Q268">
        <f t="shared" si="922"/>
        <v>243</v>
      </c>
      <c r="R268" s="1">
        <f t="shared" ref="R268" si="1051">HLOOKUP(Q268,E266:P272,7)</f>
        <v>19097929.379265506</v>
      </c>
    </row>
    <row r="269" spans="2:18" x14ac:dyDescent="0.25">
      <c r="B269" s="16"/>
      <c r="C269" t="s">
        <v>54</v>
      </c>
      <c r="D269">
        <f>1</f>
        <v>1</v>
      </c>
      <c r="E269" s="2">
        <f t="shared" ref="E269:P269" si="1052">$D255</f>
        <v>4.7727025161425907E-3</v>
      </c>
      <c r="F269" s="2">
        <f t="shared" si="1052"/>
        <v>4.7727025161425907E-3</v>
      </c>
      <c r="G269" s="2">
        <f t="shared" si="1052"/>
        <v>4.7727025161425907E-3</v>
      </c>
      <c r="H269" s="2">
        <f t="shared" si="1052"/>
        <v>4.7727025161425907E-3</v>
      </c>
      <c r="I269" s="2">
        <f t="shared" si="1052"/>
        <v>4.7727025161425907E-3</v>
      </c>
      <c r="J269" s="2">
        <f t="shared" si="1052"/>
        <v>4.7727025161425907E-3</v>
      </c>
      <c r="K269" s="2">
        <f t="shared" si="1052"/>
        <v>4.7727025161425907E-3</v>
      </c>
      <c r="L269" s="2">
        <f t="shared" si="1052"/>
        <v>4.7727025161425907E-3</v>
      </c>
      <c r="M269" s="2">
        <f t="shared" si="1052"/>
        <v>4.7727025161425907E-3</v>
      </c>
      <c r="N269" s="2">
        <f t="shared" si="1052"/>
        <v>4.7727025161425907E-3</v>
      </c>
      <c r="O269" s="2">
        <f t="shared" si="1052"/>
        <v>4.7727025161425907E-3</v>
      </c>
      <c r="P269" s="2">
        <f t="shared" si="1052"/>
        <v>4.7727025161425907E-3</v>
      </c>
      <c r="Q269">
        <f t="shared" si="922"/>
        <v>244</v>
      </c>
      <c r="R269" s="1">
        <f t="shared" ref="R269" si="1053">HLOOKUP(Q269,E266:P272,7)</f>
        <v>19490509.925621882</v>
      </c>
    </row>
    <row r="270" spans="2:18" x14ac:dyDescent="0.25">
      <c r="B270" s="16"/>
      <c r="C270" t="s">
        <v>55</v>
      </c>
      <c r="D270">
        <f t="shared" ref="D270" si="1054">D269*12</f>
        <v>12</v>
      </c>
      <c r="E270">
        <f>1</f>
        <v>1</v>
      </c>
      <c r="F270">
        <f>1</f>
        <v>1</v>
      </c>
      <c r="G270">
        <f>1</f>
        <v>1</v>
      </c>
      <c r="H270">
        <f>1</f>
        <v>1</v>
      </c>
      <c r="I270">
        <f>1</f>
        <v>1</v>
      </c>
      <c r="J270">
        <f>1</f>
        <v>1</v>
      </c>
      <c r="K270">
        <f>1</f>
        <v>1</v>
      </c>
      <c r="L270">
        <f>1</f>
        <v>1</v>
      </c>
      <c r="M270">
        <f>1</f>
        <v>1</v>
      </c>
      <c r="N270">
        <f>1</f>
        <v>1</v>
      </c>
      <c r="O270">
        <f>1</f>
        <v>1</v>
      </c>
      <c r="P270">
        <f>1</f>
        <v>1</v>
      </c>
      <c r="Q270">
        <f t="shared" si="922"/>
        <v>245</v>
      </c>
      <c r="R270" s="1">
        <f t="shared" ref="R270" si="1055">HLOOKUP(Q270,E266:P272,7)</f>
        <v>19884964.142139643</v>
      </c>
    </row>
    <row r="271" spans="2:18" x14ac:dyDescent="0.25">
      <c r="B271" s="16"/>
      <c r="C271" t="s">
        <v>57</v>
      </c>
      <c r="D271" s="10">
        <f t="shared" ref="D271" si="1056">D259*(1+$D$2)</f>
        <v>445.78421879350657</v>
      </c>
      <c r="E271" s="1">
        <f t="shared" ref="E271" si="1057">$D272*1000</f>
        <v>450000</v>
      </c>
      <c r="F271" s="1">
        <f t="shared" ref="F271" si="1058">$D272*1000</f>
        <v>450000</v>
      </c>
      <c r="G271" s="1">
        <f t="shared" ref="G271" si="1059">$D272*1000</f>
        <v>450000</v>
      </c>
      <c r="H271" s="1">
        <f t="shared" ref="H271" si="1060">$D272*1000</f>
        <v>450000</v>
      </c>
      <c r="I271" s="1">
        <f t="shared" ref="I271" si="1061">$D272*1000</f>
        <v>450000</v>
      </c>
      <c r="J271" s="1">
        <f t="shared" ref="J271" si="1062">$D272*1000</f>
        <v>450000</v>
      </c>
      <c r="K271" s="1">
        <f t="shared" ref="K271" si="1063">$D272*1000</f>
        <v>450000</v>
      </c>
      <c r="L271" s="1">
        <f t="shared" ref="L271" si="1064">$D272*1000</f>
        <v>450000</v>
      </c>
      <c r="M271" s="1">
        <f t="shared" ref="M271" si="1065">$D272*1000</f>
        <v>450000</v>
      </c>
      <c r="N271" s="1">
        <f t="shared" ref="N271" si="1066">$D272*1000</f>
        <v>450000</v>
      </c>
      <c r="O271" s="1">
        <f t="shared" ref="O271" si="1067">$D272*1000</f>
        <v>450000</v>
      </c>
      <c r="P271" s="1">
        <f t="shared" ref="P271" si="1068">$D272*1000</f>
        <v>450000</v>
      </c>
      <c r="Q271">
        <f t="shared" si="922"/>
        <v>246</v>
      </c>
      <c r="R271" s="1">
        <f t="shared" ref="R271" si="1069">HLOOKUP(Q271,E266:P272,7)</f>
        <v>15055478.145502623</v>
      </c>
    </row>
    <row r="272" spans="2:18" x14ac:dyDescent="0.25">
      <c r="B272" s="16"/>
      <c r="C272" t="s">
        <v>56</v>
      </c>
      <c r="D272" s="10">
        <f t="shared" ref="D272" si="1070">IF(D271*(1+$D$2)&gt;D260+50,D260+50,D260)</f>
        <v>450</v>
      </c>
      <c r="E272" s="1">
        <f t="shared" ref="E272" si="1071">-FV($E$29,$E$30,$E$31,D264-E273,1)</f>
        <v>18318353.739339065</v>
      </c>
      <c r="F272" s="1">
        <f t="shared" ref="F272:I272" si="1072">-FV($E$29,$E$30,$E$31,E272,1)</f>
        <v>18707213.60307724</v>
      </c>
      <c r="G272" s="1">
        <f t="shared" si="1072"/>
        <v>19097929.379265506</v>
      </c>
      <c r="H272" s="1">
        <f t="shared" si="1072"/>
        <v>19490509.925621882</v>
      </c>
      <c r="I272" s="1">
        <f t="shared" si="1072"/>
        <v>19884964.142139643</v>
      </c>
      <c r="J272" s="1">
        <f t="shared" ref="J272" si="1073">-FV($E$29,$E$30,$E$31,I272-J273,1)</f>
        <v>15055478.145502623</v>
      </c>
      <c r="K272" s="1">
        <f t="shared" ref="K272:P272" si="1074">-FV($E$29,$E$30,$E$31,J272,1)</f>
        <v>15428765.274684235</v>
      </c>
      <c r="L272" s="1">
        <f t="shared" si="1074"/>
        <v>15803833.992286537</v>
      </c>
      <c r="M272" s="1">
        <f t="shared" si="1074"/>
        <v>16180692.801301066</v>
      </c>
      <c r="N272" s="1">
        <f t="shared" si="1074"/>
        <v>16559350.245301608</v>
      </c>
      <c r="O272" s="1">
        <f t="shared" si="1074"/>
        <v>16939814.908637889</v>
      </c>
      <c r="P272" s="1">
        <f t="shared" si="1074"/>
        <v>17322095.416630179</v>
      </c>
      <c r="Q272">
        <f t="shared" si="922"/>
        <v>247</v>
      </c>
      <c r="R272" s="1">
        <f t="shared" ref="R272" si="1075">HLOOKUP(Q272,E266:P272,7)</f>
        <v>15428765.274684235</v>
      </c>
    </row>
    <row r="273" spans="2:18" x14ac:dyDescent="0.25">
      <c r="B273" s="16"/>
      <c r="C273" t="s">
        <v>71</v>
      </c>
      <c r="D273">
        <f t="shared" ref="D273" si="1076">$E273</f>
        <v>5201000</v>
      </c>
      <c r="E273" s="1">
        <f t="shared" ref="E273" si="1077">ROUNDUP(IF(E267&gt;=$E$9,$D$9,IF(E267&gt;=$E$8,$D$8,IF(E267&gt;=$E$7,$D$7,IF(E267&gt;=$E$6,$D$6,IF(E267&gt;=$E$5,$D$5,IF(E267&gt;=$E$4,$D$4,0))))))*1000*(1+$D$2)^$B266,-3)</f>
        <v>5201000</v>
      </c>
      <c r="J273" s="1">
        <f t="shared" ref="J273" si="1078">ROUNDUP(IF(J267&gt;=$E$9,$D$9,IF(J267&gt;=$E$8,$D$8,IF(J267&gt;=$E$7,$D$7,IF(J267&gt;=$E$6,$D$6,IF(J267&gt;=$E$5,$D$5,IF(J267&gt;=$E$4,$D$4,0))))))*1000*(1+$D$2)^$B266,-3)</f>
        <v>5201000</v>
      </c>
      <c r="Q273">
        <f t="shared" si="922"/>
        <v>248</v>
      </c>
      <c r="R273" s="1">
        <f t="shared" ref="R273" si="1079">HLOOKUP(Q273,E266:P272,7)</f>
        <v>15803833.992286537</v>
      </c>
    </row>
    <row r="274" spans="2:18" x14ac:dyDescent="0.25">
      <c r="B274" s="16"/>
      <c r="C274" t="s">
        <v>72</v>
      </c>
      <c r="D274">
        <f t="shared" ref="D274" si="1080">$J273</f>
        <v>5201000</v>
      </c>
      <c r="Q274">
        <f t="shared" si="922"/>
        <v>249</v>
      </c>
      <c r="R274" s="1">
        <f t="shared" ref="R274" si="1081">HLOOKUP(Q274,E266:P272,7)</f>
        <v>16180692.801301066</v>
      </c>
    </row>
    <row r="275" spans="2:18" x14ac:dyDescent="0.25">
      <c r="B275" s="16"/>
      <c r="C275" t="s">
        <v>58</v>
      </c>
      <c r="D275">
        <f t="shared" ref="D275" si="1082">D273+D274</f>
        <v>10402000</v>
      </c>
      <c r="Q275">
        <f t="shared" si="922"/>
        <v>250</v>
      </c>
      <c r="R275" s="1">
        <f t="shared" ref="R275" si="1083">HLOOKUP(Q275,E266:P272,7)</f>
        <v>16559350.245301608</v>
      </c>
    </row>
    <row r="276" spans="2:18" x14ac:dyDescent="0.25">
      <c r="B276" s="16"/>
      <c r="C276" t="s">
        <v>42</v>
      </c>
      <c r="D276" s="4">
        <f t="shared" ref="D276" si="1084">P272*(1-D268)</f>
        <v>17105569.223922301</v>
      </c>
      <c r="Q276">
        <f t="shared" si="922"/>
        <v>251</v>
      </c>
      <c r="R276" s="1">
        <f t="shared" ref="R276" si="1085">HLOOKUP(Q276,E266:P272,7)</f>
        <v>16939814.908637889</v>
      </c>
    </row>
    <row r="277" spans="2:18" x14ac:dyDescent="0.25">
      <c r="B277" s="16"/>
      <c r="Q277">
        <f t="shared" si="922"/>
        <v>252</v>
      </c>
      <c r="R277" s="1">
        <f t="shared" ref="R277" si="1086">HLOOKUP(Q277,E266:P272,7)</f>
        <v>17322095.416630179</v>
      </c>
    </row>
    <row r="278" spans="2:18" x14ac:dyDescent="0.25">
      <c r="B278" s="16">
        <f t="shared" ref="B278" si="1087">B266+1</f>
        <v>21</v>
      </c>
      <c r="C278" t="s">
        <v>40</v>
      </c>
      <c r="D278" s="2">
        <f t="shared" ref="D278" si="1088">5.88%</f>
        <v>5.8799999999999998E-2</v>
      </c>
      <c r="E278">
        <f t="shared" ref="E278" si="1089">($B278*12)+1</f>
        <v>253</v>
      </c>
      <c r="F278">
        <f t="shared" ref="F278:P278" si="1090">E278+1</f>
        <v>254</v>
      </c>
      <c r="G278">
        <f t="shared" si="1090"/>
        <v>255</v>
      </c>
      <c r="H278">
        <f t="shared" si="1090"/>
        <v>256</v>
      </c>
      <c r="I278">
        <f t="shared" si="1090"/>
        <v>257</v>
      </c>
      <c r="J278">
        <f t="shared" si="1090"/>
        <v>258</v>
      </c>
      <c r="K278">
        <f t="shared" si="1090"/>
        <v>259</v>
      </c>
      <c r="L278">
        <f t="shared" si="1090"/>
        <v>260</v>
      </c>
      <c r="M278">
        <f t="shared" si="1090"/>
        <v>261</v>
      </c>
      <c r="N278">
        <f t="shared" si="1090"/>
        <v>262</v>
      </c>
      <c r="O278">
        <f t="shared" si="1090"/>
        <v>263</v>
      </c>
      <c r="P278">
        <f t="shared" si="1090"/>
        <v>264</v>
      </c>
      <c r="Q278">
        <f t="shared" si="922"/>
        <v>253</v>
      </c>
      <c r="R278" s="1">
        <f t="shared" ref="R278" si="1091">HLOOKUP(Q278,E278:P284,7)</f>
        <v>12158321.641104072</v>
      </c>
    </row>
    <row r="279" spans="2:18" x14ac:dyDescent="0.25">
      <c r="B279" s="16"/>
      <c r="C279" t="s">
        <v>41</v>
      </c>
      <c r="D279" s="3">
        <f t="shared" ref="D279" si="1092">(1+D278)^(1/12)-1</f>
        <v>4.7727025161425907E-3</v>
      </c>
      <c r="E279">
        <f t="shared" ref="E279" si="1093">E278/12</f>
        <v>21.083333333333332</v>
      </c>
      <c r="F279">
        <f t="shared" ref="F279" si="1094">F278/12</f>
        <v>21.166666666666668</v>
      </c>
      <c r="G279">
        <f t="shared" ref="G279" si="1095">G278/12</f>
        <v>21.25</v>
      </c>
      <c r="H279">
        <f t="shared" ref="H279" si="1096">H278/12</f>
        <v>21.333333333333332</v>
      </c>
      <c r="I279">
        <f t="shared" ref="I279" si="1097">I278/12</f>
        <v>21.416666666666668</v>
      </c>
      <c r="J279">
        <f t="shared" ref="J279" si="1098">J278/12</f>
        <v>21.5</v>
      </c>
      <c r="K279">
        <f t="shared" ref="K279" si="1099">K278/12</f>
        <v>21.583333333333332</v>
      </c>
      <c r="L279">
        <f t="shared" ref="L279" si="1100">L278/12</f>
        <v>21.666666666666668</v>
      </c>
      <c r="M279">
        <f t="shared" ref="M279" si="1101">M278/12</f>
        <v>21.75</v>
      </c>
      <c r="N279">
        <f t="shared" ref="N279" si="1102">N278/12</f>
        <v>21.833333333333332</v>
      </c>
      <c r="O279">
        <f t="shared" ref="O279" si="1103">O278/12</f>
        <v>21.916666666666668</v>
      </c>
      <c r="P279">
        <f t="shared" ref="P279" si="1104">P278/12</f>
        <v>22</v>
      </c>
      <c r="Q279">
        <f t="shared" si="922"/>
        <v>254</v>
      </c>
      <c r="R279" s="1">
        <f t="shared" ref="R279" si="1105">HLOOKUP(Q279,E278:P284,7)</f>
        <v>12517781.504147483</v>
      </c>
    </row>
    <row r="280" spans="2:18" x14ac:dyDescent="0.25">
      <c r="B280" s="16"/>
      <c r="C280" t="s">
        <v>53</v>
      </c>
      <c r="D280" s="2">
        <f t="shared" ref="D280" si="1106">1.25%</f>
        <v>1.2500000000000001E-2</v>
      </c>
      <c r="E280" t="s">
        <v>59</v>
      </c>
      <c r="F280" t="s">
        <v>60</v>
      </c>
      <c r="G280" t="s">
        <v>61</v>
      </c>
      <c r="H280" t="s">
        <v>62</v>
      </c>
      <c r="I280" t="s">
        <v>63</v>
      </c>
      <c r="J280" t="s">
        <v>64</v>
      </c>
      <c r="K280" t="s">
        <v>65</v>
      </c>
      <c r="L280" t="s">
        <v>66</v>
      </c>
      <c r="M280" t="s">
        <v>67</v>
      </c>
      <c r="N280" t="s">
        <v>68</v>
      </c>
      <c r="O280" t="s">
        <v>69</v>
      </c>
      <c r="P280" t="s">
        <v>70</v>
      </c>
      <c r="Q280">
        <f t="shared" si="922"/>
        <v>255</v>
      </c>
      <c r="R280" s="1">
        <f t="shared" ref="R280" si="1107">HLOOKUP(Q280,E278:P284,7)</f>
        <v>12878956.962183693</v>
      </c>
    </row>
    <row r="281" spans="2:18" x14ac:dyDescent="0.25">
      <c r="B281" s="16"/>
      <c r="C281" t="s">
        <v>54</v>
      </c>
      <c r="D281">
        <f>1</f>
        <v>1</v>
      </c>
      <c r="E281" s="2">
        <f t="shared" ref="E281:P281" si="1108">$D267</f>
        <v>4.7727025161425907E-3</v>
      </c>
      <c r="F281" s="2">
        <f t="shared" si="1108"/>
        <v>4.7727025161425907E-3</v>
      </c>
      <c r="G281" s="2">
        <f t="shared" si="1108"/>
        <v>4.7727025161425907E-3</v>
      </c>
      <c r="H281" s="2">
        <f t="shared" si="1108"/>
        <v>4.7727025161425907E-3</v>
      </c>
      <c r="I281" s="2">
        <f t="shared" si="1108"/>
        <v>4.7727025161425907E-3</v>
      </c>
      <c r="J281" s="2">
        <f t="shared" si="1108"/>
        <v>4.7727025161425907E-3</v>
      </c>
      <c r="K281" s="2">
        <f t="shared" si="1108"/>
        <v>4.7727025161425907E-3</v>
      </c>
      <c r="L281" s="2">
        <f t="shared" si="1108"/>
        <v>4.7727025161425907E-3</v>
      </c>
      <c r="M281" s="2">
        <f t="shared" si="1108"/>
        <v>4.7727025161425907E-3</v>
      </c>
      <c r="N281" s="2">
        <f t="shared" si="1108"/>
        <v>4.7727025161425907E-3</v>
      </c>
      <c r="O281" s="2">
        <f t="shared" si="1108"/>
        <v>4.7727025161425907E-3</v>
      </c>
      <c r="P281" s="2">
        <f t="shared" si="1108"/>
        <v>4.7727025161425907E-3</v>
      </c>
      <c r="Q281">
        <f t="shared" si="922"/>
        <v>256</v>
      </c>
      <c r="R281" s="1">
        <f t="shared" ref="R281" si="1109">HLOOKUP(Q281,E278:P284,7)</f>
        <v>13241856.203237243</v>
      </c>
    </row>
    <row r="282" spans="2:18" x14ac:dyDescent="0.25">
      <c r="B282" s="16"/>
      <c r="C282" t="s">
        <v>55</v>
      </c>
      <c r="D282">
        <f t="shared" ref="D282" si="1110">D281*12</f>
        <v>12</v>
      </c>
      <c r="E282">
        <f>1</f>
        <v>1</v>
      </c>
      <c r="F282">
        <f>1</f>
        <v>1</v>
      </c>
      <c r="G282">
        <f>1</f>
        <v>1</v>
      </c>
      <c r="H282">
        <f>1</f>
        <v>1</v>
      </c>
      <c r="I282">
        <f>1</f>
        <v>1</v>
      </c>
      <c r="J282">
        <f>1</f>
        <v>1</v>
      </c>
      <c r="K282">
        <f>1</f>
        <v>1</v>
      </c>
      <c r="L282">
        <f>1</f>
        <v>1</v>
      </c>
      <c r="M282">
        <f>1</f>
        <v>1</v>
      </c>
      <c r="N282">
        <f>1</f>
        <v>1</v>
      </c>
      <c r="O282">
        <f>1</f>
        <v>1</v>
      </c>
      <c r="P282">
        <f>1</f>
        <v>1</v>
      </c>
      <c r="Q282">
        <f t="shared" si="922"/>
        <v>257</v>
      </c>
      <c r="R282" s="1">
        <f t="shared" ref="R282" si="1111">HLOOKUP(Q282,E278:P284,7)</f>
        <v>13606487.454411674</v>
      </c>
    </row>
    <row r="283" spans="2:18" x14ac:dyDescent="0.25">
      <c r="B283" s="16"/>
      <c r="C283" t="s">
        <v>57</v>
      </c>
      <c r="D283" s="10">
        <f t="shared" ref="D283" si="1112">D271*(1+$D$2)</f>
        <v>454.69990316937668</v>
      </c>
      <c r="E283" s="1">
        <f t="shared" ref="E283" si="1113">$D284*1000</f>
        <v>450000</v>
      </c>
      <c r="F283" s="1">
        <f t="shared" ref="F283" si="1114">$D284*1000</f>
        <v>450000</v>
      </c>
      <c r="G283" s="1">
        <f t="shared" ref="G283" si="1115">$D284*1000</f>
        <v>450000</v>
      </c>
      <c r="H283" s="1">
        <f t="shared" ref="H283" si="1116">$D284*1000</f>
        <v>450000</v>
      </c>
      <c r="I283" s="1">
        <f t="shared" ref="I283" si="1117">$D284*1000</f>
        <v>450000</v>
      </c>
      <c r="J283" s="1">
        <f t="shared" ref="J283" si="1118">$D284*1000</f>
        <v>450000</v>
      </c>
      <c r="K283" s="1">
        <f t="shared" ref="K283" si="1119">$D284*1000</f>
        <v>450000</v>
      </c>
      <c r="L283" s="1">
        <f t="shared" ref="L283" si="1120">$D284*1000</f>
        <v>450000</v>
      </c>
      <c r="M283" s="1">
        <f t="shared" ref="M283" si="1121">$D284*1000</f>
        <v>450000</v>
      </c>
      <c r="N283" s="1">
        <f t="shared" ref="N283" si="1122">$D284*1000</f>
        <v>450000</v>
      </c>
      <c r="O283" s="1">
        <f t="shared" ref="O283" si="1123">$D284*1000</f>
        <v>450000</v>
      </c>
      <c r="P283" s="1">
        <f t="shared" ref="P283" si="1124">$D284*1000</f>
        <v>450000</v>
      </c>
      <c r="Q283">
        <f t="shared" si="922"/>
        <v>258</v>
      </c>
      <c r="R283" s="1">
        <f t="shared" ref="R283" si="1125">HLOOKUP(Q283,E278:P284,7)</f>
        <v>8642539.7952279132</v>
      </c>
    </row>
    <row r="284" spans="2:18" x14ac:dyDescent="0.25">
      <c r="B284" s="16"/>
      <c r="C284" t="s">
        <v>56</v>
      </c>
      <c r="D284" s="10">
        <f t="shared" ref="D284" si="1126">IF(D283*(1+$D$2)&gt;D272+50,D272+50,D272)</f>
        <v>450</v>
      </c>
      <c r="E284" s="1">
        <f t="shared" ref="E284" si="1127">-FV($E$29,$E$30,$E$31,D276-E285,1)</f>
        <v>12158321.641104072</v>
      </c>
      <c r="F284" s="1">
        <f t="shared" ref="F284:I284" si="1128">-FV($E$29,$E$30,$E$31,E284,1)</f>
        <v>12517781.504147483</v>
      </c>
      <c r="G284" s="1">
        <f t="shared" si="1128"/>
        <v>12878956.962183693</v>
      </c>
      <c r="H284" s="1">
        <f t="shared" si="1128"/>
        <v>13241856.203237243</v>
      </c>
      <c r="I284" s="1">
        <f t="shared" si="1128"/>
        <v>13606487.454411674</v>
      </c>
      <c r="J284" s="1">
        <f t="shared" ref="J284" si="1129">-FV($E$29,$E$30,$E$31,I284-J285,1)</f>
        <v>8642539.7952279132</v>
      </c>
      <c r="K284" s="1">
        <f t="shared" ref="K284:P284" si="1130">-FV($E$29,$E$30,$E$31,J284,1)</f>
        <v>8985219.8774093036</v>
      </c>
      <c r="L284" s="1">
        <f t="shared" si="1130"/>
        <v>9329535.4696811531</v>
      </c>
      <c r="M284" s="1">
        <f t="shared" si="1130"/>
        <v>9675494.3778465856</v>
      </c>
      <c r="N284" s="1">
        <f t="shared" si="1130"/>
        <v>10023104.4449635</v>
      </c>
      <c r="O284" s="1">
        <f t="shared" si="1130"/>
        <v>10372373.55152238</v>
      </c>
      <c r="P284" s="1">
        <f t="shared" si="1130"/>
        <v>10723309.615624944</v>
      </c>
      <c r="Q284">
        <f t="shared" si="922"/>
        <v>259</v>
      </c>
      <c r="R284" s="1">
        <f t="shared" ref="R284" si="1131">HLOOKUP(Q284,E278:P284,7)</f>
        <v>8985219.8774093036</v>
      </c>
    </row>
    <row r="285" spans="2:18" x14ac:dyDescent="0.25">
      <c r="B285" s="16"/>
      <c r="C285" t="s">
        <v>71</v>
      </c>
      <c r="D285">
        <f t="shared" ref="D285" si="1132">$E285</f>
        <v>5305000</v>
      </c>
      <c r="E285" s="1">
        <f t="shared" ref="E285" si="1133">ROUNDUP(IF(E279&gt;=$E$9,$D$9,IF(E279&gt;=$E$8,$D$8,IF(E279&gt;=$E$7,$D$7,IF(E279&gt;=$E$6,$D$6,IF(E279&gt;=$E$5,$D$5,IF(E279&gt;=$E$4,$D$4,0))))))*1000*(1+$D$2)^$B278,-3)</f>
        <v>5305000</v>
      </c>
      <c r="J285" s="1">
        <f t="shared" ref="J285" si="1134">ROUNDUP(IF(J279&gt;=$E$9,$D$9,IF(J279&gt;=$E$8,$D$8,IF(J279&gt;=$E$7,$D$7,IF(J279&gt;=$E$6,$D$6,IF(J279&gt;=$E$5,$D$5,IF(J279&gt;=$E$4,$D$4,0))))))*1000*(1+$D$2)^$B278,-3)</f>
        <v>5305000</v>
      </c>
      <c r="Q285">
        <f t="shared" si="922"/>
        <v>260</v>
      </c>
      <c r="R285" s="1">
        <f t="shared" ref="R285" si="1135">HLOOKUP(Q285,E278:P284,7)</f>
        <v>9329535.4696811531</v>
      </c>
    </row>
    <row r="286" spans="2:18" x14ac:dyDescent="0.25">
      <c r="B286" s="16"/>
      <c r="C286" t="s">
        <v>72</v>
      </c>
      <c r="D286">
        <f t="shared" ref="D286" si="1136">$J285</f>
        <v>5305000</v>
      </c>
      <c r="Q286">
        <f t="shared" si="922"/>
        <v>261</v>
      </c>
      <c r="R286" s="1">
        <f t="shared" ref="R286" si="1137">HLOOKUP(Q286,E278:P284,7)</f>
        <v>9675494.3778465856</v>
      </c>
    </row>
    <row r="287" spans="2:18" x14ac:dyDescent="0.25">
      <c r="B287" s="16"/>
      <c r="C287" t="s">
        <v>58</v>
      </c>
      <c r="D287">
        <f t="shared" ref="D287" si="1138">D285+D286</f>
        <v>10610000</v>
      </c>
      <c r="Q287">
        <f t="shared" si="922"/>
        <v>262</v>
      </c>
      <c r="R287" s="1">
        <f t="shared" ref="R287" si="1139">HLOOKUP(Q287,E278:P284,7)</f>
        <v>10023104.4449635</v>
      </c>
    </row>
    <row r="288" spans="2:18" x14ac:dyDescent="0.25">
      <c r="B288" s="16"/>
      <c r="C288" t="s">
        <v>42</v>
      </c>
      <c r="D288" s="4">
        <f t="shared" ref="D288" si="1140">P284*(1-D280)</f>
        <v>10589268.245429633</v>
      </c>
      <c r="Q288">
        <f t="shared" si="922"/>
        <v>263</v>
      </c>
      <c r="R288" s="1">
        <f t="shared" ref="R288" si="1141">HLOOKUP(Q288,E278:P284,7)</f>
        <v>10372373.55152238</v>
      </c>
    </row>
    <row r="289" spans="2:18" x14ac:dyDescent="0.25">
      <c r="B289" s="16"/>
      <c r="Q289">
        <f t="shared" si="922"/>
        <v>264</v>
      </c>
      <c r="R289" s="1">
        <f t="shared" ref="R289" si="1142">HLOOKUP(Q289,E278:P284,7)</f>
        <v>10723309.615624944</v>
      </c>
    </row>
    <row r="290" spans="2:18" x14ac:dyDescent="0.25">
      <c r="B290" s="16">
        <f t="shared" ref="B290" si="1143">B278+1</f>
        <v>22</v>
      </c>
      <c r="C290" t="s">
        <v>40</v>
      </c>
      <c r="D290" s="2">
        <f t="shared" ref="D290" si="1144">5.88%</f>
        <v>5.8799999999999998E-2</v>
      </c>
      <c r="E290">
        <f t="shared" ref="E290" si="1145">($B290*12)+1</f>
        <v>265</v>
      </c>
      <c r="F290">
        <f t="shared" ref="F290:P290" si="1146">E290+1</f>
        <v>266</v>
      </c>
      <c r="G290">
        <f t="shared" si="1146"/>
        <v>267</v>
      </c>
      <c r="H290">
        <f t="shared" si="1146"/>
        <v>268</v>
      </c>
      <c r="I290">
        <f t="shared" si="1146"/>
        <v>269</v>
      </c>
      <c r="J290">
        <f t="shared" si="1146"/>
        <v>270</v>
      </c>
      <c r="K290">
        <f t="shared" si="1146"/>
        <v>271</v>
      </c>
      <c r="L290">
        <f t="shared" si="1146"/>
        <v>272</v>
      </c>
      <c r="M290">
        <f t="shared" si="1146"/>
        <v>273</v>
      </c>
      <c r="N290">
        <f t="shared" si="1146"/>
        <v>274</v>
      </c>
      <c r="O290">
        <f t="shared" si="1146"/>
        <v>275</v>
      </c>
      <c r="P290">
        <f t="shared" si="1146"/>
        <v>276</v>
      </c>
      <c r="Q290">
        <f t="shared" si="922"/>
        <v>265</v>
      </c>
      <c r="R290" s="1">
        <f t="shared" ref="R290" si="1147">HLOOKUP(Q290,E290:P296,7)</f>
        <v>5504414.3900686996</v>
      </c>
    </row>
    <row r="291" spans="2:18" x14ac:dyDescent="0.25">
      <c r="B291" s="16"/>
      <c r="C291" t="s">
        <v>41</v>
      </c>
      <c r="D291" s="3">
        <f t="shared" ref="D291" si="1148">(1+D290)^(1/12)-1</f>
        <v>4.7727025161425907E-3</v>
      </c>
      <c r="E291">
        <f t="shared" ref="E291" si="1149">E290/12</f>
        <v>22.083333333333332</v>
      </c>
      <c r="F291">
        <f t="shared" ref="F291" si="1150">F290/12</f>
        <v>22.166666666666668</v>
      </c>
      <c r="G291">
        <f t="shared" ref="G291" si="1151">G290/12</f>
        <v>22.25</v>
      </c>
      <c r="H291">
        <f t="shared" ref="H291" si="1152">H290/12</f>
        <v>22.333333333333332</v>
      </c>
      <c r="I291">
        <f t="shared" ref="I291" si="1153">I290/12</f>
        <v>22.416666666666668</v>
      </c>
      <c r="J291">
        <f t="shared" ref="J291" si="1154">J290/12</f>
        <v>22.5</v>
      </c>
      <c r="K291">
        <f t="shared" ref="K291" si="1155">K290/12</f>
        <v>22.583333333333332</v>
      </c>
      <c r="L291">
        <f t="shared" ref="L291" si="1156">L290/12</f>
        <v>22.666666666666668</v>
      </c>
      <c r="M291">
        <f t="shared" ref="M291" si="1157">M290/12</f>
        <v>22.75</v>
      </c>
      <c r="N291">
        <f t="shared" ref="N291" si="1158">N290/12</f>
        <v>22.833333333333332</v>
      </c>
      <c r="O291">
        <f t="shared" ref="O291" si="1159">O290/12</f>
        <v>22.916666666666668</v>
      </c>
      <c r="P291">
        <f t="shared" ref="P291" si="1160">P290/12</f>
        <v>23</v>
      </c>
      <c r="Q291">
        <f t="shared" si="922"/>
        <v>266</v>
      </c>
      <c r="R291" s="1">
        <f t="shared" ref="R291" si="1161">HLOOKUP(Q291,E290:P296,7)</f>
        <v>5832117.1332329148</v>
      </c>
    </row>
    <row r="292" spans="2:18" x14ac:dyDescent="0.25">
      <c r="B292" s="16"/>
      <c r="C292" t="s">
        <v>53</v>
      </c>
      <c r="D292" s="2">
        <f t="shared" ref="D292" si="1162">1.25%</f>
        <v>1.2500000000000001E-2</v>
      </c>
      <c r="E292" t="s">
        <v>59</v>
      </c>
      <c r="F292" t="s">
        <v>60</v>
      </c>
      <c r="G292" t="s">
        <v>61</v>
      </c>
      <c r="H292" t="s">
        <v>62</v>
      </c>
      <c r="I292" t="s">
        <v>63</v>
      </c>
      <c r="J292" t="s">
        <v>64</v>
      </c>
      <c r="K292" t="s">
        <v>65</v>
      </c>
      <c r="L292" t="s">
        <v>66</v>
      </c>
      <c r="M292" t="s">
        <v>67</v>
      </c>
      <c r="N292" t="s">
        <v>68</v>
      </c>
      <c r="O292" t="s">
        <v>69</v>
      </c>
      <c r="P292" t="s">
        <v>70</v>
      </c>
      <c r="Q292">
        <f t="shared" si="922"/>
        <v>267</v>
      </c>
      <c r="R292" s="1">
        <f t="shared" ref="R292" si="1163">HLOOKUP(Q292,E290:P296,7)</f>
        <v>6161383.9041039767</v>
      </c>
    </row>
    <row r="293" spans="2:18" x14ac:dyDescent="0.25">
      <c r="B293" s="16"/>
      <c r="C293" t="s">
        <v>54</v>
      </c>
      <c r="D293">
        <f>1</f>
        <v>1</v>
      </c>
      <c r="E293" s="2">
        <f t="shared" ref="E293:P293" si="1164">$D279</f>
        <v>4.7727025161425907E-3</v>
      </c>
      <c r="F293" s="2">
        <f t="shared" si="1164"/>
        <v>4.7727025161425907E-3</v>
      </c>
      <c r="G293" s="2">
        <f t="shared" si="1164"/>
        <v>4.7727025161425907E-3</v>
      </c>
      <c r="H293" s="2">
        <f t="shared" si="1164"/>
        <v>4.7727025161425907E-3</v>
      </c>
      <c r="I293" s="2">
        <f t="shared" si="1164"/>
        <v>4.7727025161425907E-3</v>
      </c>
      <c r="J293" s="2">
        <f t="shared" si="1164"/>
        <v>4.7727025161425907E-3</v>
      </c>
      <c r="K293" s="2">
        <f t="shared" si="1164"/>
        <v>4.7727025161425907E-3</v>
      </c>
      <c r="L293" s="2">
        <f t="shared" si="1164"/>
        <v>4.7727025161425907E-3</v>
      </c>
      <c r="M293" s="2">
        <f t="shared" si="1164"/>
        <v>4.7727025161425907E-3</v>
      </c>
      <c r="N293" s="2">
        <f t="shared" si="1164"/>
        <v>4.7727025161425907E-3</v>
      </c>
      <c r="O293" s="2">
        <f t="shared" si="1164"/>
        <v>4.7727025161425907E-3</v>
      </c>
      <c r="P293" s="2">
        <f t="shared" si="1164"/>
        <v>4.7727025161425907E-3</v>
      </c>
      <c r="Q293">
        <f t="shared" si="922"/>
        <v>268</v>
      </c>
      <c r="R293" s="1">
        <f t="shared" ref="R293" si="1165">HLOOKUP(Q293,E290:P296,7)</f>
        <v>6492222.1673208568</v>
      </c>
    </row>
    <row r="294" spans="2:18" x14ac:dyDescent="0.25">
      <c r="B294" s="16"/>
      <c r="C294" t="s">
        <v>55</v>
      </c>
      <c r="D294">
        <f t="shared" ref="D294" si="1166">D293*12</f>
        <v>12</v>
      </c>
      <c r="E294">
        <f>1</f>
        <v>1</v>
      </c>
      <c r="F294">
        <f>1</f>
        <v>1</v>
      </c>
      <c r="G294">
        <f>1</f>
        <v>1</v>
      </c>
      <c r="H294">
        <f>1</f>
        <v>1</v>
      </c>
      <c r="I294">
        <f>1</f>
        <v>1</v>
      </c>
      <c r="J294">
        <f>1</f>
        <v>1</v>
      </c>
      <c r="K294">
        <f>1</f>
        <v>1</v>
      </c>
      <c r="L294">
        <f>1</f>
        <v>1</v>
      </c>
      <c r="M294">
        <f>1</f>
        <v>1</v>
      </c>
      <c r="N294">
        <f>1</f>
        <v>1</v>
      </c>
      <c r="O294">
        <f>1</f>
        <v>1</v>
      </c>
      <c r="P294">
        <f>1</f>
        <v>1</v>
      </c>
      <c r="Q294">
        <f t="shared" si="922"/>
        <v>269</v>
      </c>
      <c r="R294" s="1">
        <f t="shared" ref="R294" si="1167">HLOOKUP(Q294,E290:P296,7)</f>
        <v>6824639.4231490288</v>
      </c>
    </row>
    <row r="295" spans="2:18" x14ac:dyDescent="0.25">
      <c r="B295" s="16"/>
      <c r="C295" t="s">
        <v>57</v>
      </c>
      <c r="D295" s="10">
        <f t="shared" ref="D295" si="1168">D283*(1+$D$2)</f>
        <v>463.7939012327642</v>
      </c>
      <c r="E295" s="1">
        <f t="shared" ref="E295" si="1169">$D296*1000</f>
        <v>450000</v>
      </c>
      <c r="F295" s="1">
        <f t="shared" ref="F295" si="1170">$D296*1000</f>
        <v>450000</v>
      </c>
      <c r="G295" s="1">
        <f t="shared" ref="G295" si="1171">$D296*1000</f>
        <v>450000</v>
      </c>
      <c r="H295" s="1">
        <f t="shared" ref="H295" si="1172">$D296*1000</f>
        <v>450000</v>
      </c>
      <c r="I295" s="1">
        <f t="shared" ref="I295" si="1173">$D296*1000</f>
        <v>450000</v>
      </c>
      <c r="J295" s="1">
        <f t="shared" ref="J295" si="1174">$D296*1000</f>
        <v>450000</v>
      </c>
      <c r="K295" s="1">
        <f t="shared" ref="K295" si="1175">$D296*1000</f>
        <v>450000</v>
      </c>
      <c r="L295" s="1">
        <f t="shared" ref="L295" si="1176">$D296*1000</f>
        <v>450000</v>
      </c>
      <c r="M295" s="1">
        <f t="shared" ref="M295" si="1177">$D296*1000</f>
        <v>450000</v>
      </c>
      <c r="N295" s="1">
        <f t="shared" ref="N295" si="1178">$D296*1000</f>
        <v>450000</v>
      </c>
      <c r="O295" s="1">
        <f t="shared" ref="O295" si="1179">$D296*1000</f>
        <v>450000</v>
      </c>
      <c r="P295" s="1">
        <f t="shared" ref="P295" si="1180">$D296*1000</f>
        <v>450000</v>
      </c>
      <c r="Q295">
        <f t="shared" si="922"/>
        <v>270</v>
      </c>
      <c r="R295" s="1">
        <f t="shared" ref="R295" si="1181">HLOOKUP(Q295,E290:P296,7)</f>
        <v>7158643.2076505013</v>
      </c>
    </row>
    <row r="296" spans="2:18" x14ac:dyDescent="0.25">
      <c r="B296" s="16"/>
      <c r="C296" t="s">
        <v>56</v>
      </c>
      <c r="D296" s="10">
        <f t="shared" ref="D296" si="1182">IF(D295*(1+$D$2)&gt;D284+50,D284+50,D284)</f>
        <v>450</v>
      </c>
      <c r="E296" s="1">
        <f t="shared" ref="E296" si="1183">-FV($E$29,$E$30,$E$31,D288-E297,1)</f>
        <v>5504414.3900686996</v>
      </c>
      <c r="F296" s="1">
        <f t="shared" ref="F296:I296" si="1184">-FV($E$29,$E$30,$E$31,E296,1)</f>
        <v>5832117.1332329148</v>
      </c>
      <c r="G296" s="1">
        <f t="shared" si="1184"/>
        <v>6161383.9041039767</v>
      </c>
      <c r="H296" s="1">
        <f t="shared" si="1184"/>
        <v>6492222.1673208568</v>
      </c>
      <c r="I296" s="1">
        <f t="shared" si="1184"/>
        <v>6824639.4231490288</v>
      </c>
      <c r="J296" s="1">
        <f t="shared" ref="J296" si="1185">-FV($E$29,$E$30,$E$31,I296-J297,1)</f>
        <v>7158643.2076505013</v>
      </c>
      <c r="K296" s="1">
        <f t="shared" ref="K296:P296" si="1186">-FV($E$29,$E$30,$E$31,J296,1)</f>
        <v>7494241.0928546647</v>
      </c>
      <c r="L296" s="1">
        <f t="shared" si="1186"/>
        <v>7831440.6869299542</v>
      </c>
      <c r="M296" s="1">
        <f t="shared" si="1186"/>
        <v>8170249.6343563292</v>
      </c>
      <c r="N296" s="1">
        <f t="shared" si="1186"/>
        <v>8510675.6160985772</v>
      </c>
      <c r="O296" s="1">
        <f t="shared" si="1186"/>
        <v>8852726.3497804478</v>
      </c>
      <c r="P296" s="1">
        <f t="shared" si="1186"/>
        <v>9196409.5898596104</v>
      </c>
      <c r="Q296">
        <f t="shared" si="922"/>
        <v>271</v>
      </c>
      <c r="R296" s="1">
        <f t="shared" ref="R296" si="1187">HLOOKUP(Q296,E290:P296,7)</f>
        <v>7494241.0928546647</v>
      </c>
    </row>
    <row r="297" spans="2:18" x14ac:dyDescent="0.25">
      <c r="B297" s="16"/>
      <c r="C297" t="s">
        <v>71</v>
      </c>
      <c r="D297">
        <f t="shared" ref="D297" si="1188">$E297</f>
        <v>5411000</v>
      </c>
      <c r="E297" s="1">
        <f t="shared" ref="E297" si="1189">ROUNDUP(IF(E291&gt;=$E$9,$D$9,IF(E291&gt;=$E$8,$D$8,IF(E291&gt;=$E$7,$D$7,IF(E291&gt;=$E$6,$D$6,IF(E291&gt;=$E$5,$D$5,IF(E291&gt;=$E$4,$D$4,0))))))*1000*(1+$D$2)^$B290,-3)</f>
        <v>5411000</v>
      </c>
      <c r="J297" s="1">
        <f t="shared" ref="J297" si="1190">ROUNDUP(IF(J291&gt;=$E$9,$D$9,IF(J291&gt;=$E$8,$D$8,IF(J291&gt;=$E$7,$D$7,IF(J291&gt;=$E$6,$D$6,IF(J291&gt;=$E$5,$D$5,IF(J291&gt;=$E$4,$D$4,0))))))*1000*(1+$D$2)^$B290,-3)</f>
        <v>0</v>
      </c>
      <c r="Q297">
        <f t="shared" si="922"/>
        <v>272</v>
      </c>
      <c r="R297" s="1">
        <f t="shared" ref="R297" si="1191">HLOOKUP(Q297,E290:P296,7)</f>
        <v>7831440.6869299542</v>
      </c>
    </row>
    <row r="298" spans="2:18" x14ac:dyDescent="0.25">
      <c r="B298" s="16"/>
      <c r="C298" t="s">
        <v>72</v>
      </c>
      <c r="D298">
        <f t="shared" ref="D298" si="1192">$J297</f>
        <v>0</v>
      </c>
      <c r="Q298">
        <f t="shared" si="922"/>
        <v>273</v>
      </c>
      <c r="R298" s="1">
        <f t="shared" ref="R298" si="1193">HLOOKUP(Q298,E290:P296,7)</f>
        <v>8170249.6343563292</v>
      </c>
    </row>
    <row r="299" spans="2:18" x14ac:dyDescent="0.25">
      <c r="B299" s="16"/>
      <c r="C299" t="s">
        <v>58</v>
      </c>
      <c r="D299">
        <f t="shared" ref="D299" si="1194">D297+D298</f>
        <v>5411000</v>
      </c>
      <c r="Q299">
        <f t="shared" si="922"/>
        <v>274</v>
      </c>
      <c r="R299" s="1">
        <f t="shared" ref="R299" si="1195">HLOOKUP(Q299,E290:P296,7)</f>
        <v>8510675.6160985772</v>
      </c>
    </row>
    <row r="300" spans="2:18" x14ac:dyDescent="0.25">
      <c r="B300" s="16"/>
      <c r="C300" t="s">
        <v>42</v>
      </c>
      <c r="D300" s="4">
        <f t="shared" ref="D300" si="1196">P296*(1-D292)</f>
        <v>9081454.4699863661</v>
      </c>
      <c r="Q300">
        <f t="shared" si="922"/>
        <v>275</v>
      </c>
      <c r="R300" s="1">
        <f t="shared" ref="R300" si="1197">HLOOKUP(Q300,E290:P296,7)</f>
        <v>8852726.3497804478</v>
      </c>
    </row>
    <row r="301" spans="2:18" x14ac:dyDescent="0.25">
      <c r="B301" s="16"/>
      <c r="Q301">
        <f t="shared" si="922"/>
        <v>276</v>
      </c>
      <c r="R301" s="1">
        <f t="shared" ref="R301" si="1198">HLOOKUP(Q301,E290:P296,7)</f>
        <v>9196409.5898596104</v>
      </c>
    </row>
    <row r="302" spans="2:18" x14ac:dyDescent="0.25">
      <c r="B302" s="16">
        <f t="shared" ref="B302" si="1199">B290+1</f>
        <v>23</v>
      </c>
      <c r="C302" t="s">
        <v>40</v>
      </c>
      <c r="D302" s="2">
        <f t="shared" ref="D302" si="1200">5.88%</f>
        <v>5.8799999999999998E-2</v>
      </c>
      <c r="E302">
        <f t="shared" ref="E302" si="1201">($B302*12)+1</f>
        <v>277</v>
      </c>
      <c r="F302">
        <f t="shared" ref="F302:P302" si="1202">E302+1</f>
        <v>278</v>
      </c>
      <c r="G302">
        <f t="shared" si="1202"/>
        <v>279</v>
      </c>
      <c r="H302">
        <f t="shared" si="1202"/>
        <v>280</v>
      </c>
      <c r="I302">
        <f t="shared" si="1202"/>
        <v>281</v>
      </c>
      <c r="J302">
        <f t="shared" si="1202"/>
        <v>282</v>
      </c>
      <c r="K302">
        <f t="shared" si="1202"/>
        <v>283</v>
      </c>
      <c r="L302">
        <f t="shared" si="1202"/>
        <v>284</v>
      </c>
      <c r="M302">
        <f t="shared" si="1202"/>
        <v>285</v>
      </c>
      <c r="N302">
        <f t="shared" si="1202"/>
        <v>286</v>
      </c>
      <c r="O302">
        <f t="shared" si="1202"/>
        <v>287</v>
      </c>
      <c r="P302">
        <f t="shared" si="1202"/>
        <v>288</v>
      </c>
      <c r="Q302">
        <f t="shared" si="922"/>
        <v>277</v>
      </c>
      <c r="R302" s="1">
        <f t="shared" ref="R302" si="1203">HLOOKUP(Q302,E302:P308,7)</f>
        <v>9426229.3613403477</v>
      </c>
    </row>
    <row r="303" spans="2:18" x14ac:dyDescent="0.25">
      <c r="B303" s="16"/>
      <c r="C303" t="s">
        <v>41</v>
      </c>
      <c r="D303" s="3">
        <f t="shared" ref="D303" si="1204">(1+D302)^(1/12)-1</f>
        <v>4.7727025161425907E-3</v>
      </c>
      <c r="E303">
        <f t="shared" ref="E303" si="1205">E302/12</f>
        <v>23.083333333333332</v>
      </c>
      <c r="F303">
        <f t="shared" ref="F303" si="1206">F302/12</f>
        <v>23.166666666666668</v>
      </c>
      <c r="G303">
        <f t="shared" ref="G303" si="1207">G302/12</f>
        <v>23.25</v>
      </c>
      <c r="H303">
        <f t="shared" ref="H303" si="1208">H302/12</f>
        <v>23.333333333333332</v>
      </c>
      <c r="I303">
        <f t="shared" ref="I303" si="1209">I302/12</f>
        <v>23.416666666666668</v>
      </c>
      <c r="J303">
        <f t="shared" ref="J303" si="1210">J302/12</f>
        <v>23.5</v>
      </c>
      <c r="K303">
        <f t="shared" ref="K303" si="1211">K302/12</f>
        <v>23.583333333333332</v>
      </c>
      <c r="L303">
        <f t="shared" ref="L303" si="1212">L302/12</f>
        <v>23.666666666666668</v>
      </c>
      <c r="M303">
        <f t="shared" ref="M303" si="1213">M302/12</f>
        <v>23.75</v>
      </c>
      <c r="N303">
        <f t="shared" ref="N303" si="1214">N302/12</f>
        <v>23.833333333333332</v>
      </c>
      <c r="O303">
        <f t="shared" ref="O303" si="1215">O302/12</f>
        <v>23.916666666666668</v>
      </c>
      <c r="P303">
        <f t="shared" ref="P303" si="1216">P302/12</f>
        <v>24</v>
      </c>
      <c r="Q303">
        <f t="shared" si="922"/>
        <v>278</v>
      </c>
      <c r="R303" s="1">
        <f t="shared" ref="R303" si="1217">HLOOKUP(Q303,E302:P308,7)</f>
        <v>9772649.7606857978</v>
      </c>
    </row>
    <row r="304" spans="2:18" x14ac:dyDescent="0.25">
      <c r="B304" s="16"/>
      <c r="C304" t="s">
        <v>53</v>
      </c>
      <c r="D304" s="2">
        <f t="shared" ref="D304" si="1218">1.25%</f>
        <v>1.2500000000000001E-2</v>
      </c>
      <c r="E304" t="s">
        <v>59</v>
      </c>
      <c r="F304" t="s">
        <v>60</v>
      </c>
      <c r="G304" t="s">
        <v>61</v>
      </c>
      <c r="H304" t="s">
        <v>62</v>
      </c>
      <c r="I304" t="s">
        <v>63</v>
      </c>
      <c r="J304" t="s">
        <v>64</v>
      </c>
      <c r="K304" t="s">
        <v>65</v>
      </c>
      <c r="L304" t="s">
        <v>66</v>
      </c>
      <c r="M304" t="s">
        <v>67</v>
      </c>
      <c r="N304" t="s">
        <v>68</v>
      </c>
      <c r="O304" t="s">
        <v>69</v>
      </c>
      <c r="P304" t="s">
        <v>70</v>
      </c>
      <c r="Q304">
        <f t="shared" si="922"/>
        <v>279</v>
      </c>
      <c r="R304" s="1">
        <f t="shared" ref="R304" si="1219">HLOOKUP(Q304,E302:P308,7)</f>
        <v>10120723.521542847</v>
      </c>
    </row>
    <row r="305" spans="2:18" x14ac:dyDescent="0.25">
      <c r="B305" s="16"/>
      <c r="C305" t="s">
        <v>54</v>
      </c>
      <c r="D305">
        <f>1</f>
        <v>1</v>
      </c>
      <c r="E305" s="2">
        <f t="shared" ref="E305:P305" si="1220">$D291</f>
        <v>4.7727025161425907E-3</v>
      </c>
      <c r="F305" s="2">
        <f t="shared" si="1220"/>
        <v>4.7727025161425907E-3</v>
      </c>
      <c r="G305" s="2">
        <f t="shared" si="1220"/>
        <v>4.7727025161425907E-3</v>
      </c>
      <c r="H305" s="2">
        <f t="shared" si="1220"/>
        <v>4.7727025161425907E-3</v>
      </c>
      <c r="I305" s="2">
        <f t="shared" si="1220"/>
        <v>4.7727025161425907E-3</v>
      </c>
      <c r="J305" s="2">
        <f t="shared" si="1220"/>
        <v>4.7727025161425907E-3</v>
      </c>
      <c r="K305" s="2">
        <f t="shared" si="1220"/>
        <v>4.7727025161425907E-3</v>
      </c>
      <c r="L305" s="2">
        <f t="shared" si="1220"/>
        <v>4.7727025161425907E-3</v>
      </c>
      <c r="M305" s="2">
        <f t="shared" si="1220"/>
        <v>4.7727025161425907E-3</v>
      </c>
      <c r="N305" s="2">
        <f t="shared" si="1220"/>
        <v>4.7727025161425907E-3</v>
      </c>
      <c r="O305" s="2">
        <f t="shared" si="1220"/>
        <v>4.7727025161425907E-3</v>
      </c>
      <c r="P305" s="2">
        <f t="shared" si="1220"/>
        <v>4.7727025161425907E-3</v>
      </c>
      <c r="Q305">
        <f t="shared" si="922"/>
        <v>280</v>
      </c>
      <c r="R305" s="1">
        <f t="shared" ref="R305" si="1221">HLOOKUP(Q305,E302:P308,7)</f>
        <v>10470458.534914142</v>
      </c>
    </row>
    <row r="306" spans="2:18" x14ac:dyDescent="0.25">
      <c r="B306" s="16"/>
      <c r="C306" t="s">
        <v>55</v>
      </c>
      <c r="D306">
        <f t="shared" ref="D306" si="1222">D305*12</f>
        <v>12</v>
      </c>
      <c r="E306">
        <f>1</f>
        <v>1</v>
      </c>
      <c r="F306">
        <f>1</f>
        <v>1</v>
      </c>
      <c r="G306">
        <f>1</f>
        <v>1</v>
      </c>
      <c r="H306">
        <f>1</f>
        <v>1</v>
      </c>
      <c r="I306">
        <f>1</f>
        <v>1</v>
      </c>
      <c r="J306">
        <f>1</f>
        <v>1</v>
      </c>
      <c r="K306">
        <f>1</f>
        <v>1</v>
      </c>
      <c r="L306">
        <f>1</f>
        <v>1</v>
      </c>
      <c r="M306">
        <f>1</f>
        <v>1</v>
      </c>
      <c r="N306">
        <f>1</f>
        <v>1</v>
      </c>
      <c r="O306">
        <f>1</f>
        <v>1</v>
      </c>
      <c r="P306">
        <f>1</f>
        <v>1</v>
      </c>
      <c r="Q306">
        <f t="shared" ref="Q306:Q369" si="1223">Q305+1</f>
        <v>281</v>
      </c>
      <c r="R306" s="1">
        <f t="shared" ref="R306" si="1224">HLOOKUP(Q306,E302:P308,7)</f>
        <v>10821862.729463736</v>
      </c>
    </row>
    <row r="307" spans="2:18" x14ac:dyDescent="0.25">
      <c r="B307" s="16"/>
      <c r="C307" t="s">
        <v>57</v>
      </c>
      <c r="D307" s="10">
        <f t="shared" ref="D307" si="1225">D295*(1+$D$2)</f>
        <v>473.0697792574195</v>
      </c>
      <c r="E307" s="1">
        <f t="shared" ref="E307" si="1226">$D308*1000</f>
        <v>450000</v>
      </c>
      <c r="F307" s="1">
        <f t="shared" ref="F307" si="1227">$D308*1000</f>
        <v>450000</v>
      </c>
      <c r="G307" s="1">
        <f t="shared" ref="G307" si="1228">$D308*1000</f>
        <v>450000</v>
      </c>
      <c r="H307" s="1">
        <f t="shared" ref="H307" si="1229">$D308*1000</f>
        <v>450000</v>
      </c>
      <c r="I307" s="1">
        <f t="shared" ref="I307" si="1230">$D308*1000</f>
        <v>450000</v>
      </c>
      <c r="J307" s="1">
        <f t="shared" ref="J307" si="1231">$D308*1000</f>
        <v>450000</v>
      </c>
      <c r="K307" s="1">
        <f t="shared" ref="K307" si="1232">$D308*1000</f>
        <v>450000</v>
      </c>
      <c r="L307" s="1">
        <f t="shared" ref="L307" si="1233">$D308*1000</f>
        <v>450000</v>
      </c>
      <c r="M307" s="1">
        <f t="shared" ref="M307" si="1234">$D308*1000</f>
        <v>450000</v>
      </c>
      <c r="N307" s="1">
        <f t="shared" ref="N307" si="1235">$D308*1000</f>
        <v>450000</v>
      </c>
      <c r="O307" s="1">
        <f t="shared" ref="O307" si="1236">$D308*1000</f>
        <v>450000</v>
      </c>
      <c r="P307" s="1">
        <f t="shared" ref="P307" si="1237">$D308*1000</f>
        <v>450000</v>
      </c>
      <c r="Q307">
        <f t="shared" si="1223"/>
        <v>282</v>
      </c>
      <c r="R307" s="1">
        <f t="shared" ref="R307" si="1238">HLOOKUP(Q307,E302:P308,7)</f>
        <v>11174944.07169684</v>
      </c>
    </row>
    <row r="308" spans="2:18" x14ac:dyDescent="0.25">
      <c r="B308" s="16"/>
      <c r="C308" t="s">
        <v>56</v>
      </c>
      <c r="D308" s="10">
        <f t="shared" ref="D308" si="1239">IF(D307*(1+$D$2)&gt;D296+50,D296+50,D296)</f>
        <v>450</v>
      </c>
      <c r="E308" s="1">
        <f t="shared" ref="E308" si="1240">-FV($E$29,$E$30,$E$31,D300-E309,1)</f>
        <v>9426229.3613403477</v>
      </c>
      <c r="F308" s="1">
        <f t="shared" ref="F308:I308" si="1241">-FV($E$29,$E$30,$E$31,E308,1)</f>
        <v>9772649.7606857978</v>
      </c>
      <c r="G308" s="1">
        <f t="shared" si="1241"/>
        <v>10120723.521542847</v>
      </c>
      <c r="H308" s="1">
        <f t="shared" si="1241"/>
        <v>10470458.534914142</v>
      </c>
      <c r="I308" s="1">
        <f t="shared" si="1241"/>
        <v>10821862.729463736</v>
      </c>
      <c r="J308" s="1">
        <f t="shared" ref="J308" si="1242">-FV($E$29,$E$30,$E$31,I308-J309,1)</f>
        <v>11174944.07169684</v>
      </c>
      <c r="K308" s="1">
        <f t="shared" ref="K308:P308" si="1243">-FV($E$29,$E$30,$E$31,J308,1)</f>
        <v>11529710.566140423</v>
      </c>
      <c r="L308" s="1">
        <f t="shared" si="1243"/>
        <v>11886170.25552468</v>
      </c>
      <c r="M308" s="1">
        <f t="shared" si="1243"/>
        <v>12244331.220965365</v>
      </c>
      <c r="N308" s="1">
        <f t="shared" si="1243"/>
        <v>12604201.582146993</v>
      </c>
      <c r="O308" s="1">
        <f t="shared" si="1243"/>
        <v>12965789.497506917</v>
      </c>
      <c r="P308" s="1">
        <f t="shared" si="1243"/>
        <v>13329103.164420286</v>
      </c>
      <c r="Q308">
        <f t="shared" si="1223"/>
        <v>283</v>
      </c>
      <c r="R308" s="1">
        <f t="shared" ref="R308" si="1244">HLOOKUP(Q308,E302:P308,7)</f>
        <v>11529710.566140423</v>
      </c>
    </row>
    <row r="309" spans="2:18" x14ac:dyDescent="0.25">
      <c r="B309" s="16"/>
      <c r="C309" t="s">
        <v>71</v>
      </c>
      <c r="D309">
        <f t="shared" ref="D309" si="1245">$E309</f>
        <v>0</v>
      </c>
      <c r="E309" s="1">
        <f t="shared" ref="E309" si="1246">ROUNDUP(IF(E303&gt;=$E$9,$D$9,IF(E303&gt;=$E$8,$D$8,IF(E303&gt;=$E$7,$D$7,IF(E303&gt;=$E$6,$D$6,IF(E303&gt;=$E$5,$D$5,IF(E303&gt;=$E$4,$D$4,0))))))*1000*(1+$D$2)^$B302,-3)</f>
        <v>0</v>
      </c>
      <c r="J309" s="1">
        <f t="shared" ref="J309" si="1247">ROUNDUP(IF(J303&gt;=$E$9,$D$9,IF(J303&gt;=$E$8,$D$8,IF(J303&gt;=$E$7,$D$7,IF(J303&gt;=$E$6,$D$6,IF(J303&gt;=$E$5,$D$5,IF(J303&gt;=$E$4,$D$4,0))))))*1000*(1+$D$2)^$B302,-3)</f>
        <v>0</v>
      </c>
      <c r="Q309">
        <f t="shared" si="1223"/>
        <v>284</v>
      </c>
      <c r="R309" s="1">
        <f t="shared" ref="R309" si="1248">HLOOKUP(Q309,E302:P308,7)</f>
        <v>11886170.25552468</v>
      </c>
    </row>
    <row r="310" spans="2:18" x14ac:dyDescent="0.25">
      <c r="B310" s="16"/>
      <c r="C310" t="s">
        <v>72</v>
      </c>
      <c r="D310">
        <f t="shared" ref="D310" si="1249">$J309</f>
        <v>0</v>
      </c>
      <c r="Q310">
        <f t="shared" si="1223"/>
        <v>285</v>
      </c>
      <c r="R310" s="1">
        <f t="shared" ref="R310" si="1250">HLOOKUP(Q310,E302:P308,7)</f>
        <v>12244331.220965365</v>
      </c>
    </row>
    <row r="311" spans="2:18" x14ac:dyDescent="0.25">
      <c r="B311" s="16"/>
      <c r="C311" t="s">
        <v>58</v>
      </c>
      <c r="D311">
        <f t="shared" ref="D311" si="1251">D309+D310</f>
        <v>0</v>
      </c>
      <c r="Q311">
        <f t="shared" si="1223"/>
        <v>286</v>
      </c>
      <c r="R311" s="1">
        <f t="shared" ref="R311" si="1252">HLOOKUP(Q311,E302:P308,7)</f>
        <v>12604201.582146993</v>
      </c>
    </row>
    <row r="312" spans="2:18" x14ac:dyDescent="0.25">
      <c r="B312" s="16"/>
      <c r="C312" t="s">
        <v>42</v>
      </c>
      <c r="D312" s="4">
        <f t="shared" ref="D312" si="1253">P308*(1-D304)</f>
        <v>13162489.374865033</v>
      </c>
      <c r="Q312">
        <f t="shared" si="1223"/>
        <v>287</v>
      </c>
      <c r="R312" s="1">
        <f t="shared" ref="R312" si="1254">HLOOKUP(Q312,E302:P308,7)</f>
        <v>12965789.497506917</v>
      </c>
    </row>
    <row r="313" spans="2:18" x14ac:dyDescent="0.25">
      <c r="B313" s="16"/>
      <c r="Q313">
        <f t="shared" si="1223"/>
        <v>288</v>
      </c>
      <c r="R313" s="1">
        <f t="shared" ref="R313" si="1255">HLOOKUP(Q313,E302:P308,7)</f>
        <v>13329103.164420286</v>
      </c>
    </row>
    <row r="314" spans="2:18" x14ac:dyDescent="0.25">
      <c r="B314" s="16">
        <f t="shared" ref="B314" si="1256">B302+1</f>
        <v>24</v>
      </c>
      <c r="C314" t="s">
        <v>40</v>
      </c>
      <c r="D314" s="2">
        <f t="shared" ref="D314" si="1257">5.88%</f>
        <v>5.8799999999999998E-2</v>
      </c>
      <c r="E314">
        <f t="shared" ref="E314" si="1258">($B314*12)+1</f>
        <v>289</v>
      </c>
      <c r="F314">
        <f t="shared" ref="F314:P314" si="1259">E314+1</f>
        <v>290</v>
      </c>
      <c r="G314">
        <f t="shared" si="1259"/>
        <v>291</v>
      </c>
      <c r="H314">
        <f t="shared" si="1259"/>
        <v>292</v>
      </c>
      <c r="I314">
        <f t="shared" si="1259"/>
        <v>293</v>
      </c>
      <c r="J314">
        <f t="shared" si="1259"/>
        <v>294</v>
      </c>
      <c r="K314">
        <f t="shared" si="1259"/>
        <v>295</v>
      </c>
      <c r="L314">
        <f t="shared" si="1259"/>
        <v>296</v>
      </c>
      <c r="M314">
        <f t="shared" si="1259"/>
        <v>297</v>
      </c>
      <c r="N314">
        <f t="shared" si="1259"/>
        <v>298</v>
      </c>
      <c r="O314">
        <f t="shared" si="1259"/>
        <v>299</v>
      </c>
      <c r="P314">
        <f t="shared" si="1259"/>
        <v>300</v>
      </c>
      <c r="Q314">
        <f t="shared" si="1223"/>
        <v>289</v>
      </c>
      <c r="R314" s="1">
        <f t="shared" ref="R314" si="1260">HLOOKUP(Q314,E314:P320,7)</f>
        <v>13526741.831777994</v>
      </c>
    </row>
    <row r="315" spans="2:18" x14ac:dyDescent="0.25">
      <c r="B315" s="16"/>
      <c r="C315" t="s">
        <v>41</v>
      </c>
      <c r="D315" s="3">
        <f t="shared" ref="D315" si="1261">(1+D314)^(1/12)-1</f>
        <v>4.7727025161425907E-3</v>
      </c>
      <c r="E315">
        <f t="shared" ref="E315" si="1262">E314/12</f>
        <v>24.083333333333332</v>
      </c>
      <c r="F315">
        <f t="shared" ref="F315" si="1263">F314/12</f>
        <v>24.166666666666668</v>
      </c>
      <c r="G315">
        <f t="shared" ref="G315" si="1264">G314/12</f>
        <v>24.25</v>
      </c>
      <c r="H315">
        <f t="shared" ref="H315" si="1265">H314/12</f>
        <v>24.333333333333332</v>
      </c>
      <c r="I315">
        <f t="shared" ref="I315" si="1266">I314/12</f>
        <v>24.416666666666668</v>
      </c>
      <c r="J315">
        <f t="shared" ref="J315" si="1267">J314/12</f>
        <v>24.5</v>
      </c>
      <c r="K315">
        <f t="shared" ref="K315" si="1268">K314/12</f>
        <v>24.583333333333332</v>
      </c>
      <c r="L315">
        <f t="shared" ref="L315" si="1269">L314/12</f>
        <v>24.666666666666668</v>
      </c>
      <c r="M315">
        <f t="shared" ref="M315" si="1270">M314/12</f>
        <v>24.75</v>
      </c>
      <c r="N315">
        <f t="shared" ref="N315" si="1271">N314/12</f>
        <v>24.833333333333332</v>
      </c>
      <c r="O315">
        <f t="shared" ref="O315" si="1272">O314/12</f>
        <v>24.916666666666668</v>
      </c>
      <c r="P315">
        <f t="shared" ref="P315" si="1273">P314/12</f>
        <v>25</v>
      </c>
      <c r="Q315">
        <f t="shared" si="1223"/>
        <v>290</v>
      </c>
      <c r="R315" s="1">
        <f t="shared" ref="R315" si="1274">HLOOKUP(Q315,E314:P320,7)</f>
        <v>13892732.757308574</v>
      </c>
    </row>
    <row r="316" spans="2:18" x14ac:dyDescent="0.25">
      <c r="B316" s="16"/>
      <c r="C316" t="s">
        <v>53</v>
      </c>
      <c r="D316" s="2">
        <f t="shared" ref="D316" si="1275">1.25%</f>
        <v>1.2500000000000001E-2</v>
      </c>
      <c r="E316" t="s">
        <v>59</v>
      </c>
      <c r="F316" t="s">
        <v>60</v>
      </c>
      <c r="G316" t="s">
        <v>61</v>
      </c>
      <c r="H316" t="s">
        <v>62</v>
      </c>
      <c r="I316" t="s">
        <v>63</v>
      </c>
      <c r="J316" t="s">
        <v>64</v>
      </c>
      <c r="K316" t="s">
        <v>65</v>
      </c>
      <c r="L316" t="s">
        <v>66</v>
      </c>
      <c r="M316" t="s">
        <v>67</v>
      </c>
      <c r="N316" t="s">
        <v>68</v>
      </c>
      <c r="O316" t="s">
        <v>69</v>
      </c>
      <c r="P316" t="s">
        <v>70</v>
      </c>
      <c r="Q316">
        <f t="shared" si="1223"/>
        <v>291</v>
      </c>
      <c r="R316" s="1">
        <f t="shared" ref="R316" si="1276">HLOOKUP(Q316,E314:P320,7)</f>
        <v>14260470.448650321</v>
      </c>
    </row>
    <row r="317" spans="2:18" x14ac:dyDescent="0.25">
      <c r="B317" s="16"/>
      <c r="C317" t="s">
        <v>54</v>
      </c>
      <c r="D317">
        <f>1</f>
        <v>1</v>
      </c>
      <c r="E317" s="2">
        <f t="shared" ref="E317:P317" si="1277">$D303</f>
        <v>4.7727025161425907E-3</v>
      </c>
      <c r="F317" s="2">
        <f t="shared" si="1277"/>
        <v>4.7727025161425907E-3</v>
      </c>
      <c r="G317" s="2">
        <f t="shared" si="1277"/>
        <v>4.7727025161425907E-3</v>
      </c>
      <c r="H317" s="2">
        <f t="shared" si="1277"/>
        <v>4.7727025161425907E-3</v>
      </c>
      <c r="I317" s="2">
        <f t="shared" si="1277"/>
        <v>4.7727025161425907E-3</v>
      </c>
      <c r="J317" s="2">
        <f t="shared" si="1277"/>
        <v>4.7727025161425907E-3</v>
      </c>
      <c r="K317" s="2">
        <f t="shared" si="1277"/>
        <v>4.7727025161425907E-3</v>
      </c>
      <c r="L317" s="2">
        <f t="shared" si="1277"/>
        <v>4.7727025161425907E-3</v>
      </c>
      <c r="M317" s="2">
        <f t="shared" si="1277"/>
        <v>4.7727025161425907E-3</v>
      </c>
      <c r="N317" s="2">
        <f t="shared" si="1277"/>
        <v>4.7727025161425907E-3</v>
      </c>
      <c r="O317" s="2">
        <f t="shared" si="1277"/>
        <v>4.7727025161425907E-3</v>
      </c>
      <c r="P317" s="2">
        <f t="shared" si="1277"/>
        <v>4.7727025161425907E-3</v>
      </c>
      <c r="Q317">
        <f t="shared" si="1223"/>
        <v>292</v>
      </c>
      <c r="R317" s="1">
        <f t="shared" ref="R317" si="1278">HLOOKUP(Q317,E314:P320,7)</f>
        <v>14629963.242596814</v>
      </c>
    </row>
    <row r="318" spans="2:18" x14ac:dyDescent="0.25">
      <c r="B318" s="16"/>
      <c r="C318" t="s">
        <v>55</v>
      </c>
      <c r="D318">
        <f t="shared" ref="D318" si="1279">D317*12</f>
        <v>12</v>
      </c>
      <c r="E318">
        <f>1</f>
        <v>1</v>
      </c>
      <c r="F318">
        <f>1</f>
        <v>1</v>
      </c>
      <c r="G318">
        <f>1</f>
        <v>1</v>
      </c>
      <c r="H318">
        <f>1</f>
        <v>1</v>
      </c>
      <c r="I318">
        <f>1</f>
        <v>1</v>
      </c>
      <c r="J318">
        <f>1</f>
        <v>1</v>
      </c>
      <c r="K318">
        <f>1</f>
        <v>1</v>
      </c>
      <c r="L318">
        <f>1</f>
        <v>1</v>
      </c>
      <c r="M318">
        <f>1</f>
        <v>1</v>
      </c>
      <c r="N318">
        <f>1</f>
        <v>1</v>
      </c>
      <c r="O318">
        <f>1</f>
        <v>1</v>
      </c>
      <c r="P318">
        <f>1</f>
        <v>1</v>
      </c>
      <c r="Q318">
        <f t="shared" si="1223"/>
        <v>293</v>
      </c>
      <c r="R318" s="1">
        <f t="shared" ref="R318" si="1280">HLOOKUP(Q318,E314:P320,7)</f>
        <v>15001219.515730673</v>
      </c>
    </row>
    <row r="319" spans="2:18" x14ac:dyDescent="0.25">
      <c r="B319" s="16"/>
      <c r="C319" t="s">
        <v>57</v>
      </c>
      <c r="D319" s="10">
        <f t="shared" ref="D319" si="1281">D307*(1+$D$2)</f>
        <v>482.53117484256791</v>
      </c>
      <c r="E319" s="1">
        <f t="shared" ref="E319" si="1282">$D320*1000</f>
        <v>450000</v>
      </c>
      <c r="F319" s="1">
        <f t="shared" ref="F319" si="1283">$D320*1000</f>
        <v>450000</v>
      </c>
      <c r="G319" s="1">
        <f t="shared" ref="G319" si="1284">$D320*1000</f>
        <v>450000</v>
      </c>
      <c r="H319" s="1">
        <f t="shared" ref="H319" si="1285">$D320*1000</f>
        <v>450000</v>
      </c>
      <c r="I319" s="1">
        <f t="shared" ref="I319" si="1286">$D320*1000</f>
        <v>450000</v>
      </c>
      <c r="J319" s="1">
        <f t="shared" ref="J319" si="1287">$D320*1000</f>
        <v>450000</v>
      </c>
      <c r="K319" s="1">
        <f t="shared" ref="K319" si="1288">$D320*1000</f>
        <v>450000</v>
      </c>
      <c r="L319" s="1">
        <f t="shared" ref="L319" si="1289">$D320*1000</f>
        <v>450000</v>
      </c>
      <c r="M319" s="1">
        <f t="shared" ref="M319" si="1290">$D320*1000</f>
        <v>450000</v>
      </c>
      <c r="N319" s="1">
        <f t="shared" ref="N319" si="1291">$D320*1000</f>
        <v>450000</v>
      </c>
      <c r="O319" s="1">
        <f t="shared" ref="O319" si="1292">$D320*1000</f>
        <v>450000</v>
      </c>
      <c r="P319" s="1">
        <f t="shared" ref="P319" si="1293">$D320*1000</f>
        <v>450000</v>
      </c>
      <c r="Q319">
        <f t="shared" si="1223"/>
        <v>294</v>
      </c>
      <c r="R319" s="1">
        <f t="shared" ref="R319" si="1294">HLOOKUP(Q319,E314:P320,7)</f>
        <v>15374247.684613451</v>
      </c>
    </row>
    <row r="320" spans="2:18" x14ac:dyDescent="0.25">
      <c r="B320" s="16"/>
      <c r="C320" t="s">
        <v>56</v>
      </c>
      <c r="D320" s="10">
        <f t="shared" ref="D320" si="1295">IF(D319*(1+$D$2)&gt;D308+50,D308+50,D308)</f>
        <v>450</v>
      </c>
      <c r="E320" s="1">
        <f t="shared" ref="E320" si="1296">-FV($E$29,$E$30,$E$31,D312-E321,1)</f>
        <v>13526741.831777994</v>
      </c>
      <c r="F320" s="1">
        <f t="shared" ref="F320:I320" si="1297">-FV($E$29,$E$30,$E$31,E320,1)</f>
        <v>13892732.757308574</v>
      </c>
      <c r="G320" s="1">
        <f t="shared" si="1297"/>
        <v>14260470.448650321</v>
      </c>
      <c r="H320" s="1">
        <f t="shared" si="1297"/>
        <v>14629963.242596814</v>
      </c>
      <c r="I320" s="1">
        <f t="shared" si="1297"/>
        <v>15001219.515730673</v>
      </c>
      <c r="J320" s="1">
        <f t="shared" ref="J320" si="1298">-FV($E$29,$E$30,$E$31,I320-J321,1)</f>
        <v>15374247.684613451</v>
      </c>
      <c r="K320" s="1">
        <f t="shared" ref="K320:P320" si="1299">-FV($E$29,$E$30,$E$31,J320,1)</f>
        <v>15749056.205976449</v>
      </c>
      <c r="L320" s="1">
        <f t="shared" si="1299"/>
        <v>16125653.576912427</v>
      </c>
      <c r="M320" s="1">
        <f t="shared" si="1299"/>
        <v>16504048.335068244</v>
      </c>
      <c r="N320" s="1">
        <f t="shared" si="1299"/>
        <v>16884249.058838405</v>
      </c>
      <c r="O320" s="1">
        <f t="shared" si="1299"/>
        <v>17266264.367559545</v>
      </c>
      <c r="P320" s="1">
        <f t="shared" si="1299"/>
        <v>17650102.921705823</v>
      </c>
      <c r="Q320">
        <f t="shared" si="1223"/>
        <v>295</v>
      </c>
      <c r="R320" s="1">
        <f t="shared" ref="R320" si="1300">HLOOKUP(Q320,E314:P320,7)</f>
        <v>15749056.205976449</v>
      </c>
    </row>
    <row r="321" spans="2:18" x14ac:dyDescent="0.25">
      <c r="B321" s="16"/>
      <c r="C321" t="s">
        <v>71</v>
      </c>
      <c r="D321">
        <f t="shared" ref="D321" si="1301">$E321</f>
        <v>0</v>
      </c>
      <c r="E321" s="1">
        <f t="shared" ref="E321" si="1302">ROUNDUP(IF(E315&gt;=$E$9,$D$9,IF(E315&gt;=$E$8,$D$8,IF(E315&gt;=$E$7,$D$7,IF(E315&gt;=$E$6,$D$6,IF(E315&gt;=$E$5,$D$5,IF(E315&gt;=$E$4,$D$4,0))))))*1000*(1+$D$2)^$B314,-3)</f>
        <v>0</v>
      </c>
      <c r="J321" s="1">
        <f t="shared" ref="J321" si="1303">ROUNDUP(IF(J315&gt;=$E$9,$D$9,IF(J315&gt;=$E$8,$D$8,IF(J315&gt;=$E$7,$D$7,IF(J315&gt;=$E$6,$D$6,IF(J315&gt;=$E$5,$D$5,IF(J315&gt;=$E$4,$D$4,0))))))*1000*(1+$D$2)^$B314,-3)</f>
        <v>0</v>
      </c>
      <c r="Q321">
        <f t="shared" si="1223"/>
        <v>296</v>
      </c>
      <c r="R321" s="1">
        <f t="shared" ref="R321" si="1304">HLOOKUP(Q321,E314:P320,7)</f>
        <v>16125653.576912427</v>
      </c>
    </row>
    <row r="322" spans="2:18" x14ac:dyDescent="0.25">
      <c r="B322" s="16"/>
      <c r="C322" t="s">
        <v>72</v>
      </c>
      <c r="D322">
        <f t="shared" ref="D322" si="1305">$J321</f>
        <v>0</v>
      </c>
      <c r="Q322">
        <f t="shared" si="1223"/>
        <v>297</v>
      </c>
      <c r="R322" s="1">
        <f t="shared" ref="R322" si="1306">HLOOKUP(Q322,E314:P320,7)</f>
        <v>16504048.335068244</v>
      </c>
    </row>
    <row r="323" spans="2:18" x14ac:dyDescent="0.25">
      <c r="B323" s="16"/>
      <c r="C323" t="s">
        <v>58</v>
      </c>
      <c r="D323">
        <f t="shared" ref="D323" si="1307">D321+D322</f>
        <v>0</v>
      </c>
      <c r="Q323">
        <f t="shared" si="1223"/>
        <v>298</v>
      </c>
      <c r="R323" s="1">
        <f t="shared" ref="R323" si="1308">HLOOKUP(Q323,E314:P320,7)</f>
        <v>16884249.058838405</v>
      </c>
    </row>
    <row r="324" spans="2:18" x14ac:dyDescent="0.25">
      <c r="B324" s="16"/>
      <c r="C324" t="s">
        <v>42</v>
      </c>
      <c r="D324" s="4">
        <f t="shared" ref="D324" si="1309">P320*(1-D316)</f>
        <v>17429476.6351845</v>
      </c>
      <c r="Q324">
        <f t="shared" si="1223"/>
        <v>299</v>
      </c>
      <c r="R324" s="1">
        <f t="shared" ref="R324" si="1310">HLOOKUP(Q324,E314:P320,7)</f>
        <v>17266264.367559545</v>
      </c>
    </row>
    <row r="325" spans="2:18" x14ac:dyDescent="0.25">
      <c r="B325" s="16"/>
      <c r="Q325">
        <f t="shared" si="1223"/>
        <v>300</v>
      </c>
      <c r="R325" s="1">
        <f t="shared" ref="R325" si="1311">HLOOKUP(Q325,E314:P320,7)</f>
        <v>17650102.921705823</v>
      </c>
    </row>
    <row r="326" spans="2:18" x14ac:dyDescent="0.25">
      <c r="B326" s="16">
        <f t="shared" ref="B326" si="1312">B314+1</f>
        <v>25</v>
      </c>
      <c r="C326" t="s">
        <v>40</v>
      </c>
      <c r="D326" s="2">
        <f t="shared" ref="D326" si="1313">5.88%</f>
        <v>5.8799999999999998E-2</v>
      </c>
      <c r="E326">
        <f t="shared" ref="E326" si="1314">($B326*12)+1</f>
        <v>301</v>
      </c>
      <c r="F326">
        <f t="shared" ref="F326:P326" si="1315">E326+1</f>
        <v>302</v>
      </c>
      <c r="G326">
        <f t="shared" si="1315"/>
        <v>303</v>
      </c>
      <c r="H326">
        <f t="shared" si="1315"/>
        <v>304</v>
      </c>
      <c r="I326">
        <f t="shared" si="1315"/>
        <v>305</v>
      </c>
      <c r="J326">
        <f t="shared" si="1315"/>
        <v>306</v>
      </c>
      <c r="K326">
        <f t="shared" si="1315"/>
        <v>307</v>
      </c>
      <c r="L326">
        <f t="shared" si="1315"/>
        <v>308</v>
      </c>
      <c r="M326">
        <f t="shared" si="1315"/>
        <v>309</v>
      </c>
      <c r="N326">
        <f t="shared" si="1315"/>
        <v>310</v>
      </c>
      <c r="O326">
        <f t="shared" si="1315"/>
        <v>311</v>
      </c>
      <c r="P326">
        <f t="shared" si="1315"/>
        <v>312</v>
      </c>
      <c r="Q326">
        <f t="shared" si="1223"/>
        <v>301</v>
      </c>
      <c r="R326" s="1">
        <f t="shared" ref="R326" si="1316">HLOOKUP(Q326,E326:P332,7)</f>
        <v>17814094.152931135</v>
      </c>
    </row>
    <row r="327" spans="2:18" x14ac:dyDescent="0.25">
      <c r="B327" s="16"/>
      <c r="C327" t="s">
        <v>41</v>
      </c>
      <c r="D327" s="3">
        <f t="shared" ref="D327" si="1317">(1+D326)^(1/12)-1</f>
        <v>4.7727025161425907E-3</v>
      </c>
      <c r="E327">
        <f t="shared" ref="E327" si="1318">E326/12</f>
        <v>25.083333333333332</v>
      </c>
      <c r="F327">
        <f t="shared" ref="F327" si="1319">F326/12</f>
        <v>25.166666666666668</v>
      </c>
      <c r="G327">
        <f t="shared" ref="G327" si="1320">G326/12</f>
        <v>25.25</v>
      </c>
      <c r="H327">
        <f t="shared" ref="H327" si="1321">H326/12</f>
        <v>25.333333333333332</v>
      </c>
      <c r="I327">
        <f t="shared" ref="I327" si="1322">I326/12</f>
        <v>25.416666666666668</v>
      </c>
      <c r="J327">
        <f t="shared" ref="J327" si="1323">J326/12</f>
        <v>25.5</v>
      </c>
      <c r="K327">
        <f t="shared" ref="K327" si="1324">K326/12</f>
        <v>25.583333333333332</v>
      </c>
      <c r="L327">
        <f t="shared" ref="L327" si="1325">L326/12</f>
        <v>25.666666666666668</v>
      </c>
      <c r="M327">
        <f t="shared" ref="M327" si="1326">M326/12</f>
        <v>25.75</v>
      </c>
      <c r="N327">
        <f t="shared" ref="N327" si="1327">N326/12</f>
        <v>25.833333333333332</v>
      </c>
      <c r="O327">
        <f t="shared" ref="O327" si="1328">O326/12</f>
        <v>25.916666666666668</v>
      </c>
      <c r="P327">
        <f t="shared" ref="P327" si="1329">P326/12</f>
        <v>26</v>
      </c>
      <c r="Q327">
        <f t="shared" si="1223"/>
        <v>302</v>
      </c>
      <c r="R327" s="1">
        <f t="shared" ref="R327" si="1330">HLOOKUP(Q327,E326:P332,7)</f>
        <v>18200547.335672475</v>
      </c>
    </row>
    <row r="328" spans="2:18" x14ac:dyDescent="0.25">
      <c r="B328" s="16"/>
      <c r="C328" t="s">
        <v>53</v>
      </c>
      <c r="D328" s="2">
        <f t="shared" ref="D328" si="1331">1.25%</f>
        <v>1.2500000000000001E-2</v>
      </c>
      <c r="E328" t="s">
        <v>59</v>
      </c>
      <c r="F328" t="s">
        <v>60</v>
      </c>
      <c r="G328" t="s">
        <v>61</v>
      </c>
      <c r="H328" t="s">
        <v>62</v>
      </c>
      <c r="I328" t="s">
        <v>63</v>
      </c>
      <c r="J328" t="s">
        <v>64</v>
      </c>
      <c r="K328" t="s">
        <v>65</v>
      </c>
      <c r="L328" t="s">
        <v>66</v>
      </c>
      <c r="M328" t="s">
        <v>67</v>
      </c>
      <c r="N328" t="s">
        <v>68</v>
      </c>
      <c r="O328" t="s">
        <v>69</v>
      </c>
      <c r="P328" t="s">
        <v>70</v>
      </c>
      <c r="Q328">
        <f t="shared" si="1223"/>
        <v>303</v>
      </c>
      <c r="R328" s="1">
        <f t="shared" ref="R328" si="1332">HLOOKUP(Q328,E326:P332,7)</f>
        <v>18588844.944491453</v>
      </c>
    </row>
    <row r="329" spans="2:18" x14ac:dyDescent="0.25">
      <c r="B329" s="16"/>
      <c r="C329" t="s">
        <v>54</v>
      </c>
      <c r="D329">
        <f>1</f>
        <v>1</v>
      </c>
      <c r="E329" s="2">
        <f t="shared" ref="E329:P329" si="1333">$D315</f>
        <v>4.7727025161425907E-3</v>
      </c>
      <c r="F329" s="2">
        <f t="shared" si="1333"/>
        <v>4.7727025161425907E-3</v>
      </c>
      <c r="G329" s="2">
        <f t="shared" si="1333"/>
        <v>4.7727025161425907E-3</v>
      </c>
      <c r="H329" s="2">
        <f t="shared" si="1333"/>
        <v>4.7727025161425907E-3</v>
      </c>
      <c r="I329" s="2">
        <f t="shared" si="1333"/>
        <v>4.7727025161425907E-3</v>
      </c>
      <c r="J329" s="2">
        <f t="shared" si="1333"/>
        <v>4.7727025161425907E-3</v>
      </c>
      <c r="K329" s="2">
        <f t="shared" si="1333"/>
        <v>4.7727025161425907E-3</v>
      </c>
      <c r="L329" s="2">
        <f t="shared" si="1333"/>
        <v>4.7727025161425907E-3</v>
      </c>
      <c r="M329" s="2">
        <f t="shared" si="1333"/>
        <v>4.7727025161425907E-3</v>
      </c>
      <c r="N329" s="2">
        <f t="shared" si="1333"/>
        <v>4.7727025161425907E-3</v>
      </c>
      <c r="O329" s="2">
        <f t="shared" si="1333"/>
        <v>4.7727025161425907E-3</v>
      </c>
      <c r="P329" s="2">
        <f t="shared" si="1333"/>
        <v>4.7727025161425907E-3</v>
      </c>
      <c r="Q329">
        <f t="shared" si="1223"/>
        <v>304</v>
      </c>
      <c r="R329" s="1">
        <f t="shared" ref="R329" si="1334">HLOOKUP(Q329,E326:P332,7)</f>
        <v>18978995.782285057</v>
      </c>
    </row>
    <row r="330" spans="2:18" x14ac:dyDescent="0.25">
      <c r="B330" s="16"/>
      <c r="C330" t="s">
        <v>55</v>
      </c>
      <c r="D330">
        <f t="shared" ref="D330" si="1335">D329*12</f>
        <v>12</v>
      </c>
      <c r="E330">
        <f>1</f>
        <v>1</v>
      </c>
      <c r="F330">
        <f>1</f>
        <v>1</v>
      </c>
      <c r="G330">
        <f>1</f>
        <v>1</v>
      </c>
      <c r="H330">
        <f>1</f>
        <v>1</v>
      </c>
      <c r="I330">
        <f>1</f>
        <v>1</v>
      </c>
      <c r="J330">
        <f>1</f>
        <v>1</v>
      </c>
      <c r="K330">
        <f>1</f>
        <v>1</v>
      </c>
      <c r="L330">
        <f>1</f>
        <v>1</v>
      </c>
      <c r="M330">
        <f>1</f>
        <v>1</v>
      </c>
      <c r="N330">
        <f>1</f>
        <v>1</v>
      </c>
      <c r="O330">
        <f>1</f>
        <v>1</v>
      </c>
      <c r="P330">
        <f>1</f>
        <v>1</v>
      </c>
      <c r="Q330">
        <f t="shared" si="1223"/>
        <v>305</v>
      </c>
      <c r="R330" s="1">
        <f t="shared" ref="R330" si="1336">HLOOKUP(Q330,E326:P332,7)</f>
        <v>19371008.69396387</v>
      </c>
    </row>
    <row r="331" spans="2:18" x14ac:dyDescent="0.25">
      <c r="B331" s="16"/>
      <c r="C331" t="s">
        <v>57</v>
      </c>
      <c r="D331" s="10">
        <f t="shared" ref="D331" si="1337">D319*(1+$D$2)</f>
        <v>492.18179833941929</v>
      </c>
      <c r="E331" s="1">
        <f t="shared" ref="E331" si="1338">$D332*1000</f>
        <v>500000</v>
      </c>
      <c r="F331" s="1">
        <f t="shared" ref="F331" si="1339">$D332*1000</f>
        <v>500000</v>
      </c>
      <c r="G331" s="1">
        <f t="shared" ref="G331" si="1340">$D332*1000</f>
        <v>500000</v>
      </c>
      <c r="H331" s="1">
        <f t="shared" ref="H331" si="1341">$D332*1000</f>
        <v>500000</v>
      </c>
      <c r="I331" s="1">
        <f t="shared" ref="I331" si="1342">$D332*1000</f>
        <v>500000</v>
      </c>
      <c r="J331" s="1">
        <f t="shared" ref="J331" si="1343">$D332*1000</f>
        <v>500000</v>
      </c>
      <c r="K331" s="1">
        <f t="shared" ref="K331" si="1344">$D332*1000</f>
        <v>500000</v>
      </c>
      <c r="L331" s="1">
        <f t="shared" ref="L331" si="1345">$D332*1000</f>
        <v>500000</v>
      </c>
      <c r="M331" s="1">
        <f t="shared" ref="M331" si="1346">$D332*1000</f>
        <v>500000</v>
      </c>
      <c r="N331" s="1">
        <f t="shared" ref="N331" si="1347">$D332*1000</f>
        <v>500000</v>
      </c>
      <c r="O331" s="1">
        <f t="shared" ref="O331" si="1348">$D332*1000</f>
        <v>500000</v>
      </c>
      <c r="P331" s="1">
        <f t="shared" ref="P331" si="1349">$D332*1000</f>
        <v>500000</v>
      </c>
      <c r="Q331">
        <f t="shared" si="1223"/>
        <v>306</v>
      </c>
      <c r="R331" s="1">
        <f t="shared" ref="R331" si="1350">HLOOKUP(Q331,E326:P332,7)</f>
        <v>19764892.566652615</v>
      </c>
    </row>
    <row r="332" spans="2:18" x14ac:dyDescent="0.25">
      <c r="B332" s="16"/>
      <c r="C332" t="s">
        <v>56</v>
      </c>
      <c r="D332" s="10">
        <f t="shared" ref="D332" si="1351">IF(D331*(1+$D$2)&gt;D320+50,D320+50,D320)</f>
        <v>500</v>
      </c>
      <c r="E332" s="1">
        <f t="shared" ref="E332" si="1352">-FV($E$29,$E$30,$E$31,D324-E333,1)</f>
        <v>17814094.152931135</v>
      </c>
      <c r="F332" s="1">
        <f t="shared" ref="F332:I332" si="1353">-FV($E$29,$E$30,$E$31,E332,1)</f>
        <v>18200547.335672475</v>
      </c>
      <c r="G332" s="1">
        <f t="shared" si="1353"/>
        <v>18588844.944491453</v>
      </c>
      <c r="H332" s="1">
        <f t="shared" si="1353"/>
        <v>18978995.782285057</v>
      </c>
      <c r="I332" s="1">
        <f t="shared" si="1353"/>
        <v>19371008.69396387</v>
      </c>
      <c r="J332" s="1">
        <f t="shared" ref="J332" si="1354">-FV($E$29,$E$30,$E$31,I332-J333,1)</f>
        <v>19764892.566652615</v>
      </c>
      <c r="K332" s="1">
        <f t="shared" ref="K332:P332" si="1355">-FV($E$29,$E$30,$E$31,J332,1)</f>
        <v>20160656.329891607</v>
      </c>
      <c r="L332" s="1">
        <f t="shared" si="1355"/>
        <v>20558308.955839209</v>
      </c>
      <c r="M332" s="1">
        <f t="shared" si="1355"/>
        <v>20957859.459475223</v>
      </c>
      <c r="N332" s="1">
        <f t="shared" si="1355"/>
        <v>21359316.898805264</v>
      </c>
      <c r="O332" s="1">
        <f t="shared" si="1355"/>
        <v>21762690.375066124</v>
      </c>
      <c r="P332" s="1">
        <f t="shared" si="1355"/>
        <v>22167989.032932077</v>
      </c>
      <c r="Q332">
        <f t="shared" si="1223"/>
        <v>307</v>
      </c>
      <c r="R332" s="1">
        <f t="shared" ref="R332" si="1356">HLOOKUP(Q332,E326:P332,7)</f>
        <v>20160656.329891607</v>
      </c>
    </row>
    <row r="333" spans="2:18" x14ac:dyDescent="0.25">
      <c r="B333" s="16"/>
      <c r="C333" t="s">
        <v>71</v>
      </c>
      <c r="D333">
        <f t="shared" ref="D333" si="1357">$E333</f>
        <v>0</v>
      </c>
      <c r="E333" s="1">
        <f t="shared" ref="E333" si="1358">ROUNDUP(IF(E327&gt;=$E$9,$D$9,IF(E327&gt;=$E$8,$D$8,IF(E327&gt;=$E$7,$D$7,IF(E327&gt;=$E$6,$D$6,IF(E327&gt;=$E$5,$D$5,IF(E327&gt;=$E$4,$D$4,0))))))*1000*(1+$D$2)^$B326,-3)</f>
        <v>0</v>
      </c>
      <c r="J333" s="1">
        <f t="shared" ref="J333" si="1359">ROUNDUP(IF(J327&gt;=$E$9,$D$9,IF(J327&gt;=$E$8,$D$8,IF(J327&gt;=$E$7,$D$7,IF(J327&gt;=$E$6,$D$6,IF(J327&gt;=$E$5,$D$5,IF(J327&gt;=$E$4,$D$4,0))))))*1000*(1+$D$2)^$B326,-3)</f>
        <v>0</v>
      </c>
      <c r="Q333">
        <f t="shared" si="1223"/>
        <v>308</v>
      </c>
      <c r="R333" s="1">
        <f t="shared" ref="R333" si="1360">HLOOKUP(Q333,E326:P332,7)</f>
        <v>20558308.955839209</v>
      </c>
    </row>
    <row r="334" spans="2:18" x14ac:dyDescent="0.25">
      <c r="B334" s="16"/>
      <c r="C334" t="s">
        <v>72</v>
      </c>
      <c r="D334">
        <f t="shared" ref="D334" si="1361">$J333</f>
        <v>0</v>
      </c>
      <c r="Q334">
        <f t="shared" si="1223"/>
        <v>309</v>
      </c>
      <c r="R334" s="1">
        <f t="shared" ref="R334" si="1362">HLOOKUP(Q334,E326:P332,7)</f>
        <v>20957859.459475223</v>
      </c>
    </row>
    <row r="335" spans="2:18" x14ac:dyDescent="0.25">
      <c r="B335" s="16"/>
      <c r="C335" t="s">
        <v>58</v>
      </c>
      <c r="D335">
        <f t="shared" ref="D335" si="1363">D333+D334</f>
        <v>0</v>
      </c>
      <c r="Q335">
        <f t="shared" si="1223"/>
        <v>310</v>
      </c>
      <c r="R335" s="1">
        <f t="shared" ref="R335" si="1364">HLOOKUP(Q335,E326:P332,7)</f>
        <v>21359316.898805264</v>
      </c>
    </row>
    <row r="336" spans="2:18" x14ac:dyDescent="0.25">
      <c r="B336" s="16"/>
      <c r="C336" t="s">
        <v>42</v>
      </c>
      <c r="D336" s="4">
        <f t="shared" ref="D336" si="1365">P332*(1-D328)</f>
        <v>21890889.170020428</v>
      </c>
      <c r="Q336">
        <f t="shared" si="1223"/>
        <v>311</v>
      </c>
      <c r="R336" s="1">
        <f t="shared" ref="R336" si="1366">HLOOKUP(Q336,E326:P332,7)</f>
        <v>21762690.375066124</v>
      </c>
    </row>
    <row r="337" spans="2:18" x14ac:dyDescent="0.25">
      <c r="B337" s="16"/>
      <c r="Q337">
        <f t="shared" si="1223"/>
        <v>312</v>
      </c>
      <c r="R337" s="1">
        <f t="shared" ref="R337" si="1367">HLOOKUP(Q337,E326:P332,7)</f>
        <v>22167989.032932077</v>
      </c>
    </row>
    <row r="338" spans="2:18" x14ac:dyDescent="0.25">
      <c r="B338" s="16">
        <f t="shared" ref="B338" si="1368">B326+1</f>
        <v>26</v>
      </c>
      <c r="C338" t="s">
        <v>40</v>
      </c>
      <c r="D338" s="2">
        <f t="shared" ref="D338" si="1369">5.88%</f>
        <v>5.8799999999999998E-2</v>
      </c>
      <c r="E338">
        <f t="shared" ref="E338" si="1370">($B338*12)+1</f>
        <v>313</v>
      </c>
      <c r="F338">
        <f t="shared" ref="F338:P338" si="1371">E338+1</f>
        <v>314</v>
      </c>
      <c r="G338">
        <f t="shared" si="1371"/>
        <v>315</v>
      </c>
      <c r="H338">
        <f t="shared" si="1371"/>
        <v>316</v>
      </c>
      <c r="I338">
        <f t="shared" si="1371"/>
        <v>317</v>
      </c>
      <c r="J338">
        <f t="shared" si="1371"/>
        <v>318</v>
      </c>
      <c r="K338">
        <f t="shared" si="1371"/>
        <v>319</v>
      </c>
      <c r="L338">
        <f t="shared" si="1371"/>
        <v>320</v>
      </c>
      <c r="M338">
        <f t="shared" si="1371"/>
        <v>321</v>
      </c>
      <c r="N338">
        <f t="shared" si="1371"/>
        <v>322</v>
      </c>
      <c r="O338">
        <f t="shared" si="1371"/>
        <v>323</v>
      </c>
      <c r="P338">
        <f t="shared" si="1371"/>
        <v>324</v>
      </c>
      <c r="Q338">
        <f t="shared" si="1223"/>
        <v>313</v>
      </c>
      <c r="R338" s="1">
        <f t="shared" ref="R338" si="1372">HLOOKUP(Q338,E338:P344,7)</f>
        <v>22296799.682597626</v>
      </c>
    </row>
    <row r="339" spans="2:18" x14ac:dyDescent="0.25">
      <c r="B339" s="16"/>
      <c r="C339" t="s">
        <v>41</v>
      </c>
      <c r="D339" s="3">
        <f t="shared" ref="D339" si="1373">(1+D338)^(1/12)-1</f>
        <v>4.7727025161425907E-3</v>
      </c>
      <c r="E339">
        <f t="shared" ref="E339" si="1374">E338/12</f>
        <v>26.083333333333332</v>
      </c>
      <c r="F339">
        <f t="shared" ref="F339" si="1375">F338/12</f>
        <v>26.166666666666668</v>
      </c>
      <c r="G339">
        <f t="shared" ref="G339" si="1376">G338/12</f>
        <v>26.25</v>
      </c>
      <c r="H339">
        <f t="shared" ref="H339" si="1377">H338/12</f>
        <v>26.333333333333332</v>
      </c>
      <c r="I339">
        <f t="shared" ref="I339" si="1378">I338/12</f>
        <v>26.416666666666668</v>
      </c>
      <c r="J339">
        <f t="shared" ref="J339" si="1379">J338/12</f>
        <v>26.5</v>
      </c>
      <c r="K339">
        <f t="shared" ref="K339" si="1380">K338/12</f>
        <v>26.583333333333332</v>
      </c>
      <c r="L339">
        <f t="shared" ref="L339" si="1381">L338/12</f>
        <v>26.666666666666668</v>
      </c>
      <c r="M339">
        <f t="shared" ref="M339" si="1382">M338/12</f>
        <v>26.75</v>
      </c>
      <c r="N339">
        <f t="shared" ref="N339" si="1383">N338/12</f>
        <v>26.833333333333332</v>
      </c>
      <c r="O339">
        <f t="shared" ref="O339" si="1384">O338/12</f>
        <v>26.916666666666668</v>
      </c>
      <c r="P339">
        <f t="shared" ref="P339" si="1385">P338/12</f>
        <v>27</v>
      </c>
      <c r="Q339">
        <f t="shared" si="1223"/>
        <v>314</v>
      </c>
      <c r="R339" s="1">
        <f t="shared" ref="R339" si="1386">HLOOKUP(Q339,E338:P344,7)</f>
        <v>22704647.485299531</v>
      </c>
    </row>
    <row r="340" spans="2:18" x14ac:dyDescent="0.25">
      <c r="B340" s="16"/>
      <c r="C340" t="s">
        <v>53</v>
      </c>
      <c r="D340" s="2">
        <f t="shared" ref="D340" si="1387">1.25%</f>
        <v>1.2500000000000001E-2</v>
      </c>
      <c r="E340" t="s">
        <v>59</v>
      </c>
      <c r="F340" t="s">
        <v>60</v>
      </c>
      <c r="G340" t="s">
        <v>61</v>
      </c>
      <c r="H340" t="s">
        <v>62</v>
      </c>
      <c r="I340" t="s">
        <v>63</v>
      </c>
      <c r="J340" t="s">
        <v>64</v>
      </c>
      <c r="K340" t="s">
        <v>65</v>
      </c>
      <c r="L340" t="s">
        <v>66</v>
      </c>
      <c r="M340" t="s">
        <v>67</v>
      </c>
      <c r="N340" t="s">
        <v>68</v>
      </c>
      <c r="O340" t="s">
        <v>69</v>
      </c>
      <c r="P340" t="s">
        <v>70</v>
      </c>
      <c r="Q340">
        <f t="shared" si="1223"/>
        <v>315</v>
      </c>
      <c r="R340" s="1">
        <f t="shared" ref="R340" si="1388">HLOOKUP(Q340,E338:P344,7)</f>
        <v>23114441.824235596</v>
      </c>
    </row>
    <row r="341" spans="2:18" x14ac:dyDescent="0.25">
      <c r="B341" s="16"/>
      <c r="C341" t="s">
        <v>54</v>
      </c>
      <c r="D341">
        <f>1</f>
        <v>1</v>
      </c>
      <c r="E341" s="2">
        <f t="shared" ref="E341:P341" si="1389">$D327</f>
        <v>4.7727025161425907E-3</v>
      </c>
      <c r="F341" s="2">
        <f t="shared" si="1389"/>
        <v>4.7727025161425907E-3</v>
      </c>
      <c r="G341" s="2">
        <f t="shared" si="1389"/>
        <v>4.7727025161425907E-3</v>
      </c>
      <c r="H341" s="2">
        <f t="shared" si="1389"/>
        <v>4.7727025161425907E-3</v>
      </c>
      <c r="I341" s="2">
        <f t="shared" si="1389"/>
        <v>4.7727025161425907E-3</v>
      </c>
      <c r="J341" s="2">
        <f t="shared" si="1389"/>
        <v>4.7727025161425907E-3</v>
      </c>
      <c r="K341" s="2">
        <f t="shared" si="1389"/>
        <v>4.7727025161425907E-3</v>
      </c>
      <c r="L341" s="2">
        <f t="shared" si="1389"/>
        <v>4.7727025161425907E-3</v>
      </c>
      <c r="M341" s="2">
        <f t="shared" si="1389"/>
        <v>4.7727025161425907E-3</v>
      </c>
      <c r="N341" s="2">
        <f t="shared" si="1389"/>
        <v>4.7727025161425907E-3</v>
      </c>
      <c r="O341" s="2">
        <f t="shared" si="1389"/>
        <v>4.7727025161425907E-3</v>
      </c>
      <c r="P341" s="2">
        <f t="shared" si="1389"/>
        <v>4.7727025161425907E-3</v>
      </c>
      <c r="Q341">
        <f t="shared" si="1223"/>
        <v>316</v>
      </c>
      <c r="R341" s="1">
        <f t="shared" ref="R341" si="1390">HLOOKUP(Q341,E338:P344,7)</f>
        <v>23526191.9896442</v>
      </c>
    </row>
    <row r="342" spans="2:18" x14ac:dyDescent="0.25">
      <c r="B342" s="16"/>
      <c r="C342" t="s">
        <v>55</v>
      </c>
      <c r="D342">
        <f t="shared" ref="D342" si="1391">D341*12</f>
        <v>12</v>
      </c>
      <c r="E342">
        <f>1</f>
        <v>1</v>
      </c>
      <c r="F342">
        <f>1</f>
        <v>1</v>
      </c>
      <c r="G342">
        <f>1</f>
        <v>1</v>
      </c>
      <c r="H342">
        <f>1</f>
        <v>1</v>
      </c>
      <c r="I342">
        <f>1</f>
        <v>1</v>
      </c>
      <c r="J342">
        <f>1</f>
        <v>1</v>
      </c>
      <c r="K342">
        <f>1</f>
        <v>1</v>
      </c>
      <c r="L342">
        <f>1</f>
        <v>1</v>
      </c>
      <c r="M342">
        <f>1</f>
        <v>1</v>
      </c>
      <c r="N342">
        <f>1</f>
        <v>1</v>
      </c>
      <c r="O342">
        <f>1</f>
        <v>1</v>
      </c>
      <c r="P342">
        <f>1</f>
        <v>1</v>
      </c>
      <c r="Q342">
        <f t="shared" si="1223"/>
        <v>317</v>
      </c>
      <c r="R342" s="1">
        <f t="shared" ref="R342" si="1392">HLOOKUP(Q342,E338:P344,7)</f>
        <v>23939907.316103272</v>
      </c>
    </row>
    <row r="343" spans="2:18" x14ac:dyDescent="0.25">
      <c r="B343" s="16"/>
      <c r="C343" t="s">
        <v>57</v>
      </c>
      <c r="D343" s="10">
        <f t="shared" ref="D343" si="1393">D331*(1+$D$2)</f>
        <v>502.02543430620767</v>
      </c>
      <c r="E343" s="1">
        <f t="shared" ref="E343" si="1394">$D344*1000</f>
        <v>500000</v>
      </c>
      <c r="F343" s="1">
        <f t="shared" ref="F343" si="1395">$D344*1000</f>
        <v>500000</v>
      </c>
      <c r="G343" s="1">
        <f t="shared" ref="G343" si="1396">$D344*1000</f>
        <v>500000</v>
      </c>
      <c r="H343" s="1">
        <f t="shared" ref="H343" si="1397">$D344*1000</f>
        <v>500000</v>
      </c>
      <c r="I343" s="1">
        <f t="shared" ref="I343" si="1398">$D344*1000</f>
        <v>500000</v>
      </c>
      <c r="J343" s="1">
        <f t="shared" ref="J343" si="1399">$D344*1000</f>
        <v>500000</v>
      </c>
      <c r="K343" s="1">
        <f t="shared" ref="K343" si="1400">$D344*1000</f>
        <v>500000</v>
      </c>
      <c r="L343" s="1">
        <f t="shared" ref="L343" si="1401">$D344*1000</f>
        <v>500000</v>
      </c>
      <c r="M343" s="1">
        <f t="shared" ref="M343" si="1402">$D344*1000</f>
        <v>500000</v>
      </c>
      <c r="N343" s="1">
        <f t="shared" ref="N343" si="1403">$D344*1000</f>
        <v>500000</v>
      </c>
      <c r="O343" s="1">
        <f t="shared" ref="O343" si="1404">$D344*1000</f>
        <v>500000</v>
      </c>
      <c r="P343" s="1">
        <f t="shared" ref="P343" si="1405">$D344*1000</f>
        <v>500000</v>
      </c>
      <c r="Q343">
        <f t="shared" si="1223"/>
        <v>318</v>
      </c>
      <c r="R343" s="1">
        <f t="shared" ref="R343" si="1406">HLOOKUP(Q343,E338:P344,7)</f>
        <v>24355597.182741903</v>
      </c>
    </row>
    <row r="344" spans="2:18" x14ac:dyDescent="0.25">
      <c r="B344" s="16"/>
      <c r="C344" t="s">
        <v>56</v>
      </c>
      <c r="D344" s="10">
        <f t="shared" ref="D344" si="1407">IF(D343*(1+$D$2)&gt;D332+50,D332+50,D332)</f>
        <v>500</v>
      </c>
      <c r="E344" s="1">
        <f t="shared" ref="E344" si="1408">-FV($E$29,$E$30,$E$31,D336-E345,1)</f>
        <v>22296799.682597626</v>
      </c>
      <c r="F344" s="1">
        <f t="shared" ref="F344:I344" si="1409">-FV($E$29,$E$30,$E$31,E344,1)</f>
        <v>22704647.485299531</v>
      </c>
      <c r="G344" s="1">
        <f t="shared" si="1409"/>
        <v>23114441.824235596</v>
      </c>
      <c r="H344" s="1">
        <f t="shared" si="1409"/>
        <v>23526191.9896442</v>
      </c>
      <c r="I344" s="1">
        <f t="shared" si="1409"/>
        <v>23939907.316103272</v>
      </c>
      <c r="J344" s="1">
        <f t="shared" ref="J344" si="1410">-FV($E$29,$E$30,$E$31,I344-J345,1)</f>
        <v>24355597.182741903</v>
      </c>
      <c r="K344" s="1">
        <f t="shared" ref="K344:P344" si="1411">-FV($E$29,$E$30,$E$31,J344,1)</f>
        <v>24773271.013452973</v>
      </c>
      <c r="L344" s="1">
        <f t="shared" si="1411"/>
        <v>25192938.277106807</v>
      </c>
      <c r="M344" s="1">
        <f t="shared" si="1411"/>
        <v>25614608.487765823</v>
      </c>
      <c r="N344" s="1">
        <f t="shared" si="1411"/>
        <v>26038291.204900231</v>
      </c>
      <c r="O344" s="1">
        <f t="shared" si="1411"/>
        <v>26463996.033604756</v>
      </c>
      <c r="P344" s="1">
        <f t="shared" si="1411"/>
        <v>26891732.624816373</v>
      </c>
      <c r="Q344">
        <f t="shared" si="1223"/>
        <v>319</v>
      </c>
      <c r="R344" s="1">
        <f t="shared" ref="R344" si="1412">HLOOKUP(Q344,E338:P344,7)</f>
        <v>24773271.013452973</v>
      </c>
    </row>
    <row r="345" spans="2:18" x14ac:dyDescent="0.25">
      <c r="B345" s="16"/>
      <c r="C345" t="s">
        <v>71</v>
      </c>
      <c r="D345">
        <f t="shared" ref="D345" si="1413">$E345</f>
        <v>0</v>
      </c>
      <c r="E345" s="1">
        <f t="shared" ref="E345" si="1414">ROUNDUP(IF(E339&gt;=$E$9,$D$9,IF(E339&gt;=$E$8,$D$8,IF(E339&gt;=$E$7,$D$7,IF(E339&gt;=$E$6,$D$6,IF(E339&gt;=$E$5,$D$5,IF(E339&gt;=$E$4,$D$4,0))))))*1000*(1+$D$2)^$B338,-3)</f>
        <v>0</v>
      </c>
      <c r="J345" s="1">
        <f t="shared" ref="J345" si="1415">ROUNDUP(IF(J339&gt;=$E$9,$D$9,IF(J339&gt;=$E$8,$D$8,IF(J339&gt;=$E$7,$D$7,IF(J339&gt;=$E$6,$D$6,IF(J339&gt;=$E$5,$D$5,IF(J339&gt;=$E$4,$D$4,0))))))*1000*(1+$D$2)^$B338,-3)</f>
        <v>0</v>
      </c>
      <c r="Q345">
        <f t="shared" si="1223"/>
        <v>320</v>
      </c>
      <c r="R345" s="1">
        <f t="shared" ref="R345" si="1416">HLOOKUP(Q345,E338:P344,7)</f>
        <v>25192938.277106807</v>
      </c>
    </row>
    <row r="346" spans="2:18" x14ac:dyDescent="0.25">
      <c r="B346" s="16"/>
      <c r="C346" t="s">
        <v>72</v>
      </c>
      <c r="D346">
        <f t="shared" ref="D346" si="1417">$J345</f>
        <v>0</v>
      </c>
      <c r="Q346">
        <f t="shared" si="1223"/>
        <v>321</v>
      </c>
      <c r="R346" s="1">
        <f t="shared" ref="R346" si="1418">HLOOKUP(Q346,E338:P344,7)</f>
        <v>25614608.487765823</v>
      </c>
    </row>
    <row r="347" spans="2:18" x14ac:dyDescent="0.25">
      <c r="B347" s="16"/>
      <c r="C347" t="s">
        <v>58</v>
      </c>
      <c r="D347">
        <f t="shared" ref="D347" si="1419">D345+D346</f>
        <v>0</v>
      </c>
      <c r="Q347">
        <f t="shared" si="1223"/>
        <v>322</v>
      </c>
      <c r="R347" s="1">
        <f t="shared" ref="R347" si="1420">HLOOKUP(Q347,E338:P344,7)</f>
        <v>26038291.204900231</v>
      </c>
    </row>
    <row r="348" spans="2:18" x14ac:dyDescent="0.25">
      <c r="B348" s="16"/>
      <c r="C348" t="s">
        <v>42</v>
      </c>
      <c r="D348" s="4">
        <f t="shared" ref="D348" si="1421">P344*(1-D340)</f>
        <v>26555585.967006169</v>
      </c>
      <c r="Q348">
        <f t="shared" si="1223"/>
        <v>323</v>
      </c>
      <c r="R348" s="1">
        <f t="shared" ref="R348" si="1422">HLOOKUP(Q348,E338:P344,7)</f>
        <v>26463996.033604756</v>
      </c>
    </row>
    <row r="349" spans="2:18" x14ac:dyDescent="0.25">
      <c r="B349" s="16"/>
      <c r="Q349">
        <f t="shared" si="1223"/>
        <v>324</v>
      </c>
      <c r="R349" s="1">
        <f t="shared" ref="R349" si="1423">HLOOKUP(Q349,E338:P344,7)</f>
        <v>26891732.624816373</v>
      </c>
    </row>
    <row r="350" spans="2:18" x14ac:dyDescent="0.25">
      <c r="B350" s="16">
        <f t="shared" ref="B350" si="1424">B338+1</f>
        <v>27</v>
      </c>
      <c r="C350" t="s">
        <v>40</v>
      </c>
      <c r="D350" s="2">
        <f t="shared" ref="D350" si="1425">5.88%</f>
        <v>5.8799999999999998E-2</v>
      </c>
      <c r="E350">
        <f t="shared" ref="E350" si="1426">($B350*12)+1</f>
        <v>325</v>
      </c>
      <c r="F350">
        <f t="shared" ref="F350:P350" si="1427">E350+1</f>
        <v>326</v>
      </c>
      <c r="G350">
        <f t="shared" si="1427"/>
        <v>327</v>
      </c>
      <c r="H350">
        <f t="shared" si="1427"/>
        <v>328</v>
      </c>
      <c r="I350">
        <f t="shared" si="1427"/>
        <v>329</v>
      </c>
      <c r="J350">
        <f t="shared" si="1427"/>
        <v>330</v>
      </c>
      <c r="K350">
        <f t="shared" si="1427"/>
        <v>331</v>
      </c>
      <c r="L350">
        <f t="shared" si="1427"/>
        <v>332</v>
      </c>
      <c r="M350">
        <f t="shared" si="1427"/>
        <v>333</v>
      </c>
      <c r="N350">
        <f t="shared" si="1427"/>
        <v>334</v>
      </c>
      <c r="O350">
        <f t="shared" si="1427"/>
        <v>335</v>
      </c>
      <c r="P350">
        <f t="shared" si="1427"/>
        <v>336</v>
      </c>
      <c r="Q350">
        <f t="shared" si="1223"/>
        <v>325</v>
      </c>
      <c r="R350" s="1">
        <f t="shared" ref="R350" si="1428">HLOOKUP(Q350,E350:P356,7)</f>
        <v>26983759.689723384</v>
      </c>
    </row>
    <row r="351" spans="2:18" x14ac:dyDescent="0.25">
      <c r="B351" s="16"/>
      <c r="C351" t="s">
        <v>41</v>
      </c>
      <c r="D351" s="3">
        <f t="shared" ref="D351" si="1429">(1+D350)^(1/12)-1</f>
        <v>4.7727025161425907E-3</v>
      </c>
      <c r="E351">
        <f t="shared" ref="E351" si="1430">E350/12</f>
        <v>27.083333333333332</v>
      </c>
      <c r="F351">
        <f t="shared" ref="F351" si="1431">F350/12</f>
        <v>27.166666666666668</v>
      </c>
      <c r="G351">
        <f t="shared" ref="G351" si="1432">G350/12</f>
        <v>27.25</v>
      </c>
      <c r="H351">
        <f t="shared" ref="H351" si="1433">H350/12</f>
        <v>27.333333333333332</v>
      </c>
      <c r="I351">
        <f t="shared" ref="I351" si="1434">I350/12</f>
        <v>27.416666666666668</v>
      </c>
      <c r="J351">
        <f t="shared" ref="J351" si="1435">J350/12</f>
        <v>27.5</v>
      </c>
      <c r="K351">
        <f t="shared" ref="K351" si="1436">K350/12</f>
        <v>27.583333333333332</v>
      </c>
      <c r="L351">
        <f t="shared" ref="L351" si="1437">L350/12</f>
        <v>27.666666666666668</v>
      </c>
      <c r="M351">
        <f t="shared" ref="M351" si="1438">M350/12</f>
        <v>27.75</v>
      </c>
      <c r="N351">
        <f t="shared" ref="N351" si="1439">N350/12</f>
        <v>27.833333333333332</v>
      </c>
      <c r="O351">
        <f t="shared" ref="O351" si="1440">O350/12</f>
        <v>27.916666666666668</v>
      </c>
      <c r="P351">
        <f t="shared" ref="P351" si="1441">P350/12</f>
        <v>28</v>
      </c>
      <c r="Q351">
        <f t="shared" si="1223"/>
        <v>326</v>
      </c>
      <c r="R351" s="1">
        <f t="shared" ref="R351" si="1442">HLOOKUP(Q351,E350:P356,7)</f>
        <v>27413976.958244357</v>
      </c>
    </row>
    <row r="352" spans="2:18" x14ac:dyDescent="0.25">
      <c r="B352" s="16"/>
      <c r="C352" t="s">
        <v>53</v>
      </c>
      <c r="D352" s="2">
        <f t="shared" ref="D352" si="1443">1.25%</f>
        <v>1.2500000000000001E-2</v>
      </c>
      <c r="E352" t="s">
        <v>59</v>
      </c>
      <c r="F352" t="s">
        <v>60</v>
      </c>
      <c r="G352" t="s">
        <v>61</v>
      </c>
      <c r="H352" t="s">
        <v>62</v>
      </c>
      <c r="I352" t="s">
        <v>63</v>
      </c>
      <c r="J352" t="s">
        <v>64</v>
      </c>
      <c r="K352" t="s">
        <v>65</v>
      </c>
      <c r="L352" t="s">
        <v>66</v>
      </c>
      <c r="M352" t="s">
        <v>67</v>
      </c>
      <c r="N352" t="s">
        <v>68</v>
      </c>
      <c r="O352" t="s">
        <v>69</v>
      </c>
      <c r="P352" t="s">
        <v>70</v>
      </c>
      <c r="Q352">
        <f t="shared" si="1223"/>
        <v>327</v>
      </c>
      <c r="R352" s="1">
        <f t="shared" ref="R352" si="1444">HLOOKUP(Q352,E350:P356,7)</f>
        <v>27846247.525805287</v>
      </c>
    </row>
    <row r="353" spans="2:18" x14ac:dyDescent="0.25">
      <c r="B353" s="16"/>
      <c r="C353" t="s">
        <v>54</v>
      </c>
      <c r="D353">
        <f>1</f>
        <v>1</v>
      </c>
      <c r="E353" s="2">
        <f t="shared" ref="E353:P353" si="1445">$D339</f>
        <v>4.7727025161425907E-3</v>
      </c>
      <c r="F353" s="2">
        <f t="shared" si="1445"/>
        <v>4.7727025161425907E-3</v>
      </c>
      <c r="G353" s="2">
        <f t="shared" si="1445"/>
        <v>4.7727025161425907E-3</v>
      </c>
      <c r="H353" s="2">
        <f t="shared" si="1445"/>
        <v>4.7727025161425907E-3</v>
      </c>
      <c r="I353" s="2">
        <f t="shared" si="1445"/>
        <v>4.7727025161425907E-3</v>
      </c>
      <c r="J353" s="2">
        <f t="shared" si="1445"/>
        <v>4.7727025161425907E-3</v>
      </c>
      <c r="K353" s="2">
        <f t="shared" si="1445"/>
        <v>4.7727025161425907E-3</v>
      </c>
      <c r="L353" s="2">
        <f t="shared" si="1445"/>
        <v>4.7727025161425907E-3</v>
      </c>
      <c r="M353" s="2">
        <f t="shared" si="1445"/>
        <v>4.7727025161425907E-3</v>
      </c>
      <c r="N353" s="2">
        <f t="shared" si="1445"/>
        <v>4.7727025161425907E-3</v>
      </c>
      <c r="O353" s="2">
        <f t="shared" si="1445"/>
        <v>4.7727025161425907E-3</v>
      </c>
      <c r="P353" s="2">
        <f t="shared" si="1445"/>
        <v>4.7727025161425907E-3</v>
      </c>
      <c r="Q353">
        <f t="shared" si="1223"/>
        <v>328</v>
      </c>
      <c r="R353" s="1">
        <f t="shared" ref="R353" si="1446">HLOOKUP(Q353,E350:P356,7)</f>
        <v>28280581.192191672</v>
      </c>
    </row>
    <row r="354" spans="2:18" x14ac:dyDescent="0.25">
      <c r="B354" s="16"/>
      <c r="C354" t="s">
        <v>55</v>
      </c>
      <c r="D354">
        <f t="shared" ref="D354" si="1447">D353*12</f>
        <v>12</v>
      </c>
      <c r="E354">
        <f>1</f>
        <v>1</v>
      </c>
      <c r="F354">
        <f>1</f>
        <v>1</v>
      </c>
      <c r="G354">
        <f>1</f>
        <v>1</v>
      </c>
      <c r="H354">
        <f>1</f>
        <v>1</v>
      </c>
      <c r="I354">
        <f>1</f>
        <v>1</v>
      </c>
      <c r="J354">
        <f>1</f>
        <v>1</v>
      </c>
      <c r="K354">
        <f>1</f>
        <v>1</v>
      </c>
      <c r="L354">
        <f>1</f>
        <v>1</v>
      </c>
      <c r="M354">
        <f>1</f>
        <v>1</v>
      </c>
      <c r="N354">
        <f>1</f>
        <v>1</v>
      </c>
      <c r="O354">
        <f>1</f>
        <v>1</v>
      </c>
      <c r="P354">
        <f>1</f>
        <v>1</v>
      </c>
      <c r="Q354">
        <f t="shared" si="1223"/>
        <v>329</v>
      </c>
      <c r="R354" s="1">
        <f t="shared" ref="R354" si="1448">HLOOKUP(Q354,E350:P356,7)</f>
        <v>28716987.803960461</v>
      </c>
    </row>
    <row r="355" spans="2:18" x14ac:dyDescent="0.25">
      <c r="B355" s="16"/>
      <c r="C355" t="s">
        <v>57</v>
      </c>
      <c r="D355" s="10">
        <f t="shared" ref="D355" si="1449">D343*(1+$D$2)</f>
        <v>512.06594299233188</v>
      </c>
      <c r="E355" s="1">
        <f t="shared" ref="E355" si="1450">$D356*1000</f>
        <v>500000</v>
      </c>
      <c r="F355" s="1">
        <f t="shared" ref="F355" si="1451">$D356*1000</f>
        <v>500000</v>
      </c>
      <c r="G355" s="1">
        <f t="shared" ref="G355" si="1452">$D356*1000</f>
        <v>500000</v>
      </c>
      <c r="H355" s="1">
        <f t="shared" ref="H355" si="1453">$D356*1000</f>
        <v>500000</v>
      </c>
      <c r="I355" s="1">
        <f t="shared" ref="I355" si="1454">$D356*1000</f>
        <v>500000</v>
      </c>
      <c r="J355" s="1">
        <f t="shared" ref="J355" si="1455">$D356*1000</f>
        <v>500000</v>
      </c>
      <c r="K355" s="1">
        <f t="shared" ref="K355" si="1456">$D356*1000</f>
        <v>500000</v>
      </c>
      <c r="L355" s="1">
        <f t="shared" ref="L355" si="1457">$D356*1000</f>
        <v>500000</v>
      </c>
      <c r="M355" s="1">
        <f t="shared" ref="M355" si="1458">$D356*1000</f>
        <v>500000</v>
      </c>
      <c r="N355" s="1">
        <f t="shared" ref="N355" si="1459">$D356*1000</f>
        <v>500000</v>
      </c>
      <c r="O355" s="1">
        <f t="shared" ref="O355" si="1460">$D356*1000</f>
        <v>500000</v>
      </c>
      <c r="P355" s="1">
        <f t="shared" ref="P355" si="1461">$D356*1000</f>
        <v>500000</v>
      </c>
      <c r="Q355">
        <f t="shared" si="1223"/>
        <v>330</v>
      </c>
      <c r="R355" s="1">
        <f t="shared" ref="R355" si="1462">HLOOKUP(Q355,E350:P356,7)</f>
        <v>29155477.254663303</v>
      </c>
    </row>
    <row r="356" spans="2:18" x14ac:dyDescent="0.25">
      <c r="B356" s="16"/>
      <c r="C356" t="s">
        <v>56</v>
      </c>
      <c r="D356" s="10">
        <f t="shared" ref="D356" si="1463">IF(D355*(1+$D$2)&gt;D344+50,D344+50,D344)</f>
        <v>500</v>
      </c>
      <c r="E356" s="1">
        <f t="shared" ref="E356" si="1464">-FV($E$29,$E$30,$E$31,D348-E357,1)</f>
        <v>26983759.689723384</v>
      </c>
      <c r="F356" s="1">
        <f t="shared" ref="F356:I356" si="1465">-FV($E$29,$E$30,$E$31,E356,1)</f>
        <v>27413976.958244357</v>
      </c>
      <c r="G356" s="1">
        <f t="shared" si="1465"/>
        <v>27846247.525805287</v>
      </c>
      <c r="H356" s="1">
        <f t="shared" si="1465"/>
        <v>28280581.192191672</v>
      </c>
      <c r="I356" s="1">
        <f t="shared" si="1465"/>
        <v>28716987.803960461</v>
      </c>
      <c r="J356" s="1">
        <f t="shared" ref="J356" si="1466">-FV($E$29,$E$30,$E$31,I356-J357,1)</f>
        <v>29155477.254663303</v>
      </c>
      <c r="K356" s="1">
        <f t="shared" ref="K356:P356" si="1467">-FV($E$29,$E$30,$E$31,J356,1)</f>
        <v>29596059.485070817</v>
      </c>
      <c r="L356" s="1">
        <f t="shared" si="1467"/>
        <v>30038744.483397964</v>
      </c>
      <c r="M356" s="1">
        <f t="shared" si="1467"/>
        <v>30483542.285530485</v>
      </c>
      <c r="N356" s="1">
        <f t="shared" si="1467"/>
        <v>30930462.97525242</v>
      </c>
      <c r="O356" s="1">
        <f t="shared" si="1467"/>
        <v>31379516.684474707</v>
      </c>
      <c r="P356" s="1">
        <f t="shared" si="1467"/>
        <v>31830713.593464881</v>
      </c>
      <c r="Q356">
        <f t="shared" si="1223"/>
        <v>331</v>
      </c>
      <c r="R356" s="1">
        <f t="shared" ref="R356" si="1468">HLOOKUP(Q356,E350:P356,7)</f>
        <v>29596059.485070817</v>
      </c>
    </row>
    <row r="357" spans="2:18" x14ac:dyDescent="0.25">
      <c r="B357" s="16"/>
      <c r="C357" t="s">
        <v>71</v>
      </c>
      <c r="D357">
        <f t="shared" ref="D357" si="1469">$E357</f>
        <v>0</v>
      </c>
      <c r="E357" s="1">
        <f t="shared" ref="E357" si="1470">ROUNDUP(IF(E351&gt;=$E$9,$D$9,IF(E351&gt;=$E$8,$D$8,IF(E351&gt;=$E$7,$D$7,IF(E351&gt;=$E$6,$D$6,IF(E351&gt;=$E$5,$D$5,IF(E351&gt;=$E$4,$D$4,0))))))*1000*(1+$D$2)^$B350,-3)</f>
        <v>0</v>
      </c>
      <c r="J357" s="1">
        <f t="shared" ref="J357" si="1471">ROUNDUP(IF(J351&gt;=$E$9,$D$9,IF(J351&gt;=$E$8,$D$8,IF(J351&gt;=$E$7,$D$7,IF(J351&gt;=$E$6,$D$6,IF(J351&gt;=$E$5,$D$5,IF(J351&gt;=$E$4,$D$4,0))))))*1000*(1+$D$2)^$B350,-3)</f>
        <v>0</v>
      </c>
      <c r="Q357">
        <f t="shared" si="1223"/>
        <v>332</v>
      </c>
      <c r="R357" s="1">
        <f t="shared" ref="R357" si="1472">HLOOKUP(Q357,E350:P356,7)</f>
        <v>30038744.483397964</v>
      </c>
    </row>
    <row r="358" spans="2:18" x14ac:dyDescent="0.25">
      <c r="B358" s="16"/>
      <c r="C358" t="s">
        <v>72</v>
      </c>
      <c r="D358">
        <f t="shared" ref="D358" si="1473">$J357</f>
        <v>0</v>
      </c>
      <c r="Q358">
        <f t="shared" si="1223"/>
        <v>333</v>
      </c>
      <c r="R358" s="1">
        <f t="shared" ref="R358" si="1474">HLOOKUP(Q358,E350:P356,7)</f>
        <v>30483542.285530485</v>
      </c>
    </row>
    <row r="359" spans="2:18" x14ac:dyDescent="0.25">
      <c r="B359" s="16"/>
      <c r="C359" t="s">
        <v>58</v>
      </c>
      <c r="D359">
        <f t="shared" ref="D359" si="1475">D357+D358</f>
        <v>0</v>
      </c>
      <c r="Q359">
        <f t="shared" si="1223"/>
        <v>334</v>
      </c>
      <c r="R359" s="1">
        <f t="shared" ref="R359" si="1476">HLOOKUP(Q359,E350:P356,7)</f>
        <v>30930462.97525242</v>
      </c>
    </row>
    <row r="360" spans="2:18" x14ac:dyDescent="0.25">
      <c r="B360" s="16"/>
      <c r="C360" t="s">
        <v>42</v>
      </c>
      <c r="D360" s="4">
        <f t="shared" ref="D360" si="1477">P356*(1-D352)</f>
        <v>31432829.673546571</v>
      </c>
      <c r="Q360">
        <f t="shared" si="1223"/>
        <v>335</v>
      </c>
      <c r="R360" s="1">
        <f t="shared" ref="R360" si="1478">HLOOKUP(Q360,E350:P356,7)</f>
        <v>31379516.684474707</v>
      </c>
    </row>
    <row r="361" spans="2:18" x14ac:dyDescent="0.25">
      <c r="B361" s="16"/>
      <c r="Q361">
        <f t="shared" si="1223"/>
        <v>336</v>
      </c>
      <c r="R361" s="1">
        <f t="shared" ref="R361" si="1479">HLOOKUP(Q361,E350:P356,7)</f>
        <v>31830713.593464881</v>
      </c>
    </row>
    <row r="362" spans="2:18" x14ac:dyDescent="0.25">
      <c r="B362" s="16">
        <f t="shared" ref="B362" si="1480">B350+1</f>
        <v>28</v>
      </c>
      <c r="C362" t="s">
        <v>40</v>
      </c>
      <c r="D362" s="2">
        <f t="shared" ref="D362" si="1481">5.88%</f>
        <v>5.8799999999999998E-2</v>
      </c>
      <c r="E362">
        <f t="shared" ref="E362" si="1482">($B362*12)+1</f>
        <v>337</v>
      </c>
      <c r="F362">
        <f t="shared" ref="F362:P362" si="1483">E362+1</f>
        <v>338</v>
      </c>
      <c r="G362">
        <f t="shared" si="1483"/>
        <v>339</v>
      </c>
      <c r="H362">
        <f t="shared" si="1483"/>
        <v>340</v>
      </c>
      <c r="I362">
        <f t="shared" si="1483"/>
        <v>341</v>
      </c>
      <c r="J362">
        <f t="shared" si="1483"/>
        <v>342</v>
      </c>
      <c r="K362">
        <f t="shared" si="1483"/>
        <v>343</v>
      </c>
      <c r="L362">
        <f t="shared" si="1483"/>
        <v>344</v>
      </c>
      <c r="M362">
        <f t="shared" si="1483"/>
        <v>345</v>
      </c>
      <c r="N362">
        <f t="shared" si="1483"/>
        <v>346</v>
      </c>
      <c r="O362">
        <f t="shared" si="1483"/>
        <v>347</v>
      </c>
      <c r="P362">
        <f t="shared" si="1483"/>
        <v>348</v>
      </c>
      <c r="Q362">
        <f t="shared" si="1223"/>
        <v>337</v>
      </c>
      <c r="R362" s="1">
        <f t="shared" ref="R362" si="1484">HLOOKUP(Q362,E362:P368,7)</f>
        <v>31884281.029573832</v>
      </c>
    </row>
    <row r="363" spans="2:18" x14ac:dyDescent="0.25">
      <c r="B363" s="16"/>
      <c r="C363" t="s">
        <v>41</v>
      </c>
      <c r="D363" s="3">
        <f t="shared" ref="D363" si="1485">(1+D362)^(1/12)-1</f>
        <v>4.7727025161425907E-3</v>
      </c>
      <c r="E363">
        <f t="shared" ref="E363" si="1486">E362/12</f>
        <v>28.083333333333332</v>
      </c>
      <c r="F363">
        <f t="shared" ref="F363" si="1487">F362/12</f>
        <v>28.166666666666668</v>
      </c>
      <c r="G363">
        <f t="shared" ref="G363" si="1488">G362/12</f>
        <v>28.25</v>
      </c>
      <c r="H363">
        <f t="shared" ref="H363" si="1489">H362/12</f>
        <v>28.333333333333332</v>
      </c>
      <c r="I363">
        <f t="shared" ref="I363" si="1490">I362/12</f>
        <v>28.416666666666668</v>
      </c>
      <c r="J363">
        <f t="shared" ref="J363" si="1491">J362/12</f>
        <v>28.5</v>
      </c>
      <c r="K363">
        <f t="shared" ref="K363" si="1492">K362/12</f>
        <v>28.583333333333332</v>
      </c>
      <c r="L363">
        <f t="shared" ref="L363" si="1493">L362/12</f>
        <v>28.666666666666668</v>
      </c>
      <c r="M363">
        <f t="shared" ref="M363" si="1494">M362/12</f>
        <v>28.75</v>
      </c>
      <c r="N363">
        <f t="shared" ref="N363" si="1495">N362/12</f>
        <v>28.833333333333332</v>
      </c>
      <c r="O363">
        <f t="shared" ref="O363" si="1496">O362/12</f>
        <v>28.916666666666668</v>
      </c>
      <c r="P363">
        <f t="shared" ref="P363" si="1497">P362/12</f>
        <v>29</v>
      </c>
      <c r="Q363">
        <f t="shared" si="1223"/>
        <v>338</v>
      </c>
      <c r="R363" s="1">
        <f t="shared" ref="R363" si="1498">HLOOKUP(Q363,E362:P368,7)</f>
        <v>32337887.02862392</v>
      </c>
    </row>
    <row r="364" spans="2:18" x14ac:dyDescent="0.25">
      <c r="B364" s="16"/>
      <c r="C364" t="s">
        <v>53</v>
      </c>
      <c r="D364" s="2">
        <f t="shared" ref="D364" si="1499">1.25%</f>
        <v>1.2500000000000001E-2</v>
      </c>
      <c r="E364" t="s">
        <v>59</v>
      </c>
      <c r="F364" t="s">
        <v>60</v>
      </c>
      <c r="G364" t="s">
        <v>61</v>
      </c>
      <c r="H364" t="s">
        <v>62</v>
      </c>
      <c r="I364" t="s">
        <v>63</v>
      </c>
      <c r="J364" t="s">
        <v>64</v>
      </c>
      <c r="K364" t="s">
        <v>65</v>
      </c>
      <c r="L364" t="s">
        <v>66</v>
      </c>
      <c r="M364" t="s">
        <v>67</v>
      </c>
      <c r="N364" t="s">
        <v>68</v>
      </c>
      <c r="O364" t="s">
        <v>69</v>
      </c>
      <c r="P364" t="s">
        <v>70</v>
      </c>
      <c r="Q364">
        <f t="shared" si="1223"/>
        <v>339</v>
      </c>
      <c r="R364" s="1">
        <f t="shared" ref="R364" si="1500">HLOOKUP(Q364,E362:P368,7)</f>
        <v>32793657.954167012</v>
      </c>
    </row>
    <row r="365" spans="2:18" x14ac:dyDescent="0.25">
      <c r="B365" s="16"/>
      <c r="C365" t="s">
        <v>54</v>
      </c>
      <c r="D365">
        <f>1</f>
        <v>1</v>
      </c>
      <c r="E365" s="2">
        <f t="shared" ref="E365:P365" si="1501">$D351</f>
        <v>4.7727025161425907E-3</v>
      </c>
      <c r="F365" s="2">
        <f t="shared" si="1501"/>
        <v>4.7727025161425907E-3</v>
      </c>
      <c r="G365" s="2">
        <f t="shared" si="1501"/>
        <v>4.7727025161425907E-3</v>
      </c>
      <c r="H365" s="2">
        <f t="shared" si="1501"/>
        <v>4.7727025161425907E-3</v>
      </c>
      <c r="I365" s="2">
        <f t="shared" si="1501"/>
        <v>4.7727025161425907E-3</v>
      </c>
      <c r="J365" s="2">
        <f t="shared" si="1501"/>
        <v>4.7727025161425907E-3</v>
      </c>
      <c r="K365" s="2">
        <f t="shared" si="1501"/>
        <v>4.7727025161425907E-3</v>
      </c>
      <c r="L365" s="2">
        <f t="shared" si="1501"/>
        <v>4.7727025161425907E-3</v>
      </c>
      <c r="M365" s="2">
        <f t="shared" si="1501"/>
        <v>4.7727025161425907E-3</v>
      </c>
      <c r="N365" s="2">
        <f t="shared" si="1501"/>
        <v>4.7727025161425907E-3</v>
      </c>
      <c r="O365" s="2">
        <f t="shared" si="1501"/>
        <v>4.7727025161425907E-3</v>
      </c>
      <c r="P365" s="2">
        <f t="shared" si="1501"/>
        <v>4.7727025161425907E-3</v>
      </c>
      <c r="Q365">
        <f t="shared" si="1223"/>
        <v>340</v>
      </c>
      <c r="R365" s="1">
        <f t="shared" ref="R365" si="1502">HLOOKUP(Q365,E362:P368,7)</f>
        <v>33251604.138753228</v>
      </c>
    </row>
    <row r="366" spans="2:18" x14ac:dyDescent="0.25">
      <c r="B366" s="16"/>
      <c r="C366" t="s">
        <v>55</v>
      </c>
      <c r="D366">
        <f t="shared" ref="D366" si="1503">D365*12</f>
        <v>12</v>
      </c>
      <c r="E366">
        <f>1</f>
        <v>1</v>
      </c>
      <c r="F366">
        <f>1</f>
        <v>1</v>
      </c>
      <c r="G366">
        <f>1</f>
        <v>1</v>
      </c>
      <c r="H366">
        <f>1</f>
        <v>1</v>
      </c>
      <c r="I366">
        <f>1</f>
        <v>1</v>
      </c>
      <c r="J366">
        <f>1</f>
        <v>1</v>
      </c>
      <c r="K366">
        <f>1</f>
        <v>1</v>
      </c>
      <c r="L366">
        <f>1</f>
        <v>1</v>
      </c>
      <c r="M366">
        <f>1</f>
        <v>1</v>
      </c>
      <c r="N366">
        <f>1</f>
        <v>1</v>
      </c>
      <c r="O366">
        <f>1</f>
        <v>1</v>
      </c>
      <c r="P366">
        <f>1</f>
        <v>1</v>
      </c>
      <c r="Q366">
        <f t="shared" si="1223"/>
        <v>341</v>
      </c>
      <c r="R366" s="1">
        <f t="shared" ref="R366" si="1504">HLOOKUP(Q366,E362:P368,7)</f>
        <v>33711735.964246877</v>
      </c>
    </row>
    <row r="367" spans="2:18" x14ac:dyDescent="0.25">
      <c r="B367" s="16"/>
      <c r="C367" t="s">
        <v>57</v>
      </c>
      <c r="D367" s="10">
        <f t="shared" ref="D367" si="1505">D355*(1+$D$2)</f>
        <v>522.3072618521785</v>
      </c>
      <c r="E367" s="1">
        <f t="shared" ref="E367" si="1506">$D368*1000</f>
        <v>500000</v>
      </c>
      <c r="F367" s="1">
        <f t="shared" ref="F367" si="1507">$D368*1000</f>
        <v>500000</v>
      </c>
      <c r="G367" s="1">
        <f t="shared" ref="G367" si="1508">$D368*1000</f>
        <v>500000</v>
      </c>
      <c r="H367" s="1">
        <f t="shared" ref="H367" si="1509">$D368*1000</f>
        <v>500000</v>
      </c>
      <c r="I367" s="1">
        <f t="shared" ref="I367" si="1510">$D368*1000</f>
        <v>500000</v>
      </c>
      <c r="J367" s="1">
        <f t="shared" ref="J367" si="1511">$D368*1000</f>
        <v>500000</v>
      </c>
      <c r="K367" s="1">
        <f t="shared" ref="K367" si="1512">$D368*1000</f>
        <v>500000</v>
      </c>
      <c r="L367" s="1">
        <f t="shared" ref="L367" si="1513">$D368*1000</f>
        <v>500000</v>
      </c>
      <c r="M367" s="1">
        <f t="shared" ref="M367" si="1514">$D368*1000</f>
        <v>500000</v>
      </c>
      <c r="N367" s="1">
        <f t="shared" ref="N367" si="1515">$D368*1000</f>
        <v>500000</v>
      </c>
      <c r="O367" s="1">
        <f t="shared" ref="O367" si="1516">$D368*1000</f>
        <v>500000</v>
      </c>
      <c r="P367" s="1">
        <f t="shared" ref="P367" si="1517">$D368*1000</f>
        <v>500000</v>
      </c>
      <c r="Q367">
        <f t="shared" si="1223"/>
        <v>342</v>
      </c>
      <c r="R367" s="1">
        <f t="shared" ref="R367" si="1518">HLOOKUP(Q367,E362:P368,7)</f>
        <v>34174063.862061813</v>
      </c>
    </row>
    <row r="368" spans="2:18" x14ac:dyDescent="0.25">
      <c r="B368" s="16"/>
      <c r="C368" t="s">
        <v>56</v>
      </c>
      <c r="D368" s="10">
        <f t="shared" ref="D368" si="1519">IF(D367*(1+$D$2)&gt;D356+50,D356+50,D356)</f>
        <v>500</v>
      </c>
      <c r="E368" s="1">
        <f t="shared" ref="E368" si="1520">-FV($E$29,$E$30,$E$31,D360-E369,1)</f>
        <v>31884281.029573832</v>
      </c>
      <c r="F368" s="1">
        <f t="shared" ref="F368:I368" si="1521">-FV($E$29,$E$30,$E$31,E368,1)</f>
        <v>32337887.02862392</v>
      </c>
      <c r="G368" s="1">
        <f t="shared" si="1521"/>
        <v>32793657.954167012</v>
      </c>
      <c r="H368" s="1">
        <f t="shared" si="1521"/>
        <v>33251604.138753228</v>
      </c>
      <c r="I368" s="1">
        <f t="shared" si="1521"/>
        <v>33711735.964246877</v>
      </c>
      <c r="J368" s="1">
        <f t="shared" ref="J368" si="1522">-FV($E$29,$E$30,$E$31,I368-J369,1)</f>
        <v>34174063.862061813</v>
      </c>
      <c r="K368" s="1">
        <f t="shared" ref="K368:P368" si="1523">-FV($E$29,$E$30,$E$31,J368,1)</f>
        <v>34638598.313397937</v>
      </c>
      <c r="L368" s="1">
        <f t="shared" si="1523"/>
        <v>35105349.849478789</v>
      </c>
      <c r="M368" s="1">
        <f t="shared" si="1523"/>
        <v>35574329.051790304</v>
      </c>
      <c r="N368" s="1">
        <f t="shared" si="1523"/>
        <v>36045546.552320711</v>
      </c>
      <c r="O368" s="1">
        <f t="shared" si="1523"/>
        <v>36519013.033801548</v>
      </c>
      <c r="P368" s="1">
        <f t="shared" si="1523"/>
        <v>36994739.229949862</v>
      </c>
      <c r="Q368">
        <f t="shared" si="1223"/>
        <v>343</v>
      </c>
      <c r="R368" s="1">
        <f t="shared" ref="R368" si="1524">HLOOKUP(Q368,E362:P368,7)</f>
        <v>34638598.313397937</v>
      </c>
    </row>
    <row r="369" spans="2:18" x14ac:dyDescent="0.25">
      <c r="B369" s="16"/>
      <c r="C369" t="s">
        <v>71</v>
      </c>
      <c r="D369">
        <f t="shared" ref="D369" si="1525">$E369</f>
        <v>0</v>
      </c>
      <c r="E369" s="1">
        <f t="shared" ref="E369" si="1526">ROUNDUP(IF(E363&gt;=$E$9,$D$9,IF(E363&gt;=$E$8,$D$8,IF(E363&gt;=$E$7,$D$7,IF(E363&gt;=$E$6,$D$6,IF(E363&gt;=$E$5,$D$5,IF(E363&gt;=$E$4,$D$4,0))))))*1000*(1+$D$2)^$B362,-3)</f>
        <v>0</v>
      </c>
      <c r="J369" s="1">
        <f t="shared" ref="J369" si="1527">ROUNDUP(IF(J363&gt;=$E$9,$D$9,IF(J363&gt;=$E$8,$D$8,IF(J363&gt;=$E$7,$D$7,IF(J363&gt;=$E$6,$D$6,IF(J363&gt;=$E$5,$D$5,IF(J363&gt;=$E$4,$D$4,0))))))*1000*(1+$D$2)^$B362,-3)</f>
        <v>0</v>
      </c>
      <c r="Q369">
        <f t="shared" si="1223"/>
        <v>344</v>
      </c>
      <c r="R369" s="1">
        <f t="shared" ref="R369" si="1528">HLOOKUP(Q369,E362:P368,7)</f>
        <v>35105349.849478789</v>
      </c>
    </row>
    <row r="370" spans="2:18" x14ac:dyDescent="0.25">
      <c r="B370" s="16"/>
      <c r="C370" t="s">
        <v>72</v>
      </c>
      <c r="D370">
        <f t="shared" ref="D370" si="1529">$J369</f>
        <v>0</v>
      </c>
      <c r="Q370">
        <f t="shared" ref="Q370:Q385" si="1530">Q369+1</f>
        <v>345</v>
      </c>
      <c r="R370" s="1">
        <f t="shared" ref="R370" si="1531">HLOOKUP(Q370,E362:P368,7)</f>
        <v>35574329.051790304</v>
      </c>
    </row>
    <row r="371" spans="2:18" x14ac:dyDescent="0.25">
      <c r="B371" s="16"/>
      <c r="C371" t="s">
        <v>58</v>
      </c>
      <c r="D371">
        <f t="shared" ref="D371" si="1532">D369+D370</f>
        <v>0</v>
      </c>
      <c r="Q371">
        <f t="shared" si="1530"/>
        <v>346</v>
      </c>
      <c r="R371" s="1">
        <f t="shared" ref="R371" si="1533">HLOOKUP(Q371,E362:P368,7)</f>
        <v>36045546.552320711</v>
      </c>
    </row>
    <row r="372" spans="2:18" x14ac:dyDescent="0.25">
      <c r="B372" s="16"/>
      <c r="C372" t="s">
        <v>42</v>
      </c>
      <c r="D372" s="4">
        <f t="shared" ref="D372" si="1534">P368*(1-D364)</f>
        <v>36532304.98957549</v>
      </c>
      <c r="Q372">
        <f t="shared" si="1530"/>
        <v>347</v>
      </c>
      <c r="R372" s="1">
        <f t="shared" ref="R372" si="1535">HLOOKUP(Q372,E362:P368,7)</f>
        <v>36519013.033801548</v>
      </c>
    </row>
    <row r="373" spans="2:18" x14ac:dyDescent="0.25">
      <c r="B373" s="16"/>
      <c r="Q373">
        <f t="shared" si="1530"/>
        <v>348</v>
      </c>
      <c r="R373" s="1">
        <f t="shared" ref="R373" si="1536">HLOOKUP(Q373,E362:P368,7)</f>
        <v>36994739.229949862</v>
      </c>
    </row>
    <row r="374" spans="2:18" x14ac:dyDescent="0.25">
      <c r="B374" s="16">
        <f t="shared" ref="B374" si="1537">B362+1</f>
        <v>29</v>
      </c>
      <c r="C374" t="s">
        <v>40</v>
      </c>
      <c r="D374" s="2">
        <f t="shared" ref="D374" si="1538">5.88%</f>
        <v>5.8799999999999998E-2</v>
      </c>
      <c r="E374">
        <f t="shared" ref="E374" si="1539">($B374*12)+1</f>
        <v>349</v>
      </c>
      <c r="F374">
        <f t="shared" ref="F374:P374" si="1540">E374+1</f>
        <v>350</v>
      </c>
      <c r="G374">
        <f t="shared" si="1540"/>
        <v>351</v>
      </c>
      <c r="H374">
        <f t="shared" si="1540"/>
        <v>352</v>
      </c>
      <c r="I374">
        <f t="shared" si="1540"/>
        <v>353</v>
      </c>
      <c r="J374">
        <f t="shared" si="1540"/>
        <v>354</v>
      </c>
      <c r="K374">
        <f t="shared" si="1540"/>
        <v>355</v>
      </c>
      <c r="L374">
        <f t="shared" si="1540"/>
        <v>356</v>
      </c>
      <c r="M374">
        <f t="shared" si="1540"/>
        <v>357</v>
      </c>
      <c r="N374">
        <f t="shared" si="1540"/>
        <v>358</v>
      </c>
      <c r="O374">
        <f t="shared" si="1540"/>
        <v>359</v>
      </c>
      <c r="P374">
        <f t="shared" si="1540"/>
        <v>360</v>
      </c>
      <c r="Q374">
        <f t="shared" si="1530"/>
        <v>349</v>
      </c>
      <c r="R374" s="1">
        <f t="shared" ref="R374" si="1541">HLOOKUP(Q374,E374:P380,7)</f>
        <v>37008094.624274567</v>
      </c>
    </row>
    <row r="375" spans="2:18" x14ac:dyDescent="0.25">
      <c r="B375" s="16"/>
      <c r="C375" t="s">
        <v>41</v>
      </c>
      <c r="D375" s="3">
        <f t="shared" ref="D375" si="1542">(1+D374)^(1/12)-1</f>
        <v>4.7727025161425907E-3</v>
      </c>
      <c r="E375">
        <f t="shared" ref="E375" si="1543">E374/12</f>
        <v>29.083333333333332</v>
      </c>
      <c r="F375">
        <f t="shared" ref="F375" si="1544">F374/12</f>
        <v>29.166666666666668</v>
      </c>
      <c r="G375">
        <f t="shared" ref="G375" si="1545">G374/12</f>
        <v>29.25</v>
      </c>
      <c r="H375">
        <f t="shared" ref="H375" si="1546">H374/12</f>
        <v>29.333333333333332</v>
      </c>
      <c r="I375">
        <f t="shared" ref="I375" si="1547">I374/12</f>
        <v>29.416666666666668</v>
      </c>
      <c r="J375">
        <f t="shared" ref="J375" si="1548">J374/12</f>
        <v>29.5</v>
      </c>
      <c r="K375">
        <f t="shared" ref="K375" si="1549">K374/12</f>
        <v>29.583333333333332</v>
      </c>
      <c r="L375">
        <f t="shared" ref="L375" si="1550">L374/12</f>
        <v>29.666666666666668</v>
      </c>
      <c r="M375">
        <f t="shared" ref="M375" si="1551">M374/12</f>
        <v>29.75</v>
      </c>
      <c r="N375">
        <f t="shared" ref="N375" si="1552">N374/12</f>
        <v>29.833333333333332</v>
      </c>
      <c r="O375">
        <f t="shared" ref="O375" si="1553">O374/12</f>
        <v>29.916666666666668</v>
      </c>
      <c r="P375">
        <f t="shared" ref="P375" si="1554">P374/12</f>
        <v>30</v>
      </c>
      <c r="Q375">
        <f t="shared" si="1530"/>
        <v>350</v>
      </c>
      <c r="R375" s="1">
        <f t="shared" ref="R375" si="1555">HLOOKUP(Q375,E374:P380,7)</f>
        <v>37486155.061360329</v>
      </c>
    </row>
    <row r="376" spans="2:18" x14ac:dyDescent="0.25">
      <c r="B376" s="16"/>
      <c r="C376" t="s">
        <v>53</v>
      </c>
      <c r="D376" s="2">
        <f t="shared" ref="D376" si="1556">1.25%</f>
        <v>1.2500000000000001E-2</v>
      </c>
      <c r="E376" t="s">
        <v>59</v>
      </c>
      <c r="F376" t="s">
        <v>60</v>
      </c>
      <c r="G376" t="s">
        <v>61</v>
      </c>
      <c r="H376" t="s">
        <v>62</v>
      </c>
      <c r="I376" t="s">
        <v>63</v>
      </c>
      <c r="J376" t="s">
        <v>64</v>
      </c>
      <c r="K376" t="s">
        <v>65</v>
      </c>
      <c r="L376" t="s">
        <v>66</v>
      </c>
      <c r="M376" t="s">
        <v>67</v>
      </c>
      <c r="N376" t="s">
        <v>68</v>
      </c>
      <c r="O376" t="s">
        <v>69</v>
      </c>
      <c r="P376" t="s">
        <v>70</v>
      </c>
      <c r="Q376">
        <f t="shared" si="1530"/>
        <v>351</v>
      </c>
      <c r="R376" s="1">
        <f t="shared" ref="R376" si="1557">HLOOKUP(Q376,E374:P380,7)</f>
        <v>37966497.138697036</v>
      </c>
    </row>
    <row r="377" spans="2:18" x14ac:dyDescent="0.25">
      <c r="B377" s="16"/>
      <c r="C377" t="s">
        <v>54</v>
      </c>
      <c r="D377">
        <f>1</f>
        <v>1</v>
      </c>
      <c r="E377" s="2">
        <f t="shared" ref="E377:P377" si="1558">$D363</f>
        <v>4.7727025161425907E-3</v>
      </c>
      <c r="F377" s="2">
        <f t="shared" si="1558"/>
        <v>4.7727025161425907E-3</v>
      </c>
      <c r="G377" s="2">
        <f t="shared" si="1558"/>
        <v>4.7727025161425907E-3</v>
      </c>
      <c r="H377" s="2">
        <f t="shared" si="1558"/>
        <v>4.7727025161425907E-3</v>
      </c>
      <c r="I377" s="2">
        <f t="shared" si="1558"/>
        <v>4.7727025161425907E-3</v>
      </c>
      <c r="J377" s="2">
        <f t="shared" si="1558"/>
        <v>4.7727025161425907E-3</v>
      </c>
      <c r="K377" s="2">
        <f t="shared" si="1558"/>
        <v>4.7727025161425907E-3</v>
      </c>
      <c r="L377" s="2">
        <f t="shared" si="1558"/>
        <v>4.7727025161425907E-3</v>
      </c>
      <c r="M377" s="2">
        <f t="shared" si="1558"/>
        <v>4.7727025161425907E-3</v>
      </c>
      <c r="N377" s="2">
        <f t="shared" si="1558"/>
        <v>4.7727025161425907E-3</v>
      </c>
      <c r="O377" s="2">
        <f t="shared" si="1558"/>
        <v>4.7727025161425907E-3</v>
      </c>
      <c r="P377" s="2">
        <f t="shared" si="1558"/>
        <v>4.7727025161425907E-3</v>
      </c>
      <c r="Q377">
        <f t="shared" si="1530"/>
        <v>352</v>
      </c>
      <c r="R377" s="1">
        <f t="shared" ref="R377" si="1559">HLOOKUP(Q377,E374:P380,7)</f>
        <v>38449131.745874859</v>
      </c>
    </row>
    <row r="378" spans="2:18" x14ac:dyDescent="0.25">
      <c r="B378" s="16"/>
      <c r="C378" t="s">
        <v>55</v>
      </c>
      <c r="D378">
        <f t="shared" ref="D378" si="1560">D377*12</f>
        <v>12</v>
      </c>
      <c r="E378">
        <f>1</f>
        <v>1</v>
      </c>
      <c r="F378">
        <f>1</f>
        <v>1</v>
      </c>
      <c r="G378">
        <f>1</f>
        <v>1</v>
      </c>
      <c r="H378">
        <f>1</f>
        <v>1</v>
      </c>
      <c r="I378">
        <f>1</f>
        <v>1</v>
      </c>
      <c r="J378">
        <f>1</f>
        <v>1</v>
      </c>
      <c r="K378">
        <f>1</f>
        <v>1</v>
      </c>
      <c r="L378">
        <f>1</f>
        <v>1</v>
      </c>
      <c r="M378">
        <f>1</f>
        <v>1</v>
      </c>
      <c r="N378">
        <f>1</f>
        <v>1</v>
      </c>
      <c r="O378">
        <f>1</f>
        <v>1</v>
      </c>
      <c r="P378">
        <f>1</f>
        <v>1</v>
      </c>
      <c r="Q378">
        <f t="shared" si="1530"/>
        <v>353</v>
      </c>
      <c r="R378" s="1">
        <f t="shared" ref="R378" si="1561">HLOOKUP(Q378,E374:P380,7)</f>
        <v>38934069.824456736</v>
      </c>
    </row>
    <row r="379" spans="2:18" x14ac:dyDescent="0.25">
      <c r="B379" s="16"/>
      <c r="C379" t="s">
        <v>57</v>
      </c>
      <c r="D379" s="10">
        <f t="shared" ref="D379" si="1562">D367*(1+$D$2)</f>
        <v>532.75340708922204</v>
      </c>
      <c r="E379" s="1">
        <f t="shared" ref="E379" si="1563">$D380*1000</f>
        <v>500000</v>
      </c>
      <c r="F379" s="1">
        <f t="shared" ref="F379" si="1564">$D380*1000</f>
        <v>500000</v>
      </c>
      <c r="G379" s="1">
        <f t="shared" ref="G379" si="1565">$D380*1000</f>
        <v>500000</v>
      </c>
      <c r="H379" s="1">
        <f t="shared" ref="H379" si="1566">$D380*1000</f>
        <v>500000</v>
      </c>
      <c r="I379" s="1">
        <f t="shared" ref="I379" si="1567">$D380*1000</f>
        <v>500000</v>
      </c>
      <c r="J379" s="1">
        <f t="shared" ref="J379" si="1568">$D380*1000</f>
        <v>500000</v>
      </c>
      <c r="K379" s="1">
        <f t="shared" ref="K379" si="1569">$D380*1000</f>
        <v>500000</v>
      </c>
      <c r="L379" s="1">
        <f t="shared" ref="L379" si="1570">$D380*1000</f>
        <v>500000</v>
      </c>
      <c r="M379" s="1">
        <f t="shared" ref="M379" si="1571">$D380*1000</f>
        <v>500000</v>
      </c>
      <c r="N379" s="1">
        <f t="shared" ref="N379" si="1572">$D380*1000</f>
        <v>500000</v>
      </c>
      <c r="O379" s="1">
        <f t="shared" ref="O379" si="1573">$D380*1000</f>
        <v>500000</v>
      </c>
      <c r="P379" s="1">
        <f t="shared" ref="P379" si="1574">$D380*1000</f>
        <v>500000</v>
      </c>
      <c r="Q379">
        <f t="shared" si="1530"/>
        <v>354</v>
      </c>
      <c r="R379" s="1">
        <f t="shared" ref="R379" si="1575">HLOOKUP(Q379,E374:P380,7)</f>
        <v>39421322.368226439</v>
      </c>
    </row>
    <row r="380" spans="2:18" x14ac:dyDescent="0.25">
      <c r="B380" s="16"/>
      <c r="C380" t="s">
        <v>56</v>
      </c>
      <c r="D380" s="10">
        <f t="shared" ref="D380" si="1576">IF(D379*(1+$D$2)&gt;D368+50,D368+50,D368)</f>
        <v>500</v>
      </c>
      <c r="E380" s="1">
        <f t="shared" ref="E380" si="1577">-FV($E$29,$E$30,$E$31,D372-E381,1)</f>
        <v>37008094.624274567</v>
      </c>
      <c r="F380" s="1">
        <f t="shared" ref="F380:I380" si="1578">-FV($E$29,$E$30,$E$31,E380,1)</f>
        <v>37486155.061360329</v>
      </c>
      <c r="G380" s="1">
        <f t="shared" si="1578"/>
        <v>37966497.138697036</v>
      </c>
      <c r="H380" s="1">
        <f t="shared" si="1578"/>
        <v>38449131.745874859</v>
      </c>
      <c r="I380" s="1">
        <f t="shared" si="1578"/>
        <v>38934069.824456736</v>
      </c>
      <c r="J380" s="1">
        <f t="shared" ref="J380" si="1579">-FV($E$29,$E$30,$E$31,I380-J381,1)</f>
        <v>39421322.368226439</v>
      </c>
      <c r="K380" s="1">
        <f t="shared" ref="K380:P380" si="1580">-FV($E$29,$E$30,$E$31,J380,1)</f>
        <v>39910900.423437782</v>
      </c>
      <c r="L380" s="1">
        <f t="shared" si="1580"/>
        <v>40402815.089065082</v>
      </c>
      <c r="M380" s="1">
        <f t="shared" si="1580"/>
        <v>40897077.517054752</v>
      </c>
      <c r="N380" s="1">
        <f t="shared" si="1580"/>
        <v>41393698.912578121</v>
      </c>
      <c r="O380" s="1">
        <f t="shared" si="1580"/>
        <v>41892690.534285471</v>
      </c>
      <c r="P380" s="1">
        <f t="shared" si="1580"/>
        <v>42394063.69456128</v>
      </c>
      <c r="Q380">
        <f t="shared" si="1530"/>
        <v>355</v>
      </c>
      <c r="R380" s="1">
        <f t="shared" ref="R380" si="1581">HLOOKUP(Q380,E374:P380,7)</f>
        <v>39910900.423437782</v>
      </c>
    </row>
    <row r="381" spans="2:18" x14ac:dyDescent="0.25">
      <c r="B381" s="16"/>
      <c r="C381" t="s">
        <v>71</v>
      </c>
      <c r="D381">
        <f t="shared" ref="D381" si="1582">$E381</f>
        <v>0</v>
      </c>
      <c r="E381" s="1">
        <f t="shared" ref="E381" si="1583">ROUNDUP(IF(E375&gt;=$E$9,$D$9,IF(E375&gt;=$E$8,$D$8,IF(E375&gt;=$E$7,$D$7,IF(E375&gt;=$E$6,$D$6,IF(E375&gt;=$E$5,$D$5,IF(E375&gt;=$E$4,$D$4,0))))))*1000*(1+$D$2)^$B374,-3)</f>
        <v>0</v>
      </c>
      <c r="J381" s="1">
        <f t="shared" ref="J381" si="1584">ROUNDUP(IF(J375&gt;=$E$9,$D$9,IF(J375&gt;=$E$8,$D$8,IF(J375&gt;=$E$7,$D$7,IF(J375&gt;=$E$6,$D$6,IF(J375&gt;=$E$5,$D$5,IF(J375&gt;=$E$4,$D$4,0))))))*1000*(1+$D$2)^$B374,-3)</f>
        <v>0</v>
      </c>
      <c r="Q381">
        <f t="shared" si="1530"/>
        <v>356</v>
      </c>
      <c r="R381" s="1">
        <f t="shared" ref="R381" si="1585">HLOOKUP(Q381,E374:P380,7)</f>
        <v>40402815.089065082</v>
      </c>
    </row>
    <row r="382" spans="2:18" x14ac:dyDescent="0.25">
      <c r="B382" s="16"/>
      <c r="C382" t="s">
        <v>72</v>
      </c>
      <c r="D382">
        <f t="shared" ref="D382" si="1586">$J381</f>
        <v>0</v>
      </c>
      <c r="Q382">
        <f t="shared" si="1530"/>
        <v>357</v>
      </c>
      <c r="R382" s="1">
        <f t="shared" ref="R382" si="1587">HLOOKUP(Q382,E374:P380,7)</f>
        <v>40897077.517054752</v>
      </c>
    </row>
    <row r="383" spans="2:18" x14ac:dyDescent="0.25">
      <c r="B383" s="16"/>
      <c r="C383" t="s">
        <v>58</v>
      </c>
      <c r="D383">
        <f t="shared" ref="D383" si="1588">D381+D382</f>
        <v>0</v>
      </c>
      <c r="Q383">
        <f t="shared" si="1530"/>
        <v>358</v>
      </c>
      <c r="R383" s="1">
        <f t="shared" ref="R383" si="1589">HLOOKUP(Q383,E374:P380,7)</f>
        <v>41393698.912578121</v>
      </c>
    </row>
    <row r="384" spans="2:18" x14ac:dyDescent="0.25">
      <c r="B384" s="16"/>
      <c r="C384" t="s">
        <v>42</v>
      </c>
      <c r="D384" s="4">
        <f t="shared" ref="D384" si="1590">P380*(1-D376)</f>
        <v>41864137.898379266</v>
      </c>
      <c r="Q384">
        <f t="shared" si="1530"/>
        <v>359</v>
      </c>
      <c r="R384" s="1">
        <f t="shared" ref="R384" si="1591">HLOOKUP(Q384,E374:P380,7)</f>
        <v>41892690.534285471</v>
      </c>
    </row>
    <row r="385" spans="2:18" x14ac:dyDescent="0.25">
      <c r="B385" s="16"/>
      <c r="Q385">
        <f t="shared" si="1530"/>
        <v>360</v>
      </c>
      <c r="R385" s="1">
        <f t="shared" ref="R385" si="1592">HLOOKUP(Q385,E374:P380,7)</f>
        <v>42394063.69456128</v>
      </c>
    </row>
  </sheetData>
  <mergeCells count="30">
    <mergeCell ref="B26:B37"/>
    <mergeCell ref="B38:B49"/>
    <mergeCell ref="B254:B265"/>
    <mergeCell ref="B50:B61"/>
    <mergeCell ref="B134:B145"/>
    <mergeCell ref="B146:B157"/>
    <mergeCell ref="B158:B169"/>
    <mergeCell ref="B170:B181"/>
    <mergeCell ref="B182:B193"/>
    <mergeCell ref="B98:B109"/>
    <mergeCell ref="B110:B121"/>
    <mergeCell ref="B122:B133"/>
    <mergeCell ref="B62:B73"/>
    <mergeCell ref="B74:B85"/>
    <mergeCell ref="B86:B97"/>
    <mergeCell ref="B194:B205"/>
    <mergeCell ref="B206:B217"/>
    <mergeCell ref="B218:B229"/>
    <mergeCell ref="B230:B241"/>
    <mergeCell ref="B242:B253"/>
    <mergeCell ref="B338:B349"/>
    <mergeCell ref="B350:B361"/>
    <mergeCell ref="B362:B373"/>
    <mergeCell ref="B374:B385"/>
    <mergeCell ref="B266:B277"/>
    <mergeCell ref="B278:B289"/>
    <mergeCell ref="B290:B301"/>
    <mergeCell ref="B302:B313"/>
    <mergeCell ref="B314:B325"/>
    <mergeCell ref="B326:B337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9A51-85E8-449D-B8B8-ED2E8449004B}">
  <dimension ref="B2:R385"/>
  <sheetViews>
    <sheetView tabSelected="1" topLeftCell="B1" zoomScale="85" zoomScaleNormal="85" workbookViewId="0">
      <selection activeCell="D4" sqref="D4"/>
    </sheetView>
  </sheetViews>
  <sheetFormatPr defaultRowHeight="15" x14ac:dyDescent="0.25"/>
  <cols>
    <col min="1" max="17" width="18.28515625" customWidth="1"/>
    <col min="18" max="18" width="18.28515625" style="1" customWidth="1"/>
    <col min="19" max="26" width="18.28515625" customWidth="1"/>
  </cols>
  <sheetData>
    <row r="2" spans="2:18" x14ac:dyDescent="0.25">
      <c r="B2" s="11"/>
      <c r="C2" t="s">
        <v>34</v>
      </c>
      <c r="D2" s="5">
        <v>0.02</v>
      </c>
    </row>
    <row r="3" spans="2:18" x14ac:dyDescent="0.25">
      <c r="B3" s="11"/>
      <c r="C3" t="s">
        <v>52</v>
      </c>
      <c r="D3" s="1">
        <v>950</v>
      </c>
    </row>
    <row r="4" spans="2:18" x14ac:dyDescent="0.25">
      <c r="B4" s="11">
        <v>0</v>
      </c>
      <c r="C4" t="s">
        <v>51</v>
      </c>
      <c r="D4" s="1">
        <f>B4*6</f>
        <v>0</v>
      </c>
      <c r="E4">
        <v>6.5</v>
      </c>
    </row>
    <row r="5" spans="2:18" x14ac:dyDescent="0.25">
      <c r="B5" s="11"/>
      <c r="C5" t="s">
        <v>75</v>
      </c>
      <c r="D5" s="1">
        <v>0</v>
      </c>
    </row>
    <row r="6" spans="2:18" x14ac:dyDescent="0.25">
      <c r="B6" s="11">
        <v>0</v>
      </c>
      <c r="C6" t="s">
        <v>36</v>
      </c>
      <c r="D6" s="1">
        <f>B6*6</f>
        <v>0</v>
      </c>
      <c r="E6">
        <f>E4+6</f>
        <v>12.5</v>
      </c>
    </row>
    <row r="7" spans="2:18" x14ac:dyDescent="0.25">
      <c r="B7" s="11"/>
      <c r="C7" t="s">
        <v>75</v>
      </c>
      <c r="D7" s="1">
        <v>0</v>
      </c>
    </row>
    <row r="8" spans="2:18" x14ac:dyDescent="0.25">
      <c r="B8" s="11">
        <v>0</v>
      </c>
      <c r="C8" t="s">
        <v>37</v>
      </c>
      <c r="D8" s="1">
        <f>B8*6</f>
        <v>0</v>
      </c>
      <c r="E8">
        <f>E6+3</f>
        <v>15.5</v>
      </c>
    </row>
    <row r="9" spans="2:18" x14ac:dyDescent="0.25">
      <c r="B9" s="11"/>
      <c r="C9" t="s">
        <v>75</v>
      </c>
      <c r="D9" s="1">
        <v>0</v>
      </c>
    </row>
    <row r="10" spans="2:18" x14ac:dyDescent="0.25">
      <c r="B10" s="11"/>
      <c r="C10" t="s">
        <v>38</v>
      </c>
      <c r="D10" s="1">
        <v>25000</v>
      </c>
      <c r="E10">
        <f>E8+3</f>
        <v>18.5</v>
      </c>
    </row>
    <row r="11" spans="2:18" x14ac:dyDescent="0.25">
      <c r="B11" s="11"/>
      <c r="C11" t="s">
        <v>75</v>
      </c>
      <c r="D11" s="1">
        <v>60000</v>
      </c>
    </row>
    <row r="12" spans="2:18" x14ac:dyDescent="0.25">
      <c r="B12" s="11"/>
      <c r="C12" t="s">
        <v>73</v>
      </c>
      <c r="D12" s="1">
        <v>0</v>
      </c>
      <c r="E12">
        <f>E10+4</f>
        <v>22.5</v>
      </c>
    </row>
    <row r="13" spans="2:18" x14ac:dyDescent="0.25">
      <c r="B13" s="11"/>
      <c r="C13" t="s">
        <v>74</v>
      </c>
      <c r="D13" s="1">
        <v>0</v>
      </c>
      <c r="E13">
        <f>E12+2</f>
        <v>24.5</v>
      </c>
    </row>
    <row r="14" spans="2:18" x14ac:dyDescent="0.25">
      <c r="B14" s="16">
        <v>0</v>
      </c>
      <c r="C14" t="s">
        <v>40</v>
      </c>
      <c r="D14" s="2">
        <f>5.88%</f>
        <v>5.8799999999999998E-2</v>
      </c>
      <c r="E14">
        <f>($B14*12)+1</f>
        <v>1</v>
      </c>
      <c r="F14">
        <f>E14+1</f>
        <v>2</v>
      </c>
      <c r="G14">
        <f t="shared" ref="G14:P14" si="0">F14+1</f>
        <v>3</v>
      </c>
      <c r="H14">
        <f t="shared" si="0"/>
        <v>4</v>
      </c>
      <c r="I14">
        <f t="shared" si="0"/>
        <v>5</v>
      </c>
      <c r="J14">
        <f t="shared" si="0"/>
        <v>6</v>
      </c>
      <c r="K14">
        <f t="shared" si="0"/>
        <v>7</v>
      </c>
      <c r="L14">
        <f t="shared" si="0"/>
        <v>8</v>
      </c>
      <c r="M14">
        <f t="shared" si="0"/>
        <v>9</v>
      </c>
      <c r="N14">
        <f t="shared" si="0"/>
        <v>10</v>
      </c>
      <c r="O14">
        <f t="shared" si="0"/>
        <v>11</v>
      </c>
      <c r="P14">
        <f t="shared" si="0"/>
        <v>12</v>
      </c>
      <c r="Q14">
        <f>1</f>
        <v>1</v>
      </c>
      <c r="R14" s="1">
        <f>HLOOKUP(Q14,E14:P20,7)</f>
        <v>954534.06739033549</v>
      </c>
    </row>
    <row r="15" spans="2:18" x14ac:dyDescent="0.25">
      <c r="B15" s="16"/>
      <c r="C15" t="s">
        <v>41</v>
      </c>
      <c r="D15" s="3">
        <f>(1+D14)^(1/12)-1</f>
        <v>4.7727025161425907E-3</v>
      </c>
      <c r="E15">
        <f>E14/12</f>
        <v>8.3333333333333329E-2</v>
      </c>
      <c r="F15">
        <f t="shared" ref="F15:P15" si="1">F14/12</f>
        <v>0.16666666666666666</v>
      </c>
      <c r="G15">
        <f t="shared" si="1"/>
        <v>0.25</v>
      </c>
      <c r="H15">
        <f t="shared" si="1"/>
        <v>0.33333333333333331</v>
      </c>
      <c r="I15">
        <f t="shared" si="1"/>
        <v>0.41666666666666669</v>
      </c>
      <c r="J15">
        <f t="shared" si="1"/>
        <v>0.5</v>
      </c>
      <c r="K15">
        <f t="shared" si="1"/>
        <v>0.58333333333333337</v>
      </c>
      <c r="L15">
        <f t="shared" si="1"/>
        <v>0.66666666666666663</v>
      </c>
      <c r="M15">
        <f t="shared" si="1"/>
        <v>0.75</v>
      </c>
      <c r="N15">
        <f t="shared" si="1"/>
        <v>0.83333333333333337</v>
      </c>
      <c r="O15">
        <f t="shared" si="1"/>
        <v>0.91666666666666663</v>
      </c>
      <c r="P15">
        <f t="shared" si="1"/>
        <v>1</v>
      </c>
      <c r="Q15">
        <f>Q14+1</f>
        <v>2</v>
      </c>
      <c r="R15" s="1">
        <f>HLOOKUP(Q15,E14:P20,7)</f>
        <v>1913623.8419258487</v>
      </c>
    </row>
    <row r="16" spans="2:18" x14ac:dyDescent="0.25">
      <c r="B16" s="16"/>
      <c r="C16" t="s">
        <v>53</v>
      </c>
      <c r="D16" s="2">
        <f>1.25%</f>
        <v>1.2500000000000001E-2</v>
      </c>
      <c r="E16" t="s">
        <v>59</v>
      </c>
      <c r="F16" t="s">
        <v>60</v>
      </c>
      <c r="G16" t="s">
        <v>61</v>
      </c>
      <c r="H16" t="s">
        <v>62</v>
      </c>
      <c r="I16" t="s">
        <v>63</v>
      </c>
      <c r="J16" t="s">
        <v>64</v>
      </c>
      <c r="K16" t="s">
        <v>65</v>
      </c>
      <c r="L16" t="s">
        <v>66</v>
      </c>
      <c r="M16" t="s">
        <v>67</v>
      </c>
      <c r="N16" t="s">
        <v>68</v>
      </c>
      <c r="O16" t="s">
        <v>69</v>
      </c>
      <c r="P16" t="s">
        <v>70</v>
      </c>
      <c r="Q16">
        <f t="shared" ref="Q16:Q79" si="2">Q15+1</f>
        <v>3</v>
      </c>
      <c r="R16" s="1">
        <f>HLOOKUP(Q16,E14:P20,7)</f>
        <v>2877291.0666414942</v>
      </c>
    </row>
    <row r="17" spans="2:18" x14ac:dyDescent="0.25">
      <c r="B17" s="16"/>
      <c r="C17" t="s">
        <v>54</v>
      </c>
      <c r="D17">
        <f>1</f>
        <v>1</v>
      </c>
      <c r="E17" s="2">
        <f>$D15</f>
        <v>4.7727025161425907E-3</v>
      </c>
      <c r="F17" s="2">
        <f t="shared" ref="F17:P17" si="3">$D15</f>
        <v>4.7727025161425907E-3</v>
      </c>
      <c r="G17" s="2">
        <f t="shared" si="3"/>
        <v>4.7727025161425907E-3</v>
      </c>
      <c r="H17" s="2">
        <f t="shared" si="3"/>
        <v>4.7727025161425907E-3</v>
      </c>
      <c r="I17" s="2">
        <f t="shared" si="3"/>
        <v>4.7727025161425907E-3</v>
      </c>
      <c r="J17" s="2">
        <f t="shared" si="3"/>
        <v>4.7727025161425907E-3</v>
      </c>
      <c r="K17" s="2">
        <f t="shared" si="3"/>
        <v>4.7727025161425907E-3</v>
      </c>
      <c r="L17" s="2">
        <f t="shared" si="3"/>
        <v>4.7727025161425907E-3</v>
      </c>
      <c r="M17" s="2">
        <f t="shared" si="3"/>
        <v>4.7727025161425907E-3</v>
      </c>
      <c r="N17" s="2">
        <f t="shared" si="3"/>
        <v>4.7727025161425907E-3</v>
      </c>
      <c r="O17" s="2">
        <f t="shared" si="3"/>
        <v>4.7727025161425907E-3</v>
      </c>
      <c r="P17" s="2">
        <f t="shared" si="3"/>
        <v>4.7727025161425907E-3</v>
      </c>
      <c r="Q17">
        <f t="shared" si="2"/>
        <v>4</v>
      </c>
      <c r="R17" s="1">
        <f>HLOOKUP(Q17,E14:P20,7)</f>
        <v>3845557.5883452641</v>
      </c>
    </row>
    <row r="18" spans="2:18" x14ac:dyDescent="0.25">
      <c r="B18" s="16"/>
      <c r="C18" t="s">
        <v>55</v>
      </c>
      <c r="D18">
        <f>D17*12</f>
        <v>12</v>
      </c>
      <c r="E18">
        <f>1</f>
        <v>1</v>
      </c>
      <c r="F18">
        <f>1</f>
        <v>1</v>
      </c>
      <c r="G18">
        <f>1</f>
        <v>1</v>
      </c>
      <c r="H18">
        <f>1</f>
        <v>1</v>
      </c>
      <c r="I18">
        <f>1</f>
        <v>1</v>
      </c>
      <c r="J18">
        <f>1</f>
        <v>1</v>
      </c>
      <c r="K18">
        <f>1</f>
        <v>1</v>
      </c>
      <c r="L18">
        <f>1</f>
        <v>1</v>
      </c>
      <c r="M18">
        <f>1</f>
        <v>1</v>
      </c>
      <c r="N18">
        <f>1</f>
        <v>1</v>
      </c>
      <c r="O18">
        <f>1</f>
        <v>1</v>
      </c>
      <c r="P18">
        <f>1</f>
        <v>1</v>
      </c>
      <c r="Q18">
        <f t="shared" si="2"/>
        <v>5</v>
      </c>
      <c r="R18" s="1">
        <f>HLOOKUP(Q18,E14:P20,7)</f>
        <v>4818445.3581134658</v>
      </c>
    </row>
    <row r="19" spans="2:18" x14ac:dyDescent="0.25">
      <c r="B19" s="16"/>
      <c r="C19" t="s">
        <v>57</v>
      </c>
      <c r="D19" s="14">
        <f>D3</f>
        <v>950</v>
      </c>
      <c r="E19" s="1">
        <f>IF(E15&lt;6.5,$D20*1000,IF($D21=0,0,$D20*1000))</f>
        <v>950000</v>
      </c>
      <c r="F19" s="1">
        <f>IF(F15&lt;6.5,$D20*1000,IF($D21=0,0,$D20*1000))</f>
        <v>950000</v>
      </c>
      <c r="G19" s="1">
        <f t="shared" ref="G19:I19" si="4">IF(G15&lt;6.5,$D20*1000,IF($D21=0,0,$D20*1000))</f>
        <v>950000</v>
      </c>
      <c r="H19" s="1">
        <f t="shared" si="4"/>
        <v>950000</v>
      </c>
      <c r="I19" s="1">
        <f t="shared" si="4"/>
        <v>950000</v>
      </c>
      <c r="J19" s="1">
        <f>IF(J15&lt;6.5,$D20*1000,IF($D22=0,0,$D20*1000))</f>
        <v>950000</v>
      </c>
      <c r="K19" s="1">
        <f>IF(K15&lt;6.5,$D20*1000,IF($D22=0,0,$D20*1000))</f>
        <v>950000</v>
      </c>
      <c r="L19" s="1">
        <f t="shared" ref="L19:P19" si="5">IF(L15&lt;6.5,$D20*1000,IF($D22=0,0,$D20*1000))</f>
        <v>950000</v>
      </c>
      <c r="M19" s="1">
        <f t="shared" si="5"/>
        <v>950000</v>
      </c>
      <c r="N19" s="1">
        <f t="shared" si="5"/>
        <v>950000</v>
      </c>
      <c r="O19" s="1">
        <f t="shared" si="5"/>
        <v>950000</v>
      </c>
      <c r="P19" s="1">
        <f t="shared" si="5"/>
        <v>950000</v>
      </c>
      <c r="Q19">
        <f t="shared" si="2"/>
        <v>6</v>
      </c>
      <c r="R19" s="1">
        <f>HLOOKUP(Q19,E14:P20,7)</f>
        <v>5795976.4317883654</v>
      </c>
    </row>
    <row r="20" spans="2:18" x14ac:dyDescent="0.25">
      <c r="B20" s="16"/>
      <c r="C20" t="s">
        <v>56</v>
      </c>
      <c r="D20" s="14">
        <f>ROUND(D19,-1)</f>
        <v>950</v>
      </c>
      <c r="E20" s="1">
        <f>-FV($E$17,$E$18,$E$19,0-E21,1)</f>
        <v>954534.06739033549</v>
      </c>
      <c r="F20" s="1">
        <f t="shared" ref="F20:P20" si="6">-FV($E$17,$E$18,$E$19,E20,1)</f>
        <v>1913623.8419258487</v>
      </c>
      <c r="G20" s="1">
        <f t="shared" si="6"/>
        <v>2877291.0666414942</v>
      </c>
      <c r="H20" s="1">
        <f t="shared" si="6"/>
        <v>3845557.5883452641</v>
      </c>
      <c r="I20" s="1">
        <f t="shared" si="6"/>
        <v>4818445.3581134658</v>
      </c>
      <c r="J20" s="1">
        <f>-FV($E$17,$E$18,$E$19,I20-J21-J22,1)</f>
        <v>5795976.4317883654</v>
      </c>
      <c r="K20" s="1">
        <f t="shared" si="6"/>
        <v>6778172.9704782004</v>
      </c>
      <c r="L20" s="1">
        <f t="shared" si="6"/>
        <v>7765057.2410595873</v>
      </c>
      <c r="M20" s="1">
        <f t="shared" si="6"/>
        <v>8756651.616682319</v>
      </c>
      <c r="N20" s="1">
        <f t="shared" si="6"/>
        <v>9752978.5772765782</v>
      </c>
      <c r="O20" s="1">
        <f t="shared" si="6"/>
        <v>10754060.710062567</v>
      </c>
      <c r="P20" s="1">
        <f t="shared" si="6"/>
        <v>11759920.710062569</v>
      </c>
      <c r="Q20">
        <f t="shared" si="2"/>
        <v>7</v>
      </c>
      <c r="R20" s="1">
        <f>HLOOKUP(Q20,E14:P20,7)</f>
        <v>6778172.9704782004</v>
      </c>
    </row>
    <row r="21" spans="2:18" x14ac:dyDescent="0.25">
      <c r="B21" s="16"/>
      <c r="C21" t="s">
        <v>71</v>
      </c>
      <c r="D21">
        <f>$E21</f>
        <v>0</v>
      </c>
      <c r="E21" s="1">
        <f>ROUNDUP(IF(E15&gt;=$E$13,$D$13,IF(E15&gt;=$E$12,$D$12,IF(E15&gt;=$E$10,$D$10,IF(E15&gt;=$E$8,$D$8,IF(E15&gt;=$E$6,$D$6,IF(E15&gt;=$E$4,$D$4,0))))))*1000*(1+$D$2)^$B14,-3)</f>
        <v>0</v>
      </c>
      <c r="J21" s="1">
        <f>ROUNDUP(IF(J15&gt;=$E$13,$D$13,IF(J15&gt;=$E$12,$D$12,IF(J15&gt;=$E$10,$D$10,IF(J15&gt;=$E$8,$D$8,IF(J15&gt;=$E$6,$D$6,IF(J15&gt;=$E$4,$D$4,0))))))*1000*(1+$D$2)^$B14,-3)</f>
        <v>0</v>
      </c>
      <c r="Q21">
        <f t="shared" si="2"/>
        <v>8</v>
      </c>
      <c r="R21" s="1">
        <f>HLOOKUP(Q21,E14:P20,7)</f>
        <v>7765057.2410595873</v>
      </c>
    </row>
    <row r="22" spans="2:18" x14ac:dyDescent="0.25">
      <c r="B22" s="16"/>
      <c r="C22" t="s">
        <v>72</v>
      </c>
      <c r="D22">
        <f>$J21</f>
        <v>0</v>
      </c>
      <c r="J22" s="9">
        <f>IF(J15=$E$4,$D$5,IF(J15=$E$6,$D$7,IF(J15=$E$8,$D$9,IF(J15=$E$10,$D$11,0))))</f>
        <v>0</v>
      </c>
      <c r="Q22">
        <f t="shared" si="2"/>
        <v>9</v>
      </c>
      <c r="R22" s="1">
        <f>HLOOKUP(Q22,E14:P20,7)</f>
        <v>8756651.616682319</v>
      </c>
    </row>
    <row r="23" spans="2:18" x14ac:dyDescent="0.25">
      <c r="B23" s="16"/>
      <c r="C23" t="s">
        <v>58</v>
      </c>
      <c r="D23">
        <f>D21+D22</f>
        <v>0</v>
      </c>
      <c r="Q23">
        <f t="shared" si="2"/>
        <v>10</v>
      </c>
      <c r="R23" s="1">
        <f>HLOOKUP(Q23,E14:P20,7)</f>
        <v>9752978.5772765782</v>
      </c>
    </row>
    <row r="24" spans="2:18" x14ac:dyDescent="0.25">
      <c r="B24" s="16"/>
      <c r="C24" t="s">
        <v>42</v>
      </c>
      <c r="D24" s="4">
        <f>P20*(1-D16)</f>
        <v>11612921.701186787</v>
      </c>
      <c r="Q24">
        <f t="shared" si="2"/>
        <v>11</v>
      </c>
      <c r="R24" s="1">
        <f>HLOOKUP(Q24,E14:P20,7)</f>
        <v>10754060.710062567</v>
      </c>
    </row>
    <row r="25" spans="2:18" x14ac:dyDescent="0.25">
      <c r="B25" s="16"/>
      <c r="Q25">
        <f t="shared" si="2"/>
        <v>12</v>
      </c>
      <c r="R25" s="1">
        <f>HLOOKUP(Q25,E14:P20,7)</f>
        <v>11759920.710062569</v>
      </c>
    </row>
    <row r="26" spans="2:18" x14ac:dyDescent="0.25">
      <c r="B26" s="16">
        <f>B14+1</f>
        <v>1</v>
      </c>
      <c r="C26" t="s">
        <v>40</v>
      </c>
      <c r="D26" s="2">
        <f>5.88%</f>
        <v>5.8799999999999998E-2</v>
      </c>
      <c r="E26">
        <f>($B26*12)+1</f>
        <v>13</v>
      </c>
      <c r="F26">
        <f>E26+1</f>
        <v>14</v>
      </c>
      <c r="G26">
        <f t="shared" ref="G26:P26" si="7">F26+1</f>
        <v>15</v>
      </c>
      <c r="H26">
        <f t="shared" si="7"/>
        <v>16</v>
      </c>
      <c r="I26">
        <f t="shared" si="7"/>
        <v>17</v>
      </c>
      <c r="J26">
        <f t="shared" si="7"/>
        <v>18</v>
      </c>
      <c r="K26">
        <f t="shared" si="7"/>
        <v>19</v>
      </c>
      <c r="L26">
        <f t="shared" si="7"/>
        <v>20</v>
      </c>
      <c r="M26">
        <f t="shared" si="7"/>
        <v>21</v>
      </c>
      <c r="N26">
        <f t="shared" si="7"/>
        <v>22</v>
      </c>
      <c r="O26">
        <f t="shared" si="7"/>
        <v>23</v>
      </c>
      <c r="P26">
        <f t="shared" si="7"/>
        <v>24</v>
      </c>
      <c r="Q26">
        <f t="shared" si="2"/>
        <v>13</v>
      </c>
      <c r="R26" s="1">
        <f>HLOOKUP(Q26,E26:P32,7)</f>
        <v>12622880.789200144</v>
      </c>
    </row>
    <row r="27" spans="2:18" x14ac:dyDescent="0.25">
      <c r="B27" s="16"/>
      <c r="C27" t="s">
        <v>41</v>
      </c>
      <c r="D27" s="3">
        <f>(1+D26)^(1/12)-1</f>
        <v>4.7727025161425907E-3</v>
      </c>
      <c r="E27">
        <f>E26/12</f>
        <v>1.0833333333333333</v>
      </c>
      <c r="F27">
        <f t="shared" ref="F27:P27" si="8">F26/12</f>
        <v>1.1666666666666667</v>
      </c>
      <c r="G27">
        <f t="shared" si="8"/>
        <v>1.25</v>
      </c>
      <c r="H27">
        <f t="shared" si="8"/>
        <v>1.3333333333333333</v>
      </c>
      <c r="I27">
        <f t="shared" si="8"/>
        <v>1.4166666666666667</v>
      </c>
      <c r="J27">
        <f t="shared" si="8"/>
        <v>1.5</v>
      </c>
      <c r="K27">
        <f t="shared" si="8"/>
        <v>1.5833333333333333</v>
      </c>
      <c r="L27">
        <f t="shared" si="8"/>
        <v>1.6666666666666667</v>
      </c>
      <c r="M27">
        <f t="shared" si="8"/>
        <v>1.75</v>
      </c>
      <c r="N27">
        <f t="shared" si="8"/>
        <v>1.8333333333333333</v>
      </c>
      <c r="O27">
        <f t="shared" si="8"/>
        <v>1.9166666666666667</v>
      </c>
      <c r="P27">
        <f t="shared" si="8"/>
        <v>2</v>
      </c>
      <c r="Q27">
        <f t="shared" si="2"/>
        <v>14</v>
      </c>
      <c r="R27" s="1">
        <f>HLOOKUP(Q27,E26:P32,7)</f>
        <v>13637660.111494062</v>
      </c>
    </row>
    <row r="28" spans="2:18" x14ac:dyDescent="0.25">
      <c r="B28" s="16"/>
      <c r="C28" t="s">
        <v>53</v>
      </c>
      <c r="D28" s="2">
        <f>1.25%</f>
        <v>1.2500000000000001E-2</v>
      </c>
      <c r="E28" t="s">
        <v>59</v>
      </c>
      <c r="F28" t="s">
        <v>60</v>
      </c>
      <c r="G28" t="s">
        <v>61</v>
      </c>
      <c r="H28" t="s">
        <v>62</v>
      </c>
      <c r="I28" t="s">
        <v>63</v>
      </c>
      <c r="J28" t="s">
        <v>64</v>
      </c>
      <c r="K28" t="s">
        <v>65</v>
      </c>
      <c r="L28" t="s">
        <v>66</v>
      </c>
      <c r="M28" t="s">
        <v>67</v>
      </c>
      <c r="N28" t="s">
        <v>68</v>
      </c>
      <c r="O28" t="s">
        <v>69</v>
      </c>
      <c r="P28" t="s">
        <v>70</v>
      </c>
      <c r="Q28">
        <f t="shared" si="2"/>
        <v>15</v>
      </c>
      <c r="R28" s="1">
        <f>HLOOKUP(Q28,E26:P32,7)</f>
        <v>14657282.673612824</v>
      </c>
    </row>
    <row r="29" spans="2:18" x14ac:dyDescent="0.25">
      <c r="B29" s="16"/>
      <c r="C29" t="s">
        <v>54</v>
      </c>
      <c r="D29">
        <f>1</f>
        <v>1</v>
      </c>
      <c r="E29" s="2">
        <f>$D15</f>
        <v>4.7727025161425907E-3</v>
      </c>
      <c r="F29" s="2">
        <f t="shared" ref="F29:P29" si="9">$D15</f>
        <v>4.7727025161425907E-3</v>
      </c>
      <c r="G29" s="2">
        <f t="shared" si="9"/>
        <v>4.7727025161425907E-3</v>
      </c>
      <c r="H29" s="2">
        <f t="shared" si="9"/>
        <v>4.7727025161425907E-3</v>
      </c>
      <c r="I29" s="2">
        <f t="shared" si="9"/>
        <v>4.7727025161425907E-3</v>
      </c>
      <c r="J29" s="2">
        <f t="shared" si="9"/>
        <v>4.7727025161425907E-3</v>
      </c>
      <c r="K29" s="2">
        <f t="shared" si="9"/>
        <v>4.7727025161425907E-3</v>
      </c>
      <c r="L29" s="2">
        <f t="shared" si="9"/>
        <v>4.7727025161425907E-3</v>
      </c>
      <c r="M29" s="2">
        <f t="shared" si="9"/>
        <v>4.7727025161425907E-3</v>
      </c>
      <c r="N29" s="2">
        <f t="shared" si="9"/>
        <v>4.7727025161425907E-3</v>
      </c>
      <c r="O29" s="2">
        <f t="shared" si="9"/>
        <v>4.7727025161425907E-3</v>
      </c>
      <c r="P29" s="2">
        <f t="shared" si="9"/>
        <v>4.7727025161425907E-3</v>
      </c>
      <c r="Q29">
        <f t="shared" si="2"/>
        <v>16</v>
      </c>
      <c r="R29" s="1">
        <f>HLOOKUP(Q29,E26:P32,7)</f>
        <v>15681771.590899324</v>
      </c>
    </row>
    <row r="30" spans="2:18" x14ac:dyDescent="0.25">
      <c r="B30" s="16"/>
      <c r="C30" t="s">
        <v>55</v>
      </c>
      <c r="D30">
        <f>D29*12</f>
        <v>12</v>
      </c>
      <c r="E30">
        <f>1</f>
        <v>1</v>
      </c>
      <c r="F30">
        <f>1</f>
        <v>1</v>
      </c>
      <c r="G30">
        <f>1</f>
        <v>1</v>
      </c>
      <c r="H30">
        <f>1</f>
        <v>1</v>
      </c>
      <c r="I30">
        <f>1</f>
        <v>1</v>
      </c>
      <c r="J30">
        <f>1</f>
        <v>1</v>
      </c>
      <c r="K30">
        <f>1</f>
        <v>1</v>
      </c>
      <c r="L30">
        <f>1</f>
        <v>1</v>
      </c>
      <c r="M30">
        <f>1</f>
        <v>1</v>
      </c>
      <c r="N30">
        <f>1</f>
        <v>1</v>
      </c>
      <c r="O30">
        <f>1</f>
        <v>1</v>
      </c>
      <c r="P30">
        <f>1</f>
        <v>1</v>
      </c>
      <c r="Q30">
        <f t="shared" si="2"/>
        <v>17</v>
      </c>
      <c r="R30" s="1">
        <f>HLOOKUP(Q30,E26:P32,7)</f>
        <v>16711150.089019118</v>
      </c>
    </row>
    <row r="31" spans="2:18" x14ac:dyDescent="0.25">
      <c r="B31" s="16"/>
      <c r="C31" t="s">
        <v>57</v>
      </c>
      <c r="D31" s="10">
        <f>D19*(1+$D$2)</f>
        <v>969</v>
      </c>
      <c r="E31" s="1">
        <f>IF(E27&lt;6.5,$D32*1000,IF($D33=0,0,$D32*1000))</f>
        <v>970000</v>
      </c>
      <c r="F31" s="1">
        <f>IF(F27&lt;6.5,$D32*1000,IF($D33=0,0,$D32*1000))</f>
        <v>970000</v>
      </c>
      <c r="G31" s="1">
        <f t="shared" ref="G31" si="10">IF(G27&lt;6.5,$D32*1000,IF($D33=0,0,$D32*1000))</f>
        <v>970000</v>
      </c>
      <c r="H31" s="1">
        <f t="shared" ref="H31" si="11">IF(H27&lt;6.5,$D32*1000,IF($D33=0,0,$D32*1000))</f>
        <v>970000</v>
      </c>
      <c r="I31" s="1">
        <f t="shared" ref="I31" si="12">IF(I27&lt;6.5,$D32*1000,IF($D33=0,0,$D32*1000))</f>
        <v>970000</v>
      </c>
      <c r="J31" s="1">
        <f>IF(J27&lt;6.5,$D32*1000,IF($D34=0,0,$D32*1000))</f>
        <v>970000</v>
      </c>
      <c r="K31" s="1">
        <f>IF(K27&lt;6.5,$D32*1000,IF($D34=0,0,$D32*1000))</f>
        <v>970000</v>
      </c>
      <c r="L31" s="1">
        <f t="shared" ref="L31" si="13">IF(L27&lt;6.5,$D32*1000,IF($D34=0,0,$D32*1000))</f>
        <v>970000</v>
      </c>
      <c r="M31" s="1">
        <f t="shared" ref="M31" si="14">IF(M27&lt;6.5,$D32*1000,IF($D34=0,0,$D32*1000))</f>
        <v>970000</v>
      </c>
      <c r="N31" s="1">
        <f t="shared" ref="N31" si="15">IF(N27&lt;6.5,$D32*1000,IF($D34=0,0,$D32*1000))</f>
        <v>970000</v>
      </c>
      <c r="O31" s="1">
        <f t="shared" ref="O31" si="16">IF(O27&lt;6.5,$D32*1000,IF($D34=0,0,$D32*1000))</f>
        <v>970000</v>
      </c>
      <c r="P31" s="1">
        <f t="shared" ref="P31" si="17">IF(P27&lt;6.5,$D32*1000,IF($D34=0,0,$D32*1000))</f>
        <v>970000</v>
      </c>
      <c r="Q31">
        <f t="shared" si="2"/>
        <v>18</v>
      </c>
      <c r="R31" s="1">
        <f>HLOOKUP(Q31,E26:P32,7)</f>
        <v>17745441.504486948</v>
      </c>
    </row>
    <row r="32" spans="2:18" x14ac:dyDescent="0.25">
      <c r="B32" s="16"/>
      <c r="C32" t="s">
        <v>56</v>
      </c>
      <c r="D32" s="10">
        <f>ROUND(D31,-1)</f>
        <v>970</v>
      </c>
      <c r="E32" s="1">
        <f>-FV($E$17,$E$18,$E$19,D24-E33,1)</f>
        <v>12622880.789200144</v>
      </c>
      <c r="F32" s="1">
        <f>-FV($E$17,$E$18,$E$19,E32,1)</f>
        <v>13637660.111494062</v>
      </c>
      <c r="G32" s="1">
        <f>-FV($E$17,$E$18,$E$19,F32,1)</f>
        <v>14657282.673612824</v>
      </c>
      <c r="H32" s="1">
        <f>-FV($E$17,$E$18,$E$19,G32,1)</f>
        <v>15681771.590899324</v>
      </c>
      <c r="I32" s="1">
        <f>-FV($E$17,$E$18,$E$19,H32,1)</f>
        <v>16711150.089019118</v>
      </c>
      <c r="J32" s="1">
        <f>-FV($E$17,$E$18,$E$19,I32-J33-J34,1)</f>
        <v>17745441.504486948</v>
      </c>
      <c r="K32" s="1">
        <f t="shared" ref="K32:P32" si="18">-FV($E$17,$E$18,$E$19,J32,1)</f>
        <v>18784669.285195809</v>
      </c>
      <c r="L32" s="1">
        <f t="shared" si="18"/>
        <v>19828856.990948502</v>
      </c>
      <c r="M32" s="1">
        <f t="shared" si="18"/>
        <v>20878028.293991767</v>
      </c>
      <c r="N32" s="1">
        <f t="shared" si="18"/>
        <v>21932206.979552932</v>
      </c>
      <c r="O32" s="1">
        <f t="shared" si="18"/>
        <v>22991416.94637914</v>
      </c>
      <c r="P32" s="1">
        <f t="shared" si="18"/>
        <v>24055682.207279142</v>
      </c>
      <c r="Q32">
        <f t="shared" si="2"/>
        <v>19</v>
      </c>
      <c r="R32" s="1">
        <f>HLOOKUP(Q32,E26:P32,7)</f>
        <v>18784669.285195809</v>
      </c>
    </row>
    <row r="33" spans="2:18" x14ac:dyDescent="0.25">
      <c r="B33" s="16"/>
      <c r="C33" t="s">
        <v>71</v>
      </c>
      <c r="D33">
        <f>$E33</f>
        <v>0</v>
      </c>
      <c r="E33" s="1">
        <f>ROUNDUP(IF(E27&gt;=$E$13,$D$13,IF(E27&gt;=$E$12,$D$12,IF(E27&gt;=$E$10,$D$10,IF(E27&gt;=$E$8,$D$8,IF(E27&gt;=$E$6,$D$6,IF(E27&gt;=$E$4,$D$4,0))))))*1000*(1+$D$2)^$B26,-3)</f>
        <v>0</v>
      </c>
      <c r="J33" s="1">
        <f>ROUNDUP(IF(J27&gt;=$E$13,$D$13,IF(J27&gt;=$E$12,$D$12,IF(J27&gt;=$E$10,$D$10,IF(J27&gt;=$E$8,$D$8,IF(J27&gt;=$E$6,$D$6,IF(J27&gt;=$E$4,$D$4,0))))))*1000*(1+$D$2)^$B26,-3)</f>
        <v>0</v>
      </c>
      <c r="Q33">
        <f t="shared" si="2"/>
        <v>20</v>
      </c>
      <c r="R33" s="1">
        <f>HLOOKUP(Q33,E26:P32,7)</f>
        <v>19828856.990948502</v>
      </c>
    </row>
    <row r="34" spans="2:18" x14ac:dyDescent="0.25">
      <c r="B34" s="16"/>
      <c r="C34" t="s">
        <v>72</v>
      </c>
      <c r="D34">
        <f>$J33</f>
        <v>0</v>
      </c>
      <c r="J34" s="1">
        <f>ROUND(IF(J27=$E$4,$D$5,IF(J27=$E$6,$D$7,IF(J27=$E$8,$D$9,IF(J27=$E$10,$D$11,0))))*1000*(1+$D$2)^$B26,-4)</f>
        <v>0</v>
      </c>
      <c r="Q34">
        <f t="shared" si="2"/>
        <v>21</v>
      </c>
      <c r="R34" s="1">
        <f>HLOOKUP(Q34,E26:P32,7)</f>
        <v>20878028.293991767</v>
      </c>
    </row>
    <row r="35" spans="2:18" x14ac:dyDescent="0.25">
      <c r="B35" s="16"/>
      <c r="C35" t="s">
        <v>58</v>
      </c>
      <c r="D35">
        <f>D33+D34</f>
        <v>0</v>
      </c>
      <c r="Q35">
        <f t="shared" si="2"/>
        <v>22</v>
      </c>
      <c r="R35" s="1">
        <f>HLOOKUP(Q35,E26:P32,7)</f>
        <v>21932206.979552932</v>
      </c>
    </row>
    <row r="36" spans="2:18" x14ac:dyDescent="0.25">
      <c r="B36" s="16"/>
      <c r="C36" t="s">
        <v>42</v>
      </c>
      <c r="D36" s="4">
        <f>P32*(1-D28)</f>
        <v>23754986.179688152</v>
      </c>
      <c r="Q36">
        <f t="shared" si="2"/>
        <v>23</v>
      </c>
      <c r="R36" s="1">
        <f>HLOOKUP(Q36,E26:P32,7)</f>
        <v>22991416.94637914</v>
      </c>
    </row>
    <row r="37" spans="2:18" x14ac:dyDescent="0.25">
      <c r="B37" s="16"/>
      <c r="Q37">
        <f t="shared" si="2"/>
        <v>24</v>
      </c>
      <c r="R37" s="1">
        <f>HLOOKUP(Q37,E26:P32,7)</f>
        <v>24055682.207279142</v>
      </c>
    </row>
    <row r="38" spans="2:18" x14ac:dyDescent="0.25">
      <c r="B38" s="16">
        <f t="shared" ref="B38" si="19">B26+1</f>
        <v>2</v>
      </c>
      <c r="C38" t="s">
        <v>40</v>
      </c>
      <c r="D38" s="2">
        <f t="shared" ref="D38" si="20">5.88%</f>
        <v>5.8799999999999998E-2</v>
      </c>
      <c r="E38">
        <f t="shared" ref="E38" si="21">($B38*12)+1</f>
        <v>25</v>
      </c>
      <c r="F38">
        <f t="shared" ref="F38" si="22">E38+1</f>
        <v>26</v>
      </c>
      <c r="G38">
        <f t="shared" ref="G38" si="23">F38+1</f>
        <v>27</v>
      </c>
      <c r="H38">
        <f t="shared" ref="H38" si="24">G38+1</f>
        <v>28</v>
      </c>
      <c r="I38">
        <f t="shared" ref="I38" si="25">H38+1</f>
        <v>29</v>
      </c>
      <c r="J38">
        <f t="shared" ref="J38" si="26">I38+1</f>
        <v>30</v>
      </c>
      <c r="K38">
        <f t="shared" ref="K38" si="27">J38+1</f>
        <v>31</v>
      </c>
      <c r="L38">
        <f t="shared" ref="L38" si="28">K38+1</f>
        <v>32</v>
      </c>
      <c r="M38">
        <f t="shared" ref="M38" si="29">L38+1</f>
        <v>33</v>
      </c>
      <c r="N38">
        <f t="shared" ref="N38" si="30">M38+1</f>
        <v>34</v>
      </c>
      <c r="O38">
        <f t="shared" ref="O38" si="31">N38+1</f>
        <v>35</v>
      </c>
      <c r="P38">
        <f t="shared" ref="P38" si="32">O38+1</f>
        <v>36</v>
      </c>
      <c r="Q38">
        <f t="shared" si="2"/>
        <v>25</v>
      </c>
      <c r="R38" s="1">
        <f t="shared" ref="R38" si="33">HLOOKUP(Q38,E38:P44,7)</f>
        <v>24822895.729389217</v>
      </c>
    </row>
    <row r="39" spans="2:18" x14ac:dyDescent="0.25">
      <c r="B39" s="16"/>
      <c r="C39" t="s">
        <v>41</v>
      </c>
      <c r="D39" s="3">
        <f t="shared" ref="D39" si="34">(1+D38)^(1/12)-1</f>
        <v>4.7727025161425907E-3</v>
      </c>
      <c r="E39">
        <f t="shared" ref="E39:P39" si="35">E38/12</f>
        <v>2.0833333333333335</v>
      </c>
      <c r="F39">
        <f t="shared" si="35"/>
        <v>2.1666666666666665</v>
      </c>
      <c r="G39">
        <f t="shared" si="35"/>
        <v>2.25</v>
      </c>
      <c r="H39">
        <f t="shared" si="35"/>
        <v>2.3333333333333335</v>
      </c>
      <c r="I39">
        <f t="shared" si="35"/>
        <v>2.4166666666666665</v>
      </c>
      <c r="J39">
        <f t="shared" si="35"/>
        <v>2.5</v>
      </c>
      <c r="K39">
        <f t="shared" si="35"/>
        <v>2.5833333333333335</v>
      </c>
      <c r="L39">
        <f t="shared" si="35"/>
        <v>2.6666666666666665</v>
      </c>
      <c r="M39">
        <f t="shared" si="35"/>
        <v>2.75</v>
      </c>
      <c r="N39">
        <f t="shared" si="35"/>
        <v>2.8333333333333335</v>
      </c>
      <c r="O39">
        <f t="shared" si="35"/>
        <v>2.9166666666666665</v>
      </c>
      <c r="P39">
        <f t="shared" si="35"/>
        <v>3</v>
      </c>
      <c r="Q39">
        <f t="shared" si="2"/>
        <v>26</v>
      </c>
      <c r="R39" s="1">
        <f t="shared" ref="R39" si="36">HLOOKUP(Q39,E38:P44,7)</f>
        <v>25895902.09368515</v>
      </c>
    </row>
    <row r="40" spans="2:18" x14ac:dyDescent="0.25">
      <c r="B40" s="16"/>
      <c r="C40" t="s">
        <v>53</v>
      </c>
      <c r="D40" s="2">
        <f t="shared" ref="D40" si="37">1.25%</f>
        <v>1.2500000000000001E-2</v>
      </c>
      <c r="E40" t="s">
        <v>59</v>
      </c>
      <c r="F40" t="s">
        <v>60</v>
      </c>
      <c r="G40" t="s">
        <v>61</v>
      </c>
      <c r="H40" t="s">
        <v>62</v>
      </c>
      <c r="I40" t="s">
        <v>63</v>
      </c>
      <c r="J40" t="s">
        <v>64</v>
      </c>
      <c r="K40" t="s">
        <v>65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>
        <f t="shared" si="2"/>
        <v>27</v>
      </c>
      <c r="R40" s="1">
        <f t="shared" ref="R40" si="38">HLOOKUP(Q40,E38:P44,7)</f>
        <v>26974029.598155797</v>
      </c>
    </row>
    <row r="41" spans="2:18" x14ac:dyDescent="0.25">
      <c r="B41" s="16"/>
      <c r="C41" t="s">
        <v>54</v>
      </c>
      <c r="D41">
        <f>1</f>
        <v>1</v>
      </c>
      <c r="E41" s="2">
        <f t="shared" ref="E41:P41" si="39">$D27</f>
        <v>4.7727025161425907E-3</v>
      </c>
      <c r="F41" s="2">
        <f t="shared" si="39"/>
        <v>4.7727025161425907E-3</v>
      </c>
      <c r="G41" s="2">
        <f t="shared" si="39"/>
        <v>4.7727025161425907E-3</v>
      </c>
      <c r="H41" s="2">
        <f t="shared" si="39"/>
        <v>4.7727025161425907E-3</v>
      </c>
      <c r="I41" s="2">
        <f t="shared" si="39"/>
        <v>4.7727025161425907E-3</v>
      </c>
      <c r="J41" s="2">
        <f t="shared" si="39"/>
        <v>4.7727025161425907E-3</v>
      </c>
      <c r="K41" s="2">
        <f t="shared" si="39"/>
        <v>4.7727025161425907E-3</v>
      </c>
      <c r="L41" s="2">
        <f t="shared" si="39"/>
        <v>4.7727025161425907E-3</v>
      </c>
      <c r="M41" s="2">
        <f t="shared" si="39"/>
        <v>4.7727025161425907E-3</v>
      </c>
      <c r="N41" s="2">
        <f t="shared" si="39"/>
        <v>4.7727025161425907E-3</v>
      </c>
      <c r="O41" s="2">
        <f t="shared" si="39"/>
        <v>4.7727025161425907E-3</v>
      </c>
      <c r="P41" s="2">
        <f t="shared" si="39"/>
        <v>4.7727025161425907E-3</v>
      </c>
      <c r="Q41">
        <f t="shared" si="2"/>
        <v>28</v>
      </c>
      <c r="R41" s="1">
        <f t="shared" ref="R41" si="40">HLOOKUP(Q41,E38:P44,7)</f>
        <v>28057302.684479754</v>
      </c>
    </row>
    <row r="42" spans="2:18" x14ac:dyDescent="0.25">
      <c r="B42" s="16"/>
      <c r="C42" t="s">
        <v>55</v>
      </c>
      <c r="D42">
        <f t="shared" ref="D42" si="41">D41*12</f>
        <v>12</v>
      </c>
      <c r="E42">
        <f>1</f>
        <v>1</v>
      </c>
      <c r="F42">
        <f>1</f>
        <v>1</v>
      </c>
      <c r="G42">
        <f>1</f>
        <v>1</v>
      </c>
      <c r="H42">
        <f>1</f>
        <v>1</v>
      </c>
      <c r="I42">
        <f>1</f>
        <v>1</v>
      </c>
      <c r="J42">
        <f>1</f>
        <v>1</v>
      </c>
      <c r="K42">
        <f>1</f>
        <v>1</v>
      </c>
      <c r="L42">
        <f>1</f>
        <v>1</v>
      </c>
      <c r="M42">
        <f>1</f>
        <v>1</v>
      </c>
      <c r="N42">
        <f>1</f>
        <v>1</v>
      </c>
      <c r="O42">
        <f>1</f>
        <v>1</v>
      </c>
      <c r="P42">
        <f>1</f>
        <v>1</v>
      </c>
      <c r="Q42">
        <f t="shared" si="2"/>
        <v>29</v>
      </c>
      <c r="R42" s="1">
        <f t="shared" ref="R42" si="42">HLOOKUP(Q42,E38:P44,7)</f>
        <v>29145745.91098848</v>
      </c>
    </row>
    <row r="43" spans="2:18" x14ac:dyDescent="0.25">
      <c r="B43" s="16"/>
      <c r="C43" t="s">
        <v>57</v>
      </c>
      <c r="D43" s="10">
        <f t="shared" ref="D43" si="43">D31*(1+$D$2)</f>
        <v>988.38</v>
      </c>
      <c r="E43" s="1">
        <f t="shared" ref="E43:F43" si="44">IF(E39&lt;6.5,$D44*1000,IF($D45=0,0,$D44*1000))</f>
        <v>990000</v>
      </c>
      <c r="F43" s="1">
        <f t="shared" si="44"/>
        <v>990000</v>
      </c>
      <c r="G43" s="1">
        <f t="shared" ref="G43" si="45">IF(G39&lt;6.5,$D44*1000,IF($D45=0,0,$D44*1000))</f>
        <v>990000</v>
      </c>
      <c r="H43" s="1">
        <f t="shared" ref="H43" si="46">IF(H39&lt;6.5,$D44*1000,IF($D45=0,0,$D44*1000))</f>
        <v>990000</v>
      </c>
      <c r="I43" s="1">
        <f t="shared" ref="I43" si="47">IF(I39&lt;6.5,$D44*1000,IF($D45=0,0,$D44*1000))</f>
        <v>990000</v>
      </c>
      <c r="J43" s="1">
        <f t="shared" ref="J43:K43" si="48">IF(J39&lt;6.5,$D44*1000,IF($D46=0,0,$D44*1000))</f>
        <v>990000</v>
      </c>
      <c r="K43" s="1">
        <f t="shared" si="48"/>
        <v>990000</v>
      </c>
      <c r="L43" s="1">
        <f t="shared" ref="L43" si="49">IF(L39&lt;6.5,$D44*1000,IF($D46=0,0,$D44*1000))</f>
        <v>990000</v>
      </c>
      <c r="M43" s="1">
        <f t="shared" ref="M43" si="50">IF(M39&lt;6.5,$D44*1000,IF($D46=0,0,$D44*1000))</f>
        <v>990000</v>
      </c>
      <c r="N43" s="1">
        <f t="shared" ref="N43" si="51">IF(N39&lt;6.5,$D44*1000,IF($D46=0,0,$D44*1000))</f>
        <v>990000</v>
      </c>
      <c r="O43" s="1">
        <f t="shared" ref="O43" si="52">IF(O39&lt;6.5,$D44*1000,IF($D46=0,0,$D44*1000))</f>
        <v>990000</v>
      </c>
      <c r="P43" s="1">
        <f t="shared" ref="P43" si="53">IF(P39&lt;6.5,$D44*1000,IF($D46=0,0,$D44*1000))</f>
        <v>990000</v>
      </c>
      <c r="Q43">
        <f t="shared" si="2"/>
        <v>30</v>
      </c>
      <c r="R43" s="1">
        <f t="shared" ref="R43" si="54">HLOOKUP(Q43,E38:P44,7)</f>
        <v>30239383.953223042</v>
      </c>
    </row>
    <row r="44" spans="2:18" x14ac:dyDescent="0.25">
      <c r="B44" s="16"/>
      <c r="C44" t="s">
        <v>56</v>
      </c>
      <c r="D44" s="10">
        <f t="shared" ref="D44" si="55">ROUND(D43,-1)</f>
        <v>990</v>
      </c>
      <c r="E44" s="1">
        <f t="shared" ref="E44" si="56">-FV($E$17,$E$18,$E$19,D36-E45,1)</f>
        <v>24822895.729389217</v>
      </c>
      <c r="F44" s="1">
        <f t="shared" ref="F44:I44" si="57">-FV($E$17,$E$18,$E$19,E44,1)</f>
        <v>25895902.09368515</v>
      </c>
      <c r="G44" s="1">
        <f t="shared" si="57"/>
        <v>26974029.598155797</v>
      </c>
      <c r="H44" s="1">
        <f t="shared" si="57"/>
        <v>28057302.684479754</v>
      </c>
      <c r="I44" s="1">
        <f t="shared" si="57"/>
        <v>29145745.91098848</v>
      </c>
      <c r="J44" s="1">
        <f t="shared" ref="J44" si="58">-FV($E$17,$E$18,$E$19,I44-J45-J46,1)</f>
        <v>30239383.953223042</v>
      </c>
      <c r="K44" s="1">
        <f t="shared" ref="K44" si="59">-FV($E$17,$E$18,$E$19,J44,1)</f>
        <v>31338241.604493525</v>
      </c>
      <c r="L44" s="1">
        <f t="shared" ref="L44" si="60">-FV($E$17,$E$18,$E$19,K44,1)</f>
        <v>32442343.776441108</v>
      </c>
      <c r="M44" s="1">
        <f t="shared" ref="M44" si="61">-FV($E$17,$E$18,$E$19,L44,1)</f>
        <v>33551715.499602824</v>
      </c>
      <c r="N44" s="1">
        <f t="shared" ref="N44" si="62">-FV($E$17,$E$18,$E$19,M44,1)</f>
        <v>34666381.923979014</v>
      </c>
      <c r="O44" s="1">
        <f t="shared" ref="O44" si="63">-FV($E$17,$E$18,$E$19,N44,1)</f>
        <v>35786368.319603488</v>
      </c>
      <c r="P44" s="1">
        <f t="shared" ref="P44" si="64">-FV($E$17,$E$18,$E$19,O44,1)</f>
        <v>36911700.0771164</v>
      </c>
      <c r="Q44">
        <f t="shared" si="2"/>
        <v>31</v>
      </c>
      <c r="R44" s="1">
        <f t="shared" ref="R44" si="65">HLOOKUP(Q44,E38:P44,7)</f>
        <v>31338241.604493525</v>
      </c>
    </row>
    <row r="45" spans="2:18" x14ac:dyDescent="0.25">
      <c r="B45" s="16"/>
      <c r="C45" t="s">
        <v>71</v>
      </c>
      <c r="D45">
        <f t="shared" ref="D45" si="66">$E45</f>
        <v>0</v>
      </c>
      <c r="E45" s="1">
        <f t="shared" ref="E45" si="67">ROUNDUP(IF(E39&gt;=$E$13,$D$13,IF(E39&gt;=$E$12,$D$12,IF(E39&gt;=$E$10,$D$10,IF(E39&gt;=$E$8,$D$8,IF(E39&gt;=$E$6,$D$6,IF(E39&gt;=$E$4,$D$4,0))))))*1000*(1+$D$2)^$B38,-3)</f>
        <v>0</v>
      </c>
      <c r="J45" s="1">
        <f t="shared" ref="J45" si="68">ROUNDUP(IF(J39&gt;=$E$13,$D$13,IF(J39&gt;=$E$12,$D$12,IF(J39&gt;=$E$10,$D$10,IF(J39&gt;=$E$8,$D$8,IF(J39&gt;=$E$6,$D$6,IF(J39&gt;=$E$4,$D$4,0))))))*1000*(1+$D$2)^$B38,-3)</f>
        <v>0</v>
      </c>
      <c r="Q45">
        <f t="shared" si="2"/>
        <v>32</v>
      </c>
      <c r="R45" s="1">
        <f t="shared" ref="R45" si="69">HLOOKUP(Q45,E38:P44,7)</f>
        <v>32442343.776441108</v>
      </c>
    </row>
    <row r="46" spans="2:18" x14ac:dyDescent="0.25">
      <c r="B46" s="16"/>
      <c r="C46" t="s">
        <v>72</v>
      </c>
      <c r="D46">
        <f t="shared" ref="D46" si="70">$J45</f>
        <v>0</v>
      </c>
      <c r="J46" s="1">
        <f t="shared" ref="J46" si="71">ROUND(IF(J39=$E$4,$D$5,IF(J39=$E$6,$D$7,IF(J39=$E$8,$D$9,IF(J39=$E$10,$D$11,0))))*1000*(1+$D$2)^$B38,-4)</f>
        <v>0</v>
      </c>
      <c r="Q46">
        <f t="shared" si="2"/>
        <v>33</v>
      </c>
      <c r="R46" s="1">
        <f t="shared" ref="R46" si="72">HLOOKUP(Q46,E38:P44,7)</f>
        <v>33551715.499602824</v>
      </c>
    </row>
    <row r="47" spans="2:18" x14ac:dyDescent="0.25">
      <c r="B47" s="16"/>
      <c r="C47" t="s">
        <v>58</v>
      </c>
      <c r="D47">
        <f t="shared" ref="D47" si="73">D45+D46</f>
        <v>0</v>
      </c>
      <c r="Q47">
        <f t="shared" si="2"/>
        <v>34</v>
      </c>
      <c r="R47" s="1">
        <f t="shared" ref="R47" si="74">HLOOKUP(Q47,E38:P44,7)</f>
        <v>34666381.923979014</v>
      </c>
    </row>
    <row r="48" spans="2:18" x14ac:dyDescent="0.25">
      <c r="B48" s="16"/>
      <c r="C48" t="s">
        <v>42</v>
      </c>
      <c r="D48" s="4">
        <f t="shared" ref="D48" si="75">P44*(1-D40)</f>
        <v>36450303.826152444</v>
      </c>
      <c r="Q48">
        <f t="shared" si="2"/>
        <v>35</v>
      </c>
      <c r="R48" s="1">
        <f t="shared" ref="R48" si="76">HLOOKUP(Q48,E38:P44,7)</f>
        <v>35786368.319603488</v>
      </c>
    </row>
    <row r="49" spans="2:18" x14ac:dyDescent="0.25">
      <c r="B49" s="16"/>
      <c r="Q49">
        <f t="shared" si="2"/>
        <v>36</v>
      </c>
      <c r="R49" s="1">
        <f t="shared" ref="R49" si="77">HLOOKUP(Q49,E38:P44,7)</f>
        <v>36911700.0771164</v>
      </c>
    </row>
    <row r="50" spans="2:18" x14ac:dyDescent="0.25">
      <c r="B50" s="16">
        <f t="shared" ref="B50" si="78">B38+1</f>
        <v>3</v>
      </c>
      <c r="C50" t="s">
        <v>40</v>
      </c>
      <c r="D50" s="2">
        <f t="shared" ref="D50" si="79">5.88%</f>
        <v>5.8799999999999998E-2</v>
      </c>
      <c r="E50">
        <f t="shared" ref="E50" si="80">($B50*12)+1</f>
        <v>37</v>
      </c>
      <c r="F50">
        <f t="shared" ref="F50" si="81">E50+1</f>
        <v>38</v>
      </c>
      <c r="G50">
        <f t="shared" ref="G50" si="82">F50+1</f>
        <v>39</v>
      </c>
      <c r="H50">
        <f t="shared" ref="H50" si="83">G50+1</f>
        <v>40</v>
      </c>
      <c r="I50">
        <f t="shared" ref="I50" si="84">H50+1</f>
        <v>41</v>
      </c>
      <c r="J50">
        <f t="shared" ref="J50" si="85">I50+1</f>
        <v>42</v>
      </c>
      <c r="K50">
        <f t="shared" ref="K50" si="86">J50+1</f>
        <v>43</v>
      </c>
      <c r="L50">
        <f t="shared" ref="L50" si="87">K50+1</f>
        <v>44</v>
      </c>
      <c r="M50">
        <f t="shared" ref="M50" si="88">L50+1</f>
        <v>45</v>
      </c>
      <c r="N50">
        <f t="shared" ref="N50" si="89">M50+1</f>
        <v>46</v>
      </c>
      <c r="O50">
        <f t="shared" ref="O50" si="90">N50+1</f>
        <v>47</v>
      </c>
      <c r="P50">
        <f t="shared" ref="P50" si="91">O50+1</f>
        <v>48</v>
      </c>
      <c r="Q50">
        <f t="shared" si="2"/>
        <v>37</v>
      </c>
      <c r="R50" s="1">
        <f t="shared" ref="R50" si="92">HLOOKUP(Q50,E50:P56,7)</f>
        <v>37578804.350328021</v>
      </c>
    </row>
    <row r="51" spans="2:18" x14ac:dyDescent="0.25">
      <c r="B51" s="16"/>
      <c r="C51" t="s">
        <v>41</v>
      </c>
      <c r="D51" s="3">
        <f t="shared" ref="D51" si="93">(1+D50)^(1/12)-1</f>
        <v>4.7727025161425907E-3</v>
      </c>
      <c r="E51">
        <f t="shared" ref="E51:P51" si="94">E50/12</f>
        <v>3.0833333333333335</v>
      </c>
      <c r="F51">
        <f t="shared" si="94"/>
        <v>3.1666666666666665</v>
      </c>
      <c r="G51">
        <f t="shared" si="94"/>
        <v>3.25</v>
      </c>
      <c r="H51">
        <f t="shared" si="94"/>
        <v>3.3333333333333335</v>
      </c>
      <c r="I51">
        <f t="shared" si="94"/>
        <v>3.4166666666666665</v>
      </c>
      <c r="J51">
        <f t="shared" si="94"/>
        <v>3.5</v>
      </c>
      <c r="K51">
        <f t="shared" si="94"/>
        <v>3.5833333333333335</v>
      </c>
      <c r="L51">
        <f t="shared" si="94"/>
        <v>3.6666666666666665</v>
      </c>
      <c r="M51">
        <f t="shared" si="94"/>
        <v>3.75</v>
      </c>
      <c r="N51">
        <f t="shared" si="94"/>
        <v>3.8333333333333335</v>
      </c>
      <c r="O51">
        <f t="shared" si="94"/>
        <v>3.9166666666666665</v>
      </c>
      <c r="P51">
        <f t="shared" si="94"/>
        <v>4</v>
      </c>
      <c r="Q51">
        <f t="shared" si="2"/>
        <v>38</v>
      </c>
      <c r="R51" s="1">
        <f t="shared" ref="R51" si="95">HLOOKUP(Q51,E50:P56,7)</f>
        <v>38712690.871794797</v>
      </c>
    </row>
    <row r="52" spans="2:18" x14ac:dyDescent="0.25">
      <c r="B52" s="16"/>
      <c r="C52" t="s">
        <v>53</v>
      </c>
      <c r="D52" s="2">
        <f t="shared" ref="D52" si="96">1.25%</f>
        <v>1.2500000000000001E-2</v>
      </c>
      <c r="E52" t="s">
        <v>59</v>
      </c>
      <c r="F52" t="s">
        <v>60</v>
      </c>
      <c r="G52" t="s">
        <v>61</v>
      </c>
      <c r="H52" t="s">
        <v>62</v>
      </c>
      <c r="I52" t="s">
        <v>63</v>
      </c>
      <c r="J52" t="s">
        <v>64</v>
      </c>
      <c r="K52" t="s">
        <v>65</v>
      </c>
      <c r="L52" t="s">
        <v>66</v>
      </c>
      <c r="M52" t="s">
        <v>67</v>
      </c>
      <c r="N52" t="s">
        <v>68</v>
      </c>
      <c r="O52" t="s">
        <v>69</v>
      </c>
      <c r="P52" t="s">
        <v>70</v>
      </c>
      <c r="Q52">
        <f t="shared" si="2"/>
        <v>39</v>
      </c>
      <c r="R52" s="1">
        <f t="shared" ref="R52" si="97">HLOOKUP(Q52,E50:P56,7)</f>
        <v>39851989.0963156</v>
      </c>
    </row>
    <row r="53" spans="2:18" x14ac:dyDescent="0.25">
      <c r="B53" s="16"/>
      <c r="C53" t="s">
        <v>54</v>
      </c>
      <c r="D53">
        <f>1</f>
        <v>1</v>
      </c>
      <c r="E53" s="2">
        <f t="shared" ref="E53:P53" si="98">$D39</f>
        <v>4.7727025161425907E-3</v>
      </c>
      <c r="F53" s="2">
        <f t="shared" si="98"/>
        <v>4.7727025161425907E-3</v>
      </c>
      <c r="G53" s="2">
        <f t="shared" si="98"/>
        <v>4.7727025161425907E-3</v>
      </c>
      <c r="H53" s="2">
        <f t="shared" si="98"/>
        <v>4.7727025161425907E-3</v>
      </c>
      <c r="I53" s="2">
        <f t="shared" si="98"/>
        <v>4.7727025161425907E-3</v>
      </c>
      <c r="J53" s="2">
        <f t="shared" si="98"/>
        <v>4.7727025161425907E-3</v>
      </c>
      <c r="K53" s="2">
        <f t="shared" si="98"/>
        <v>4.7727025161425907E-3</v>
      </c>
      <c r="L53" s="2">
        <f t="shared" si="98"/>
        <v>4.7727025161425907E-3</v>
      </c>
      <c r="M53" s="2">
        <f t="shared" si="98"/>
        <v>4.7727025161425907E-3</v>
      </c>
      <c r="N53" s="2">
        <f t="shared" si="98"/>
        <v>4.7727025161425907E-3</v>
      </c>
      <c r="O53" s="2">
        <f t="shared" si="98"/>
        <v>4.7727025161425907E-3</v>
      </c>
      <c r="P53" s="2">
        <f t="shared" si="98"/>
        <v>4.7727025161425907E-3</v>
      </c>
      <c r="Q53">
        <f t="shared" si="2"/>
        <v>40</v>
      </c>
      <c r="R53" s="1">
        <f t="shared" ref="R53" si="99">HLOOKUP(Q53,E50:P56,7)</f>
        <v>40996724.852339208</v>
      </c>
    </row>
    <row r="54" spans="2:18" x14ac:dyDescent="0.25">
      <c r="B54" s="16"/>
      <c r="C54" t="s">
        <v>55</v>
      </c>
      <c r="D54">
        <f t="shared" ref="D54" si="100">D53*12</f>
        <v>12</v>
      </c>
      <c r="E54">
        <f>1</f>
        <v>1</v>
      </c>
      <c r="F54">
        <f>1</f>
        <v>1</v>
      </c>
      <c r="G54">
        <f>1</f>
        <v>1</v>
      </c>
      <c r="H54">
        <f>1</f>
        <v>1</v>
      </c>
      <c r="I54">
        <f>1</f>
        <v>1</v>
      </c>
      <c r="J54">
        <f>1</f>
        <v>1</v>
      </c>
      <c r="K54">
        <f>1</f>
        <v>1</v>
      </c>
      <c r="L54">
        <f>1</f>
        <v>1</v>
      </c>
      <c r="M54">
        <f>1</f>
        <v>1</v>
      </c>
      <c r="N54">
        <f>1</f>
        <v>1</v>
      </c>
      <c r="O54">
        <f>1</f>
        <v>1</v>
      </c>
      <c r="P54">
        <f>1</f>
        <v>1</v>
      </c>
      <c r="Q54">
        <f t="shared" si="2"/>
        <v>41</v>
      </c>
      <c r="R54" s="1">
        <f t="shared" ref="R54" si="101">HLOOKUP(Q54,E50:P56,7)</f>
        <v>42146924.091585912</v>
      </c>
    </row>
    <row r="55" spans="2:18" x14ac:dyDescent="0.25">
      <c r="B55" s="16"/>
      <c r="C55" t="s">
        <v>57</v>
      </c>
      <c r="D55" s="10">
        <f t="shared" ref="D55" si="102">D43*(1+$D$2)</f>
        <v>1008.1476</v>
      </c>
      <c r="E55" s="1">
        <f t="shared" ref="E55:F55" si="103">IF(E51&lt;6.5,$D56*1000,IF($D57=0,0,$D56*1000))</f>
        <v>1010000</v>
      </c>
      <c r="F55" s="1">
        <f t="shared" si="103"/>
        <v>1010000</v>
      </c>
      <c r="G55" s="1">
        <f t="shared" ref="G55" si="104">IF(G51&lt;6.5,$D56*1000,IF($D57=0,0,$D56*1000))</f>
        <v>1010000</v>
      </c>
      <c r="H55" s="1">
        <f t="shared" ref="H55" si="105">IF(H51&lt;6.5,$D56*1000,IF($D57=0,0,$D56*1000))</f>
        <v>1010000</v>
      </c>
      <c r="I55" s="1">
        <f t="shared" ref="I55" si="106">IF(I51&lt;6.5,$D56*1000,IF($D57=0,0,$D56*1000))</f>
        <v>1010000</v>
      </c>
      <c r="J55" s="1">
        <f t="shared" ref="J55:K55" si="107">IF(J51&lt;6.5,$D56*1000,IF($D58=0,0,$D56*1000))</f>
        <v>1010000</v>
      </c>
      <c r="K55" s="1">
        <f t="shared" si="107"/>
        <v>1010000</v>
      </c>
      <c r="L55" s="1">
        <f t="shared" ref="L55" si="108">IF(L51&lt;6.5,$D56*1000,IF($D58=0,0,$D56*1000))</f>
        <v>1010000</v>
      </c>
      <c r="M55" s="1">
        <f t="shared" ref="M55" si="109">IF(M51&lt;6.5,$D56*1000,IF($D58=0,0,$D56*1000))</f>
        <v>1010000</v>
      </c>
      <c r="N55" s="1">
        <f t="shared" ref="N55" si="110">IF(N51&lt;6.5,$D56*1000,IF($D58=0,0,$D56*1000))</f>
        <v>1010000</v>
      </c>
      <c r="O55" s="1">
        <f t="shared" ref="O55" si="111">IF(O51&lt;6.5,$D56*1000,IF($D58=0,0,$D56*1000))</f>
        <v>1010000</v>
      </c>
      <c r="P55" s="1">
        <f t="shared" ref="P55" si="112">IF(P51&lt;6.5,$D56*1000,IF($D58=0,0,$D56*1000))</f>
        <v>1010000</v>
      </c>
      <c r="Q55">
        <f t="shared" si="2"/>
        <v>42</v>
      </c>
      <c r="R55" s="1">
        <f t="shared" ref="R55" si="113">HLOOKUP(Q55,E50:P56,7)</f>
        <v>43302612.889635831</v>
      </c>
    </row>
    <row r="56" spans="2:18" x14ac:dyDescent="0.25">
      <c r="B56" s="16"/>
      <c r="C56" t="s">
        <v>56</v>
      </c>
      <c r="D56" s="10">
        <f t="shared" ref="D56" si="114">ROUND(D55,-1)</f>
        <v>1010</v>
      </c>
      <c r="E56" s="1">
        <f t="shared" ref="E56" si="115">-FV($E$17,$E$18,$E$19,D48-E57,1)</f>
        <v>37578804.350328021</v>
      </c>
      <c r="F56" s="1">
        <f t="shared" ref="F56:I56" si="116">-FV($E$17,$E$18,$E$19,E56,1)</f>
        <v>38712690.871794797</v>
      </c>
      <c r="G56" s="1">
        <f t="shared" si="116"/>
        <v>39851989.0963156</v>
      </c>
      <c r="H56" s="1">
        <f t="shared" si="116"/>
        <v>40996724.852339208</v>
      </c>
      <c r="I56" s="1">
        <f t="shared" si="116"/>
        <v>42146924.091585912</v>
      </c>
      <c r="J56" s="1">
        <f t="shared" ref="J56" si="117">-FV($E$17,$E$18,$E$19,I56-J57-J58,1)</f>
        <v>43302612.889635831</v>
      </c>
      <c r="K56" s="1">
        <f t="shared" ref="K56" si="118">-FV($E$17,$E$18,$E$19,J56,1)</f>
        <v>44463817.446520083</v>
      </c>
      <c r="L56" s="1">
        <f t="shared" ref="L56" si="119">-FV($E$17,$E$18,$E$19,K56,1)</f>
        <v>45630564.087314732</v>
      </c>
      <c r="M56" s="1">
        <f t="shared" ref="M56" si="120">-FV($E$17,$E$18,$E$19,L56,1)</f>
        <v>46802879.262737602</v>
      </c>
      <c r="N56" s="1">
        <f t="shared" ref="N56" si="121">-FV($E$17,$E$18,$E$19,M56,1)</f>
        <v>47980789.549747922</v>
      </c>
      <c r="O56" s="1">
        <f t="shared" ref="O56" si="122">-FV($E$17,$E$18,$E$19,N56,1)</f>
        <v>49164321.65214885</v>
      </c>
      <c r="P56" s="1">
        <f t="shared" ref="P56" si="123">-FV($E$17,$E$18,$E$19,O56,1)</f>
        <v>50353502.401192844</v>
      </c>
      <c r="Q56">
        <f t="shared" si="2"/>
        <v>43</v>
      </c>
      <c r="R56" s="1">
        <f t="shared" ref="R56" si="124">HLOOKUP(Q56,E50:P56,7)</f>
        <v>44463817.446520083</v>
      </c>
    </row>
    <row r="57" spans="2:18" x14ac:dyDescent="0.25">
      <c r="B57" s="16"/>
      <c r="C57" t="s">
        <v>71</v>
      </c>
      <c r="D57">
        <f t="shared" ref="D57" si="125">$E57</f>
        <v>0</v>
      </c>
      <c r="E57" s="1">
        <f t="shared" ref="E57" si="126">ROUNDUP(IF(E51&gt;=$E$13,$D$13,IF(E51&gt;=$E$12,$D$12,IF(E51&gt;=$E$10,$D$10,IF(E51&gt;=$E$8,$D$8,IF(E51&gt;=$E$6,$D$6,IF(E51&gt;=$E$4,$D$4,0))))))*1000*(1+$D$2)^$B50,-3)</f>
        <v>0</v>
      </c>
      <c r="J57" s="1">
        <f t="shared" ref="J57" si="127">ROUNDUP(IF(J51&gt;=$E$13,$D$13,IF(J51&gt;=$E$12,$D$12,IF(J51&gt;=$E$10,$D$10,IF(J51&gt;=$E$8,$D$8,IF(J51&gt;=$E$6,$D$6,IF(J51&gt;=$E$4,$D$4,0))))))*1000*(1+$D$2)^$B50,-3)</f>
        <v>0</v>
      </c>
      <c r="Q57">
        <f t="shared" si="2"/>
        <v>44</v>
      </c>
      <c r="R57" s="1">
        <f t="shared" ref="R57" si="128">HLOOKUP(Q57,E50:P56,7)</f>
        <v>45630564.087314732</v>
      </c>
    </row>
    <row r="58" spans="2:18" x14ac:dyDescent="0.25">
      <c r="B58" s="16"/>
      <c r="C58" t="s">
        <v>72</v>
      </c>
      <c r="D58">
        <f t="shared" ref="D58" si="129">$J57</f>
        <v>0</v>
      </c>
      <c r="J58" s="1">
        <f t="shared" ref="J58" si="130">ROUND(IF(J51=$E$4,$D$5,IF(J51=$E$6,$D$7,IF(J51=$E$8,$D$9,IF(J51=$E$10,$D$11,0))))*1000*(1+$D$2)^$B50,-4)</f>
        <v>0</v>
      </c>
      <c r="Q58">
        <f t="shared" si="2"/>
        <v>45</v>
      </c>
      <c r="R58" s="1">
        <f t="shared" ref="R58" si="131">HLOOKUP(Q58,E50:P56,7)</f>
        <v>46802879.262737602</v>
      </c>
    </row>
    <row r="59" spans="2:18" x14ac:dyDescent="0.25">
      <c r="B59" s="16"/>
      <c r="C59" t="s">
        <v>58</v>
      </c>
      <c r="D59">
        <f t="shared" ref="D59" si="132">D57+D58</f>
        <v>0</v>
      </c>
      <c r="Q59">
        <f t="shared" si="2"/>
        <v>46</v>
      </c>
      <c r="R59" s="1">
        <f t="shared" ref="R59" si="133">HLOOKUP(Q59,E50:P56,7)</f>
        <v>47980789.549747922</v>
      </c>
    </row>
    <row r="60" spans="2:18" x14ac:dyDescent="0.25">
      <c r="B60" s="16"/>
      <c r="C60" t="s">
        <v>42</v>
      </c>
      <c r="D60" s="4">
        <f t="shared" ref="D60" si="134">P56*(1-D52)</f>
        <v>49724083.621177934</v>
      </c>
      <c r="Q60">
        <f t="shared" si="2"/>
        <v>47</v>
      </c>
      <c r="R60" s="1">
        <f t="shared" ref="R60" si="135">HLOOKUP(Q60,E50:P56,7)</f>
        <v>49164321.65214885</v>
      </c>
    </row>
    <row r="61" spans="2:18" x14ac:dyDescent="0.25">
      <c r="B61" s="16"/>
      <c r="Q61">
        <f t="shared" si="2"/>
        <v>48</v>
      </c>
      <c r="R61" s="1">
        <f t="shared" ref="R61" si="136">HLOOKUP(Q61,E50:P56,7)</f>
        <v>50353502.401192844</v>
      </c>
    </row>
    <row r="62" spans="2:18" x14ac:dyDescent="0.25">
      <c r="B62" s="16">
        <f t="shared" ref="B62" si="137">B50+1</f>
        <v>4</v>
      </c>
      <c r="C62" t="s">
        <v>40</v>
      </c>
      <c r="D62" s="2">
        <f t="shared" ref="D62" si="138">5.88%</f>
        <v>5.8799999999999998E-2</v>
      </c>
      <c r="E62">
        <f t="shared" ref="E62" si="139">($B62*12)+1</f>
        <v>49</v>
      </c>
      <c r="F62">
        <f t="shared" ref="F62" si="140">E62+1</f>
        <v>50</v>
      </c>
      <c r="G62">
        <f t="shared" ref="G62" si="141">F62+1</f>
        <v>51</v>
      </c>
      <c r="H62">
        <f t="shared" ref="H62" si="142">G62+1</f>
        <v>52</v>
      </c>
      <c r="I62">
        <f t="shared" ref="I62" si="143">H62+1</f>
        <v>53</v>
      </c>
      <c r="J62">
        <f t="shared" ref="J62" si="144">I62+1</f>
        <v>54</v>
      </c>
      <c r="K62">
        <f t="shared" ref="K62" si="145">J62+1</f>
        <v>55</v>
      </c>
      <c r="L62">
        <f t="shared" ref="L62" si="146">K62+1</f>
        <v>56</v>
      </c>
      <c r="M62">
        <f t="shared" ref="M62" si="147">L62+1</f>
        <v>57</v>
      </c>
      <c r="N62">
        <f t="shared" ref="N62" si="148">M62+1</f>
        <v>58</v>
      </c>
      <c r="O62">
        <f t="shared" ref="O62" si="149">N62+1</f>
        <v>59</v>
      </c>
      <c r="P62">
        <f t="shared" ref="P62" si="150">O62+1</f>
        <v>60</v>
      </c>
      <c r="Q62">
        <f t="shared" si="2"/>
        <v>49</v>
      </c>
      <c r="R62" s="1">
        <f t="shared" ref="R62" si="151">HLOOKUP(Q62,E62:P68,7)</f>
        <v>50915935.94757995</v>
      </c>
    </row>
    <row r="63" spans="2:18" x14ac:dyDescent="0.25">
      <c r="B63" s="16"/>
      <c r="C63" t="s">
        <v>41</v>
      </c>
      <c r="D63" s="3">
        <f t="shared" ref="D63" si="152">(1+D62)^(1/12)-1</f>
        <v>4.7727025161425907E-3</v>
      </c>
      <c r="E63">
        <f t="shared" ref="E63:P63" si="153">E62/12</f>
        <v>4.083333333333333</v>
      </c>
      <c r="F63">
        <f t="shared" si="153"/>
        <v>4.166666666666667</v>
      </c>
      <c r="G63">
        <f t="shared" si="153"/>
        <v>4.25</v>
      </c>
      <c r="H63">
        <f t="shared" si="153"/>
        <v>4.333333333333333</v>
      </c>
      <c r="I63">
        <f t="shared" si="153"/>
        <v>4.416666666666667</v>
      </c>
      <c r="J63">
        <f t="shared" si="153"/>
        <v>4.5</v>
      </c>
      <c r="K63">
        <f t="shared" si="153"/>
        <v>4.583333333333333</v>
      </c>
      <c r="L63">
        <f t="shared" si="153"/>
        <v>4.666666666666667</v>
      </c>
      <c r="M63">
        <f t="shared" si="153"/>
        <v>4.75</v>
      </c>
      <c r="N63">
        <f t="shared" si="153"/>
        <v>4.833333333333333</v>
      </c>
      <c r="O63">
        <f t="shared" si="153"/>
        <v>4.916666666666667</v>
      </c>
      <c r="P63">
        <f t="shared" si="153"/>
        <v>5</v>
      </c>
      <c r="Q63">
        <f t="shared" si="2"/>
        <v>50</v>
      </c>
      <c r="R63" s="1">
        <f t="shared" ref="R63" si="154">HLOOKUP(Q63,E62:P68,7)</f>
        <v>52113476.630579054</v>
      </c>
    </row>
    <row r="64" spans="2:18" x14ac:dyDescent="0.25">
      <c r="B64" s="16"/>
      <c r="C64" t="s">
        <v>53</v>
      </c>
      <c r="D64" s="2">
        <f t="shared" ref="D64" si="155">1.25%</f>
        <v>1.2500000000000001E-2</v>
      </c>
      <c r="E64" t="s">
        <v>59</v>
      </c>
      <c r="F64" t="s">
        <v>60</v>
      </c>
      <c r="G64" t="s">
        <v>61</v>
      </c>
      <c r="H64" t="s">
        <v>62</v>
      </c>
      <c r="I64" t="s">
        <v>63</v>
      </c>
      <c r="J64" t="s">
        <v>64</v>
      </c>
      <c r="K64" t="s">
        <v>65</v>
      </c>
      <c r="L64" t="s">
        <v>66</v>
      </c>
      <c r="M64" t="s">
        <v>67</v>
      </c>
      <c r="N64" t="s">
        <v>68</v>
      </c>
      <c r="O64" t="s">
        <v>69</v>
      </c>
      <c r="P64" t="s">
        <v>70</v>
      </c>
      <c r="Q64">
        <f t="shared" si="2"/>
        <v>51</v>
      </c>
      <c r="R64" s="1">
        <f t="shared" ref="R64" si="156">HLOOKUP(Q64,E62:P68,7)</f>
        <v>53316732.819009095</v>
      </c>
    </row>
    <row r="65" spans="2:18" x14ac:dyDescent="0.25">
      <c r="B65" s="16"/>
      <c r="C65" t="s">
        <v>54</v>
      </c>
      <c r="D65">
        <f>1</f>
        <v>1</v>
      </c>
      <c r="E65" s="2">
        <f t="shared" ref="E65:P65" si="157">$D51</f>
        <v>4.7727025161425907E-3</v>
      </c>
      <c r="F65" s="2">
        <f t="shared" si="157"/>
        <v>4.7727025161425907E-3</v>
      </c>
      <c r="G65" s="2">
        <f t="shared" si="157"/>
        <v>4.7727025161425907E-3</v>
      </c>
      <c r="H65" s="2">
        <f t="shared" si="157"/>
        <v>4.7727025161425907E-3</v>
      </c>
      <c r="I65" s="2">
        <f t="shared" si="157"/>
        <v>4.7727025161425907E-3</v>
      </c>
      <c r="J65" s="2">
        <f t="shared" si="157"/>
        <v>4.7727025161425907E-3</v>
      </c>
      <c r="K65" s="2">
        <f t="shared" si="157"/>
        <v>4.7727025161425907E-3</v>
      </c>
      <c r="L65" s="2">
        <f t="shared" si="157"/>
        <v>4.7727025161425907E-3</v>
      </c>
      <c r="M65" s="2">
        <f t="shared" si="157"/>
        <v>4.7727025161425907E-3</v>
      </c>
      <c r="N65" s="2">
        <f t="shared" si="157"/>
        <v>4.7727025161425907E-3</v>
      </c>
      <c r="O65" s="2">
        <f t="shared" si="157"/>
        <v>4.7727025161425907E-3</v>
      </c>
      <c r="P65" s="2">
        <f t="shared" si="157"/>
        <v>4.7727025161425907E-3</v>
      </c>
      <c r="Q65">
        <f t="shared" si="2"/>
        <v>52</v>
      </c>
      <c r="R65" s="1">
        <f t="shared" ref="R65" si="158">HLOOKUP(Q65,E62:P68,7)</f>
        <v>54525731.791277222</v>
      </c>
    </row>
    <row r="66" spans="2:18" x14ac:dyDescent="0.25">
      <c r="B66" s="16"/>
      <c r="C66" t="s">
        <v>55</v>
      </c>
      <c r="D66">
        <f t="shared" ref="D66" si="159">D65*12</f>
        <v>12</v>
      </c>
      <c r="E66">
        <f>1</f>
        <v>1</v>
      </c>
      <c r="F66">
        <f>1</f>
        <v>1</v>
      </c>
      <c r="G66">
        <f>1</f>
        <v>1</v>
      </c>
      <c r="H66">
        <f>1</f>
        <v>1</v>
      </c>
      <c r="I66">
        <f>1</f>
        <v>1</v>
      </c>
      <c r="J66">
        <f>1</f>
        <v>1</v>
      </c>
      <c r="K66">
        <f>1</f>
        <v>1</v>
      </c>
      <c r="L66">
        <f>1</f>
        <v>1</v>
      </c>
      <c r="M66">
        <f>1</f>
        <v>1</v>
      </c>
      <c r="N66">
        <f>1</f>
        <v>1</v>
      </c>
      <c r="O66">
        <f>1</f>
        <v>1</v>
      </c>
      <c r="P66">
        <f>1</f>
        <v>1</v>
      </c>
      <c r="Q66">
        <f t="shared" si="2"/>
        <v>53</v>
      </c>
      <c r="R66" s="1">
        <f t="shared" ref="R66" si="160">HLOOKUP(Q66,E62:P68,7)</f>
        <v>55740500.955982305</v>
      </c>
    </row>
    <row r="67" spans="2:18" x14ac:dyDescent="0.25">
      <c r="B67" s="16"/>
      <c r="C67" t="s">
        <v>57</v>
      </c>
      <c r="D67" s="10">
        <f t="shared" ref="D67" si="161">D55*(1+$D$2)</f>
        <v>1028.3105519999999</v>
      </c>
      <c r="E67" s="1">
        <f t="shared" ref="E67:F67" si="162">IF(E63&lt;6.5,$D68*1000,IF($D69=0,0,$D68*1000))</f>
        <v>1030000</v>
      </c>
      <c r="F67" s="1">
        <f t="shared" si="162"/>
        <v>1030000</v>
      </c>
      <c r="G67" s="1">
        <f t="shared" ref="G67" si="163">IF(G63&lt;6.5,$D68*1000,IF($D69=0,0,$D68*1000))</f>
        <v>1030000</v>
      </c>
      <c r="H67" s="1">
        <f t="shared" ref="H67" si="164">IF(H63&lt;6.5,$D68*1000,IF($D69=0,0,$D68*1000))</f>
        <v>1030000</v>
      </c>
      <c r="I67" s="1">
        <f t="shared" ref="I67" si="165">IF(I63&lt;6.5,$D68*1000,IF($D69=0,0,$D68*1000))</f>
        <v>1030000</v>
      </c>
      <c r="J67" s="1">
        <f t="shared" ref="J67:K67" si="166">IF(J63&lt;6.5,$D68*1000,IF($D70=0,0,$D68*1000))</f>
        <v>1030000</v>
      </c>
      <c r="K67" s="1">
        <f t="shared" si="166"/>
        <v>1030000</v>
      </c>
      <c r="L67" s="1">
        <f t="shared" ref="L67" si="167">IF(L63&lt;6.5,$D68*1000,IF($D70=0,0,$D68*1000))</f>
        <v>1030000</v>
      </c>
      <c r="M67" s="1">
        <f t="shared" ref="M67" si="168">IF(M63&lt;6.5,$D68*1000,IF($D70=0,0,$D68*1000))</f>
        <v>1030000</v>
      </c>
      <c r="N67" s="1">
        <f t="shared" ref="N67" si="169">IF(N63&lt;6.5,$D68*1000,IF($D70=0,0,$D68*1000))</f>
        <v>1030000</v>
      </c>
      <c r="O67" s="1">
        <f t="shared" ref="O67" si="170">IF(O63&lt;6.5,$D68*1000,IF($D70=0,0,$D68*1000))</f>
        <v>1030000</v>
      </c>
      <c r="P67" s="1">
        <f t="shared" ref="P67" si="171">IF(P63&lt;6.5,$D68*1000,IF($D70=0,0,$D68*1000))</f>
        <v>1030000</v>
      </c>
      <c r="Q67">
        <f t="shared" si="2"/>
        <v>54</v>
      </c>
      <c r="R67" s="1">
        <f t="shared" ref="R67" si="172">HLOOKUP(Q67,E62:P68,7)</f>
        <v>56961067.852536306</v>
      </c>
    </row>
    <row r="68" spans="2:18" x14ac:dyDescent="0.25">
      <c r="B68" s="16"/>
      <c r="C68" t="s">
        <v>56</v>
      </c>
      <c r="D68" s="10">
        <f t="shared" ref="D68" si="173">ROUND(D67,-1)</f>
        <v>1030</v>
      </c>
      <c r="E68" s="1">
        <f t="shared" ref="E68" si="174">-FV($E$17,$E$18,$E$19,D60-E69,1)</f>
        <v>50915935.94757995</v>
      </c>
      <c r="F68" s="1">
        <f t="shared" ref="F68:I68" si="175">-FV($E$17,$E$18,$E$19,E68,1)</f>
        <v>52113476.630579054</v>
      </c>
      <c r="G68" s="1">
        <f t="shared" si="175"/>
        <v>53316732.819009095</v>
      </c>
      <c r="H68" s="1">
        <f t="shared" si="175"/>
        <v>54525731.791277222</v>
      </c>
      <c r="I68" s="1">
        <f t="shared" si="175"/>
        <v>55740500.955982305</v>
      </c>
      <c r="J68" s="1">
        <f t="shared" ref="J68" si="176">-FV($E$17,$E$18,$E$19,I68-J69-J70,1)</f>
        <v>56961067.852536306</v>
      </c>
      <c r="K68" s="1">
        <f t="shared" ref="K68" si="177">-FV($E$17,$E$18,$E$19,J68,1)</f>
        <v>58187460.151788615</v>
      </c>
      <c r="L68" s="1">
        <f t="shared" ref="L68" si="178">-FV($E$17,$E$18,$E$19,K68,1)</f>
        <v>59419705.656653337</v>
      </c>
      <c r="M68" s="1">
        <f t="shared" ref="M68" si="179">-FV($E$17,$E$18,$E$19,L68,1)</f>
        <v>60657832.302739635</v>
      </c>
      <c r="N68" s="1">
        <f t="shared" ref="N68" si="180">-FV($E$17,$E$18,$E$19,M68,1)</f>
        <v>61901868.158985011</v>
      </c>
      <c r="O68" s="1">
        <f t="shared" ref="O68" si="181">-FV($E$17,$E$18,$E$19,N68,1)</f>
        <v>63151841.428291664</v>
      </c>
      <c r="P68" s="1">
        <f t="shared" ref="P68" si="182">-FV($E$17,$E$18,$E$19,O68,1)</f>
        <v>64407780.448165849</v>
      </c>
      <c r="Q68">
        <f t="shared" si="2"/>
        <v>55</v>
      </c>
      <c r="R68" s="1">
        <f t="shared" ref="R68" si="183">HLOOKUP(Q68,E62:P68,7)</f>
        <v>58187460.151788615</v>
      </c>
    </row>
    <row r="69" spans="2:18" x14ac:dyDescent="0.25">
      <c r="B69" s="16"/>
      <c r="C69" t="s">
        <v>71</v>
      </c>
      <c r="D69">
        <f t="shared" ref="D69" si="184">$E69</f>
        <v>0</v>
      </c>
      <c r="E69" s="1">
        <f t="shared" ref="E69" si="185">ROUNDUP(IF(E63&gt;=$E$13,$D$13,IF(E63&gt;=$E$12,$D$12,IF(E63&gt;=$E$10,$D$10,IF(E63&gt;=$E$8,$D$8,IF(E63&gt;=$E$6,$D$6,IF(E63&gt;=$E$4,$D$4,0))))))*1000*(1+$D$2)^$B62,-3)</f>
        <v>0</v>
      </c>
      <c r="J69" s="1">
        <f t="shared" ref="J69" si="186">ROUNDUP(IF(J63&gt;=$E$13,$D$13,IF(J63&gt;=$E$12,$D$12,IF(J63&gt;=$E$10,$D$10,IF(J63&gt;=$E$8,$D$8,IF(J63&gt;=$E$6,$D$6,IF(J63&gt;=$E$4,$D$4,0))))))*1000*(1+$D$2)^$B62,-3)</f>
        <v>0</v>
      </c>
      <c r="Q69">
        <f t="shared" si="2"/>
        <v>56</v>
      </c>
      <c r="R69" s="1">
        <f t="shared" ref="R69" si="187">HLOOKUP(Q69,E62:P68,7)</f>
        <v>59419705.656653337</v>
      </c>
    </row>
    <row r="70" spans="2:18" x14ac:dyDescent="0.25">
      <c r="B70" s="16"/>
      <c r="C70" t="s">
        <v>72</v>
      </c>
      <c r="D70">
        <f t="shared" ref="D70" si="188">$J69</f>
        <v>0</v>
      </c>
      <c r="J70" s="1">
        <f t="shared" ref="J70" si="189">ROUND(IF(J63=$E$4,$D$5,IF(J63=$E$6,$D$7,IF(J63=$E$8,$D$9,IF(J63=$E$10,$D$11,0))))*1000*(1+$D$2)^$B62,-4)</f>
        <v>0</v>
      </c>
      <c r="Q70">
        <f t="shared" si="2"/>
        <v>57</v>
      </c>
      <c r="R70" s="1">
        <f t="shared" ref="R70" si="190">HLOOKUP(Q70,E62:P68,7)</f>
        <v>60657832.302739635</v>
      </c>
    </row>
    <row r="71" spans="2:18" x14ac:dyDescent="0.25">
      <c r="B71" s="16"/>
      <c r="C71" t="s">
        <v>58</v>
      </c>
      <c r="D71">
        <f t="shared" ref="D71" si="191">D69+D70</f>
        <v>0</v>
      </c>
      <c r="Q71">
        <f t="shared" si="2"/>
        <v>58</v>
      </c>
      <c r="R71" s="1">
        <f t="shared" ref="R71" si="192">HLOOKUP(Q71,E62:P68,7)</f>
        <v>61901868.158985011</v>
      </c>
    </row>
    <row r="72" spans="2:18" x14ac:dyDescent="0.25">
      <c r="B72" s="16"/>
      <c r="C72" t="s">
        <v>42</v>
      </c>
      <c r="D72" s="4">
        <f t="shared" ref="D72" si="193">P68*(1-D64)</f>
        <v>63602683.19256378</v>
      </c>
      <c r="Q72">
        <f t="shared" si="2"/>
        <v>59</v>
      </c>
      <c r="R72" s="1">
        <f t="shared" ref="R72" si="194">HLOOKUP(Q72,E62:P68,7)</f>
        <v>63151841.428291664</v>
      </c>
    </row>
    <row r="73" spans="2:18" x14ac:dyDescent="0.25">
      <c r="B73" s="16"/>
      <c r="Q73">
        <f t="shared" si="2"/>
        <v>60</v>
      </c>
      <c r="R73" s="1">
        <f t="shared" ref="R73" si="195">HLOOKUP(Q73,E62:P68,7)</f>
        <v>64407780.448165849</v>
      </c>
    </row>
    <row r="74" spans="2:18" x14ac:dyDescent="0.25">
      <c r="B74" s="16">
        <f t="shared" ref="B74" si="196">B62+1</f>
        <v>5</v>
      </c>
      <c r="C74" t="s">
        <v>40</v>
      </c>
      <c r="D74" s="2">
        <f t="shared" ref="D74" si="197">5.88%</f>
        <v>5.8799999999999998E-2</v>
      </c>
      <c r="E74">
        <f t="shared" ref="E74" si="198">($B74*12)+1</f>
        <v>61</v>
      </c>
      <c r="F74">
        <f t="shared" ref="F74" si="199">E74+1</f>
        <v>62</v>
      </c>
      <c r="G74">
        <f t="shared" ref="G74" si="200">F74+1</f>
        <v>63</v>
      </c>
      <c r="H74">
        <f t="shared" ref="H74" si="201">G74+1</f>
        <v>64</v>
      </c>
      <c r="I74">
        <f t="shared" ref="I74" si="202">H74+1</f>
        <v>65</v>
      </c>
      <c r="J74">
        <f t="shared" ref="J74" si="203">I74+1</f>
        <v>66</v>
      </c>
      <c r="K74">
        <f t="shared" ref="K74" si="204">J74+1</f>
        <v>67</v>
      </c>
      <c r="L74">
        <f t="shared" ref="L74" si="205">K74+1</f>
        <v>68</v>
      </c>
      <c r="M74">
        <f t="shared" ref="M74" si="206">L74+1</f>
        <v>69</v>
      </c>
      <c r="N74">
        <f t="shared" ref="N74" si="207">M74+1</f>
        <v>70</v>
      </c>
      <c r="O74">
        <f t="shared" ref="O74" si="208">N74+1</f>
        <v>71</v>
      </c>
      <c r="P74">
        <f t="shared" ref="P74" si="209">O74+1</f>
        <v>72</v>
      </c>
      <c r="Q74">
        <f t="shared" si="2"/>
        <v>61</v>
      </c>
      <c r="R74" s="1">
        <f t="shared" ref="R74" si="210">HLOOKUP(Q74,E74:P80,7)</f>
        <v>64860773.946060687</v>
      </c>
    </row>
    <row r="75" spans="2:18" x14ac:dyDescent="0.25">
      <c r="B75" s="16"/>
      <c r="C75" t="s">
        <v>41</v>
      </c>
      <c r="D75" s="3">
        <f t="shared" ref="D75" si="211">(1+D74)^(1/12)-1</f>
        <v>4.7727025161425907E-3</v>
      </c>
      <c r="E75">
        <f t="shared" ref="E75:P75" si="212">E74/12</f>
        <v>5.083333333333333</v>
      </c>
      <c r="F75">
        <f t="shared" si="212"/>
        <v>5.166666666666667</v>
      </c>
      <c r="G75">
        <f t="shared" si="212"/>
        <v>5.25</v>
      </c>
      <c r="H75">
        <f t="shared" si="212"/>
        <v>5.333333333333333</v>
      </c>
      <c r="I75">
        <f t="shared" si="212"/>
        <v>5.416666666666667</v>
      </c>
      <c r="J75">
        <f t="shared" si="212"/>
        <v>5.5</v>
      </c>
      <c r="K75">
        <f t="shared" si="212"/>
        <v>5.583333333333333</v>
      </c>
      <c r="L75">
        <f t="shared" si="212"/>
        <v>5.666666666666667</v>
      </c>
      <c r="M75">
        <f t="shared" si="212"/>
        <v>5.75</v>
      </c>
      <c r="N75">
        <f t="shared" si="212"/>
        <v>5.833333333333333</v>
      </c>
      <c r="O75">
        <f t="shared" si="212"/>
        <v>5.916666666666667</v>
      </c>
      <c r="P75">
        <f t="shared" si="212"/>
        <v>6</v>
      </c>
      <c r="Q75">
        <f t="shared" si="2"/>
        <v>62</v>
      </c>
      <c r="R75" s="1">
        <f t="shared" ref="R75" si="213">HLOOKUP(Q75,E74:P80,7)</f>
        <v>66124869.192462347</v>
      </c>
    </row>
    <row r="76" spans="2:18" x14ac:dyDescent="0.25">
      <c r="B76" s="16"/>
      <c r="C76" t="s">
        <v>53</v>
      </c>
      <c r="D76" s="2">
        <f t="shared" ref="D76" si="214">1.25%</f>
        <v>1.2500000000000001E-2</v>
      </c>
      <c r="E76" t="s">
        <v>59</v>
      </c>
      <c r="F76" t="s">
        <v>60</v>
      </c>
      <c r="G76" t="s">
        <v>61</v>
      </c>
      <c r="H76" t="s">
        <v>62</v>
      </c>
      <c r="I76" t="s">
        <v>63</v>
      </c>
      <c r="J76" t="s">
        <v>64</v>
      </c>
      <c r="K76" t="s">
        <v>65</v>
      </c>
      <c r="L76" t="s">
        <v>66</v>
      </c>
      <c r="M76" t="s">
        <v>67</v>
      </c>
      <c r="N76" t="s">
        <v>68</v>
      </c>
      <c r="O76" t="s">
        <v>69</v>
      </c>
      <c r="P76" t="s">
        <v>70</v>
      </c>
      <c r="Q76">
        <f t="shared" si="2"/>
        <v>63</v>
      </c>
      <c r="R76" s="1">
        <f t="shared" ref="R76" si="215">HLOOKUP(Q76,E74:P80,7)</f>
        <v>67394997.589427143</v>
      </c>
    </row>
    <row r="77" spans="2:18" x14ac:dyDescent="0.25">
      <c r="B77" s="16"/>
      <c r="C77" t="s">
        <v>54</v>
      </c>
      <c r="D77">
        <f>1</f>
        <v>1</v>
      </c>
      <c r="E77" s="2">
        <f t="shared" ref="E77:P77" si="216">$D63</f>
        <v>4.7727025161425907E-3</v>
      </c>
      <c r="F77" s="2">
        <f t="shared" si="216"/>
        <v>4.7727025161425907E-3</v>
      </c>
      <c r="G77" s="2">
        <f t="shared" si="216"/>
        <v>4.7727025161425907E-3</v>
      </c>
      <c r="H77" s="2">
        <f t="shared" si="216"/>
        <v>4.7727025161425907E-3</v>
      </c>
      <c r="I77" s="2">
        <f t="shared" si="216"/>
        <v>4.7727025161425907E-3</v>
      </c>
      <c r="J77" s="2">
        <f t="shared" si="216"/>
        <v>4.7727025161425907E-3</v>
      </c>
      <c r="K77" s="2">
        <f t="shared" si="216"/>
        <v>4.7727025161425907E-3</v>
      </c>
      <c r="L77" s="2">
        <f t="shared" si="216"/>
        <v>4.7727025161425907E-3</v>
      </c>
      <c r="M77" s="2">
        <f t="shared" si="216"/>
        <v>4.7727025161425907E-3</v>
      </c>
      <c r="N77" s="2">
        <f t="shared" si="216"/>
        <v>4.7727025161425907E-3</v>
      </c>
      <c r="O77" s="2">
        <f t="shared" si="216"/>
        <v>4.7727025161425907E-3</v>
      </c>
      <c r="P77" s="2">
        <f t="shared" si="216"/>
        <v>4.7727025161425907E-3</v>
      </c>
      <c r="Q77">
        <f t="shared" si="2"/>
        <v>64</v>
      </c>
      <c r="R77" s="1">
        <f t="shared" ref="R77" si="217">HLOOKUP(Q77,E74:P80,7)</f>
        <v>68671187.931387961</v>
      </c>
    </row>
    <row r="78" spans="2:18" x14ac:dyDescent="0.25">
      <c r="B78" s="16"/>
      <c r="C78" t="s">
        <v>55</v>
      </c>
      <c r="D78">
        <f t="shared" ref="D78" si="218">D77*12</f>
        <v>12</v>
      </c>
      <c r="E78">
        <f>1</f>
        <v>1</v>
      </c>
      <c r="F78">
        <f>1</f>
        <v>1</v>
      </c>
      <c r="G78">
        <f>1</f>
        <v>1</v>
      </c>
      <c r="H78">
        <f>1</f>
        <v>1</v>
      </c>
      <c r="I78">
        <f>1</f>
        <v>1</v>
      </c>
      <c r="J78">
        <f>1</f>
        <v>1</v>
      </c>
      <c r="K78">
        <f>1</f>
        <v>1</v>
      </c>
      <c r="L78">
        <f>1</f>
        <v>1</v>
      </c>
      <c r="M78">
        <f>1</f>
        <v>1</v>
      </c>
      <c r="N78">
        <f>1</f>
        <v>1</v>
      </c>
      <c r="O78">
        <f>1</f>
        <v>1</v>
      </c>
      <c r="P78">
        <f>1</f>
        <v>1</v>
      </c>
      <c r="Q78">
        <f t="shared" si="2"/>
        <v>65</v>
      </c>
      <c r="R78" s="1">
        <f t="shared" ref="R78" si="219">HLOOKUP(Q78,E74:P80,7)</f>
        <v>69953469.150204942</v>
      </c>
    </row>
    <row r="79" spans="2:18" x14ac:dyDescent="0.25">
      <c r="B79" s="16"/>
      <c r="C79" t="s">
        <v>57</v>
      </c>
      <c r="D79" s="10">
        <f t="shared" ref="D79" si="220">D67*(1+$D$2)</f>
        <v>1048.87676304</v>
      </c>
      <c r="E79" s="1">
        <f t="shared" ref="E79:F79" si="221">IF(E75&lt;6.5,$D80*1000,IF($D81=0,0,$D80*1000))</f>
        <v>1050000</v>
      </c>
      <c r="F79" s="1">
        <f t="shared" si="221"/>
        <v>1050000</v>
      </c>
      <c r="G79" s="1">
        <f t="shared" ref="G79" si="222">IF(G75&lt;6.5,$D80*1000,IF($D81=0,0,$D80*1000))</f>
        <v>1050000</v>
      </c>
      <c r="H79" s="1">
        <f t="shared" ref="H79" si="223">IF(H75&lt;6.5,$D80*1000,IF($D81=0,0,$D80*1000))</f>
        <v>1050000</v>
      </c>
      <c r="I79" s="1">
        <f t="shared" ref="I79" si="224">IF(I75&lt;6.5,$D80*1000,IF($D81=0,0,$D80*1000))</f>
        <v>1050000</v>
      </c>
      <c r="J79" s="1">
        <f t="shared" ref="J79:K79" si="225">IF(J75&lt;6.5,$D80*1000,IF($D82=0,0,$D80*1000))</f>
        <v>1050000</v>
      </c>
      <c r="K79" s="1">
        <f t="shared" si="225"/>
        <v>1050000</v>
      </c>
      <c r="L79" s="1">
        <f t="shared" ref="L79" si="226">IF(L75&lt;6.5,$D80*1000,IF($D82=0,0,$D80*1000))</f>
        <v>1050000</v>
      </c>
      <c r="M79" s="1">
        <f t="shared" ref="M79" si="227">IF(M75&lt;6.5,$D80*1000,IF($D82=0,0,$D80*1000))</f>
        <v>1050000</v>
      </c>
      <c r="N79" s="1">
        <f t="shared" ref="N79" si="228">IF(N75&lt;6.5,$D80*1000,IF($D82=0,0,$D80*1000))</f>
        <v>1050000</v>
      </c>
      <c r="O79" s="1">
        <f t="shared" ref="O79" si="229">IF(O75&lt;6.5,$D80*1000,IF($D82=0,0,$D80*1000))</f>
        <v>1050000</v>
      </c>
      <c r="P79" s="1">
        <f t="shared" ref="P79" si="230">IF(P75&lt;6.5,$D80*1000,IF($D82=0,0,$D80*1000))</f>
        <v>1050000</v>
      </c>
      <c r="Q79">
        <f t="shared" si="2"/>
        <v>66</v>
      </c>
      <c r="R79" s="1">
        <f t="shared" ref="R79" si="231">HLOOKUP(Q79,E74:P80,7)</f>
        <v>71241870.315821365</v>
      </c>
    </row>
    <row r="80" spans="2:18" x14ac:dyDescent="0.25">
      <c r="B80" s="16"/>
      <c r="C80" t="s">
        <v>56</v>
      </c>
      <c r="D80" s="10">
        <f t="shared" ref="D80" si="232">ROUND(D79,-1)</f>
        <v>1050</v>
      </c>
      <c r="E80" s="1">
        <f t="shared" ref="E80" si="233">-FV($E$17,$E$18,$E$19,D72-E81,1)</f>
        <v>64860773.946060687</v>
      </c>
      <c r="F80" s="1">
        <f t="shared" ref="F80:I80" si="234">-FV($E$17,$E$18,$E$19,E80,1)</f>
        <v>66124869.192462347</v>
      </c>
      <c r="G80" s="1">
        <f t="shared" si="234"/>
        <v>67394997.589427143</v>
      </c>
      <c r="H80" s="1">
        <f t="shared" si="234"/>
        <v>68671187.931387961</v>
      </c>
      <c r="I80" s="1">
        <f t="shared" si="234"/>
        <v>69953469.150204942</v>
      </c>
      <c r="J80" s="1">
        <f t="shared" ref="J80" si="235">-FV($E$17,$E$18,$E$19,I80-J81-J82,1)</f>
        <v>71241870.315821365</v>
      </c>
      <c r="K80" s="1">
        <f t="shared" ref="K80" si="236">-FV($E$17,$E$18,$E$19,J80,1)</f>
        <v>72536420.636922732</v>
      </c>
      <c r="L80" s="1">
        <f t="shared" ref="L80" si="237">-FV($E$17,$E$18,$E$19,K80,1)</f>
        <v>73837149.461598888</v>
      </c>
      <c r="M80" s="1">
        <f t="shared" ref="M80" si="238">-FV($E$17,$E$18,$E$19,L80,1)</f>
        <v>75144086.2780094</v>
      </c>
      <c r="N80" s="1">
        <f t="shared" ref="N80" si="239">-FV($E$17,$E$18,$E$19,M80,1)</f>
        <v>76457260.715052024</v>
      </c>
      <c r="O80" s="1">
        <f t="shared" ref="O80" si="240">-FV($E$17,$E$18,$E$19,N80,1)</f>
        <v>77776702.543034464</v>
      </c>
      <c r="P80" s="1">
        <f t="shared" ref="P80" si="241">-FV($E$17,$E$18,$E$19,O80,1)</f>
        <v>79102441.674349219</v>
      </c>
      <c r="Q80">
        <f t="shared" ref="Q80:Q143" si="242">Q79+1</f>
        <v>67</v>
      </c>
      <c r="R80" s="1">
        <f t="shared" ref="R80" si="243">HLOOKUP(Q80,E74:P80,7)</f>
        <v>72536420.636922732</v>
      </c>
    </row>
    <row r="81" spans="2:18" x14ac:dyDescent="0.25">
      <c r="B81" s="16"/>
      <c r="C81" t="s">
        <v>71</v>
      </c>
      <c r="D81">
        <f t="shared" ref="D81" si="244">$E81</f>
        <v>0</v>
      </c>
      <c r="E81" s="1">
        <f t="shared" ref="E81" si="245">ROUNDUP(IF(E75&gt;=$E$13,$D$13,IF(E75&gt;=$E$12,$D$12,IF(E75&gt;=$E$10,$D$10,IF(E75&gt;=$E$8,$D$8,IF(E75&gt;=$E$6,$D$6,IF(E75&gt;=$E$4,$D$4,0))))))*1000*(1+$D$2)^$B74,-3)</f>
        <v>0</v>
      </c>
      <c r="J81" s="1">
        <f t="shared" ref="J81" si="246">ROUNDUP(IF(J75&gt;=$E$13,$D$13,IF(J75&gt;=$E$12,$D$12,IF(J75&gt;=$E$10,$D$10,IF(J75&gt;=$E$8,$D$8,IF(J75&gt;=$E$6,$D$6,IF(J75&gt;=$E$4,$D$4,0))))))*1000*(1+$D$2)^$B74,-3)</f>
        <v>0</v>
      </c>
      <c r="Q81">
        <f t="shared" si="242"/>
        <v>68</v>
      </c>
      <c r="R81" s="1">
        <f t="shared" ref="R81" si="247">HLOOKUP(Q81,E74:P80,7)</f>
        <v>73837149.461598888</v>
      </c>
    </row>
    <row r="82" spans="2:18" x14ac:dyDescent="0.25">
      <c r="B82" s="16"/>
      <c r="C82" t="s">
        <v>72</v>
      </c>
      <c r="D82">
        <f t="shared" ref="D82" si="248">$J81</f>
        <v>0</v>
      </c>
      <c r="J82" s="1">
        <f t="shared" ref="J82" si="249">ROUND(IF(J75=$E$4,$D$5,IF(J75=$E$6,$D$7,IF(J75=$E$8,$D$9,IF(J75=$E$10,$D$11,0))))*1000*(1+$D$2)^$B74,-4)</f>
        <v>0</v>
      </c>
      <c r="Q82">
        <f t="shared" si="242"/>
        <v>69</v>
      </c>
      <c r="R82" s="1">
        <f t="shared" ref="R82" si="250">HLOOKUP(Q82,E74:P80,7)</f>
        <v>75144086.2780094</v>
      </c>
    </row>
    <row r="83" spans="2:18" x14ac:dyDescent="0.25">
      <c r="B83" s="16"/>
      <c r="C83" t="s">
        <v>58</v>
      </c>
      <c r="D83">
        <f t="shared" ref="D83" si="251">D81+D82</f>
        <v>0</v>
      </c>
      <c r="Q83">
        <f t="shared" si="242"/>
        <v>70</v>
      </c>
      <c r="R83" s="1">
        <f t="shared" ref="R83" si="252">HLOOKUP(Q83,E74:P80,7)</f>
        <v>76457260.715052024</v>
      </c>
    </row>
    <row r="84" spans="2:18" x14ac:dyDescent="0.25">
      <c r="B84" s="16"/>
      <c r="C84" t="s">
        <v>42</v>
      </c>
      <c r="D84" s="4">
        <f t="shared" ref="D84" si="253">P80*(1-D76)</f>
        <v>78113661.153419852</v>
      </c>
      <c r="Q84">
        <f t="shared" si="242"/>
        <v>71</v>
      </c>
      <c r="R84" s="1">
        <f t="shared" ref="R84" si="254">HLOOKUP(Q84,E74:P80,7)</f>
        <v>77776702.543034464</v>
      </c>
    </row>
    <row r="85" spans="2:18" x14ac:dyDescent="0.25">
      <c r="B85" s="16"/>
      <c r="Q85">
        <f t="shared" si="242"/>
        <v>72</v>
      </c>
      <c r="R85" s="1">
        <f t="shared" ref="R85" si="255">HLOOKUP(Q85,E74:P80,7)</f>
        <v>79102441.674349219</v>
      </c>
    </row>
    <row r="86" spans="2:18" x14ac:dyDescent="0.25">
      <c r="B86" s="16">
        <f t="shared" ref="B86" si="256">B74+1</f>
        <v>6</v>
      </c>
      <c r="C86" t="s">
        <v>40</v>
      </c>
      <c r="D86" s="2">
        <f t="shared" ref="D86" si="257">5.88%</f>
        <v>5.8799999999999998E-2</v>
      </c>
      <c r="E86">
        <f t="shared" ref="E86" si="258">($B86*12)+1</f>
        <v>73</v>
      </c>
      <c r="F86">
        <f t="shared" ref="F86" si="259">E86+1</f>
        <v>74</v>
      </c>
      <c r="G86">
        <f t="shared" ref="G86" si="260">F86+1</f>
        <v>75</v>
      </c>
      <c r="H86">
        <f t="shared" ref="H86" si="261">G86+1</f>
        <v>76</v>
      </c>
      <c r="I86">
        <f t="shared" ref="I86" si="262">H86+1</f>
        <v>77</v>
      </c>
      <c r="J86">
        <f t="shared" ref="J86" si="263">I86+1</f>
        <v>78</v>
      </c>
      <c r="K86">
        <f t="shared" ref="K86" si="264">J86+1</f>
        <v>79</v>
      </c>
      <c r="L86">
        <f t="shared" ref="L86" si="265">K86+1</f>
        <v>80</v>
      </c>
      <c r="M86">
        <f t="shared" ref="M86" si="266">L86+1</f>
        <v>81</v>
      </c>
      <c r="N86">
        <f t="shared" ref="N86" si="267">M86+1</f>
        <v>82</v>
      </c>
      <c r="O86">
        <f t="shared" ref="O86" si="268">N86+1</f>
        <v>83</v>
      </c>
      <c r="P86">
        <f t="shared" ref="P86" si="269">O86+1</f>
        <v>84</v>
      </c>
      <c r="Q86">
        <f t="shared" si="242"/>
        <v>73</v>
      </c>
      <c r="R86" s="1">
        <f t="shared" ref="R86" si="270">HLOOKUP(Q86,E86:P92,7)</f>
        <v>79441008.487942234</v>
      </c>
    </row>
    <row r="87" spans="2:18" x14ac:dyDescent="0.25">
      <c r="B87" s="16"/>
      <c r="C87" t="s">
        <v>41</v>
      </c>
      <c r="D87" s="3">
        <f t="shared" ref="D87" si="271">(1+D86)^(1/12)-1</f>
        <v>4.7727025161425907E-3</v>
      </c>
      <c r="E87">
        <f t="shared" ref="E87:P87" si="272">E86/12</f>
        <v>6.083333333333333</v>
      </c>
      <c r="F87">
        <f t="shared" si="272"/>
        <v>6.166666666666667</v>
      </c>
      <c r="G87">
        <f t="shared" si="272"/>
        <v>6.25</v>
      </c>
      <c r="H87">
        <f t="shared" si="272"/>
        <v>6.333333333333333</v>
      </c>
      <c r="I87">
        <f t="shared" si="272"/>
        <v>6.416666666666667</v>
      </c>
      <c r="J87">
        <f t="shared" si="272"/>
        <v>6.5</v>
      </c>
      <c r="K87">
        <f t="shared" si="272"/>
        <v>6.583333333333333</v>
      </c>
      <c r="L87">
        <f t="shared" si="272"/>
        <v>6.666666666666667</v>
      </c>
      <c r="M87">
        <f t="shared" si="272"/>
        <v>6.75</v>
      </c>
      <c r="N87">
        <f t="shared" si="272"/>
        <v>6.833333333333333</v>
      </c>
      <c r="O87">
        <f t="shared" si="272"/>
        <v>6.916666666666667</v>
      </c>
      <c r="P87">
        <f t="shared" si="272"/>
        <v>7</v>
      </c>
      <c r="Q87">
        <f t="shared" si="242"/>
        <v>74</v>
      </c>
      <c r="R87" s="1">
        <f t="shared" ref="R87" si="273">HLOOKUP(Q87,E86:P92,7)</f>
        <v>80774690.856427878</v>
      </c>
    </row>
    <row r="88" spans="2:18" x14ac:dyDescent="0.25">
      <c r="B88" s="16"/>
      <c r="C88" t="s">
        <v>53</v>
      </c>
      <c r="D88" s="2">
        <f t="shared" ref="D88" si="274">1.25%</f>
        <v>1.2500000000000001E-2</v>
      </c>
      <c r="E88" t="s">
        <v>59</v>
      </c>
      <c r="F88" t="s">
        <v>60</v>
      </c>
      <c r="G88" t="s">
        <v>61</v>
      </c>
      <c r="H88" t="s">
        <v>62</v>
      </c>
      <c r="I88" t="s">
        <v>63</v>
      </c>
      <c r="J88" t="s">
        <v>64</v>
      </c>
      <c r="K88" t="s">
        <v>65</v>
      </c>
      <c r="L88" t="s">
        <v>66</v>
      </c>
      <c r="M88" t="s">
        <v>67</v>
      </c>
      <c r="N88" t="s">
        <v>68</v>
      </c>
      <c r="O88" t="s">
        <v>69</v>
      </c>
      <c r="P88" t="s">
        <v>70</v>
      </c>
      <c r="Q88">
        <f t="shared" si="242"/>
        <v>75</v>
      </c>
      <c r="R88" s="1">
        <f t="shared" ref="R88" si="275">HLOOKUP(Q88,E86:P92,7)</f>
        <v>82114738.494109333</v>
      </c>
    </row>
    <row r="89" spans="2:18" x14ac:dyDescent="0.25">
      <c r="B89" s="16"/>
      <c r="C89" t="s">
        <v>54</v>
      </c>
      <c r="D89">
        <f>1</f>
        <v>1</v>
      </c>
      <c r="E89" s="2">
        <f t="shared" ref="E89:P89" si="276">$D75</f>
        <v>4.7727025161425907E-3</v>
      </c>
      <c r="F89" s="2">
        <f t="shared" si="276"/>
        <v>4.7727025161425907E-3</v>
      </c>
      <c r="G89" s="2">
        <f t="shared" si="276"/>
        <v>4.7727025161425907E-3</v>
      </c>
      <c r="H89" s="2">
        <f t="shared" si="276"/>
        <v>4.7727025161425907E-3</v>
      </c>
      <c r="I89" s="2">
        <f t="shared" si="276"/>
        <v>4.7727025161425907E-3</v>
      </c>
      <c r="J89" s="2">
        <f t="shared" si="276"/>
        <v>4.7727025161425907E-3</v>
      </c>
      <c r="K89" s="2">
        <f t="shared" si="276"/>
        <v>4.7727025161425907E-3</v>
      </c>
      <c r="L89" s="2">
        <f t="shared" si="276"/>
        <v>4.7727025161425907E-3</v>
      </c>
      <c r="M89" s="2">
        <f t="shared" si="276"/>
        <v>4.7727025161425907E-3</v>
      </c>
      <c r="N89" s="2">
        <f t="shared" si="276"/>
        <v>4.7727025161425907E-3</v>
      </c>
      <c r="O89" s="2">
        <f t="shared" si="276"/>
        <v>4.7727025161425907E-3</v>
      </c>
      <c r="P89" s="2">
        <f t="shared" si="276"/>
        <v>4.7727025161425907E-3</v>
      </c>
      <c r="Q89">
        <f t="shared" si="242"/>
        <v>76</v>
      </c>
      <c r="R89" s="1">
        <f t="shared" ref="R89" si="277">HLOOKUP(Q89,E86:P92,7)</f>
        <v>83461181.780522898</v>
      </c>
    </row>
    <row r="90" spans="2:18" x14ac:dyDescent="0.25">
      <c r="B90" s="16"/>
      <c r="C90" t="s">
        <v>55</v>
      </c>
      <c r="D90">
        <f t="shared" ref="D90" si="278">D89*12</f>
        <v>12</v>
      </c>
      <c r="E90">
        <f>1</f>
        <v>1</v>
      </c>
      <c r="F90">
        <f>1</f>
        <v>1</v>
      </c>
      <c r="G90">
        <f>1</f>
        <v>1</v>
      </c>
      <c r="H90">
        <f>1</f>
        <v>1</v>
      </c>
      <c r="I90">
        <f>1</f>
        <v>1</v>
      </c>
      <c r="J90">
        <f>1</f>
        <v>1</v>
      </c>
      <c r="K90">
        <f>1</f>
        <v>1</v>
      </c>
      <c r="L90">
        <f>1</f>
        <v>1</v>
      </c>
      <c r="M90">
        <f>1</f>
        <v>1</v>
      </c>
      <c r="N90">
        <f>1</f>
        <v>1</v>
      </c>
      <c r="O90">
        <f>1</f>
        <v>1</v>
      </c>
      <c r="P90">
        <f>1</f>
        <v>1</v>
      </c>
      <c r="Q90">
        <f t="shared" si="242"/>
        <v>77</v>
      </c>
      <c r="R90" s="1">
        <f t="shared" ref="R90" si="279">HLOOKUP(Q90,E86:P92,7)</f>
        <v>84814051.240197375</v>
      </c>
    </row>
    <row r="91" spans="2:18" x14ac:dyDescent="0.25">
      <c r="B91" s="16"/>
      <c r="C91" t="s">
        <v>57</v>
      </c>
      <c r="D91" s="10">
        <f t="shared" ref="D91" si="280">D79*(1+$D$2)</f>
        <v>1069.8542983008001</v>
      </c>
      <c r="E91" s="1">
        <f t="shared" ref="E91:F91" si="281">IF(E87&lt;6.5,$D92*1000,IF($D93=0,0,$D92*1000))</f>
        <v>1070000</v>
      </c>
      <c r="F91" s="1">
        <f t="shared" si="281"/>
        <v>1070000</v>
      </c>
      <c r="G91" s="1">
        <f t="shared" ref="G91" si="282">IF(G87&lt;6.5,$D92*1000,IF($D93=0,0,$D92*1000))</f>
        <v>1070000</v>
      </c>
      <c r="H91" s="1">
        <f t="shared" ref="H91" si="283">IF(H87&lt;6.5,$D92*1000,IF($D93=0,0,$D92*1000))</f>
        <v>1070000</v>
      </c>
      <c r="I91" s="1">
        <f t="shared" ref="I91" si="284">IF(I87&lt;6.5,$D92*1000,IF($D93=0,0,$D92*1000))</f>
        <v>1070000</v>
      </c>
      <c r="J91" s="1">
        <f t="shared" ref="J91:K91" si="285">IF(J87&lt;6.5,$D92*1000,IF($D94=0,0,$D92*1000))</f>
        <v>0</v>
      </c>
      <c r="K91" s="1">
        <f t="shared" si="285"/>
        <v>0</v>
      </c>
      <c r="L91" s="1">
        <f t="shared" ref="L91" si="286">IF(L87&lt;6.5,$D92*1000,IF($D94=0,0,$D92*1000))</f>
        <v>0</v>
      </c>
      <c r="M91" s="1">
        <f t="shared" ref="M91" si="287">IF(M87&lt;6.5,$D92*1000,IF($D94=0,0,$D92*1000))</f>
        <v>0</v>
      </c>
      <c r="N91" s="1">
        <f t="shared" ref="N91" si="288">IF(N87&lt;6.5,$D92*1000,IF($D94=0,0,$D92*1000))</f>
        <v>0</v>
      </c>
      <c r="O91" s="1">
        <f t="shared" ref="O91" si="289">IF(O87&lt;6.5,$D92*1000,IF($D94=0,0,$D92*1000))</f>
        <v>0</v>
      </c>
      <c r="P91" s="1">
        <f t="shared" ref="P91" si="290">IF(P87&lt;6.5,$D92*1000,IF($D94=0,0,$D92*1000))</f>
        <v>0</v>
      </c>
      <c r="Q91">
        <f t="shared" si="242"/>
        <v>78</v>
      </c>
      <c r="R91" s="1">
        <f t="shared" ref="R91" si="291">HLOOKUP(Q91,E86:P92,7)</f>
        <v>86173377.543346047</v>
      </c>
    </row>
    <row r="92" spans="2:18" x14ac:dyDescent="0.25">
      <c r="B92" s="16"/>
      <c r="C92" t="s">
        <v>56</v>
      </c>
      <c r="D92" s="10">
        <f t="shared" ref="D92" si="292">ROUND(D91,-1)</f>
        <v>1070</v>
      </c>
      <c r="E92" s="1">
        <f t="shared" ref="E92" si="293">-FV($E$17,$E$18,$E$19,D84-E93,1)</f>
        <v>79441008.487942234</v>
      </c>
      <c r="F92" s="1">
        <f t="shared" ref="F92:I92" si="294">-FV($E$17,$E$18,$E$19,E92,1)</f>
        <v>80774690.856427878</v>
      </c>
      <c r="G92" s="1">
        <f t="shared" si="294"/>
        <v>82114738.494109333</v>
      </c>
      <c r="H92" s="1">
        <f t="shared" si="294"/>
        <v>83461181.780522898</v>
      </c>
      <c r="I92" s="1">
        <f t="shared" si="294"/>
        <v>84814051.240197375</v>
      </c>
      <c r="J92" s="1">
        <f t="shared" ref="J92" si="295">-FV($E$17,$E$18,$E$19,I92-J93-J94,1)</f>
        <v>86173377.543346047</v>
      </c>
      <c r="K92" s="1">
        <f t="shared" ref="K92" si="296">-FV($E$17,$E$18,$E$19,J92,1)</f>
        <v>87539191.506562024</v>
      </c>
      <c r="L92" s="1">
        <f t="shared" ref="L92" si="297">-FV($E$17,$E$18,$E$19,K92,1)</f>
        <v>88911524.093516812</v>
      </c>
      <c r="M92" s="1">
        <f t="shared" ref="M92" si="298">-FV($E$17,$E$18,$E$19,L92,1)</f>
        <v>90290406.415662348</v>
      </c>
      <c r="N92" s="1">
        <f t="shared" ref="N92" si="299">-FV($E$17,$E$18,$E$19,M92,1)</f>
        <v>91675869.732936248</v>
      </c>
      <c r="O92" s="1">
        <f t="shared" ref="O92" si="300">-FV($E$17,$E$18,$E$19,N92,1)</f>
        <v>93067945.45447053</v>
      </c>
      <c r="P92" s="1">
        <f t="shared" ref="P92" si="301">-FV($E$17,$E$18,$E$19,O92,1)</f>
        <v>94466665.13930364</v>
      </c>
      <c r="Q92">
        <f t="shared" si="242"/>
        <v>79</v>
      </c>
      <c r="R92" s="1">
        <f t="shared" ref="R92" si="302">HLOOKUP(Q92,E86:P92,7)</f>
        <v>87539191.506562024</v>
      </c>
    </row>
    <row r="93" spans="2:18" x14ac:dyDescent="0.25">
      <c r="B93" s="16"/>
      <c r="C93" t="s">
        <v>71</v>
      </c>
      <c r="D93">
        <f t="shared" ref="D93" si="303">$E93</f>
        <v>0</v>
      </c>
      <c r="E93" s="1">
        <f t="shared" ref="E93" si="304">ROUNDUP(IF(E87&gt;=$E$13,$D$13,IF(E87&gt;=$E$12,$D$12,IF(E87&gt;=$E$10,$D$10,IF(E87&gt;=$E$8,$D$8,IF(E87&gt;=$E$6,$D$6,IF(E87&gt;=$E$4,$D$4,0))))))*1000*(1+$D$2)^$B86,-3)</f>
        <v>0</v>
      </c>
      <c r="J93" s="1">
        <f t="shared" ref="J93" si="305">ROUNDUP(IF(J87&gt;=$E$13,$D$13,IF(J87&gt;=$E$12,$D$12,IF(J87&gt;=$E$10,$D$10,IF(J87&gt;=$E$8,$D$8,IF(J87&gt;=$E$6,$D$6,IF(J87&gt;=$E$4,$D$4,0))))))*1000*(1+$D$2)^$B86,-3)</f>
        <v>0</v>
      </c>
      <c r="Q93">
        <f t="shared" si="242"/>
        <v>80</v>
      </c>
      <c r="R93" s="1">
        <f t="shared" ref="R93" si="306">HLOOKUP(Q93,E86:P92,7)</f>
        <v>88911524.093516812</v>
      </c>
    </row>
    <row r="94" spans="2:18" x14ac:dyDescent="0.25">
      <c r="B94" s="16"/>
      <c r="C94" t="s">
        <v>72</v>
      </c>
      <c r="D94">
        <f t="shared" ref="D94" si="307">$J93</f>
        <v>0</v>
      </c>
      <c r="J94" s="1">
        <f t="shared" ref="J94" si="308">ROUND(IF(J87=$E$4,$D$5,IF(J87=$E$6,$D$7,IF(J87=$E$8,$D$9,IF(J87=$E$10,$D$11,0))))*1000*(1+$D$2)^$B86,-4)</f>
        <v>0</v>
      </c>
      <c r="Q94">
        <f t="shared" si="242"/>
        <v>81</v>
      </c>
      <c r="R94" s="1">
        <f t="shared" ref="R94" si="309">HLOOKUP(Q94,E86:P92,7)</f>
        <v>90290406.415662348</v>
      </c>
    </row>
    <row r="95" spans="2:18" x14ac:dyDescent="0.25">
      <c r="B95" s="16"/>
      <c r="C95" t="s">
        <v>58</v>
      </c>
      <c r="D95">
        <f t="shared" ref="D95" si="310">D93+D94</f>
        <v>0</v>
      </c>
      <c r="Q95">
        <f t="shared" si="242"/>
        <v>82</v>
      </c>
      <c r="R95" s="1">
        <f t="shared" ref="R95" si="311">HLOOKUP(Q95,E86:P92,7)</f>
        <v>91675869.732936248</v>
      </c>
    </row>
    <row r="96" spans="2:18" x14ac:dyDescent="0.25">
      <c r="B96" s="16"/>
      <c r="C96" t="s">
        <v>42</v>
      </c>
      <c r="D96" s="4">
        <f t="shared" ref="D96" si="312">P92*(1-D88)</f>
        <v>93285831.825062349</v>
      </c>
      <c r="Q96">
        <f t="shared" si="242"/>
        <v>83</v>
      </c>
      <c r="R96" s="1">
        <f t="shared" ref="R96" si="313">HLOOKUP(Q96,E86:P92,7)</f>
        <v>93067945.45447053</v>
      </c>
    </row>
    <row r="97" spans="2:18" x14ac:dyDescent="0.25">
      <c r="B97" s="16"/>
      <c r="Q97">
        <f t="shared" si="242"/>
        <v>84</v>
      </c>
      <c r="R97" s="1">
        <f t="shared" ref="R97" si="314">HLOOKUP(Q97,E86:P92,7)</f>
        <v>94466665.13930364</v>
      </c>
    </row>
    <row r="98" spans="2:18" x14ac:dyDescent="0.25">
      <c r="B98" s="16">
        <f t="shared" ref="B98" si="315">B86+1</f>
        <v>7</v>
      </c>
      <c r="C98" t="s">
        <v>40</v>
      </c>
      <c r="D98" s="2">
        <f t="shared" ref="D98" si="316">5.88%</f>
        <v>5.8799999999999998E-2</v>
      </c>
      <c r="E98">
        <f t="shared" ref="E98" si="317">($B98*12)+1</f>
        <v>85</v>
      </c>
      <c r="F98">
        <f t="shared" ref="F98" si="318">E98+1</f>
        <v>86</v>
      </c>
      <c r="G98">
        <f t="shared" ref="G98" si="319">F98+1</f>
        <v>87</v>
      </c>
      <c r="H98">
        <f t="shared" ref="H98" si="320">G98+1</f>
        <v>88</v>
      </c>
      <c r="I98">
        <f t="shared" ref="I98" si="321">H98+1</f>
        <v>89</v>
      </c>
      <c r="J98">
        <f t="shared" ref="J98" si="322">I98+1</f>
        <v>90</v>
      </c>
      <c r="K98">
        <f t="shared" ref="K98" si="323">J98+1</f>
        <v>91</v>
      </c>
      <c r="L98">
        <f t="shared" ref="L98" si="324">K98+1</f>
        <v>92</v>
      </c>
      <c r="M98">
        <f t="shared" ref="M98" si="325">L98+1</f>
        <v>93</v>
      </c>
      <c r="N98">
        <f t="shared" ref="N98" si="326">M98+1</f>
        <v>94</v>
      </c>
      <c r="O98">
        <f t="shared" ref="O98" si="327">N98+1</f>
        <v>95</v>
      </c>
      <c r="P98">
        <f t="shared" ref="P98" si="328">O98+1</f>
        <v>96</v>
      </c>
      <c r="Q98">
        <f t="shared" si="242"/>
        <v>85</v>
      </c>
      <c r="R98" s="1">
        <f t="shared" ref="R98" si="329">HLOOKUP(Q98,E98:P104,7)</f>
        <v>94685591.416724622</v>
      </c>
    </row>
    <row r="99" spans="2:18" x14ac:dyDescent="0.25">
      <c r="B99" s="16"/>
      <c r="C99" t="s">
        <v>41</v>
      </c>
      <c r="D99" s="3">
        <f t="shared" ref="D99" si="330">(1+D98)^(1/12)-1</f>
        <v>4.7727025161425907E-3</v>
      </c>
      <c r="E99">
        <f t="shared" ref="E99:P99" si="331">E98/12</f>
        <v>7.083333333333333</v>
      </c>
      <c r="F99">
        <f t="shared" si="331"/>
        <v>7.166666666666667</v>
      </c>
      <c r="G99">
        <f t="shared" si="331"/>
        <v>7.25</v>
      </c>
      <c r="H99">
        <f t="shared" si="331"/>
        <v>7.333333333333333</v>
      </c>
      <c r="I99">
        <f t="shared" si="331"/>
        <v>7.416666666666667</v>
      </c>
      <c r="J99">
        <f t="shared" si="331"/>
        <v>7.5</v>
      </c>
      <c r="K99">
        <f t="shared" si="331"/>
        <v>7.583333333333333</v>
      </c>
      <c r="L99">
        <f t="shared" si="331"/>
        <v>7.666666666666667</v>
      </c>
      <c r="M99">
        <f t="shared" si="331"/>
        <v>7.75</v>
      </c>
      <c r="N99">
        <f t="shared" si="331"/>
        <v>7.833333333333333</v>
      </c>
      <c r="O99">
        <f t="shared" si="331"/>
        <v>7.916666666666667</v>
      </c>
      <c r="P99">
        <f t="shared" si="331"/>
        <v>8</v>
      </c>
      <c r="Q99">
        <f t="shared" si="242"/>
        <v>86</v>
      </c>
      <c r="R99" s="1">
        <f t="shared" ref="R99" si="332">HLOOKUP(Q99,E98:P104,7)</f>
        <v>96092031.644512013</v>
      </c>
    </row>
    <row r="100" spans="2:18" x14ac:dyDescent="0.25">
      <c r="B100" s="16"/>
      <c r="C100" t="s">
        <v>53</v>
      </c>
      <c r="D100" s="2">
        <f t="shared" ref="D100" si="333">1.25%</f>
        <v>1.2500000000000001E-2</v>
      </c>
      <c r="E100" t="s">
        <v>59</v>
      </c>
      <c r="F100" t="s">
        <v>60</v>
      </c>
      <c r="G100" t="s">
        <v>61</v>
      </c>
      <c r="H100" t="s">
        <v>62</v>
      </c>
      <c r="I100" t="s">
        <v>63</v>
      </c>
      <c r="J100" t="s">
        <v>64</v>
      </c>
      <c r="K100" t="s">
        <v>65</v>
      </c>
      <c r="L100" t="s">
        <v>66</v>
      </c>
      <c r="M100" t="s">
        <v>67</v>
      </c>
      <c r="N100" t="s">
        <v>68</v>
      </c>
      <c r="O100" t="s">
        <v>69</v>
      </c>
      <c r="P100" t="s">
        <v>70</v>
      </c>
      <c r="Q100">
        <f t="shared" si="242"/>
        <v>87</v>
      </c>
      <c r="R100" s="1">
        <f t="shared" ref="R100" si="334">HLOOKUP(Q100,E98:P104,7)</f>
        <v>97505184.39311336</v>
      </c>
    </row>
    <row r="101" spans="2:18" x14ac:dyDescent="0.25">
      <c r="B101" s="16"/>
      <c r="C101" t="s">
        <v>54</v>
      </c>
      <c r="D101">
        <f>1</f>
        <v>1</v>
      </c>
      <c r="E101" s="2">
        <f t="shared" ref="E101:P101" si="335">$D87</f>
        <v>4.7727025161425907E-3</v>
      </c>
      <c r="F101" s="2">
        <f t="shared" si="335"/>
        <v>4.7727025161425907E-3</v>
      </c>
      <c r="G101" s="2">
        <f t="shared" si="335"/>
        <v>4.7727025161425907E-3</v>
      </c>
      <c r="H101" s="2">
        <f t="shared" si="335"/>
        <v>4.7727025161425907E-3</v>
      </c>
      <c r="I101" s="2">
        <f t="shared" si="335"/>
        <v>4.7727025161425907E-3</v>
      </c>
      <c r="J101" s="2">
        <f t="shared" si="335"/>
        <v>4.7727025161425907E-3</v>
      </c>
      <c r="K101" s="2">
        <f t="shared" si="335"/>
        <v>4.7727025161425907E-3</v>
      </c>
      <c r="L101" s="2">
        <f t="shared" si="335"/>
        <v>4.7727025161425907E-3</v>
      </c>
      <c r="M101" s="2">
        <f t="shared" si="335"/>
        <v>4.7727025161425907E-3</v>
      </c>
      <c r="N101" s="2">
        <f t="shared" si="335"/>
        <v>4.7727025161425907E-3</v>
      </c>
      <c r="O101" s="2">
        <f t="shared" si="335"/>
        <v>4.7727025161425907E-3</v>
      </c>
      <c r="P101" s="2">
        <f t="shared" si="335"/>
        <v>4.7727025161425907E-3</v>
      </c>
      <c r="Q101">
        <f t="shared" si="242"/>
        <v>88</v>
      </c>
      <c r="R101" s="1">
        <f t="shared" ref="R101" si="336">HLOOKUP(Q101,E98:P104,7)</f>
        <v>98925081.69939366</v>
      </c>
    </row>
    <row r="102" spans="2:18" x14ac:dyDescent="0.25">
      <c r="B102" s="16"/>
      <c r="C102" t="s">
        <v>55</v>
      </c>
      <c r="D102">
        <f t="shared" ref="D102" si="337">D101*12</f>
        <v>12</v>
      </c>
      <c r="E102">
        <f>1</f>
        <v>1</v>
      </c>
      <c r="F102">
        <f>1</f>
        <v>1</v>
      </c>
      <c r="G102">
        <f>1</f>
        <v>1</v>
      </c>
      <c r="H102">
        <f>1</f>
        <v>1</v>
      </c>
      <c r="I102">
        <f>1</f>
        <v>1</v>
      </c>
      <c r="J102">
        <f>1</f>
        <v>1</v>
      </c>
      <c r="K102">
        <f>1</f>
        <v>1</v>
      </c>
      <c r="L102">
        <f>1</f>
        <v>1</v>
      </c>
      <c r="M102">
        <f>1</f>
        <v>1</v>
      </c>
      <c r="N102">
        <f>1</f>
        <v>1</v>
      </c>
      <c r="O102">
        <f>1</f>
        <v>1</v>
      </c>
      <c r="P102">
        <f>1</f>
        <v>1</v>
      </c>
      <c r="Q102">
        <f t="shared" si="242"/>
        <v>89</v>
      </c>
      <c r="R102" s="1">
        <f t="shared" ref="R102" si="338">HLOOKUP(Q102,E98:P104,7)</f>
        <v>100351755.7531203</v>
      </c>
    </row>
    <row r="103" spans="2:18" x14ac:dyDescent="0.25">
      <c r="B103" s="16"/>
      <c r="C103" t="s">
        <v>57</v>
      </c>
      <c r="D103" s="10">
        <f t="shared" ref="D103" si="339">D91*(1+$D$2)</f>
        <v>1091.2513842668161</v>
      </c>
      <c r="E103" s="1">
        <f t="shared" ref="E103:F103" si="340">IF(E99&lt;6.5,$D104*1000,IF($D105=0,0,$D104*1000))</f>
        <v>0</v>
      </c>
      <c r="F103" s="1">
        <f t="shared" si="340"/>
        <v>0</v>
      </c>
      <c r="G103" s="1">
        <f t="shared" ref="G103" si="341">IF(G99&lt;6.5,$D104*1000,IF($D105=0,0,$D104*1000))</f>
        <v>0</v>
      </c>
      <c r="H103" s="1">
        <f t="shared" ref="H103" si="342">IF(H99&lt;6.5,$D104*1000,IF($D105=0,0,$D104*1000))</f>
        <v>0</v>
      </c>
      <c r="I103" s="1">
        <f t="shared" ref="I103" si="343">IF(I99&lt;6.5,$D104*1000,IF($D105=0,0,$D104*1000))</f>
        <v>0</v>
      </c>
      <c r="J103" s="1">
        <f t="shared" ref="J103:K103" si="344">IF(J99&lt;6.5,$D104*1000,IF($D106=0,0,$D104*1000))</f>
        <v>0</v>
      </c>
      <c r="K103" s="1">
        <f t="shared" si="344"/>
        <v>0</v>
      </c>
      <c r="L103" s="1">
        <f t="shared" ref="L103" si="345">IF(L99&lt;6.5,$D104*1000,IF($D106=0,0,$D104*1000))</f>
        <v>0</v>
      </c>
      <c r="M103" s="1">
        <f t="shared" ref="M103" si="346">IF(M99&lt;6.5,$D104*1000,IF($D106=0,0,$D104*1000))</f>
        <v>0</v>
      </c>
      <c r="N103" s="1">
        <f t="shared" ref="N103" si="347">IF(N99&lt;6.5,$D104*1000,IF($D106=0,0,$D104*1000))</f>
        <v>0</v>
      </c>
      <c r="O103" s="1">
        <f t="shared" ref="O103" si="348">IF(O99&lt;6.5,$D104*1000,IF($D106=0,0,$D104*1000))</f>
        <v>0</v>
      </c>
      <c r="P103" s="1">
        <f t="shared" ref="P103" si="349">IF(P99&lt;6.5,$D104*1000,IF($D106=0,0,$D104*1000))</f>
        <v>0</v>
      </c>
      <c r="Q103">
        <f t="shared" si="242"/>
        <v>90</v>
      </c>
      <c r="R103" s="1">
        <f t="shared" ref="R103" si="350">HLOOKUP(Q103,E98:P104,7)</f>
        <v>101785238.89769289</v>
      </c>
    </row>
    <row r="104" spans="2:18" x14ac:dyDescent="0.25">
      <c r="B104" s="16"/>
      <c r="C104" t="s">
        <v>56</v>
      </c>
      <c r="D104" s="10">
        <f t="shared" ref="D104" si="351">ROUND(D103,-1)</f>
        <v>1090</v>
      </c>
      <c r="E104" s="1">
        <f t="shared" ref="E104" si="352">-FV($E$17,$E$18,$E$19,D96-E105,1)</f>
        <v>94685591.416724622</v>
      </c>
      <c r="F104" s="1">
        <f t="shared" ref="F104:I104" si="353">-FV($E$17,$E$18,$E$19,E104,1)</f>
        <v>96092031.644512013</v>
      </c>
      <c r="G104" s="1">
        <f t="shared" si="353"/>
        <v>97505184.39311336</v>
      </c>
      <c r="H104" s="1">
        <f t="shared" si="353"/>
        <v>98925081.69939366</v>
      </c>
      <c r="I104" s="1">
        <f t="shared" si="353"/>
        <v>100351755.7531203</v>
      </c>
      <c r="J104" s="1">
        <f t="shared" ref="J104" si="354">-FV($E$17,$E$18,$E$19,I104-J105-J106,1)</f>
        <v>101785238.89769289</v>
      </c>
      <c r="K104" s="1">
        <f t="shared" ref="K104" si="355">-FV($E$17,$E$18,$E$19,J104,1)</f>
        <v>103225563.63087642</v>
      </c>
      <c r="L104" s="1">
        <f t="shared" ref="L104" si="356">-FV($E$17,$E$18,$E$19,K104,1)</f>
        <v>104672762.60553809</v>
      </c>
      <c r="M104" s="1">
        <f t="shared" ref="M104" si="357">-FV($E$17,$E$18,$E$19,L104,1)</f>
        <v>106126868.63038747</v>
      </c>
      <c r="N104" s="1">
        <f t="shared" ref="N104" si="358">-FV($E$17,$E$18,$E$19,M104,1)</f>
        <v>107587914.6707204</v>
      </c>
      <c r="O104" s="1">
        <f t="shared" ref="O104" si="359">-FV($E$17,$E$18,$E$19,N104,1)</f>
        <v>109055933.84916621</v>
      </c>
      <c r="P104" s="1">
        <f t="shared" ref="P104" si="360">-FV($E$17,$E$18,$E$19,O104,1)</f>
        <v>110530959.44643874</v>
      </c>
      <c r="Q104">
        <f t="shared" si="242"/>
        <v>91</v>
      </c>
      <c r="R104" s="1">
        <f t="shared" ref="R104" si="361">HLOOKUP(Q104,E98:P104,7)</f>
        <v>103225563.63087642</v>
      </c>
    </row>
    <row r="105" spans="2:18" x14ac:dyDescent="0.25">
      <c r="B105" s="16"/>
      <c r="C105" t="s">
        <v>71</v>
      </c>
      <c r="D105">
        <f t="shared" ref="D105" si="362">$E105</f>
        <v>0</v>
      </c>
      <c r="E105" s="1">
        <f t="shared" ref="E105" si="363">ROUNDUP(IF(E99&gt;=$E$13,$D$13,IF(E99&gt;=$E$12,$D$12,IF(E99&gt;=$E$10,$D$10,IF(E99&gt;=$E$8,$D$8,IF(E99&gt;=$E$6,$D$6,IF(E99&gt;=$E$4,$D$4,0))))))*1000*(1+$D$2)^$B98,-3)</f>
        <v>0</v>
      </c>
      <c r="J105" s="1">
        <f t="shared" ref="J105" si="364">ROUNDUP(IF(J99&gt;=$E$13,$D$13,IF(J99&gt;=$E$12,$D$12,IF(J99&gt;=$E$10,$D$10,IF(J99&gt;=$E$8,$D$8,IF(J99&gt;=$E$6,$D$6,IF(J99&gt;=$E$4,$D$4,0))))))*1000*(1+$D$2)^$B98,-3)</f>
        <v>0</v>
      </c>
      <c r="Q105">
        <f t="shared" si="242"/>
        <v>92</v>
      </c>
      <c r="R105" s="1">
        <f t="shared" ref="R105" si="365">HLOOKUP(Q105,E98:P104,7)</f>
        <v>104672762.60553809</v>
      </c>
    </row>
    <row r="106" spans="2:18" x14ac:dyDescent="0.25">
      <c r="B106" s="16"/>
      <c r="C106" t="s">
        <v>72</v>
      </c>
      <c r="D106">
        <f t="shared" ref="D106" si="366">$J105</f>
        <v>0</v>
      </c>
      <c r="J106" s="1">
        <f t="shared" ref="J106" si="367">ROUND(IF(J99=$E$4,$D$5,IF(J99=$E$6,$D$7,IF(J99=$E$8,$D$9,IF(J99=$E$10,$D$11,0))))*1000*(1+$D$2)^$B98,-4)</f>
        <v>0</v>
      </c>
      <c r="Q106">
        <f t="shared" si="242"/>
        <v>93</v>
      </c>
      <c r="R106" s="1">
        <f t="shared" ref="R106" si="368">HLOOKUP(Q106,E98:P104,7)</f>
        <v>106126868.63038747</v>
      </c>
    </row>
    <row r="107" spans="2:18" x14ac:dyDescent="0.25">
      <c r="B107" s="16"/>
      <c r="C107" t="s">
        <v>58</v>
      </c>
      <c r="D107">
        <f t="shared" ref="D107" si="369">D105+D106</f>
        <v>0</v>
      </c>
      <c r="Q107">
        <f t="shared" si="242"/>
        <v>94</v>
      </c>
      <c r="R107" s="1">
        <f t="shared" ref="R107" si="370">HLOOKUP(Q107,E98:P104,7)</f>
        <v>107587914.6707204</v>
      </c>
    </row>
    <row r="108" spans="2:18" x14ac:dyDescent="0.25">
      <c r="B108" s="16"/>
      <c r="C108" t="s">
        <v>42</v>
      </c>
      <c r="D108" s="4">
        <f t="shared" ref="D108" si="371">P104*(1-D100)</f>
        <v>109149322.45335826</v>
      </c>
      <c r="Q108">
        <f t="shared" si="242"/>
        <v>95</v>
      </c>
      <c r="R108" s="1">
        <f t="shared" ref="R108" si="372">HLOOKUP(Q108,E98:P104,7)</f>
        <v>109055933.84916621</v>
      </c>
    </row>
    <row r="109" spans="2:18" x14ac:dyDescent="0.25">
      <c r="B109" s="16"/>
      <c r="Q109">
        <f t="shared" si="242"/>
        <v>96</v>
      </c>
      <c r="R109" s="1">
        <f t="shared" ref="R109" si="373">HLOOKUP(Q109,E98:P104,7)</f>
        <v>110530959.44643874</v>
      </c>
    </row>
    <row r="110" spans="2:18" x14ac:dyDescent="0.25">
      <c r="B110" s="16">
        <f t="shared" ref="B110" si="374">B98+1</f>
        <v>8</v>
      </c>
      <c r="C110" t="s">
        <v>40</v>
      </c>
      <c r="D110" s="2">
        <f t="shared" ref="D110" si="375">5.88%</f>
        <v>5.8799999999999998E-2</v>
      </c>
      <c r="E110">
        <f t="shared" ref="E110" si="376">($B110*12)+1</f>
        <v>97</v>
      </c>
      <c r="F110">
        <f t="shared" ref="F110" si="377">E110+1</f>
        <v>98</v>
      </c>
      <c r="G110">
        <f t="shared" ref="G110" si="378">F110+1</f>
        <v>99</v>
      </c>
      <c r="H110">
        <f t="shared" ref="H110" si="379">G110+1</f>
        <v>100</v>
      </c>
      <c r="I110">
        <f t="shared" ref="I110" si="380">H110+1</f>
        <v>101</v>
      </c>
      <c r="J110">
        <f t="shared" ref="J110" si="381">I110+1</f>
        <v>102</v>
      </c>
      <c r="K110">
        <f t="shared" ref="K110" si="382">J110+1</f>
        <v>103</v>
      </c>
      <c r="L110">
        <f t="shared" ref="L110" si="383">K110+1</f>
        <v>104</v>
      </c>
      <c r="M110">
        <f t="shared" ref="M110" si="384">L110+1</f>
        <v>105</v>
      </c>
      <c r="N110">
        <f t="shared" ref="N110" si="385">M110+1</f>
        <v>106</v>
      </c>
      <c r="O110">
        <f t="shared" ref="O110" si="386">N110+1</f>
        <v>107</v>
      </c>
      <c r="P110">
        <f t="shared" ref="P110" si="387">O110+1</f>
        <v>108</v>
      </c>
      <c r="Q110">
        <f t="shared" si="242"/>
        <v>97</v>
      </c>
      <c r="R110" s="1">
        <f t="shared" ref="R110" si="388">HLOOKUP(Q110,E110:P116,7)</f>
        <v>110624793.76665701</v>
      </c>
    </row>
    <row r="111" spans="2:18" x14ac:dyDescent="0.25">
      <c r="B111" s="16"/>
      <c r="C111" t="s">
        <v>41</v>
      </c>
      <c r="D111" s="3">
        <f t="shared" ref="D111" si="389">(1+D110)^(1/12)-1</f>
        <v>4.7727025161425907E-3</v>
      </c>
      <c r="E111">
        <f t="shared" ref="E111:P111" si="390">E110/12</f>
        <v>8.0833333333333339</v>
      </c>
      <c r="F111">
        <f t="shared" si="390"/>
        <v>8.1666666666666661</v>
      </c>
      <c r="G111">
        <f t="shared" si="390"/>
        <v>8.25</v>
      </c>
      <c r="H111">
        <f t="shared" si="390"/>
        <v>8.3333333333333339</v>
      </c>
      <c r="I111">
        <f t="shared" si="390"/>
        <v>8.4166666666666661</v>
      </c>
      <c r="J111">
        <f t="shared" si="390"/>
        <v>8.5</v>
      </c>
      <c r="K111">
        <f t="shared" si="390"/>
        <v>8.5833333333333339</v>
      </c>
      <c r="L111">
        <f t="shared" si="390"/>
        <v>8.6666666666666661</v>
      </c>
      <c r="M111">
        <f t="shared" si="390"/>
        <v>8.75</v>
      </c>
      <c r="N111">
        <f t="shared" si="390"/>
        <v>8.8333333333333339</v>
      </c>
      <c r="O111">
        <f t="shared" si="390"/>
        <v>8.9166666666666661</v>
      </c>
      <c r="P111">
        <f t="shared" si="390"/>
        <v>9</v>
      </c>
      <c r="Q111">
        <f t="shared" si="242"/>
        <v>98</v>
      </c>
      <c r="R111" s="1">
        <f t="shared" ref="R111" si="391">HLOOKUP(Q111,E110:P116,7)</f>
        <v>112107307.06560522</v>
      </c>
    </row>
    <row r="112" spans="2:18" x14ac:dyDescent="0.25">
      <c r="B112" s="16"/>
      <c r="C112" t="s">
        <v>53</v>
      </c>
      <c r="D112" s="2">
        <f t="shared" ref="D112" si="392">1.25%</f>
        <v>1.2500000000000001E-2</v>
      </c>
      <c r="E112" t="s">
        <v>59</v>
      </c>
      <c r="F112" t="s">
        <v>60</v>
      </c>
      <c r="G112" t="s">
        <v>61</v>
      </c>
      <c r="H112" t="s">
        <v>62</v>
      </c>
      <c r="I112" t="s">
        <v>63</v>
      </c>
      <c r="J112" t="s">
        <v>64</v>
      </c>
      <c r="K112" t="s">
        <v>65</v>
      </c>
      <c r="L112" t="s">
        <v>66</v>
      </c>
      <c r="M112" t="s">
        <v>67</v>
      </c>
      <c r="N112" t="s">
        <v>68</v>
      </c>
      <c r="O112" t="s">
        <v>69</v>
      </c>
      <c r="P112" t="s">
        <v>70</v>
      </c>
      <c r="Q112">
        <f t="shared" si="242"/>
        <v>99</v>
      </c>
      <c r="R112" s="1">
        <f t="shared" ref="R112" si="393">HLOOKUP(Q112,E110:P116,7)</f>
        <v>113596895.95950554</v>
      </c>
    </row>
    <row r="113" spans="2:18" x14ac:dyDescent="0.25">
      <c r="B113" s="16"/>
      <c r="C113" t="s">
        <v>54</v>
      </c>
      <c r="D113">
        <f>1</f>
        <v>1</v>
      </c>
      <c r="E113" s="2">
        <f t="shared" ref="E113:P113" si="394">$D99</f>
        <v>4.7727025161425907E-3</v>
      </c>
      <c r="F113" s="2">
        <f t="shared" si="394"/>
        <v>4.7727025161425907E-3</v>
      </c>
      <c r="G113" s="2">
        <f t="shared" si="394"/>
        <v>4.7727025161425907E-3</v>
      </c>
      <c r="H113" s="2">
        <f t="shared" si="394"/>
        <v>4.7727025161425907E-3</v>
      </c>
      <c r="I113" s="2">
        <f t="shared" si="394"/>
        <v>4.7727025161425907E-3</v>
      </c>
      <c r="J113" s="2">
        <f t="shared" si="394"/>
        <v>4.7727025161425907E-3</v>
      </c>
      <c r="K113" s="2">
        <f t="shared" si="394"/>
        <v>4.7727025161425907E-3</v>
      </c>
      <c r="L113" s="2">
        <f t="shared" si="394"/>
        <v>4.7727025161425907E-3</v>
      </c>
      <c r="M113" s="2">
        <f t="shared" si="394"/>
        <v>4.7727025161425907E-3</v>
      </c>
      <c r="N113" s="2">
        <f t="shared" si="394"/>
        <v>4.7727025161425907E-3</v>
      </c>
      <c r="O113" s="2">
        <f t="shared" si="394"/>
        <v>4.7727025161425907E-3</v>
      </c>
      <c r="P113" s="2">
        <f t="shared" si="394"/>
        <v>4.7727025161425907E-3</v>
      </c>
      <c r="Q113">
        <f t="shared" si="242"/>
        <v>100</v>
      </c>
      <c r="R113" s="1">
        <f t="shared" ref="R113" si="395">HLOOKUP(Q113,E110:P116,7)</f>
        <v>115093594.2180678</v>
      </c>
    </row>
    <row r="114" spans="2:18" x14ac:dyDescent="0.25">
      <c r="B114" s="16"/>
      <c r="C114" t="s">
        <v>55</v>
      </c>
      <c r="D114">
        <f t="shared" ref="D114" si="396">D113*12</f>
        <v>12</v>
      </c>
      <c r="E114">
        <f>1</f>
        <v>1</v>
      </c>
      <c r="F114">
        <f>1</f>
        <v>1</v>
      </c>
      <c r="G114">
        <f>1</f>
        <v>1</v>
      </c>
      <c r="H114">
        <f>1</f>
        <v>1</v>
      </c>
      <c r="I114">
        <f>1</f>
        <v>1</v>
      </c>
      <c r="J114">
        <f>1</f>
        <v>1</v>
      </c>
      <c r="K114">
        <f>1</f>
        <v>1</v>
      </c>
      <c r="L114">
        <f>1</f>
        <v>1</v>
      </c>
      <c r="M114">
        <f>1</f>
        <v>1</v>
      </c>
      <c r="N114">
        <f>1</f>
        <v>1</v>
      </c>
      <c r="O114">
        <f>1</f>
        <v>1</v>
      </c>
      <c r="P114">
        <f>1</f>
        <v>1</v>
      </c>
      <c r="Q114">
        <f t="shared" si="242"/>
        <v>101</v>
      </c>
      <c r="R114" s="1">
        <f t="shared" ref="R114" si="397">HLOOKUP(Q114,E110:P116,7)</f>
        <v>116597435.7721746</v>
      </c>
    </row>
    <row r="115" spans="2:18" x14ac:dyDescent="0.25">
      <c r="B115" s="16"/>
      <c r="C115" t="s">
        <v>57</v>
      </c>
      <c r="D115" s="10">
        <f t="shared" ref="D115" si="398">D103*(1+$D$2)</f>
        <v>1113.0764119521525</v>
      </c>
      <c r="E115" s="1">
        <f t="shared" ref="E115:F115" si="399">IF(E111&lt;6.5,$D116*1000,IF($D117=0,0,$D116*1000))</f>
        <v>0</v>
      </c>
      <c r="F115" s="1">
        <f t="shared" si="399"/>
        <v>0</v>
      </c>
      <c r="G115" s="1">
        <f t="shared" ref="G115" si="400">IF(G111&lt;6.5,$D116*1000,IF($D117=0,0,$D116*1000))</f>
        <v>0</v>
      </c>
      <c r="H115" s="1">
        <f t="shared" ref="H115" si="401">IF(H111&lt;6.5,$D116*1000,IF($D117=0,0,$D116*1000))</f>
        <v>0</v>
      </c>
      <c r="I115" s="1">
        <f t="shared" ref="I115" si="402">IF(I111&lt;6.5,$D116*1000,IF($D117=0,0,$D116*1000))</f>
        <v>0</v>
      </c>
      <c r="J115" s="1">
        <f t="shared" ref="J115:K115" si="403">IF(J111&lt;6.5,$D116*1000,IF($D118=0,0,$D116*1000))</f>
        <v>0</v>
      </c>
      <c r="K115" s="1">
        <f t="shared" si="403"/>
        <v>0</v>
      </c>
      <c r="L115" s="1">
        <f t="shared" ref="L115" si="404">IF(L111&lt;6.5,$D116*1000,IF($D118=0,0,$D116*1000))</f>
        <v>0</v>
      </c>
      <c r="M115" s="1">
        <f t="shared" ref="M115" si="405">IF(M111&lt;6.5,$D116*1000,IF($D118=0,0,$D116*1000))</f>
        <v>0</v>
      </c>
      <c r="N115" s="1">
        <f t="shared" ref="N115" si="406">IF(N111&lt;6.5,$D116*1000,IF($D118=0,0,$D116*1000))</f>
        <v>0</v>
      </c>
      <c r="O115" s="1">
        <f t="shared" ref="O115" si="407">IF(O111&lt;6.5,$D116*1000,IF($D118=0,0,$D116*1000))</f>
        <v>0</v>
      </c>
      <c r="P115" s="1">
        <f t="shared" ref="P115" si="408">IF(P111&lt;6.5,$D116*1000,IF($D118=0,0,$D116*1000))</f>
        <v>0</v>
      </c>
      <c r="Q115">
        <f t="shared" si="242"/>
        <v>102</v>
      </c>
      <c r="R115" s="1">
        <f t="shared" ref="R115" si="409">HLOOKUP(Q115,E110:P116,7)</f>
        <v>118108454.71465057</v>
      </c>
    </row>
    <row r="116" spans="2:18" x14ac:dyDescent="0.25">
      <c r="B116" s="16"/>
      <c r="C116" t="s">
        <v>56</v>
      </c>
      <c r="D116" s="10">
        <f t="shared" ref="D116" si="410">ROUND(D115,-1)</f>
        <v>1110</v>
      </c>
      <c r="E116" s="1">
        <f t="shared" ref="E116" si="411">-FV($E$17,$E$18,$E$19,D108-E117,1)</f>
        <v>110624793.76665701</v>
      </c>
      <c r="F116" s="1">
        <f t="shared" ref="F116:I116" si="412">-FV($E$17,$E$18,$E$19,E116,1)</f>
        <v>112107307.06560522</v>
      </c>
      <c r="G116" s="1">
        <f t="shared" si="412"/>
        <v>113596895.95950554</v>
      </c>
      <c r="H116" s="1">
        <f t="shared" si="412"/>
        <v>115093594.2180678</v>
      </c>
      <c r="I116" s="1">
        <f t="shared" si="412"/>
        <v>116597435.7721746</v>
      </c>
      <c r="J116" s="1">
        <f t="shared" ref="J116" si="413">-FV($E$17,$E$18,$E$19,I116-J117-J118,1)</f>
        <v>118108454.71465057</v>
      </c>
      <c r="K116" s="1">
        <f t="shared" ref="K116" si="414">-FV($E$17,$E$18,$E$19,J116,1)</f>
        <v>119626685.30103524</v>
      </c>
      <c r="L116" s="1">
        <f t="shared" ref="L116" si="415">-FV($E$17,$E$18,$E$19,K116,1)</f>
        <v>121152161.95035963</v>
      </c>
      <c r="M116" s="1">
        <f t="shared" ref="M116" si="416">-FV($E$17,$E$18,$E$19,L116,1)</f>
        <v>122684919.24592656</v>
      </c>
      <c r="N116" s="1">
        <f t="shared" ref="N116" si="417">-FV($E$17,$E$18,$E$19,M116,1)</f>
        <v>124224991.93609469</v>
      </c>
      <c r="O116" s="1">
        <f t="shared" ref="O116" si="418">-FV($E$17,$E$18,$E$19,N116,1)</f>
        <v>125772414.93506622</v>
      </c>
      <c r="P116" s="1">
        <f t="shared" ref="P116" si="419">-FV($E$17,$E$18,$E$19,O116,1)</f>
        <v>127327223.32367848</v>
      </c>
      <c r="Q116">
        <f t="shared" si="242"/>
        <v>103</v>
      </c>
      <c r="R116" s="1">
        <f t="shared" ref="R116" si="420">HLOOKUP(Q116,E110:P116,7)</f>
        <v>119626685.30103524</v>
      </c>
    </row>
    <row r="117" spans="2:18" x14ac:dyDescent="0.25">
      <c r="B117" s="16"/>
      <c r="C117" t="s">
        <v>71</v>
      </c>
      <c r="D117">
        <f t="shared" ref="D117" si="421">$E117</f>
        <v>0</v>
      </c>
      <c r="E117" s="1">
        <f t="shared" ref="E117" si="422">ROUNDUP(IF(E111&gt;=$E$13,$D$13,IF(E111&gt;=$E$12,$D$12,IF(E111&gt;=$E$10,$D$10,IF(E111&gt;=$E$8,$D$8,IF(E111&gt;=$E$6,$D$6,IF(E111&gt;=$E$4,$D$4,0))))))*1000*(1+$D$2)^$B110,-3)</f>
        <v>0</v>
      </c>
      <c r="J117" s="1">
        <f t="shared" ref="J117" si="423">ROUNDUP(IF(J111&gt;=$E$13,$D$13,IF(J111&gt;=$E$12,$D$12,IF(J111&gt;=$E$10,$D$10,IF(J111&gt;=$E$8,$D$8,IF(J111&gt;=$E$6,$D$6,IF(J111&gt;=$E$4,$D$4,0))))))*1000*(1+$D$2)^$B110,-3)</f>
        <v>0</v>
      </c>
      <c r="Q117">
        <f t="shared" si="242"/>
        <v>104</v>
      </c>
      <c r="R117" s="1">
        <f t="shared" ref="R117" si="424">HLOOKUP(Q117,E110:P116,7)</f>
        <v>121152161.95035963</v>
      </c>
    </row>
    <row r="118" spans="2:18" x14ac:dyDescent="0.25">
      <c r="B118" s="16"/>
      <c r="C118" t="s">
        <v>72</v>
      </c>
      <c r="D118">
        <f t="shared" ref="D118" si="425">$J117</f>
        <v>0</v>
      </c>
      <c r="J118" s="1">
        <f t="shared" ref="J118" si="426">ROUND(IF(J111=$E$4,$D$5,IF(J111=$E$6,$D$7,IF(J111=$E$8,$D$9,IF(J111=$E$10,$D$11,0))))*1000*(1+$D$2)^$B110,-4)</f>
        <v>0</v>
      </c>
      <c r="Q118">
        <f t="shared" si="242"/>
        <v>105</v>
      </c>
      <c r="R118" s="1">
        <f t="shared" ref="R118" si="427">HLOOKUP(Q118,E110:P116,7)</f>
        <v>122684919.24592656</v>
      </c>
    </row>
    <row r="119" spans="2:18" x14ac:dyDescent="0.25">
      <c r="B119" s="16"/>
      <c r="C119" t="s">
        <v>58</v>
      </c>
      <c r="D119">
        <f t="shared" ref="D119" si="428">D117+D118</f>
        <v>0</v>
      </c>
      <c r="Q119">
        <f t="shared" si="242"/>
        <v>106</v>
      </c>
      <c r="R119" s="1">
        <f t="shared" ref="R119" si="429">HLOOKUP(Q119,E110:P116,7)</f>
        <v>124224991.93609469</v>
      </c>
    </row>
    <row r="120" spans="2:18" x14ac:dyDescent="0.25">
      <c r="B120" s="16"/>
      <c r="C120" t="s">
        <v>42</v>
      </c>
      <c r="D120" s="4">
        <f t="shared" ref="D120" si="430">P116*(1-D112)</f>
        <v>125735633.03213251</v>
      </c>
      <c r="Q120">
        <f t="shared" si="242"/>
        <v>107</v>
      </c>
      <c r="R120" s="1">
        <f t="shared" ref="R120" si="431">HLOOKUP(Q120,E110:P116,7)</f>
        <v>125772414.93506622</v>
      </c>
    </row>
    <row r="121" spans="2:18" x14ac:dyDescent="0.25">
      <c r="B121" s="16"/>
      <c r="Q121">
        <f t="shared" si="242"/>
        <v>108</v>
      </c>
      <c r="R121" s="1">
        <f t="shared" ref="R121" si="432">HLOOKUP(Q121,E110:P116,7)</f>
        <v>127327223.32367848</v>
      </c>
    </row>
    <row r="122" spans="2:18" x14ac:dyDescent="0.25">
      <c r="B122" s="16">
        <f t="shared" ref="B122" si="433">B110+1</f>
        <v>9</v>
      </c>
      <c r="C122" t="s">
        <v>40</v>
      </c>
      <c r="D122" s="2">
        <f t="shared" ref="D122" si="434">5.88%</f>
        <v>5.8799999999999998E-2</v>
      </c>
      <c r="E122">
        <f t="shared" ref="E122" si="435">($B122*12)+1</f>
        <v>109</v>
      </c>
      <c r="F122">
        <f t="shared" ref="F122" si="436">E122+1</f>
        <v>110</v>
      </c>
      <c r="G122">
        <f t="shared" ref="G122" si="437">F122+1</f>
        <v>111</v>
      </c>
      <c r="H122">
        <f t="shared" ref="H122" si="438">G122+1</f>
        <v>112</v>
      </c>
      <c r="I122">
        <f t="shared" ref="I122" si="439">H122+1</f>
        <v>113</v>
      </c>
      <c r="J122">
        <f t="shared" ref="J122" si="440">I122+1</f>
        <v>114</v>
      </c>
      <c r="K122">
        <f t="shared" ref="K122" si="441">J122+1</f>
        <v>115</v>
      </c>
      <c r="L122">
        <f t="shared" ref="L122" si="442">K122+1</f>
        <v>116</v>
      </c>
      <c r="M122">
        <f t="shared" ref="M122" si="443">L122+1</f>
        <v>117</v>
      </c>
      <c r="N122">
        <f t="shared" ref="N122" si="444">M122+1</f>
        <v>118</v>
      </c>
      <c r="O122">
        <f t="shared" ref="O122" si="445">N122+1</f>
        <v>119</v>
      </c>
      <c r="P122">
        <f t="shared" ref="P122" si="446">O122+1</f>
        <v>120</v>
      </c>
      <c r="Q122">
        <f t="shared" si="242"/>
        <v>109</v>
      </c>
      <c r="R122" s="1">
        <f t="shared" ref="R122" si="447">HLOOKUP(Q122,E122:P128,7)</f>
        <v>127290265.87166408</v>
      </c>
    </row>
    <row r="123" spans="2:18" x14ac:dyDescent="0.25">
      <c r="B123" s="16"/>
      <c r="C123" t="s">
        <v>41</v>
      </c>
      <c r="D123" s="3">
        <f t="shared" ref="D123" si="448">(1+D122)^(1/12)-1</f>
        <v>4.7727025161425907E-3</v>
      </c>
      <c r="E123">
        <f t="shared" ref="E123:P123" si="449">E122/12</f>
        <v>9.0833333333333339</v>
      </c>
      <c r="F123">
        <f t="shared" si="449"/>
        <v>9.1666666666666661</v>
      </c>
      <c r="G123">
        <f t="shared" si="449"/>
        <v>9.25</v>
      </c>
      <c r="H123">
        <f t="shared" si="449"/>
        <v>9.3333333333333339</v>
      </c>
      <c r="I123">
        <f t="shared" si="449"/>
        <v>9.4166666666666661</v>
      </c>
      <c r="J123">
        <f t="shared" si="449"/>
        <v>9.5</v>
      </c>
      <c r="K123">
        <f t="shared" si="449"/>
        <v>9.5833333333333339</v>
      </c>
      <c r="L123">
        <f t="shared" si="449"/>
        <v>9.6666666666666661</v>
      </c>
      <c r="M123">
        <f t="shared" si="449"/>
        <v>9.75</v>
      </c>
      <c r="N123">
        <f t="shared" si="449"/>
        <v>9.8333333333333339</v>
      </c>
      <c r="O123">
        <f t="shared" si="449"/>
        <v>9.9166666666666661</v>
      </c>
      <c r="P123">
        <f t="shared" si="449"/>
        <v>10</v>
      </c>
      <c r="Q123">
        <f t="shared" si="242"/>
        <v>110</v>
      </c>
      <c r="R123" s="1">
        <f t="shared" ref="R123" si="450">HLOOKUP(Q123,E122:P128,7)</f>
        <v>128852318.51126057</v>
      </c>
    </row>
    <row r="124" spans="2:18" x14ac:dyDescent="0.25">
      <c r="B124" s="16"/>
      <c r="C124" t="s">
        <v>53</v>
      </c>
      <c r="D124" s="2">
        <f t="shared" ref="D124" si="451">1.25%</f>
        <v>1.2500000000000001E-2</v>
      </c>
      <c r="E124" t="s">
        <v>59</v>
      </c>
      <c r="F124" t="s">
        <v>60</v>
      </c>
      <c r="G124" t="s">
        <v>61</v>
      </c>
      <c r="H124" t="s">
        <v>62</v>
      </c>
      <c r="I124" t="s">
        <v>63</v>
      </c>
      <c r="J124" t="s">
        <v>64</v>
      </c>
      <c r="K124" t="s">
        <v>65</v>
      </c>
      <c r="L124" t="s">
        <v>66</v>
      </c>
      <c r="M124" t="s">
        <v>67</v>
      </c>
      <c r="N124" t="s">
        <v>68</v>
      </c>
      <c r="O124" t="s">
        <v>69</v>
      </c>
      <c r="P124" t="s">
        <v>70</v>
      </c>
      <c r="Q124">
        <f t="shared" si="242"/>
        <v>111</v>
      </c>
      <c r="R124" s="1">
        <f t="shared" ref="R124" si="452">HLOOKUP(Q124,E122:P128,7)</f>
        <v>130421826.36342041</v>
      </c>
    </row>
    <row r="125" spans="2:18" x14ac:dyDescent="0.25">
      <c r="B125" s="16"/>
      <c r="C125" t="s">
        <v>54</v>
      </c>
      <c r="D125">
        <f>1</f>
        <v>1</v>
      </c>
      <c r="E125" s="2">
        <f t="shared" ref="E125:P125" si="453">$D111</f>
        <v>4.7727025161425907E-3</v>
      </c>
      <c r="F125" s="2">
        <f t="shared" si="453"/>
        <v>4.7727025161425907E-3</v>
      </c>
      <c r="G125" s="2">
        <f t="shared" si="453"/>
        <v>4.7727025161425907E-3</v>
      </c>
      <c r="H125" s="2">
        <f t="shared" si="453"/>
        <v>4.7727025161425907E-3</v>
      </c>
      <c r="I125" s="2">
        <f t="shared" si="453"/>
        <v>4.7727025161425907E-3</v>
      </c>
      <c r="J125" s="2">
        <f t="shared" si="453"/>
        <v>4.7727025161425907E-3</v>
      </c>
      <c r="K125" s="2">
        <f t="shared" si="453"/>
        <v>4.7727025161425907E-3</v>
      </c>
      <c r="L125" s="2">
        <f t="shared" si="453"/>
        <v>4.7727025161425907E-3</v>
      </c>
      <c r="M125" s="2">
        <f t="shared" si="453"/>
        <v>4.7727025161425907E-3</v>
      </c>
      <c r="N125" s="2">
        <f t="shared" si="453"/>
        <v>4.7727025161425907E-3</v>
      </c>
      <c r="O125" s="2">
        <f t="shared" si="453"/>
        <v>4.7727025161425907E-3</v>
      </c>
      <c r="P125" s="2">
        <f t="shared" si="453"/>
        <v>4.7727025161425907E-3</v>
      </c>
      <c r="Q125">
        <f t="shared" si="242"/>
        <v>112</v>
      </c>
      <c r="R125" s="1">
        <f t="shared" ref="R125" si="454">HLOOKUP(Q125,E122:P128,7)</f>
        <v>131998825.00965536</v>
      </c>
    </row>
    <row r="126" spans="2:18" x14ac:dyDescent="0.25">
      <c r="B126" s="16"/>
      <c r="C126" t="s">
        <v>55</v>
      </c>
      <c r="D126">
        <f t="shared" ref="D126" si="455">D125*12</f>
        <v>12</v>
      </c>
      <c r="E126">
        <f>1</f>
        <v>1</v>
      </c>
      <c r="F126">
        <f>1</f>
        <v>1</v>
      </c>
      <c r="G126">
        <f>1</f>
        <v>1</v>
      </c>
      <c r="H126">
        <f>1</f>
        <v>1</v>
      </c>
      <c r="I126">
        <f>1</f>
        <v>1</v>
      </c>
      <c r="J126">
        <f>1</f>
        <v>1</v>
      </c>
      <c r="K126">
        <f>1</f>
        <v>1</v>
      </c>
      <c r="L126">
        <f>1</f>
        <v>1</v>
      </c>
      <c r="M126">
        <f>1</f>
        <v>1</v>
      </c>
      <c r="N126">
        <f>1</f>
        <v>1</v>
      </c>
      <c r="O126">
        <f>1</f>
        <v>1</v>
      </c>
      <c r="P126">
        <f>1</f>
        <v>1</v>
      </c>
      <c r="Q126">
        <f t="shared" si="242"/>
        <v>113</v>
      </c>
      <c r="R126" s="1">
        <f t="shared" ref="R126" si="456">HLOOKUP(Q126,E122:P128,7)</f>
        <v>133583350.20129715</v>
      </c>
    </row>
    <row r="127" spans="2:18" x14ac:dyDescent="0.25">
      <c r="B127" s="16"/>
      <c r="C127" t="s">
        <v>57</v>
      </c>
      <c r="D127" s="10">
        <f t="shared" ref="D127" si="457">D115*(1+$D$2)</f>
        <v>1135.3379401911957</v>
      </c>
      <c r="E127" s="1">
        <f t="shared" ref="E127:F127" si="458">IF(E123&lt;6.5,$D128*1000,IF($D129=0,0,$D128*1000))</f>
        <v>0</v>
      </c>
      <c r="F127" s="1">
        <f t="shared" si="458"/>
        <v>0</v>
      </c>
      <c r="G127" s="1">
        <f t="shared" ref="G127" si="459">IF(G123&lt;6.5,$D128*1000,IF($D129=0,0,$D128*1000))</f>
        <v>0</v>
      </c>
      <c r="H127" s="1">
        <f t="shared" ref="H127" si="460">IF(H123&lt;6.5,$D128*1000,IF($D129=0,0,$D128*1000))</f>
        <v>0</v>
      </c>
      <c r="I127" s="1">
        <f t="shared" ref="I127" si="461">IF(I123&lt;6.5,$D128*1000,IF($D129=0,0,$D128*1000))</f>
        <v>0</v>
      </c>
      <c r="J127" s="1">
        <f t="shared" ref="J127:K127" si="462">IF(J123&lt;6.5,$D128*1000,IF($D130=0,0,$D128*1000))</f>
        <v>0</v>
      </c>
      <c r="K127" s="1">
        <f t="shared" si="462"/>
        <v>0</v>
      </c>
      <c r="L127" s="1">
        <f t="shared" ref="L127" si="463">IF(L123&lt;6.5,$D128*1000,IF($D130=0,0,$D128*1000))</f>
        <v>0</v>
      </c>
      <c r="M127" s="1">
        <f t="shared" ref="M127" si="464">IF(M123&lt;6.5,$D128*1000,IF($D130=0,0,$D128*1000))</f>
        <v>0</v>
      </c>
      <c r="N127" s="1">
        <f t="shared" ref="N127" si="465">IF(N123&lt;6.5,$D128*1000,IF($D130=0,0,$D128*1000))</f>
        <v>0</v>
      </c>
      <c r="O127" s="1">
        <f t="shared" ref="O127" si="466">IF(O123&lt;6.5,$D128*1000,IF($D130=0,0,$D128*1000))</f>
        <v>0</v>
      </c>
      <c r="P127" s="1">
        <f t="shared" ref="P127" si="467">IF(P123&lt;6.5,$D128*1000,IF($D130=0,0,$D128*1000))</f>
        <v>0</v>
      </c>
      <c r="Q127">
        <f t="shared" si="242"/>
        <v>114</v>
      </c>
      <c r="R127" s="1">
        <f t="shared" ref="R127" si="468">HLOOKUP(Q127,E122:P128,7)</f>
        <v>135175437.86030796</v>
      </c>
    </row>
    <row r="128" spans="2:18" x14ac:dyDescent="0.25">
      <c r="B128" s="16"/>
      <c r="C128" t="s">
        <v>56</v>
      </c>
      <c r="D128" s="10">
        <f t="shared" ref="D128" si="469">ROUND(D127,-1)</f>
        <v>1140</v>
      </c>
      <c r="E128" s="1">
        <f t="shared" ref="E128" si="470">-FV($E$17,$E$18,$E$19,D120-E129,1)</f>
        <v>127290265.87166408</v>
      </c>
      <c r="F128" s="1">
        <f t="shared" ref="F128:I128" si="471">-FV($E$17,$E$18,$E$19,E128,1)</f>
        <v>128852318.51126057</v>
      </c>
      <c r="G128" s="1">
        <f t="shared" si="471"/>
        <v>130421826.36342041</v>
      </c>
      <c r="H128" s="1">
        <f t="shared" si="471"/>
        <v>131998825.00965536</v>
      </c>
      <c r="I128" s="1">
        <f t="shared" si="471"/>
        <v>133583350.20129715</v>
      </c>
      <c r="J128" s="1">
        <f t="shared" ref="J128" si="472">-FV($E$17,$E$18,$E$19,I128-J129-J130,1)</f>
        <v>135175437.86030796</v>
      </c>
      <c r="K128" s="1">
        <f t="shared" ref="K128" si="473">-FV($E$17,$E$18,$E$19,J128,1)</f>
        <v>136775124.08009484</v>
      </c>
      <c r="L128" s="1">
        <f t="shared" ref="L128" si="474">-FV($E$17,$E$18,$E$19,K128,1)</f>
        <v>138382445.12632796</v>
      </c>
      <c r="M128" s="1">
        <f t="shared" ref="M128" si="475">-FV($E$17,$E$18,$E$19,L128,1)</f>
        <v>139997437.43776268</v>
      </c>
      <c r="N128" s="1">
        <f t="shared" ref="N128" si="476">-FV($E$17,$E$18,$E$19,M128,1)</f>
        <v>141620137.62706572</v>
      </c>
      <c r="O128" s="1">
        <f t="shared" ref="O128" si="477">-FV($E$17,$E$18,$E$19,N128,1)</f>
        <v>143250582.4816452</v>
      </c>
      <c r="P128" s="1">
        <f t="shared" ref="P128" si="478">-FV($E$17,$E$18,$E$19,O128,1)</f>
        <v>144888808.96448457</v>
      </c>
      <c r="Q128">
        <f t="shared" si="242"/>
        <v>115</v>
      </c>
      <c r="R128" s="1">
        <f t="shared" ref="R128" si="479">HLOOKUP(Q128,E122:P128,7)</f>
        <v>136775124.08009484</v>
      </c>
    </row>
    <row r="129" spans="2:18" x14ac:dyDescent="0.25">
      <c r="B129" s="16"/>
      <c r="C129" t="s">
        <v>71</v>
      </c>
      <c r="D129">
        <f t="shared" ref="D129" si="480">$E129</f>
        <v>0</v>
      </c>
      <c r="E129" s="1">
        <f t="shared" ref="E129" si="481">ROUNDUP(IF(E123&gt;=$E$13,$D$13,IF(E123&gt;=$E$12,$D$12,IF(E123&gt;=$E$10,$D$10,IF(E123&gt;=$E$8,$D$8,IF(E123&gt;=$E$6,$D$6,IF(E123&gt;=$E$4,$D$4,0))))))*1000*(1+$D$2)^$B122,-3)</f>
        <v>0</v>
      </c>
      <c r="J129" s="1">
        <f t="shared" ref="J129" si="482">ROUNDUP(IF(J123&gt;=$E$13,$D$13,IF(J123&gt;=$E$12,$D$12,IF(J123&gt;=$E$10,$D$10,IF(J123&gt;=$E$8,$D$8,IF(J123&gt;=$E$6,$D$6,IF(J123&gt;=$E$4,$D$4,0))))))*1000*(1+$D$2)^$B122,-3)</f>
        <v>0</v>
      </c>
      <c r="Q129">
        <f t="shared" si="242"/>
        <v>116</v>
      </c>
      <c r="R129" s="1">
        <f t="shared" ref="R129" si="483">HLOOKUP(Q129,E122:P128,7)</f>
        <v>138382445.12632796</v>
      </c>
    </row>
    <row r="130" spans="2:18" x14ac:dyDescent="0.25">
      <c r="B130" s="16"/>
      <c r="C130" t="s">
        <v>72</v>
      </c>
      <c r="D130">
        <f t="shared" ref="D130" si="484">$J129</f>
        <v>0</v>
      </c>
      <c r="J130" s="1">
        <f t="shared" ref="J130" si="485">ROUND(IF(J123=$E$4,$D$5,IF(J123=$E$6,$D$7,IF(J123=$E$8,$D$9,IF(J123=$E$10,$D$11,0))))*1000*(1+$D$2)^$B122,-4)</f>
        <v>0</v>
      </c>
      <c r="Q130">
        <f t="shared" si="242"/>
        <v>117</v>
      </c>
      <c r="R130" s="1">
        <f t="shared" ref="R130" si="486">HLOOKUP(Q130,E122:P128,7)</f>
        <v>139997437.43776268</v>
      </c>
    </row>
    <row r="131" spans="2:18" x14ac:dyDescent="0.25">
      <c r="B131" s="16"/>
      <c r="C131" t="s">
        <v>58</v>
      </c>
      <c r="D131">
        <f t="shared" ref="D131" si="487">D129+D130</f>
        <v>0</v>
      </c>
      <c r="Q131">
        <f t="shared" si="242"/>
        <v>118</v>
      </c>
      <c r="R131" s="1">
        <f t="shared" ref="R131" si="488">HLOOKUP(Q131,E122:P128,7)</f>
        <v>141620137.62706572</v>
      </c>
    </row>
    <row r="132" spans="2:18" x14ac:dyDescent="0.25">
      <c r="B132" s="16"/>
      <c r="C132" t="s">
        <v>42</v>
      </c>
      <c r="D132" s="4">
        <f t="shared" ref="D132" si="489">P128*(1-D124)</f>
        <v>143077698.85242853</v>
      </c>
      <c r="Q132">
        <f t="shared" si="242"/>
        <v>119</v>
      </c>
      <c r="R132" s="1">
        <f t="shared" ref="R132" si="490">HLOOKUP(Q132,E122:P128,7)</f>
        <v>143250582.4816452</v>
      </c>
    </row>
    <row r="133" spans="2:18" x14ac:dyDescent="0.25">
      <c r="B133" s="16"/>
      <c r="Q133">
        <f t="shared" si="242"/>
        <v>120</v>
      </c>
      <c r="R133" s="1">
        <f t="shared" ref="R133" si="491">HLOOKUP(Q133,E122:P128,7)</f>
        <v>144888808.96448457</v>
      </c>
    </row>
    <row r="134" spans="2:18" x14ac:dyDescent="0.25">
      <c r="B134" s="16">
        <f t="shared" ref="B134" si="492">B122+1</f>
        <v>10</v>
      </c>
      <c r="C134" t="s">
        <v>40</v>
      </c>
      <c r="D134" s="2">
        <f t="shared" ref="D134" si="493">5.88%</f>
        <v>5.8799999999999998E-2</v>
      </c>
      <c r="E134">
        <f t="shared" ref="E134" si="494">($B134*12)+1</f>
        <v>121</v>
      </c>
      <c r="F134">
        <f t="shared" ref="F134" si="495">E134+1</f>
        <v>122</v>
      </c>
      <c r="G134">
        <f t="shared" ref="G134" si="496">F134+1</f>
        <v>123</v>
      </c>
      <c r="H134">
        <f t="shared" ref="H134" si="497">G134+1</f>
        <v>124</v>
      </c>
      <c r="I134">
        <f t="shared" ref="I134" si="498">H134+1</f>
        <v>125</v>
      </c>
      <c r="J134">
        <f t="shared" ref="J134" si="499">I134+1</f>
        <v>126</v>
      </c>
      <c r="K134">
        <f t="shared" ref="K134" si="500">J134+1</f>
        <v>127</v>
      </c>
      <c r="L134">
        <f t="shared" ref="L134" si="501">K134+1</f>
        <v>128</v>
      </c>
      <c r="M134">
        <f t="shared" ref="M134" si="502">L134+1</f>
        <v>129</v>
      </c>
      <c r="N134">
        <f t="shared" ref="N134" si="503">M134+1</f>
        <v>130</v>
      </c>
      <c r="O134">
        <f t="shared" ref="O134" si="504">N134+1</f>
        <v>131</v>
      </c>
      <c r="P134">
        <f t="shared" ref="P134" si="505">O134+1</f>
        <v>132</v>
      </c>
      <c r="Q134">
        <f t="shared" si="242"/>
        <v>121</v>
      </c>
      <c r="R134" s="1">
        <f t="shared" ref="R134" si="506">HLOOKUP(Q134,E134:P140,7)</f>
        <v>144715100.21313572</v>
      </c>
    </row>
    <row r="135" spans="2:18" x14ac:dyDescent="0.25">
      <c r="B135" s="16"/>
      <c r="C135" t="s">
        <v>41</v>
      </c>
      <c r="D135" s="3">
        <f t="shared" ref="D135" si="507">(1+D134)^(1/12)-1</f>
        <v>4.7727025161425907E-3</v>
      </c>
      <c r="E135">
        <f t="shared" ref="E135:P135" si="508">E134/12</f>
        <v>10.083333333333334</v>
      </c>
      <c r="F135">
        <f t="shared" si="508"/>
        <v>10.166666666666666</v>
      </c>
      <c r="G135">
        <f t="shared" si="508"/>
        <v>10.25</v>
      </c>
      <c r="H135">
        <f t="shared" si="508"/>
        <v>10.333333333333334</v>
      </c>
      <c r="I135">
        <f t="shared" si="508"/>
        <v>10.416666666666666</v>
      </c>
      <c r="J135">
        <f t="shared" si="508"/>
        <v>10.5</v>
      </c>
      <c r="K135">
        <f t="shared" si="508"/>
        <v>10.583333333333334</v>
      </c>
      <c r="L135">
        <f t="shared" si="508"/>
        <v>10.666666666666666</v>
      </c>
      <c r="M135">
        <f t="shared" si="508"/>
        <v>10.75</v>
      </c>
      <c r="N135">
        <f t="shared" si="508"/>
        <v>10.833333333333334</v>
      </c>
      <c r="O135">
        <f t="shared" si="508"/>
        <v>10.916666666666666</v>
      </c>
      <c r="P135">
        <f t="shared" si="508"/>
        <v>11</v>
      </c>
      <c r="Q135">
        <f t="shared" si="242"/>
        <v>122</v>
      </c>
      <c r="R135" s="1">
        <f t="shared" ref="R135" si="509">HLOOKUP(Q135,E134:P140,7)</f>
        <v>146360316.40343711</v>
      </c>
    </row>
    <row r="136" spans="2:18" x14ac:dyDescent="0.25">
      <c r="B136" s="16"/>
      <c r="C136" t="s">
        <v>53</v>
      </c>
      <c r="D136" s="2">
        <f t="shared" ref="D136" si="510">1.25%</f>
        <v>1.2500000000000001E-2</v>
      </c>
      <c r="E136" t="s">
        <v>59</v>
      </c>
      <c r="F136" t="s">
        <v>60</v>
      </c>
      <c r="G136" t="s">
        <v>61</v>
      </c>
      <c r="H136" t="s">
        <v>62</v>
      </c>
      <c r="I136" t="s">
        <v>63</v>
      </c>
      <c r="J136" t="s">
        <v>64</v>
      </c>
      <c r="K136" t="s">
        <v>65</v>
      </c>
      <c r="L136" t="s">
        <v>66</v>
      </c>
      <c r="M136" t="s">
        <v>67</v>
      </c>
      <c r="N136" t="s">
        <v>68</v>
      </c>
      <c r="O136" t="s">
        <v>69</v>
      </c>
      <c r="P136" t="s">
        <v>70</v>
      </c>
      <c r="Q136">
        <f t="shared" si="242"/>
        <v>123</v>
      </c>
      <c r="R136" s="1">
        <f t="shared" ref="R136" si="511">HLOOKUP(Q136,E134:P140,7)</f>
        <v>148013384.72118953</v>
      </c>
    </row>
    <row r="137" spans="2:18" x14ac:dyDescent="0.25">
      <c r="B137" s="16"/>
      <c r="C137" t="s">
        <v>54</v>
      </c>
      <c r="D137">
        <f>1</f>
        <v>1</v>
      </c>
      <c r="E137" s="2">
        <f t="shared" ref="E137:P137" si="512">$D123</f>
        <v>4.7727025161425907E-3</v>
      </c>
      <c r="F137" s="2">
        <f t="shared" si="512"/>
        <v>4.7727025161425907E-3</v>
      </c>
      <c r="G137" s="2">
        <f t="shared" si="512"/>
        <v>4.7727025161425907E-3</v>
      </c>
      <c r="H137" s="2">
        <f t="shared" si="512"/>
        <v>4.7727025161425907E-3</v>
      </c>
      <c r="I137" s="2">
        <f t="shared" si="512"/>
        <v>4.7727025161425907E-3</v>
      </c>
      <c r="J137" s="2">
        <f t="shared" si="512"/>
        <v>4.7727025161425907E-3</v>
      </c>
      <c r="K137" s="2">
        <f t="shared" si="512"/>
        <v>4.7727025161425907E-3</v>
      </c>
      <c r="L137" s="2">
        <f t="shared" si="512"/>
        <v>4.7727025161425907E-3</v>
      </c>
      <c r="M137" s="2">
        <f t="shared" si="512"/>
        <v>4.7727025161425907E-3</v>
      </c>
      <c r="N137" s="2">
        <f t="shared" si="512"/>
        <v>4.7727025161425907E-3</v>
      </c>
      <c r="O137" s="2">
        <f t="shared" si="512"/>
        <v>4.7727025161425907E-3</v>
      </c>
      <c r="P137" s="2">
        <f t="shared" si="512"/>
        <v>4.7727025161425907E-3</v>
      </c>
      <c r="Q137">
        <f t="shared" si="242"/>
        <v>124</v>
      </c>
      <c r="R137" s="1">
        <f t="shared" ref="R137" si="513">HLOOKUP(Q137,E134:P140,7)</f>
        <v>149674342.64226145</v>
      </c>
    </row>
    <row r="138" spans="2:18" x14ac:dyDescent="0.25">
      <c r="B138" s="16"/>
      <c r="C138" t="s">
        <v>55</v>
      </c>
      <c r="D138">
        <f t="shared" ref="D138" si="514">D137*12</f>
        <v>12</v>
      </c>
      <c r="E138">
        <f>1</f>
        <v>1</v>
      </c>
      <c r="F138">
        <f>1</f>
        <v>1</v>
      </c>
      <c r="G138">
        <f>1</f>
        <v>1</v>
      </c>
      <c r="H138">
        <f>1</f>
        <v>1</v>
      </c>
      <c r="I138">
        <f>1</f>
        <v>1</v>
      </c>
      <c r="J138">
        <f>1</f>
        <v>1</v>
      </c>
      <c r="K138">
        <f>1</f>
        <v>1</v>
      </c>
      <c r="L138">
        <f>1</f>
        <v>1</v>
      </c>
      <c r="M138">
        <f>1</f>
        <v>1</v>
      </c>
      <c r="N138">
        <f>1</f>
        <v>1</v>
      </c>
      <c r="O138">
        <f>1</f>
        <v>1</v>
      </c>
      <c r="P138">
        <f>1</f>
        <v>1</v>
      </c>
      <c r="Q138">
        <f t="shared" si="242"/>
        <v>125</v>
      </c>
      <c r="R138" s="1">
        <f t="shared" ref="R138" si="515">HLOOKUP(Q138,E134:P140,7)</f>
        <v>151343227.82138246</v>
      </c>
    </row>
    <row r="139" spans="2:18" x14ac:dyDescent="0.25">
      <c r="B139" s="16"/>
      <c r="C139" t="s">
        <v>57</v>
      </c>
      <c r="D139" s="10">
        <f t="shared" ref="D139" si="516">D127*(1+$D$2)</f>
        <v>1158.0446989950196</v>
      </c>
      <c r="E139" s="1">
        <f t="shared" ref="E139:F139" si="517">IF(E135&lt;6.5,$D140*1000,IF($D141=0,0,$D140*1000))</f>
        <v>0</v>
      </c>
      <c r="F139" s="1">
        <f t="shared" si="517"/>
        <v>0</v>
      </c>
      <c r="G139" s="1">
        <f t="shared" ref="G139" si="518">IF(G135&lt;6.5,$D140*1000,IF($D141=0,0,$D140*1000))</f>
        <v>0</v>
      </c>
      <c r="H139" s="1">
        <f t="shared" ref="H139" si="519">IF(H135&lt;6.5,$D140*1000,IF($D141=0,0,$D140*1000))</f>
        <v>0</v>
      </c>
      <c r="I139" s="1">
        <f t="shared" ref="I139" si="520">IF(I135&lt;6.5,$D140*1000,IF($D141=0,0,$D140*1000))</f>
        <v>0</v>
      </c>
      <c r="J139" s="1">
        <f t="shared" ref="J139:K139" si="521">IF(J135&lt;6.5,$D140*1000,IF($D142=0,0,$D140*1000))</f>
        <v>0</v>
      </c>
      <c r="K139" s="1">
        <f t="shared" si="521"/>
        <v>0</v>
      </c>
      <c r="L139" s="1">
        <f t="shared" ref="L139" si="522">IF(L135&lt;6.5,$D140*1000,IF($D142=0,0,$D140*1000))</f>
        <v>0</v>
      </c>
      <c r="M139" s="1">
        <f t="shared" ref="M139" si="523">IF(M135&lt;6.5,$D140*1000,IF($D142=0,0,$D140*1000))</f>
        <v>0</v>
      </c>
      <c r="N139" s="1">
        <f t="shared" ref="N139" si="524">IF(N135&lt;6.5,$D140*1000,IF($D142=0,0,$D140*1000))</f>
        <v>0</v>
      </c>
      <c r="O139" s="1">
        <f t="shared" ref="O139" si="525">IF(O135&lt;6.5,$D140*1000,IF($D142=0,0,$D140*1000))</f>
        <v>0</v>
      </c>
      <c r="P139" s="1">
        <f t="shared" ref="P139" si="526">IF(P135&lt;6.5,$D140*1000,IF($D142=0,0,$D140*1000))</f>
        <v>0</v>
      </c>
      <c r="Q139">
        <f t="shared" si="242"/>
        <v>126</v>
      </c>
      <c r="R139" s="1">
        <f t="shared" ref="R139" si="527">HLOOKUP(Q139,E134:P140,7)</f>
        <v>153020078.09299704</v>
      </c>
    </row>
    <row r="140" spans="2:18" x14ac:dyDescent="0.25">
      <c r="B140" s="16"/>
      <c r="C140" t="s">
        <v>56</v>
      </c>
      <c r="D140" s="10">
        <f t="shared" ref="D140" si="528">ROUND(D139,-1)</f>
        <v>1160</v>
      </c>
      <c r="E140" s="1">
        <f t="shared" ref="E140" si="529">-FV($E$17,$E$18,$E$19,D132-E141,1)</f>
        <v>144715100.21313572</v>
      </c>
      <c r="F140" s="1">
        <f t="shared" ref="F140:I140" si="530">-FV($E$17,$E$18,$E$19,E140,1)</f>
        <v>146360316.40343711</v>
      </c>
      <c r="G140" s="1">
        <f t="shared" si="530"/>
        <v>148013384.72118953</v>
      </c>
      <c r="H140" s="1">
        <f t="shared" si="530"/>
        <v>149674342.64226145</v>
      </c>
      <c r="I140" s="1">
        <f t="shared" si="530"/>
        <v>151343227.82138246</v>
      </c>
      <c r="J140" s="1">
        <f t="shared" ref="J140" si="531">-FV($E$17,$E$18,$E$19,I140-J141-J142,1)</f>
        <v>153020078.09299704</v>
      </c>
      <c r="K140" s="1">
        <f t="shared" ref="K140" si="532">-FV($E$17,$E$18,$E$19,J140,1)</f>
        <v>154704931.47212216</v>
      </c>
      <c r="L140" s="1">
        <f t="shared" ref="L140" si="533">-FV($E$17,$E$18,$E$19,K140,1)</f>
        <v>156397826.15520915</v>
      </c>
      <c r="M140" s="1">
        <f t="shared" ref="M140" si="534">-FV($E$17,$E$18,$E$19,L140,1)</f>
        <v>158098800.52100968</v>
      </c>
      <c r="N140" s="1">
        <f t="shared" ref="N140" si="535">-FV($E$17,$E$18,$E$19,M140,1)</f>
        <v>159807893.13144577</v>
      </c>
      <c r="O140" s="1">
        <f t="shared" ref="O140" si="536">-FV($E$17,$E$18,$E$19,N140,1)</f>
        <v>161525142.73248398</v>
      </c>
      <c r="P140" s="1">
        <f t="shared" ref="P140" si="537">-FV($E$17,$E$18,$E$19,O140,1)</f>
        <v>163250588.25501391</v>
      </c>
      <c r="Q140">
        <f t="shared" si="242"/>
        <v>127</v>
      </c>
      <c r="R140" s="1">
        <f t="shared" ref="R140" si="538">HLOOKUP(Q140,E134:P140,7)</f>
        <v>154704931.47212216</v>
      </c>
    </row>
    <row r="141" spans="2:18" x14ac:dyDescent="0.25">
      <c r="B141" s="16"/>
      <c r="C141" t="s">
        <v>71</v>
      </c>
      <c r="D141">
        <f t="shared" ref="D141" si="539">$E141</f>
        <v>0</v>
      </c>
      <c r="E141" s="1">
        <f t="shared" ref="E141" si="540">ROUNDUP(IF(E135&gt;=$E$13,$D$13,IF(E135&gt;=$E$12,$D$12,IF(E135&gt;=$E$10,$D$10,IF(E135&gt;=$E$8,$D$8,IF(E135&gt;=$E$6,$D$6,IF(E135&gt;=$E$4,$D$4,0))))))*1000*(1+$D$2)^$B134,-3)</f>
        <v>0</v>
      </c>
      <c r="J141" s="1">
        <f t="shared" ref="J141" si="541">ROUNDUP(IF(J135&gt;=$E$13,$D$13,IF(J135&gt;=$E$12,$D$12,IF(J135&gt;=$E$10,$D$10,IF(J135&gt;=$E$8,$D$8,IF(J135&gt;=$E$6,$D$6,IF(J135&gt;=$E$4,$D$4,0))))))*1000*(1+$D$2)^$B134,-3)</f>
        <v>0</v>
      </c>
      <c r="Q141">
        <f t="shared" si="242"/>
        <v>128</v>
      </c>
      <c r="R141" s="1">
        <f t="shared" ref="R141" si="542">HLOOKUP(Q141,E134:P140,7)</f>
        <v>156397826.15520915</v>
      </c>
    </row>
    <row r="142" spans="2:18" x14ac:dyDescent="0.25">
      <c r="B142" s="16"/>
      <c r="C142" t="s">
        <v>72</v>
      </c>
      <c r="D142">
        <f t="shared" ref="D142" si="543">$J141</f>
        <v>0</v>
      </c>
      <c r="J142" s="1">
        <f t="shared" ref="J142" si="544">ROUND(IF(J135=$E$4,$D$5,IF(J135=$E$6,$D$7,IF(J135=$E$8,$D$9,IF(J135=$E$10,$D$11,0))))*1000*(1+$D$2)^$B134,-4)</f>
        <v>0</v>
      </c>
      <c r="Q142">
        <f t="shared" si="242"/>
        <v>129</v>
      </c>
      <c r="R142" s="1">
        <f t="shared" ref="R142" si="545">HLOOKUP(Q142,E134:P140,7)</f>
        <v>158098800.52100968</v>
      </c>
    </row>
    <row r="143" spans="2:18" x14ac:dyDescent="0.25">
      <c r="B143" s="16"/>
      <c r="C143" t="s">
        <v>58</v>
      </c>
      <c r="D143">
        <f t="shared" ref="D143" si="546">D141+D142</f>
        <v>0</v>
      </c>
      <c r="Q143">
        <f t="shared" si="242"/>
        <v>130</v>
      </c>
      <c r="R143" s="1">
        <f t="shared" ref="R143" si="547">HLOOKUP(Q143,E134:P140,7)</f>
        <v>159807893.13144577</v>
      </c>
    </row>
    <row r="144" spans="2:18" x14ac:dyDescent="0.25">
      <c r="B144" s="16"/>
      <c r="C144" t="s">
        <v>42</v>
      </c>
      <c r="D144" s="4">
        <f t="shared" ref="D144" si="548">P140*(1-D136)</f>
        <v>161209955.90182623</v>
      </c>
      <c r="Q144">
        <f t="shared" ref="Q144:Q207" si="549">Q143+1</f>
        <v>131</v>
      </c>
      <c r="R144" s="1">
        <f t="shared" ref="R144" si="550">HLOOKUP(Q144,E134:P140,7)</f>
        <v>161525142.73248398</v>
      </c>
    </row>
    <row r="145" spans="2:18" x14ac:dyDescent="0.25">
      <c r="B145" s="16"/>
      <c r="Q145">
        <f t="shared" si="549"/>
        <v>132</v>
      </c>
      <c r="R145" s="1">
        <f t="shared" ref="R145" si="551">HLOOKUP(Q145,E134:P140,7)</f>
        <v>163250588.25501391</v>
      </c>
    </row>
    <row r="146" spans="2:18" x14ac:dyDescent="0.25">
      <c r="B146" s="16">
        <f t="shared" ref="B146" si="552">B134+1</f>
        <v>11</v>
      </c>
      <c r="C146" t="s">
        <v>40</v>
      </c>
      <c r="D146" s="2">
        <f t="shared" ref="D146" si="553">5.88%</f>
        <v>5.8799999999999998E-2</v>
      </c>
      <c r="E146">
        <f t="shared" ref="E146" si="554">($B146*12)+1</f>
        <v>133</v>
      </c>
      <c r="F146">
        <f t="shared" ref="F146" si="555">E146+1</f>
        <v>134</v>
      </c>
      <c r="G146">
        <f t="shared" ref="G146" si="556">F146+1</f>
        <v>135</v>
      </c>
      <c r="H146">
        <f t="shared" ref="H146" si="557">G146+1</f>
        <v>136</v>
      </c>
      <c r="I146">
        <f t="shared" ref="I146" si="558">H146+1</f>
        <v>137</v>
      </c>
      <c r="J146">
        <f t="shared" ref="J146" si="559">I146+1</f>
        <v>138</v>
      </c>
      <c r="K146">
        <f t="shared" ref="K146" si="560">J146+1</f>
        <v>139</v>
      </c>
      <c r="L146">
        <f t="shared" ref="L146" si="561">K146+1</f>
        <v>140</v>
      </c>
      <c r="M146">
        <f t="shared" ref="M146" si="562">L146+1</f>
        <v>141</v>
      </c>
      <c r="N146">
        <f t="shared" ref="N146" si="563">M146+1</f>
        <v>142</v>
      </c>
      <c r="O146">
        <f t="shared" ref="O146" si="564">N146+1</f>
        <v>143</v>
      </c>
      <c r="P146">
        <f t="shared" ref="P146" si="565">O146+1</f>
        <v>144</v>
      </c>
      <c r="Q146">
        <f t="shared" si="549"/>
        <v>133</v>
      </c>
      <c r="R146" s="1">
        <f t="shared" ref="R146" si="566">HLOOKUP(Q146,E146:P152,7)</f>
        <v>162933897.13137645</v>
      </c>
    </row>
    <row r="147" spans="2:18" x14ac:dyDescent="0.25">
      <c r="B147" s="16"/>
      <c r="C147" t="s">
        <v>41</v>
      </c>
      <c r="D147" s="3">
        <f t="shared" ref="D147" si="567">(1+D146)^(1/12)-1</f>
        <v>4.7727025161425907E-3</v>
      </c>
      <c r="E147">
        <f t="shared" ref="E147:P147" si="568">E146/12</f>
        <v>11.083333333333334</v>
      </c>
      <c r="F147">
        <f t="shared" si="568"/>
        <v>11.166666666666666</v>
      </c>
      <c r="G147">
        <f t="shared" si="568"/>
        <v>11.25</v>
      </c>
      <c r="H147">
        <f t="shared" si="568"/>
        <v>11.333333333333334</v>
      </c>
      <c r="I147">
        <f t="shared" si="568"/>
        <v>11.416666666666666</v>
      </c>
      <c r="J147">
        <f t="shared" si="568"/>
        <v>11.5</v>
      </c>
      <c r="K147">
        <f t="shared" si="568"/>
        <v>11.583333333333334</v>
      </c>
      <c r="L147">
        <f t="shared" si="568"/>
        <v>11.666666666666666</v>
      </c>
      <c r="M147">
        <f t="shared" si="568"/>
        <v>11.75</v>
      </c>
      <c r="N147">
        <f t="shared" si="568"/>
        <v>11.833333333333334</v>
      </c>
      <c r="O147">
        <f t="shared" si="568"/>
        <v>11.916666666666666</v>
      </c>
      <c r="P147">
        <f t="shared" si="568"/>
        <v>12</v>
      </c>
      <c r="Q147">
        <f t="shared" si="549"/>
        <v>134</v>
      </c>
      <c r="R147" s="1">
        <f t="shared" ref="R147" si="569">HLOOKUP(Q147,E146:P152,7)</f>
        <v>164666066.21957061</v>
      </c>
    </row>
    <row r="148" spans="2:18" x14ac:dyDescent="0.25">
      <c r="B148" s="16"/>
      <c r="C148" t="s">
        <v>53</v>
      </c>
      <c r="D148" s="2">
        <f t="shared" ref="D148" si="570">1.25%</f>
        <v>1.2500000000000001E-2</v>
      </c>
      <c r="E148" t="s">
        <v>59</v>
      </c>
      <c r="F148" t="s">
        <v>60</v>
      </c>
      <c r="G148" t="s">
        <v>61</v>
      </c>
      <c r="H148" t="s">
        <v>62</v>
      </c>
      <c r="I148" t="s">
        <v>63</v>
      </c>
      <c r="J148" t="s">
        <v>64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P148" t="s">
        <v>70</v>
      </c>
      <c r="Q148">
        <f t="shared" si="549"/>
        <v>135</v>
      </c>
      <c r="R148" s="1">
        <f t="shared" ref="R148" si="571">HLOOKUP(Q148,E146:P152,7)</f>
        <v>166406502.43553036</v>
      </c>
    </row>
    <row r="149" spans="2:18" x14ac:dyDescent="0.25">
      <c r="B149" s="16"/>
      <c r="C149" t="s">
        <v>54</v>
      </c>
      <c r="D149">
        <f>1</f>
        <v>1</v>
      </c>
      <c r="E149" s="2">
        <f t="shared" ref="E149:P149" si="572">$D135</f>
        <v>4.7727025161425907E-3</v>
      </c>
      <c r="F149" s="2">
        <f t="shared" si="572"/>
        <v>4.7727025161425907E-3</v>
      </c>
      <c r="G149" s="2">
        <f t="shared" si="572"/>
        <v>4.7727025161425907E-3</v>
      </c>
      <c r="H149" s="2">
        <f t="shared" si="572"/>
        <v>4.7727025161425907E-3</v>
      </c>
      <c r="I149" s="2">
        <f t="shared" si="572"/>
        <v>4.7727025161425907E-3</v>
      </c>
      <c r="J149" s="2">
        <f t="shared" si="572"/>
        <v>4.7727025161425907E-3</v>
      </c>
      <c r="K149" s="2">
        <f t="shared" si="572"/>
        <v>4.7727025161425907E-3</v>
      </c>
      <c r="L149" s="2">
        <f t="shared" si="572"/>
        <v>4.7727025161425907E-3</v>
      </c>
      <c r="M149" s="2">
        <f t="shared" si="572"/>
        <v>4.7727025161425907E-3</v>
      </c>
      <c r="N149" s="2">
        <f t="shared" si="572"/>
        <v>4.7727025161425907E-3</v>
      </c>
      <c r="O149" s="2">
        <f t="shared" si="572"/>
        <v>4.7727025161425907E-3</v>
      </c>
      <c r="P149" s="2">
        <f t="shared" si="572"/>
        <v>4.7727025161425907E-3</v>
      </c>
      <c r="Q149">
        <f t="shared" si="549"/>
        <v>136</v>
      </c>
      <c r="R149" s="1">
        <f t="shared" ref="R149" si="573">HLOOKUP(Q149,E146:P152,7)</f>
        <v>168155245.23579723</v>
      </c>
    </row>
    <row r="150" spans="2:18" x14ac:dyDescent="0.25">
      <c r="B150" s="16"/>
      <c r="C150" t="s">
        <v>55</v>
      </c>
      <c r="D150">
        <f t="shared" ref="D150" si="574">D149*12</f>
        <v>12</v>
      </c>
      <c r="E150">
        <f>1</f>
        <v>1</v>
      </c>
      <c r="F150">
        <f>1</f>
        <v>1</v>
      </c>
      <c r="G150">
        <f>1</f>
        <v>1</v>
      </c>
      <c r="H150">
        <f>1</f>
        <v>1</v>
      </c>
      <c r="I150">
        <f>1</f>
        <v>1</v>
      </c>
      <c r="J150">
        <f>1</f>
        <v>1</v>
      </c>
      <c r="K150">
        <f>1</f>
        <v>1</v>
      </c>
      <c r="L150">
        <f>1</f>
        <v>1</v>
      </c>
      <c r="M150">
        <f>1</f>
        <v>1</v>
      </c>
      <c r="N150">
        <f>1</f>
        <v>1</v>
      </c>
      <c r="O150">
        <f>1</f>
        <v>1</v>
      </c>
      <c r="P150">
        <f>1</f>
        <v>1</v>
      </c>
      <c r="Q150">
        <f t="shared" si="549"/>
        <v>137</v>
      </c>
      <c r="R150" s="1">
        <f t="shared" ref="R150" si="575">HLOOKUP(Q150,E146:P152,7)</f>
        <v>169912334.26522702</v>
      </c>
    </row>
    <row r="151" spans="2:18" x14ac:dyDescent="0.25">
      <c r="B151" s="16"/>
      <c r="C151" t="s">
        <v>57</v>
      </c>
      <c r="D151" s="10">
        <f t="shared" ref="D151" si="576">D139*(1+$D$2)</f>
        <v>1181.2055929749201</v>
      </c>
      <c r="E151" s="1">
        <f t="shared" ref="E151:F151" si="577">IF(E147&lt;6.5,$D152*1000,IF($D153=0,0,$D152*1000))</f>
        <v>0</v>
      </c>
      <c r="F151" s="1">
        <f t="shared" si="577"/>
        <v>0</v>
      </c>
      <c r="G151" s="1">
        <f t="shared" ref="G151" si="578">IF(G147&lt;6.5,$D152*1000,IF($D153=0,0,$D152*1000))</f>
        <v>0</v>
      </c>
      <c r="H151" s="1">
        <f t="shared" ref="H151" si="579">IF(H147&lt;6.5,$D152*1000,IF($D153=0,0,$D152*1000))</f>
        <v>0</v>
      </c>
      <c r="I151" s="1">
        <f t="shared" ref="I151" si="580">IF(I147&lt;6.5,$D152*1000,IF($D153=0,0,$D152*1000))</f>
        <v>0</v>
      </c>
      <c r="J151" s="1">
        <f t="shared" ref="J151:K151" si="581">IF(J147&lt;6.5,$D152*1000,IF($D154=0,0,$D152*1000))</f>
        <v>0</v>
      </c>
      <c r="K151" s="1">
        <f t="shared" si="581"/>
        <v>0</v>
      </c>
      <c r="L151" s="1">
        <f t="shared" ref="L151" si="582">IF(L147&lt;6.5,$D152*1000,IF($D154=0,0,$D152*1000))</f>
        <v>0</v>
      </c>
      <c r="M151" s="1">
        <f t="shared" ref="M151" si="583">IF(M147&lt;6.5,$D152*1000,IF($D154=0,0,$D152*1000))</f>
        <v>0</v>
      </c>
      <c r="N151" s="1">
        <f t="shared" ref="N151" si="584">IF(N147&lt;6.5,$D152*1000,IF($D154=0,0,$D152*1000))</f>
        <v>0</v>
      </c>
      <c r="O151" s="1">
        <f t="shared" ref="O151" si="585">IF(O147&lt;6.5,$D152*1000,IF($D154=0,0,$D152*1000))</f>
        <v>0</v>
      </c>
      <c r="P151" s="1">
        <f t="shared" ref="P151" si="586">IF(P147&lt;6.5,$D152*1000,IF($D154=0,0,$D152*1000))</f>
        <v>0</v>
      </c>
      <c r="Q151">
        <f t="shared" si="549"/>
        <v>138</v>
      </c>
      <c r="R151" s="1">
        <f t="shared" ref="R151" si="587">HLOOKUP(Q151,E146:P152,7)</f>
        <v>171677809.35788864</v>
      </c>
    </row>
    <row r="152" spans="2:18" x14ac:dyDescent="0.25">
      <c r="B152" s="16"/>
      <c r="C152" t="s">
        <v>56</v>
      </c>
      <c r="D152" s="10">
        <f t="shared" ref="D152" si="588">ROUND(D151,-1)</f>
        <v>1180</v>
      </c>
      <c r="E152" s="1">
        <f t="shared" ref="E152" si="589">-FV($E$17,$E$18,$E$19,D144-E153,1)</f>
        <v>162933897.13137645</v>
      </c>
      <c r="F152" s="1">
        <f t="shared" ref="F152:I152" si="590">-FV($E$17,$E$18,$E$19,E152,1)</f>
        <v>164666066.21957061</v>
      </c>
      <c r="G152" s="1">
        <f t="shared" si="590"/>
        <v>166406502.43553036</v>
      </c>
      <c r="H152" s="1">
        <f t="shared" si="590"/>
        <v>168155245.23579723</v>
      </c>
      <c r="I152" s="1">
        <f t="shared" si="590"/>
        <v>169912334.26522702</v>
      </c>
      <c r="J152" s="1">
        <f t="shared" ref="J152" si="591">-FV($E$17,$E$18,$E$19,I152-J153-J154,1)</f>
        <v>171677809.35788864</v>
      </c>
      <c r="K152" s="1">
        <f t="shared" ref="K152" si="592">-FV($E$17,$E$18,$E$19,J152,1)</f>
        <v>173451710.53796721</v>
      </c>
      <c r="L152" s="1">
        <f t="shared" ref="L152" si="593">-FV($E$17,$E$18,$E$19,K152,1)</f>
        <v>175234078.02067131</v>
      </c>
      <c r="M152" s="1">
        <f t="shared" ref="M152" si="594">-FV($E$17,$E$18,$E$19,L152,1)</f>
        <v>177024952.21314481</v>
      </c>
      <c r="N152" s="1">
        <f t="shared" ref="N152" si="595">-FV($E$17,$E$18,$E$19,M152,1)</f>
        <v>178824373.71538284</v>
      </c>
      <c r="O152" s="1">
        <f t="shared" ref="O152" si="596">-FV($E$17,$E$18,$E$19,N152,1)</f>
        <v>180632383.32115221</v>
      </c>
      <c r="P152" s="1">
        <f t="shared" ref="P152" si="597">-FV($E$17,$E$18,$E$19,O152,1)</f>
        <v>182449022.01891622</v>
      </c>
      <c r="Q152">
        <f t="shared" si="549"/>
        <v>139</v>
      </c>
      <c r="R152" s="1">
        <f t="shared" ref="R152" si="598">HLOOKUP(Q152,E146:P152,7)</f>
        <v>173451710.53796721</v>
      </c>
    </row>
    <row r="153" spans="2:18" x14ac:dyDescent="0.25">
      <c r="B153" s="16"/>
      <c r="C153" t="s">
        <v>71</v>
      </c>
      <c r="D153">
        <f t="shared" ref="D153" si="599">$E153</f>
        <v>0</v>
      </c>
      <c r="E153" s="1">
        <f t="shared" ref="E153" si="600">ROUNDUP(IF(E147&gt;=$E$13,$D$13,IF(E147&gt;=$E$12,$D$12,IF(E147&gt;=$E$10,$D$10,IF(E147&gt;=$E$8,$D$8,IF(E147&gt;=$E$6,$D$6,IF(E147&gt;=$E$4,$D$4,0))))))*1000*(1+$D$2)^$B146,-3)</f>
        <v>0</v>
      </c>
      <c r="J153" s="1">
        <f t="shared" ref="J153" si="601">ROUNDUP(IF(J147&gt;=$E$13,$D$13,IF(J147&gt;=$E$12,$D$12,IF(J147&gt;=$E$10,$D$10,IF(J147&gt;=$E$8,$D$8,IF(J147&gt;=$E$6,$D$6,IF(J147&gt;=$E$4,$D$4,0))))))*1000*(1+$D$2)^$B146,-3)</f>
        <v>0</v>
      </c>
      <c r="Q153">
        <f t="shared" si="549"/>
        <v>140</v>
      </c>
      <c r="R153" s="1">
        <f t="shared" ref="R153" si="602">HLOOKUP(Q153,E146:P152,7)</f>
        <v>175234078.02067131</v>
      </c>
    </row>
    <row r="154" spans="2:18" x14ac:dyDescent="0.25">
      <c r="B154" s="16"/>
      <c r="C154" t="s">
        <v>72</v>
      </c>
      <c r="D154">
        <f t="shared" ref="D154" si="603">$J153</f>
        <v>0</v>
      </c>
      <c r="J154" s="1">
        <f t="shared" ref="J154" si="604">ROUND(IF(J147=$E$4,$D$5,IF(J147=$E$6,$D$7,IF(J147=$E$8,$D$9,IF(J147=$E$10,$D$11,0))))*1000*(1+$D$2)^$B146,-4)</f>
        <v>0</v>
      </c>
      <c r="Q154">
        <f t="shared" si="549"/>
        <v>141</v>
      </c>
      <c r="R154" s="1">
        <f t="shared" ref="R154" si="605">HLOOKUP(Q154,E146:P152,7)</f>
        <v>177024952.21314481</v>
      </c>
    </row>
    <row r="155" spans="2:18" x14ac:dyDescent="0.25">
      <c r="B155" s="16"/>
      <c r="C155" t="s">
        <v>58</v>
      </c>
      <c r="D155">
        <f t="shared" ref="D155" si="606">D153+D154</f>
        <v>0</v>
      </c>
      <c r="Q155">
        <f t="shared" si="549"/>
        <v>142</v>
      </c>
      <c r="R155" s="1">
        <f t="shared" ref="R155" si="607">HLOOKUP(Q155,E146:P152,7)</f>
        <v>178824373.71538284</v>
      </c>
    </row>
    <row r="156" spans="2:18" x14ac:dyDescent="0.25">
      <c r="B156" s="16"/>
      <c r="C156" t="s">
        <v>42</v>
      </c>
      <c r="D156" s="4">
        <f t="shared" ref="D156" si="608">P152*(1-D148)</f>
        <v>180168409.24367976</v>
      </c>
      <c r="Q156">
        <f t="shared" si="549"/>
        <v>143</v>
      </c>
      <c r="R156" s="1">
        <f t="shared" ref="R156" si="609">HLOOKUP(Q156,E146:P152,7)</f>
        <v>180632383.32115221</v>
      </c>
    </row>
    <row r="157" spans="2:18" x14ac:dyDescent="0.25">
      <c r="B157" s="16"/>
      <c r="Q157">
        <f t="shared" si="549"/>
        <v>144</v>
      </c>
      <c r="R157" s="1">
        <f t="shared" ref="R157" si="610">HLOOKUP(Q157,E146:P152,7)</f>
        <v>182449022.01891622</v>
      </c>
    </row>
    <row r="158" spans="2:18" x14ac:dyDescent="0.25">
      <c r="B158" s="16">
        <f t="shared" ref="B158" si="611">B146+1</f>
        <v>12</v>
      </c>
      <c r="C158" t="s">
        <v>40</v>
      </c>
      <c r="D158" s="2">
        <f t="shared" ref="D158" si="612">5.88%</f>
        <v>5.8799999999999998E-2</v>
      </c>
      <c r="E158">
        <f t="shared" ref="E158" si="613">($B158*12)+1</f>
        <v>145</v>
      </c>
      <c r="F158">
        <f t="shared" ref="F158" si="614">E158+1</f>
        <v>146</v>
      </c>
      <c r="G158">
        <f t="shared" ref="G158" si="615">F158+1</f>
        <v>147</v>
      </c>
      <c r="H158">
        <f t="shared" ref="H158" si="616">G158+1</f>
        <v>148</v>
      </c>
      <c r="I158">
        <f t="shared" ref="I158" si="617">H158+1</f>
        <v>149</v>
      </c>
      <c r="J158">
        <f t="shared" ref="J158" si="618">I158+1</f>
        <v>150</v>
      </c>
      <c r="K158">
        <f t="shared" ref="K158" si="619">J158+1</f>
        <v>151</v>
      </c>
      <c r="L158">
        <f t="shared" ref="L158" si="620">K158+1</f>
        <v>152</v>
      </c>
      <c r="M158">
        <f t="shared" ref="M158" si="621">L158+1</f>
        <v>153</v>
      </c>
      <c r="N158">
        <f t="shared" ref="N158" si="622">M158+1</f>
        <v>154</v>
      </c>
      <c r="O158">
        <f t="shared" ref="O158" si="623">N158+1</f>
        <v>155</v>
      </c>
      <c r="P158">
        <f t="shared" ref="P158" si="624">O158+1</f>
        <v>156</v>
      </c>
      <c r="Q158">
        <f t="shared" si="549"/>
        <v>145</v>
      </c>
      <c r="R158" s="1">
        <f t="shared" ref="R158" si="625">HLOOKUP(Q158,E158:P164,7)</f>
        <v>181982833.5311968</v>
      </c>
    </row>
    <row r="159" spans="2:18" x14ac:dyDescent="0.25">
      <c r="B159" s="16"/>
      <c r="C159" t="s">
        <v>41</v>
      </c>
      <c r="D159" s="3">
        <f t="shared" ref="D159" si="626">(1+D158)^(1/12)-1</f>
        <v>4.7727025161425907E-3</v>
      </c>
      <c r="E159">
        <f t="shared" ref="E159:P159" si="627">E158/12</f>
        <v>12.083333333333334</v>
      </c>
      <c r="F159">
        <f t="shared" si="627"/>
        <v>12.166666666666666</v>
      </c>
      <c r="G159">
        <f t="shared" si="627"/>
        <v>12.25</v>
      </c>
      <c r="H159">
        <f t="shared" si="627"/>
        <v>12.333333333333334</v>
      </c>
      <c r="I159">
        <f t="shared" si="627"/>
        <v>12.416666666666666</v>
      </c>
      <c r="J159">
        <f t="shared" si="627"/>
        <v>12.5</v>
      </c>
      <c r="K159">
        <f t="shared" si="627"/>
        <v>12.583333333333334</v>
      </c>
      <c r="L159">
        <f t="shared" si="627"/>
        <v>12.666666666666666</v>
      </c>
      <c r="M159">
        <f t="shared" si="627"/>
        <v>12.75</v>
      </c>
      <c r="N159">
        <f t="shared" si="627"/>
        <v>12.833333333333334</v>
      </c>
      <c r="O159">
        <f t="shared" si="627"/>
        <v>12.916666666666666</v>
      </c>
      <c r="P159">
        <f t="shared" si="627"/>
        <v>13</v>
      </c>
      <c r="Q159">
        <f t="shared" si="549"/>
        <v>146</v>
      </c>
      <c r="R159" s="1">
        <f t="shared" ref="R159" si="628">HLOOKUP(Q159,E158:P164,7)</f>
        <v>183805917.52607623</v>
      </c>
    </row>
    <row r="160" spans="2:18" x14ac:dyDescent="0.25">
      <c r="B160" s="16"/>
      <c r="C160" t="s">
        <v>53</v>
      </c>
      <c r="D160" s="2">
        <f t="shared" ref="D160" si="629">1.25%</f>
        <v>1.2500000000000001E-2</v>
      </c>
      <c r="E160" t="s">
        <v>59</v>
      </c>
      <c r="F160" t="s">
        <v>60</v>
      </c>
      <c r="G160" t="s">
        <v>61</v>
      </c>
      <c r="H160" t="s">
        <v>62</v>
      </c>
      <c r="I160" t="s">
        <v>63</v>
      </c>
      <c r="J160" t="s">
        <v>64</v>
      </c>
      <c r="K160" t="s">
        <v>65</v>
      </c>
      <c r="L160" t="s">
        <v>66</v>
      </c>
      <c r="M160" t="s">
        <v>67</v>
      </c>
      <c r="N160" t="s">
        <v>68</v>
      </c>
      <c r="O160" t="s">
        <v>69</v>
      </c>
      <c r="P160" t="s">
        <v>70</v>
      </c>
      <c r="Q160">
        <f t="shared" si="549"/>
        <v>147</v>
      </c>
      <c r="R160" s="1">
        <f t="shared" ref="R160" si="630">HLOOKUP(Q160,E158:P164,7)</f>
        <v>185637702.55852515</v>
      </c>
    </row>
    <row r="161" spans="2:18" x14ac:dyDescent="0.25">
      <c r="B161" s="16"/>
      <c r="C161" t="s">
        <v>54</v>
      </c>
      <c r="D161">
        <f>1</f>
        <v>1</v>
      </c>
      <c r="E161" s="2">
        <f t="shared" ref="E161:P161" si="631">$D147</f>
        <v>4.7727025161425907E-3</v>
      </c>
      <c r="F161" s="2">
        <f t="shared" si="631"/>
        <v>4.7727025161425907E-3</v>
      </c>
      <c r="G161" s="2">
        <f t="shared" si="631"/>
        <v>4.7727025161425907E-3</v>
      </c>
      <c r="H161" s="2">
        <f t="shared" si="631"/>
        <v>4.7727025161425907E-3</v>
      </c>
      <c r="I161" s="2">
        <f t="shared" si="631"/>
        <v>4.7727025161425907E-3</v>
      </c>
      <c r="J161" s="2">
        <f t="shared" si="631"/>
        <v>4.7727025161425907E-3</v>
      </c>
      <c r="K161" s="2">
        <f t="shared" si="631"/>
        <v>4.7727025161425907E-3</v>
      </c>
      <c r="L161" s="2">
        <f t="shared" si="631"/>
        <v>4.7727025161425907E-3</v>
      </c>
      <c r="M161" s="2">
        <f t="shared" si="631"/>
        <v>4.7727025161425907E-3</v>
      </c>
      <c r="N161" s="2">
        <f t="shared" si="631"/>
        <v>4.7727025161425907E-3</v>
      </c>
      <c r="O161" s="2">
        <f t="shared" si="631"/>
        <v>4.7727025161425907E-3</v>
      </c>
      <c r="P161" s="2">
        <f t="shared" si="631"/>
        <v>4.7727025161425907E-3</v>
      </c>
      <c r="Q161">
        <f t="shared" si="549"/>
        <v>148</v>
      </c>
      <c r="R161" s="1">
        <f t="shared" ref="R161" si="632">HLOOKUP(Q161,E158:P164,7)</f>
        <v>187478230.15600747</v>
      </c>
    </row>
    <row r="162" spans="2:18" x14ac:dyDescent="0.25">
      <c r="B162" s="16"/>
      <c r="C162" t="s">
        <v>55</v>
      </c>
      <c r="D162">
        <f t="shared" ref="D162" si="633">D161*12</f>
        <v>12</v>
      </c>
      <c r="E162">
        <f>1</f>
        <v>1</v>
      </c>
      <c r="F162">
        <f>1</f>
        <v>1</v>
      </c>
      <c r="G162">
        <f>1</f>
        <v>1</v>
      </c>
      <c r="H162">
        <f>1</f>
        <v>1</v>
      </c>
      <c r="I162">
        <f>1</f>
        <v>1</v>
      </c>
      <c r="J162">
        <f>1</f>
        <v>1</v>
      </c>
      <c r="K162">
        <f>1</f>
        <v>1</v>
      </c>
      <c r="L162">
        <f>1</f>
        <v>1</v>
      </c>
      <c r="M162">
        <f>1</f>
        <v>1</v>
      </c>
      <c r="N162">
        <f>1</f>
        <v>1</v>
      </c>
      <c r="O162">
        <f>1</f>
        <v>1</v>
      </c>
      <c r="P162">
        <f>1</f>
        <v>1</v>
      </c>
      <c r="Q162">
        <f t="shared" si="549"/>
        <v>149</v>
      </c>
      <c r="R162" s="1">
        <f t="shared" ref="R162" si="634">HLOOKUP(Q162,E158:P164,7)</f>
        <v>189327542.04418534</v>
      </c>
    </row>
    <row r="163" spans="2:18" x14ac:dyDescent="0.25">
      <c r="B163" s="16"/>
      <c r="C163" t="s">
        <v>57</v>
      </c>
      <c r="D163" s="10">
        <f t="shared" ref="D163" si="635">D151*(1+$D$2)</f>
        <v>1204.8297048344186</v>
      </c>
      <c r="E163" s="1">
        <f t="shared" ref="E163:F163" si="636">IF(E159&lt;6.5,$D164*1000,IF($D165=0,0,$D164*1000))</f>
        <v>0</v>
      </c>
      <c r="F163" s="1">
        <f t="shared" si="636"/>
        <v>0</v>
      </c>
      <c r="G163" s="1">
        <f t="shared" ref="G163" si="637">IF(G159&lt;6.5,$D164*1000,IF($D165=0,0,$D164*1000))</f>
        <v>0</v>
      </c>
      <c r="H163" s="1">
        <f t="shared" ref="H163" si="638">IF(H159&lt;6.5,$D164*1000,IF($D165=0,0,$D164*1000))</f>
        <v>0</v>
      </c>
      <c r="I163" s="1">
        <f t="shared" ref="I163" si="639">IF(I159&lt;6.5,$D164*1000,IF($D165=0,0,$D164*1000))</f>
        <v>0</v>
      </c>
      <c r="J163" s="1">
        <f t="shared" ref="J163:K163" si="640">IF(J159&lt;6.5,$D164*1000,IF($D166=0,0,$D164*1000))</f>
        <v>0</v>
      </c>
      <c r="K163" s="1">
        <f t="shared" si="640"/>
        <v>0</v>
      </c>
      <c r="L163" s="1">
        <f t="shared" ref="L163" si="641">IF(L159&lt;6.5,$D164*1000,IF($D166=0,0,$D164*1000))</f>
        <v>0</v>
      </c>
      <c r="M163" s="1">
        <f t="shared" ref="M163" si="642">IF(M159&lt;6.5,$D164*1000,IF($D166=0,0,$D164*1000))</f>
        <v>0</v>
      </c>
      <c r="N163" s="1">
        <f t="shared" ref="N163" si="643">IF(N159&lt;6.5,$D164*1000,IF($D166=0,0,$D164*1000))</f>
        <v>0</v>
      </c>
      <c r="O163" s="1">
        <f t="shared" ref="O163" si="644">IF(O159&lt;6.5,$D164*1000,IF($D166=0,0,$D164*1000))</f>
        <v>0</v>
      </c>
      <c r="P163" s="1">
        <f t="shared" ref="P163" si="645">IF(P159&lt;6.5,$D164*1000,IF($D166=0,0,$D164*1000))</f>
        <v>0</v>
      </c>
      <c r="Q163">
        <f t="shared" si="549"/>
        <v>150</v>
      </c>
      <c r="R163" s="1">
        <f t="shared" ref="R163" si="646">HLOOKUP(Q163,E158:P164,7)</f>
        <v>191185680.14786503</v>
      </c>
    </row>
    <row r="164" spans="2:18" x14ac:dyDescent="0.25">
      <c r="B164" s="16"/>
      <c r="C164" t="s">
        <v>56</v>
      </c>
      <c r="D164" s="10">
        <f t="shared" ref="D164" si="647">ROUND(D163,-1)</f>
        <v>1200</v>
      </c>
      <c r="E164" s="1">
        <f t="shared" ref="E164" si="648">-FV($E$17,$E$18,$E$19,D156-E165,1)</f>
        <v>181982833.5311968</v>
      </c>
      <c r="F164" s="1">
        <f t="shared" ref="F164:I164" si="649">-FV($E$17,$E$18,$E$19,E164,1)</f>
        <v>183805917.52607623</v>
      </c>
      <c r="G164" s="1">
        <f t="shared" si="649"/>
        <v>185637702.55852515</v>
      </c>
      <c r="H164" s="1">
        <f t="shared" si="649"/>
        <v>187478230.15600747</v>
      </c>
      <c r="I164" s="1">
        <f t="shared" si="649"/>
        <v>189327542.04418534</v>
      </c>
      <c r="J164" s="1">
        <f t="shared" ref="J164" si="650">-FV($E$17,$E$18,$E$19,I164-J165-J166,1)</f>
        <v>191185680.14786503</v>
      </c>
      <c r="K164" s="1">
        <f t="shared" ref="K164" si="651">-FV($E$17,$E$18,$E$19,J164,1)</f>
        <v>193052686.5919475</v>
      </c>
      <c r="L164" s="1">
        <f t="shared" ref="L164" si="652">-FV($E$17,$E$18,$E$19,K164,1)</f>
        <v>194928603.70238328</v>
      </c>
      <c r="M164" s="1">
        <f t="shared" ref="M164" si="653">-FV($E$17,$E$18,$E$19,L164,1)</f>
        <v>196813474.00713214</v>
      </c>
      <c r="N164" s="1">
        <f t="shared" ref="N164" si="654">-FV($E$17,$E$18,$E$19,M164,1)</f>
        <v>198707340.23712707</v>
      </c>
      <c r="O164" s="1">
        <f t="shared" ref="O164" si="655">-FV($E$17,$E$18,$E$19,N164,1)</f>
        <v>200610245.32724312</v>
      </c>
      <c r="P164" s="1">
        <f t="shared" ref="P164" si="656">-FV($E$17,$E$18,$E$19,O164,1)</f>
        <v>202522232.41727075</v>
      </c>
      <c r="Q164">
        <f t="shared" si="549"/>
        <v>151</v>
      </c>
      <c r="R164" s="1">
        <f t="shared" ref="R164" si="657">HLOOKUP(Q164,E158:P164,7)</f>
        <v>193052686.5919475</v>
      </c>
    </row>
    <row r="165" spans="2:18" x14ac:dyDescent="0.25">
      <c r="B165" s="16"/>
      <c r="C165" t="s">
        <v>71</v>
      </c>
      <c r="D165">
        <f t="shared" ref="D165" si="658">$E165</f>
        <v>0</v>
      </c>
      <c r="E165" s="1">
        <f t="shared" ref="E165" si="659">ROUNDUP(IF(E159&gt;=$E$13,$D$13,IF(E159&gt;=$E$12,$D$12,IF(E159&gt;=$E$10,$D$10,IF(E159&gt;=$E$8,$D$8,IF(E159&gt;=$E$6,$D$6,IF(E159&gt;=$E$4,$D$4,0))))))*1000*(1+$D$2)^$B158,-3)</f>
        <v>0</v>
      </c>
      <c r="J165" s="1">
        <f t="shared" ref="J165" si="660">ROUNDUP(IF(J159&gt;=$E$13,$D$13,IF(J159&gt;=$E$12,$D$12,IF(J159&gt;=$E$10,$D$10,IF(J159&gt;=$E$8,$D$8,IF(J159&gt;=$E$6,$D$6,IF(J159&gt;=$E$4,$D$4,0))))))*1000*(1+$D$2)^$B158,-3)</f>
        <v>0</v>
      </c>
      <c r="Q165">
        <f t="shared" si="549"/>
        <v>152</v>
      </c>
      <c r="R165" s="1">
        <f t="shared" ref="R165" si="661">HLOOKUP(Q165,E158:P164,7)</f>
        <v>194928603.70238328</v>
      </c>
    </row>
    <row r="166" spans="2:18" x14ac:dyDescent="0.25">
      <c r="B166" s="16"/>
      <c r="C166" t="s">
        <v>72</v>
      </c>
      <c r="D166">
        <f t="shared" ref="D166" si="662">$J165</f>
        <v>0</v>
      </c>
      <c r="J166" s="1">
        <f t="shared" ref="J166" si="663">ROUND(IF(J159=$E$4,$D$5,IF(J159=$E$6,$D$7,IF(J159=$E$8,$D$9,IF(J159=$E$10,$D$11,0))))*1000*(1+$D$2)^$B158,-4)</f>
        <v>0</v>
      </c>
      <c r="Q166">
        <f t="shared" si="549"/>
        <v>153</v>
      </c>
      <c r="R166" s="1">
        <f t="shared" ref="R166" si="664">HLOOKUP(Q166,E158:P164,7)</f>
        <v>196813474.00713214</v>
      </c>
    </row>
    <row r="167" spans="2:18" x14ac:dyDescent="0.25">
      <c r="B167" s="16"/>
      <c r="C167" t="s">
        <v>58</v>
      </c>
      <c r="D167">
        <f t="shared" ref="D167" si="665">D165+D166</f>
        <v>0</v>
      </c>
      <c r="Q167">
        <f t="shared" si="549"/>
        <v>154</v>
      </c>
      <c r="R167" s="1">
        <f t="shared" ref="R167" si="666">HLOOKUP(Q167,E158:P164,7)</f>
        <v>198707340.23712707</v>
      </c>
    </row>
    <row r="168" spans="2:18" x14ac:dyDescent="0.25">
      <c r="B168" s="16"/>
      <c r="C168" t="s">
        <v>42</v>
      </c>
      <c r="D168" s="4">
        <f t="shared" ref="D168" si="667">P164*(1-D160)</f>
        <v>199990704.51205486</v>
      </c>
      <c r="Q168">
        <f t="shared" si="549"/>
        <v>155</v>
      </c>
      <c r="R168" s="1">
        <f t="shared" ref="R168" si="668">HLOOKUP(Q168,E158:P164,7)</f>
        <v>200610245.32724312</v>
      </c>
    </row>
    <row r="169" spans="2:18" x14ac:dyDescent="0.25">
      <c r="B169" s="16"/>
      <c r="Q169">
        <f t="shared" si="549"/>
        <v>156</v>
      </c>
      <c r="R169" s="1">
        <f t="shared" ref="R169" si="669">HLOOKUP(Q169,E158:P164,7)</f>
        <v>202522232.41727075</v>
      </c>
    </row>
    <row r="170" spans="2:18" x14ac:dyDescent="0.25">
      <c r="B170" s="16">
        <f t="shared" ref="B170" si="670">B158+1</f>
        <v>13</v>
      </c>
      <c r="C170" t="s">
        <v>40</v>
      </c>
      <c r="D170" s="2">
        <f t="shared" ref="D170" si="671">5.88%</f>
        <v>5.8799999999999998E-2</v>
      </c>
      <c r="E170">
        <f t="shared" ref="E170" si="672">($B170*12)+1</f>
        <v>157</v>
      </c>
      <c r="F170">
        <f t="shared" ref="F170" si="673">E170+1</f>
        <v>158</v>
      </c>
      <c r="G170">
        <f t="shared" ref="G170" si="674">F170+1</f>
        <v>159</v>
      </c>
      <c r="H170">
        <f t="shared" ref="H170" si="675">G170+1</f>
        <v>160</v>
      </c>
      <c r="I170">
        <f t="shared" ref="I170" si="676">H170+1</f>
        <v>161</v>
      </c>
      <c r="J170">
        <f t="shared" ref="J170" si="677">I170+1</f>
        <v>162</v>
      </c>
      <c r="K170">
        <f t="shared" ref="K170" si="678">J170+1</f>
        <v>163</v>
      </c>
      <c r="L170">
        <f t="shared" ref="L170" si="679">K170+1</f>
        <v>164</v>
      </c>
      <c r="M170">
        <f t="shared" ref="M170" si="680">L170+1</f>
        <v>165</v>
      </c>
      <c r="N170">
        <f t="shared" ref="N170" si="681">M170+1</f>
        <v>166</v>
      </c>
      <c r="O170">
        <f t="shared" ref="O170" si="682">N170+1</f>
        <v>167</v>
      </c>
      <c r="P170">
        <f t="shared" ref="P170" si="683">O170+1</f>
        <v>168</v>
      </c>
      <c r="Q170">
        <f t="shared" si="549"/>
        <v>157</v>
      </c>
      <c r="R170" s="1">
        <f t="shared" ref="R170" si="684">HLOOKUP(Q170,E170:P176,7)</f>
        <v>201899734.71807501</v>
      </c>
    </row>
    <row r="171" spans="2:18" x14ac:dyDescent="0.25">
      <c r="B171" s="16"/>
      <c r="C171" t="s">
        <v>41</v>
      </c>
      <c r="D171" s="3">
        <f t="shared" ref="D171" si="685">(1+D170)^(1/12)-1</f>
        <v>4.7727025161425907E-3</v>
      </c>
      <c r="E171">
        <f t="shared" ref="E171:P171" si="686">E170/12</f>
        <v>13.083333333333334</v>
      </c>
      <c r="F171">
        <f t="shared" si="686"/>
        <v>13.166666666666666</v>
      </c>
      <c r="G171">
        <f t="shared" si="686"/>
        <v>13.25</v>
      </c>
      <c r="H171">
        <f t="shared" si="686"/>
        <v>13.333333333333334</v>
      </c>
      <c r="I171">
        <f t="shared" si="686"/>
        <v>13.416666666666666</v>
      </c>
      <c r="J171">
        <f t="shared" si="686"/>
        <v>13.5</v>
      </c>
      <c r="K171">
        <f t="shared" si="686"/>
        <v>13.583333333333334</v>
      </c>
      <c r="L171">
        <f t="shared" si="686"/>
        <v>13.666666666666666</v>
      </c>
      <c r="M171">
        <f t="shared" si="686"/>
        <v>13.75</v>
      </c>
      <c r="N171">
        <f t="shared" si="686"/>
        <v>13.833333333333334</v>
      </c>
      <c r="O171">
        <f t="shared" si="686"/>
        <v>13.916666666666666</v>
      </c>
      <c r="P171">
        <f t="shared" si="686"/>
        <v>14</v>
      </c>
      <c r="Q171">
        <f t="shared" si="549"/>
        <v>158</v>
      </c>
      <c r="R171" s="1">
        <f t="shared" ref="R171" si="687">HLOOKUP(Q171,E170:P176,7)</f>
        <v>203817876.15736282</v>
      </c>
    </row>
    <row r="172" spans="2:18" x14ac:dyDescent="0.25">
      <c r="B172" s="16"/>
      <c r="C172" t="s">
        <v>53</v>
      </c>
      <c r="D172" s="2">
        <f t="shared" ref="D172" si="688">1.25%</f>
        <v>1.2500000000000001E-2</v>
      </c>
      <c r="E172" t="s">
        <v>59</v>
      </c>
      <c r="F172" t="s">
        <v>60</v>
      </c>
      <c r="G172" t="s">
        <v>61</v>
      </c>
      <c r="H172" t="s">
        <v>62</v>
      </c>
      <c r="I172" t="s">
        <v>63</v>
      </c>
      <c r="J172" t="s">
        <v>64</v>
      </c>
      <c r="K172" t="s">
        <v>65</v>
      </c>
      <c r="L172" t="s">
        <v>66</v>
      </c>
      <c r="M172" t="s">
        <v>67</v>
      </c>
      <c r="N172" t="s">
        <v>68</v>
      </c>
      <c r="O172" t="s">
        <v>69</v>
      </c>
      <c r="P172" t="s">
        <v>70</v>
      </c>
      <c r="Q172">
        <f t="shared" si="549"/>
        <v>159</v>
      </c>
      <c r="R172" s="1">
        <f t="shared" ref="R172" si="689">HLOOKUP(Q172,E170:P176,7)</f>
        <v>205745172.31512421</v>
      </c>
    </row>
    <row r="173" spans="2:18" x14ac:dyDescent="0.25">
      <c r="B173" s="16"/>
      <c r="C173" t="s">
        <v>54</v>
      </c>
      <c r="D173">
        <f>1</f>
        <v>1</v>
      </c>
      <c r="E173" s="2">
        <f t="shared" ref="E173:P173" si="690">$D159</f>
        <v>4.7727025161425907E-3</v>
      </c>
      <c r="F173" s="2">
        <f t="shared" si="690"/>
        <v>4.7727025161425907E-3</v>
      </c>
      <c r="G173" s="2">
        <f t="shared" si="690"/>
        <v>4.7727025161425907E-3</v>
      </c>
      <c r="H173" s="2">
        <f t="shared" si="690"/>
        <v>4.7727025161425907E-3</v>
      </c>
      <c r="I173" s="2">
        <f t="shared" si="690"/>
        <v>4.7727025161425907E-3</v>
      </c>
      <c r="J173" s="2">
        <f t="shared" si="690"/>
        <v>4.7727025161425907E-3</v>
      </c>
      <c r="K173" s="2">
        <f t="shared" si="690"/>
        <v>4.7727025161425907E-3</v>
      </c>
      <c r="L173" s="2">
        <f t="shared" si="690"/>
        <v>4.7727025161425907E-3</v>
      </c>
      <c r="M173" s="2">
        <f t="shared" si="690"/>
        <v>4.7727025161425907E-3</v>
      </c>
      <c r="N173" s="2">
        <f t="shared" si="690"/>
        <v>4.7727025161425907E-3</v>
      </c>
      <c r="O173" s="2">
        <f t="shared" si="690"/>
        <v>4.7727025161425907E-3</v>
      </c>
      <c r="P173" s="2">
        <f t="shared" si="690"/>
        <v>4.7727025161425907E-3</v>
      </c>
      <c r="Q173">
        <f t="shared" si="549"/>
        <v>160</v>
      </c>
      <c r="R173" s="1">
        <f t="shared" ref="R173" si="691">HLOOKUP(Q173,E170:P176,7)</f>
        <v>207681666.88410711</v>
      </c>
    </row>
    <row r="174" spans="2:18" x14ac:dyDescent="0.25">
      <c r="B174" s="16"/>
      <c r="C174" t="s">
        <v>55</v>
      </c>
      <c r="D174">
        <f t="shared" ref="D174" si="692">D173*12</f>
        <v>12</v>
      </c>
      <c r="E174">
        <f>1</f>
        <v>1</v>
      </c>
      <c r="F174">
        <f>1</f>
        <v>1</v>
      </c>
      <c r="G174">
        <f>1</f>
        <v>1</v>
      </c>
      <c r="H174">
        <f>1</f>
        <v>1</v>
      </c>
      <c r="I174">
        <f>1</f>
        <v>1</v>
      </c>
      <c r="J174">
        <f>1</f>
        <v>1</v>
      </c>
      <c r="K174">
        <f>1</f>
        <v>1</v>
      </c>
      <c r="L174">
        <f>1</f>
        <v>1</v>
      </c>
      <c r="M174">
        <f>1</f>
        <v>1</v>
      </c>
      <c r="N174">
        <f>1</f>
        <v>1</v>
      </c>
      <c r="O174">
        <f>1</f>
        <v>1</v>
      </c>
      <c r="P174">
        <f>1</f>
        <v>1</v>
      </c>
      <c r="Q174">
        <f t="shared" si="549"/>
        <v>161</v>
      </c>
      <c r="R174" s="1">
        <f t="shared" ref="R174" si="693">HLOOKUP(Q174,E170:P176,7)</f>
        <v>209627403.76559189</v>
      </c>
    </row>
    <row r="175" spans="2:18" x14ac:dyDescent="0.25">
      <c r="B175" s="16"/>
      <c r="C175" t="s">
        <v>57</v>
      </c>
      <c r="D175" s="10">
        <f t="shared" ref="D175" si="694">D163*(1+$D$2)</f>
        <v>1228.9262989311071</v>
      </c>
      <c r="E175" s="1">
        <f t="shared" ref="E175:F175" si="695">IF(E171&lt;6.5,$D176*1000,IF($D177=0,0,$D176*1000))</f>
        <v>0</v>
      </c>
      <c r="F175" s="1">
        <f t="shared" si="695"/>
        <v>0</v>
      </c>
      <c r="G175" s="1">
        <f t="shared" ref="G175" si="696">IF(G171&lt;6.5,$D176*1000,IF($D177=0,0,$D176*1000))</f>
        <v>0</v>
      </c>
      <c r="H175" s="1">
        <f t="shared" ref="H175" si="697">IF(H171&lt;6.5,$D176*1000,IF($D177=0,0,$D176*1000))</f>
        <v>0</v>
      </c>
      <c r="I175" s="1">
        <f t="shared" ref="I175" si="698">IF(I171&lt;6.5,$D176*1000,IF($D177=0,0,$D176*1000))</f>
        <v>0</v>
      </c>
      <c r="J175" s="1">
        <f t="shared" ref="J175:K175" si="699">IF(J171&lt;6.5,$D176*1000,IF($D178=0,0,$D176*1000))</f>
        <v>0</v>
      </c>
      <c r="K175" s="1">
        <f t="shared" si="699"/>
        <v>0</v>
      </c>
      <c r="L175" s="1">
        <f t="shared" ref="L175" si="700">IF(L171&lt;6.5,$D176*1000,IF($D178=0,0,$D176*1000))</f>
        <v>0</v>
      </c>
      <c r="M175" s="1">
        <f t="shared" ref="M175" si="701">IF(M171&lt;6.5,$D176*1000,IF($D178=0,0,$D176*1000))</f>
        <v>0</v>
      </c>
      <c r="N175" s="1">
        <f t="shared" ref="N175" si="702">IF(N171&lt;6.5,$D176*1000,IF($D178=0,0,$D176*1000))</f>
        <v>0</v>
      </c>
      <c r="O175" s="1">
        <f t="shared" ref="O175" si="703">IF(O171&lt;6.5,$D176*1000,IF($D178=0,0,$D176*1000))</f>
        <v>0</v>
      </c>
      <c r="P175" s="1">
        <f t="shared" ref="P175" si="704">IF(P171&lt;6.5,$D176*1000,IF($D178=0,0,$D176*1000))</f>
        <v>0</v>
      </c>
      <c r="Q175">
        <f t="shared" si="549"/>
        <v>162</v>
      </c>
      <c r="R175" s="1">
        <f t="shared" ref="R175" si="705">HLOOKUP(Q175,E170:P176,7)</f>
        <v>211582427.07038668</v>
      </c>
    </row>
    <row r="176" spans="2:18" x14ac:dyDescent="0.25">
      <c r="B176" s="16"/>
      <c r="C176" t="s">
        <v>56</v>
      </c>
      <c r="D176" s="10">
        <f t="shared" ref="D176" si="706">ROUND(D175,-1)</f>
        <v>1230</v>
      </c>
      <c r="E176" s="1">
        <f t="shared" ref="E176" si="707">-FV($E$17,$E$18,$E$19,D168-E177,1)</f>
        <v>201899734.71807501</v>
      </c>
      <c r="F176" s="1">
        <f t="shared" ref="F176:I176" si="708">-FV($E$17,$E$18,$E$19,E176,1)</f>
        <v>203817876.15736282</v>
      </c>
      <c r="G176" s="1">
        <f t="shared" si="708"/>
        <v>205745172.31512421</v>
      </c>
      <c r="H176" s="1">
        <f t="shared" si="708"/>
        <v>207681666.88410711</v>
      </c>
      <c r="I176" s="1">
        <f t="shared" si="708"/>
        <v>209627403.76559189</v>
      </c>
      <c r="J176" s="1">
        <f t="shared" ref="J176" si="709">-FV($E$17,$E$18,$E$19,I176-J177-J178,1)</f>
        <v>211582427.07038668</v>
      </c>
      <c r="K176" s="1">
        <f t="shared" ref="K176" si="710">-FV($E$17,$E$18,$E$19,J176,1)</f>
        <v>213546781.11982739</v>
      </c>
      <c r="L176" s="1">
        <f t="shared" ref="L176" si="711">-FV($E$17,$E$18,$E$19,K176,1)</f>
        <v>215520510.44678247</v>
      </c>
      <c r="M176" s="1">
        <f t="shared" ref="M176" si="712">-FV($E$17,$E$18,$E$19,L176,1)</f>
        <v>217503659.79666248</v>
      </c>
      <c r="N176" s="1">
        <f t="shared" ref="N176" si="713">-FV($E$17,$E$18,$E$19,M176,1)</f>
        <v>219496274.12843457</v>
      </c>
      <c r="O176" s="1">
        <f t="shared" ref="O176" si="714">-FV($E$17,$E$18,$E$19,N176,1)</f>
        <v>221498398.61564159</v>
      </c>
      <c r="P176" s="1">
        <f t="shared" ref="P176" si="715">-FV($E$17,$E$18,$E$19,O176,1)</f>
        <v>223510078.64742634</v>
      </c>
      <c r="Q176">
        <f t="shared" si="549"/>
        <v>163</v>
      </c>
      <c r="R176" s="1">
        <f t="shared" ref="R176" si="716">HLOOKUP(Q176,E170:P176,7)</f>
        <v>213546781.11982739</v>
      </c>
    </row>
    <row r="177" spans="2:18" x14ac:dyDescent="0.25">
      <c r="B177" s="16"/>
      <c r="C177" t="s">
        <v>71</v>
      </c>
      <c r="D177">
        <f t="shared" ref="D177" si="717">$E177</f>
        <v>0</v>
      </c>
      <c r="E177" s="1">
        <f t="shared" ref="E177" si="718">ROUNDUP(IF(E171&gt;=$E$13,$D$13,IF(E171&gt;=$E$12,$D$12,IF(E171&gt;=$E$10,$D$10,IF(E171&gt;=$E$8,$D$8,IF(E171&gt;=$E$6,$D$6,IF(E171&gt;=$E$4,$D$4,0))))))*1000*(1+$D$2)^$B170,-3)</f>
        <v>0</v>
      </c>
      <c r="J177" s="1">
        <f t="shared" ref="J177" si="719">ROUNDUP(IF(J171&gt;=$E$13,$D$13,IF(J171&gt;=$E$12,$D$12,IF(J171&gt;=$E$10,$D$10,IF(J171&gt;=$E$8,$D$8,IF(J171&gt;=$E$6,$D$6,IF(J171&gt;=$E$4,$D$4,0))))))*1000*(1+$D$2)^$B170,-3)</f>
        <v>0</v>
      </c>
      <c r="Q177">
        <f t="shared" si="549"/>
        <v>164</v>
      </c>
      <c r="R177" s="1">
        <f t="shared" ref="R177" si="720">HLOOKUP(Q177,E170:P176,7)</f>
        <v>215520510.44678247</v>
      </c>
    </row>
    <row r="178" spans="2:18" x14ac:dyDescent="0.25">
      <c r="B178" s="16"/>
      <c r="C178" t="s">
        <v>72</v>
      </c>
      <c r="D178">
        <f t="shared" ref="D178" si="721">$J177</f>
        <v>0</v>
      </c>
      <c r="J178" s="1">
        <f t="shared" ref="J178" si="722">ROUND(IF(J171=$E$4,$D$5,IF(J171=$E$6,$D$7,IF(J171=$E$8,$D$9,IF(J171=$E$10,$D$11,0))))*1000*(1+$D$2)^$B170,-4)</f>
        <v>0</v>
      </c>
      <c r="Q178">
        <f t="shared" si="549"/>
        <v>165</v>
      </c>
      <c r="R178" s="1">
        <f t="shared" ref="R178" si="723">HLOOKUP(Q178,E170:P176,7)</f>
        <v>217503659.79666248</v>
      </c>
    </row>
    <row r="179" spans="2:18" x14ac:dyDescent="0.25">
      <c r="B179" s="16"/>
      <c r="C179" t="s">
        <v>58</v>
      </c>
      <c r="D179">
        <f t="shared" ref="D179" si="724">D177+D178</f>
        <v>0</v>
      </c>
      <c r="Q179">
        <f t="shared" si="549"/>
        <v>166</v>
      </c>
      <c r="R179" s="1">
        <f t="shared" ref="R179" si="725">HLOOKUP(Q179,E170:P176,7)</f>
        <v>219496274.12843457</v>
      </c>
    </row>
    <row r="180" spans="2:18" x14ac:dyDescent="0.25">
      <c r="B180" s="16"/>
      <c r="C180" t="s">
        <v>42</v>
      </c>
      <c r="D180" s="4">
        <f t="shared" ref="D180" si="726">P176*(1-D172)</f>
        <v>220716202.66433352</v>
      </c>
      <c r="Q180">
        <f t="shared" si="549"/>
        <v>167</v>
      </c>
      <c r="R180" s="1">
        <f t="shared" ref="R180" si="727">HLOOKUP(Q180,E170:P176,7)</f>
        <v>221498398.61564159</v>
      </c>
    </row>
    <row r="181" spans="2:18" x14ac:dyDescent="0.25">
      <c r="B181" s="16"/>
      <c r="Q181">
        <f t="shared" si="549"/>
        <v>168</v>
      </c>
      <c r="R181" s="1">
        <f t="shared" ref="R181" si="728">HLOOKUP(Q181,E170:P176,7)</f>
        <v>223510078.64742634</v>
      </c>
    </row>
    <row r="182" spans="2:18" x14ac:dyDescent="0.25">
      <c r="B182" s="16">
        <f t="shared" ref="B182" si="729">B170+1</f>
        <v>14</v>
      </c>
      <c r="C182" t="s">
        <v>40</v>
      </c>
      <c r="D182" s="2">
        <f t="shared" ref="D182" si="730">5.88%</f>
        <v>5.8799999999999998E-2</v>
      </c>
      <c r="E182">
        <f t="shared" ref="E182" si="731">($B182*12)+1</f>
        <v>169</v>
      </c>
      <c r="F182">
        <f t="shared" ref="F182" si="732">E182+1</f>
        <v>170</v>
      </c>
      <c r="G182">
        <f t="shared" ref="G182" si="733">F182+1</f>
        <v>171</v>
      </c>
      <c r="H182">
        <f t="shared" ref="H182" si="734">G182+1</f>
        <v>172</v>
      </c>
      <c r="I182">
        <f t="shared" ref="I182" si="735">H182+1</f>
        <v>173</v>
      </c>
      <c r="J182">
        <f t="shared" ref="J182" si="736">I182+1</f>
        <v>174</v>
      </c>
      <c r="K182">
        <f t="shared" ref="K182" si="737">J182+1</f>
        <v>175</v>
      </c>
      <c r="L182">
        <f t="shared" ref="L182" si="738">K182+1</f>
        <v>176</v>
      </c>
      <c r="M182">
        <f t="shared" ref="M182" si="739">L182+1</f>
        <v>177</v>
      </c>
      <c r="N182">
        <f t="shared" ref="N182" si="740">M182+1</f>
        <v>178</v>
      </c>
      <c r="O182">
        <f t="shared" ref="O182" si="741">N182+1</f>
        <v>179</v>
      </c>
      <c r="P182">
        <f t="shared" ref="P182" si="742">O182+1</f>
        <v>180</v>
      </c>
      <c r="Q182">
        <f t="shared" si="549"/>
        <v>169</v>
      </c>
      <c r="R182" s="1">
        <f t="shared" ref="R182" si="743">HLOOKUP(Q182,E182:P188,7)</f>
        <v>222724149.50753334</v>
      </c>
    </row>
    <row r="183" spans="2:18" x14ac:dyDescent="0.25">
      <c r="B183" s="16"/>
      <c r="C183" t="s">
        <v>41</v>
      </c>
      <c r="D183" s="3">
        <f t="shared" ref="D183" si="744">(1+D182)^(1/12)-1</f>
        <v>4.7727025161425907E-3</v>
      </c>
      <c r="E183">
        <f t="shared" ref="E183:P183" si="745">E182/12</f>
        <v>14.083333333333334</v>
      </c>
      <c r="F183">
        <f t="shared" si="745"/>
        <v>14.166666666666666</v>
      </c>
      <c r="G183">
        <f t="shared" si="745"/>
        <v>14.25</v>
      </c>
      <c r="H183">
        <f t="shared" si="745"/>
        <v>14.333333333333334</v>
      </c>
      <c r="I183">
        <f t="shared" si="745"/>
        <v>14.416666666666666</v>
      </c>
      <c r="J183">
        <f t="shared" si="745"/>
        <v>14.5</v>
      </c>
      <c r="K183">
        <f t="shared" si="745"/>
        <v>14.583333333333334</v>
      </c>
      <c r="L183">
        <f t="shared" si="745"/>
        <v>14.666666666666666</v>
      </c>
      <c r="M183">
        <f t="shared" si="745"/>
        <v>14.75</v>
      </c>
      <c r="N183">
        <f t="shared" si="745"/>
        <v>14.833333333333334</v>
      </c>
      <c r="O183">
        <f t="shared" si="745"/>
        <v>14.916666666666666</v>
      </c>
      <c r="P183">
        <f t="shared" si="745"/>
        <v>15</v>
      </c>
      <c r="Q183">
        <f t="shared" si="549"/>
        <v>170</v>
      </c>
      <c r="R183" s="1">
        <f t="shared" ref="R183" si="746">HLOOKUP(Q183,E182:P188,7)</f>
        <v>224741679.68368399</v>
      </c>
    </row>
    <row r="184" spans="2:18" x14ac:dyDescent="0.25">
      <c r="B184" s="16"/>
      <c r="C184" t="s">
        <v>53</v>
      </c>
      <c r="D184" s="2">
        <f t="shared" ref="D184" si="747">1.25%</f>
        <v>1.2500000000000001E-2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  <c r="J184" t="s">
        <v>64</v>
      </c>
      <c r="K184" t="s">
        <v>65</v>
      </c>
      <c r="L184" t="s">
        <v>66</v>
      </c>
      <c r="M184" t="s">
        <v>67</v>
      </c>
      <c r="N184" t="s">
        <v>68</v>
      </c>
      <c r="O184" t="s">
        <v>69</v>
      </c>
      <c r="P184" t="s">
        <v>70</v>
      </c>
      <c r="Q184">
        <f t="shared" si="549"/>
        <v>171</v>
      </c>
      <c r="R184" s="1">
        <f t="shared" ref="R184" si="748">HLOOKUP(Q184,E182:P188,7)</f>
        <v>226768838.93118274</v>
      </c>
    </row>
    <row r="185" spans="2:18" x14ac:dyDescent="0.25">
      <c r="B185" s="16"/>
      <c r="C185" t="s">
        <v>54</v>
      </c>
      <c r="D185">
        <f>1</f>
        <v>1</v>
      </c>
      <c r="E185" s="2">
        <f t="shared" ref="E185:P185" si="749">$D171</f>
        <v>4.7727025161425907E-3</v>
      </c>
      <c r="F185" s="2">
        <f t="shared" si="749"/>
        <v>4.7727025161425907E-3</v>
      </c>
      <c r="G185" s="2">
        <f t="shared" si="749"/>
        <v>4.7727025161425907E-3</v>
      </c>
      <c r="H185" s="2">
        <f t="shared" si="749"/>
        <v>4.7727025161425907E-3</v>
      </c>
      <c r="I185" s="2">
        <f t="shared" si="749"/>
        <v>4.7727025161425907E-3</v>
      </c>
      <c r="J185" s="2">
        <f t="shared" si="749"/>
        <v>4.7727025161425907E-3</v>
      </c>
      <c r="K185" s="2">
        <f t="shared" si="749"/>
        <v>4.7727025161425907E-3</v>
      </c>
      <c r="L185" s="2">
        <f t="shared" si="749"/>
        <v>4.7727025161425907E-3</v>
      </c>
      <c r="M185" s="2">
        <f t="shared" si="749"/>
        <v>4.7727025161425907E-3</v>
      </c>
      <c r="N185" s="2">
        <f t="shared" si="749"/>
        <v>4.7727025161425907E-3</v>
      </c>
      <c r="O185" s="2">
        <f t="shared" si="749"/>
        <v>4.7727025161425907E-3</v>
      </c>
      <c r="P185" s="2">
        <f t="shared" si="749"/>
        <v>4.7727025161425907E-3</v>
      </c>
      <c r="Q185">
        <f t="shared" si="549"/>
        <v>172</v>
      </c>
      <c r="R185" s="1">
        <f t="shared" ref="R185" si="750">HLOOKUP(Q185,E182:P188,7)</f>
        <v>228805673.20672265</v>
      </c>
    </row>
    <row r="186" spans="2:18" x14ac:dyDescent="0.25">
      <c r="B186" s="16"/>
      <c r="C186" t="s">
        <v>55</v>
      </c>
      <c r="D186">
        <f t="shared" ref="D186" si="751">D185*12</f>
        <v>12</v>
      </c>
      <c r="E186">
        <f>1</f>
        <v>1</v>
      </c>
      <c r="F186">
        <f>1</f>
        <v>1</v>
      </c>
      <c r="G186">
        <f>1</f>
        <v>1</v>
      </c>
      <c r="H186">
        <f>1</f>
        <v>1</v>
      </c>
      <c r="I186">
        <f>1</f>
        <v>1</v>
      </c>
      <c r="J186">
        <f>1</f>
        <v>1</v>
      </c>
      <c r="K186">
        <f>1</f>
        <v>1</v>
      </c>
      <c r="L186">
        <f>1</f>
        <v>1</v>
      </c>
      <c r="M186">
        <f>1</f>
        <v>1</v>
      </c>
      <c r="N186">
        <f>1</f>
        <v>1</v>
      </c>
      <c r="O186">
        <f>1</f>
        <v>1</v>
      </c>
      <c r="P186">
        <f>1</f>
        <v>1</v>
      </c>
      <c r="Q186">
        <f t="shared" si="549"/>
        <v>173</v>
      </c>
      <c r="R186" s="1">
        <f t="shared" ref="R186" si="752">HLOOKUP(Q186,E182:P188,7)</f>
        <v>230852228.6863344</v>
      </c>
    </row>
    <row r="187" spans="2:18" x14ac:dyDescent="0.25">
      <c r="B187" s="16"/>
      <c r="C187" t="s">
        <v>57</v>
      </c>
      <c r="D187" s="10">
        <f t="shared" ref="D187" si="753">D175*(1+$D$2)</f>
        <v>1253.5048249097292</v>
      </c>
      <c r="E187" s="1">
        <f t="shared" ref="E187:F187" si="754">IF(E183&lt;6.5,$D188*1000,IF($D189=0,0,$D188*1000))</f>
        <v>0</v>
      </c>
      <c r="F187" s="1">
        <f t="shared" si="754"/>
        <v>0</v>
      </c>
      <c r="G187" s="1">
        <f t="shared" ref="G187" si="755">IF(G183&lt;6.5,$D188*1000,IF($D189=0,0,$D188*1000))</f>
        <v>0</v>
      </c>
      <c r="H187" s="1">
        <f t="shared" ref="H187" si="756">IF(H183&lt;6.5,$D188*1000,IF($D189=0,0,$D188*1000))</f>
        <v>0</v>
      </c>
      <c r="I187" s="1">
        <f t="shared" ref="I187" si="757">IF(I183&lt;6.5,$D188*1000,IF($D189=0,0,$D188*1000))</f>
        <v>0</v>
      </c>
      <c r="J187" s="1">
        <f t="shared" ref="J187:K187" si="758">IF(J183&lt;6.5,$D188*1000,IF($D190=0,0,$D188*1000))</f>
        <v>0</v>
      </c>
      <c r="K187" s="1">
        <f t="shared" si="758"/>
        <v>0</v>
      </c>
      <c r="L187" s="1">
        <f t="shared" ref="L187" si="759">IF(L183&lt;6.5,$D188*1000,IF($D190=0,0,$D188*1000))</f>
        <v>0</v>
      </c>
      <c r="M187" s="1">
        <f t="shared" ref="M187" si="760">IF(M183&lt;6.5,$D188*1000,IF($D190=0,0,$D188*1000))</f>
        <v>0</v>
      </c>
      <c r="N187" s="1">
        <f t="shared" ref="N187" si="761">IF(N183&lt;6.5,$D188*1000,IF($D190=0,0,$D188*1000))</f>
        <v>0</v>
      </c>
      <c r="O187" s="1">
        <f t="shared" ref="O187" si="762">IF(O183&lt;6.5,$D188*1000,IF($D190=0,0,$D188*1000))</f>
        <v>0</v>
      </c>
      <c r="P187" s="1">
        <f t="shared" ref="P187" si="763">IF(P183&lt;6.5,$D188*1000,IF($D190=0,0,$D188*1000))</f>
        <v>0</v>
      </c>
      <c r="Q187">
        <f t="shared" si="549"/>
        <v>174</v>
      </c>
      <c r="R187" s="1">
        <f t="shared" ref="R187" si="764">HLOOKUP(Q187,E182:P188,7)</f>
        <v>232908551.76643312</v>
      </c>
    </row>
    <row r="188" spans="2:18" x14ac:dyDescent="0.25">
      <c r="B188" s="16"/>
      <c r="C188" t="s">
        <v>56</v>
      </c>
      <c r="D188" s="10">
        <f t="shared" ref="D188" si="765">ROUND(D187,-1)</f>
        <v>1250</v>
      </c>
      <c r="E188" s="1">
        <f t="shared" ref="E188" si="766">-FV($E$17,$E$18,$E$19,D180-E189,1)</f>
        <v>222724149.50753334</v>
      </c>
      <c r="F188" s="1">
        <f t="shared" ref="F188:I188" si="767">-FV($E$17,$E$18,$E$19,E188,1)</f>
        <v>224741679.68368399</v>
      </c>
      <c r="G188" s="1">
        <f t="shared" si="767"/>
        <v>226768838.93118274</v>
      </c>
      <c r="H188" s="1">
        <f t="shared" si="767"/>
        <v>228805673.20672265</v>
      </c>
      <c r="I188" s="1">
        <f t="shared" si="767"/>
        <v>230852228.6863344</v>
      </c>
      <c r="J188" s="1">
        <f t="shared" ref="J188" si="768">-FV($E$17,$E$18,$E$19,I188-J189-J190,1)</f>
        <v>232908551.76643312</v>
      </c>
      <c r="K188" s="1">
        <f t="shared" ref="K188" si="769">-FV($E$17,$E$18,$E$19,J188,1)</f>
        <v>234974689.06487024</v>
      </c>
      <c r="L188" s="1">
        <f t="shared" ref="L188" si="770">-FV($E$17,$E$18,$E$19,K188,1)</f>
        <v>237050687.42199028</v>
      </c>
      <c r="M188" s="1">
        <f t="shared" ref="M188" si="771">-FV($E$17,$E$18,$E$19,L188,1)</f>
        <v>239136593.90169287</v>
      </c>
      <c r="N188" s="1">
        <f t="shared" ref="N188" si="772">-FV($E$17,$E$18,$E$19,M188,1)</f>
        <v>241232455.79249957</v>
      </c>
      <c r="O188" s="1">
        <f t="shared" ref="O188" si="773">-FV($E$17,$E$18,$E$19,N188,1)</f>
        <v>243338320.60862601</v>
      </c>
      <c r="P188" s="1">
        <f t="shared" ref="P188" si="774">-FV($E$17,$E$18,$E$19,O188,1)</f>
        <v>245454236.09105903</v>
      </c>
      <c r="Q188">
        <f t="shared" si="549"/>
        <v>175</v>
      </c>
      <c r="R188" s="1">
        <f t="shared" ref="R188" si="775">HLOOKUP(Q188,E182:P188,7)</f>
        <v>234974689.06487024</v>
      </c>
    </row>
    <row r="189" spans="2:18" x14ac:dyDescent="0.25">
      <c r="B189" s="16"/>
      <c r="C189" t="s">
        <v>71</v>
      </c>
      <c r="D189">
        <f t="shared" ref="D189" si="776">$E189</f>
        <v>0</v>
      </c>
      <c r="E189" s="1">
        <f t="shared" ref="E189" si="777">ROUNDUP(IF(E183&gt;=$E$13,$D$13,IF(E183&gt;=$E$12,$D$12,IF(E183&gt;=$E$10,$D$10,IF(E183&gt;=$E$8,$D$8,IF(E183&gt;=$E$6,$D$6,IF(E183&gt;=$E$4,$D$4,0))))))*1000*(1+$D$2)^$B182,-3)</f>
        <v>0</v>
      </c>
      <c r="J189" s="1">
        <f t="shared" ref="J189" si="778">ROUNDUP(IF(J183&gt;=$E$13,$D$13,IF(J183&gt;=$E$12,$D$12,IF(J183&gt;=$E$10,$D$10,IF(J183&gt;=$E$8,$D$8,IF(J183&gt;=$E$6,$D$6,IF(J183&gt;=$E$4,$D$4,0))))))*1000*(1+$D$2)^$B182,-3)</f>
        <v>0</v>
      </c>
      <c r="Q189">
        <f t="shared" si="549"/>
        <v>176</v>
      </c>
      <c r="R189" s="1">
        <f t="shared" ref="R189" si="779">HLOOKUP(Q189,E182:P188,7)</f>
        <v>237050687.42199028</v>
      </c>
    </row>
    <row r="190" spans="2:18" x14ac:dyDescent="0.25">
      <c r="B190" s="16"/>
      <c r="C190" t="s">
        <v>72</v>
      </c>
      <c r="D190">
        <f t="shared" ref="D190" si="780">$J189</f>
        <v>0</v>
      </c>
      <c r="J190" s="1">
        <f t="shared" ref="J190" si="781">ROUND(IF(J183=$E$4,$D$5,IF(J183=$E$6,$D$7,IF(J183=$E$8,$D$9,IF(J183=$E$10,$D$11,0))))*1000*(1+$D$2)^$B182,-4)</f>
        <v>0</v>
      </c>
      <c r="Q190">
        <f t="shared" si="549"/>
        <v>177</v>
      </c>
      <c r="R190" s="1">
        <f t="shared" ref="R190" si="782">HLOOKUP(Q190,E182:P188,7)</f>
        <v>239136593.90169287</v>
      </c>
    </row>
    <row r="191" spans="2:18" x14ac:dyDescent="0.25">
      <c r="B191" s="16"/>
      <c r="C191" t="s">
        <v>58</v>
      </c>
      <c r="D191">
        <f t="shared" ref="D191" si="783">D189+D190</f>
        <v>0</v>
      </c>
      <c r="Q191">
        <f t="shared" si="549"/>
        <v>178</v>
      </c>
      <c r="R191" s="1">
        <f t="shared" ref="R191" si="784">HLOOKUP(Q191,E182:P188,7)</f>
        <v>241232455.79249957</v>
      </c>
    </row>
    <row r="192" spans="2:18" x14ac:dyDescent="0.25">
      <c r="B192" s="16"/>
      <c r="C192" t="s">
        <v>42</v>
      </c>
      <c r="D192" s="4">
        <f t="shared" ref="D192" si="785">P188*(1-D184)</f>
        <v>242386058.1399208</v>
      </c>
      <c r="Q192">
        <f t="shared" si="549"/>
        <v>179</v>
      </c>
      <c r="R192" s="1">
        <f t="shared" ref="R192" si="786">HLOOKUP(Q192,E182:P188,7)</f>
        <v>243338320.60862601</v>
      </c>
    </row>
    <row r="193" spans="2:18" x14ac:dyDescent="0.25">
      <c r="B193" s="16"/>
      <c r="Q193">
        <f t="shared" si="549"/>
        <v>180</v>
      </c>
      <c r="R193" s="1">
        <f t="shared" ref="R193" si="787">HLOOKUP(Q193,E182:P188,7)</f>
        <v>245454236.09105903</v>
      </c>
    </row>
    <row r="194" spans="2:18" x14ac:dyDescent="0.25">
      <c r="B194" s="16">
        <f t="shared" ref="B194" si="788">B182+1</f>
        <v>15</v>
      </c>
      <c r="C194" t="s">
        <v>40</v>
      </c>
      <c r="D194" s="2">
        <f t="shared" ref="D194" si="789">5.88%</f>
        <v>5.8799999999999998E-2</v>
      </c>
      <c r="E194">
        <f t="shared" ref="E194" si="790">($B194*12)+1</f>
        <v>181</v>
      </c>
      <c r="F194">
        <f t="shared" ref="F194" si="791">E194+1</f>
        <v>182</v>
      </c>
      <c r="G194">
        <f t="shared" ref="G194" si="792">F194+1</f>
        <v>183</v>
      </c>
      <c r="H194">
        <f t="shared" ref="H194" si="793">G194+1</f>
        <v>184</v>
      </c>
      <c r="I194">
        <f t="shared" ref="I194" si="794">H194+1</f>
        <v>185</v>
      </c>
      <c r="J194">
        <f t="shared" ref="J194" si="795">I194+1</f>
        <v>186</v>
      </c>
      <c r="K194">
        <f t="shared" ref="K194" si="796">J194+1</f>
        <v>187</v>
      </c>
      <c r="L194">
        <f t="shared" ref="L194" si="797">K194+1</f>
        <v>188</v>
      </c>
      <c r="M194">
        <f t="shared" ref="M194" si="798">L194+1</f>
        <v>189</v>
      </c>
      <c r="N194">
        <f t="shared" ref="N194" si="799">M194+1</f>
        <v>190</v>
      </c>
      <c r="O194">
        <f t="shared" ref="O194" si="800">N194+1</f>
        <v>191</v>
      </c>
      <c r="P194">
        <f t="shared" ref="P194" si="801">O194+1</f>
        <v>192</v>
      </c>
      <c r="Q194">
        <f t="shared" si="549"/>
        <v>181</v>
      </c>
      <c r="R194" s="1">
        <f t="shared" ref="R194" si="802">HLOOKUP(Q194,E194:P200,7)</f>
        <v>244497428.7568734</v>
      </c>
    </row>
    <row r="195" spans="2:18" x14ac:dyDescent="0.25">
      <c r="B195" s="16"/>
      <c r="C195" t="s">
        <v>41</v>
      </c>
      <c r="D195" s="3">
        <f t="shared" ref="D195" si="803">(1+D194)^(1/12)-1</f>
        <v>4.7727025161425907E-3</v>
      </c>
      <c r="E195">
        <f t="shared" ref="E195:P195" si="804">E194/12</f>
        <v>15.083333333333334</v>
      </c>
      <c r="F195">
        <f t="shared" si="804"/>
        <v>15.166666666666666</v>
      </c>
      <c r="G195">
        <f t="shared" si="804"/>
        <v>15.25</v>
      </c>
      <c r="H195">
        <f t="shared" si="804"/>
        <v>15.333333333333334</v>
      </c>
      <c r="I195">
        <f t="shared" si="804"/>
        <v>15.416666666666666</v>
      </c>
      <c r="J195">
        <f t="shared" si="804"/>
        <v>15.5</v>
      </c>
      <c r="K195">
        <f t="shared" si="804"/>
        <v>15.583333333333334</v>
      </c>
      <c r="L195">
        <f t="shared" si="804"/>
        <v>15.666666666666666</v>
      </c>
      <c r="M195">
        <f t="shared" si="804"/>
        <v>15.75</v>
      </c>
      <c r="N195">
        <f t="shared" si="804"/>
        <v>15.833333333333334</v>
      </c>
      <c r="O195">
        <f t="shared" si="804"/>
        <v>15.916666666666666</v>
      </c>
      <c r="P195">
        <f t="shared" si="804"/>
        <v>16</v>
      </c>
      <c r="Q195">
        <f t="shared" si="549"/>
        <v>182</v>
      </c>
      <c r="R195" s="1">
        <f t="shared" ref="R195" si="805">HLOOKUP(Q195,E194:P200,7)</f>
        <v>246618876.31768206</v>
      </c>
    </row>
    <row r="196" spans="2:18" x14ac:dyDescent="0.25">
      <c r="B196" s="16"/>
      <c r="C196" t="s">
        <v>53</v>
      </c>
      <c r="D196" s="2">
        <f t="shared" ref="D196" si="806">1.25%</f>
        <v>1.2500000000000001E-2</v>
      </c>
      <c r="E196" t="s">
        <v>59</v>
      </c>
      <c r="F196" t="s">
        <v>60</v>
      </c>
      <c r="G196" t="s">
        <v>61</v>
      </c>
      <c r="H196" t="s">
        <v>62</v>
      </c>
      <c r="I196" t="s">
        <v>63</v>
      </c>
      <c r="J196" t="s">
        <v>64</v>
      </c>
      <c r="K196" t="s">
        <v>65</v>
      </c>
      <c r="L196" t="s">
        <v>66</v>
      </c>
      <c r="M196" t="s">
        <v>67</v>
      </c>
      <c r="N196" t="s">
        <v>68</v>
      </c>
      <c r="O196" t="s">
        <v>69</v>
      </c>
      <c r="P196" t="s">
        <v>70</v>
      </c>
      <c r="Q196">
        <f t="shared" si="549"/>
        <v>183</v>
      </c>
      <c r="R196" s="1">
        <f t="shared" ref="R196" si="807">HLOOKUP(Q196,E194:P200,7)</f>
        <v>248750448.91660205</v>
      </c>
    </row>
    <row r="197" spans="2:18" x14ac:dyDescent="0.25">
      <c r="B197" s="16"/>
      <c r="C197" t="s">
        <v>54</v>
      </c>
      <c r="D197">
        <f>1</f>
        <v>1</v>
      </c>
      <c r="E197" s="2">
        <f t="shared" ref="E197:P197" si="808">$D183</f>
        <v>4.7727025161425907E-3</v>
      </c>
      <c r="F197" s="2">
        <f t="shared" si="808"/>
        <v>4.7727025161425907E-3</v>
      </c>
      <c r="G197" s="2">
        <f t="shared" si="808"/>
        <v>4.7727025161425907E-3</v>
      </c>
      <c r="H197" s="2">
        <f t="shared" si="808"/>
        <v>4.7727025161425907E-3</v>
      </c>
      <c r="I197" s="2">
        <f t="shared" si="808"/>
        <v>4.7727025161425907E-3</v>
      </c>
      <c r="J197" s="2">
        <f t="shared" si="808"/>
        <v>4.7727025161425907E-3</v>
      </c>
      <c r="K197" s="2">
        <f t="shared" si="808"/>
        <v>4.7727025161425907E-3</v>
      </c>
      <c r="L197" s="2">
        <f t="shared" si="808"/>
        <v>4.7727025161425907E-3</v>
      </c>
      <c r="M197" s="2">
        <f t="shared" si="808"/>
        <v>4.7727025161425907E-3</v>
      </c>
      <c r="N197" s="2">
        <f t="shared" si="808"/>
        <v>4.7727025161425907E-3</v>
      </c>
      <c r="O197" s="2">
        <f t="shared" si="808"/>
        <v>4.7727025161425907E-3</v>
      </c>
      <c r="P197" s="2">
        <f t="shared" si="808"/>
        <v>4.7727025161425907E-3</v>
      </c>
      <c r="Q197">
        <f t="shared" si="549"/>
        <v>184</v>
      </c>
      <c r="R197" s="1">
        <f t="shared" ref="R197" si="809">HLOOKUP(Q197,E194:P200,7)</f>
        <v>250892194.87742823</v>
      </c>
    </row>
    <row r="198" spans="2:18" x14ac:dyDescent="0.25">
      <c r="B198" s="16"/>
      <c r="C198" t="s">
        <v>55</v>
      </c>
      <c r="D198">
        <f t="shared" ref="D198" si="810">D197*12</f>
        <v>12</v>
      </c>
      <c r="E198">
        <f>1</f>
        <v>1</v>
      </c>
      <c r="F198">
        <f>1</f>
        <v>1</v>
      </c>
      <c r="G198">
        <f>1</f>
        <v>1</v>
      </c>
      <c r="H198">
        <f>1</f>
        <v>1</v>
      </c>
      <c r="I198">
        <f>1</f>
        <v>1</v>
      </c>
      <c r="J198">
        <f>1</f>
        <v>1</v>
      </c>
      <c r="K198">
        <f>1</f>
        <v>1</v>
      </c>
      <c r="L198">
        <f>1</f>
        <v>1</v>
      </c>
      <c r="M198">
        <f>1</f>
        <v>1</v>
      </c>
      <c r="N198">
        <f>1</f>
        <v>1</v>
      </c>
      <c r="O198">
        <f>1</f>
        <v>1</v>
      </c>
      <c r="P198">
        <f>1</f>
        <v>1</v>
      </c>
      <c r="Q198">
        <f t="shared" si="549"/>
        <v>185</v>
      </c>
      <c r="R198" s="1">
        <f t="shared" ref="R198" si="811">HLOOKUP(Q198,E194:P200,7)</f>
        <v>253044162.7545906</v>
      </c>
    </row>
    <row r="199" spans="2:18" x14ac:dyDescent="0.25">
      <c r="B199" s="16"/>
      <c r="C199" t="s">
        <v>57</v>
      </c>
      <c r="D199" s="10">
        <f t="shared" ref="D199" si="812">D187*(1+$D$2)</f>
        <v>1278.5749214079237</v>
      </c>
      <c r="E199" s="1">
        <f t="shared" ref="E199:F199" si="813">IF(E195&lt;6.5,$D200*1000,IF($D201=0,0,$D200*1000))</f>
        <v>0</v>
      </c>
      <c r="F199" s="1">
        <f t="shared" si="813"/>
        <v>0</v>
      </c>
      <c r="G199" s="1">
        <f t="shared" ref="G199" si="814">IF(G195&lt;6.5,$D200*1000,IF($D201=0,0,$D200*1000))</f>
        <v>0</v>
      </c>
      <c r="H199" s="1">
        <f t="shared" ref="H199" si="815">IF(H195&lt;6.5,$D200*1000,IF($D201=0,0,$D200*1000))</f>
        <v>0</v>
      </c>
      <c r="I199" s="1">
        <f t="shared" ref="I199" si="816">IF(I195&lt;6.5,$D200*1000,IF($D201=0,0,$D200*1000))</f>
        <v>0</v>
      </c>
      <c r="J199" s="1">
        <f t="shared" ref="J199:K199" si="817">IF(J195&lt;6.5,$D200*1000,IF($D202=0,0,$D200*1000))</f>
        <v>0</v>
      </c>
      <c r="K199" s="1">
        <f t="shared" si="817"/>
        <v>0</v>
      </c>
      <c r="L199" s="1">
        <f t="shared" ref="L199" si="818">IF(L195&lt;6.5,$D200*1000,IF($D202=0,0,$D200*1000))</f>
        <v>0</v>
      </c>
      <c r="M199" s="1">
        <f t="shared" ref="M199" si="819">IF(M195&lt;6.5,$D200*1000,IF($D202=0,0,$D200*1000))</f>
        <v>0</v>
      </c>
      <c r="N199" s="1">
        <f t="shared" ref="N199" si="820">IF(N195&lt;6.5,$D200*1000,IF($D202=0,0,$D200*1000))</f>
        <v>0</v>
      </c>
      <c r="O199" s="1">
        <f t="shared" ref="O199" si="821">IF(O195&lt;6.5,$D200*1000,IF($D202=0,0,$D200*1000))</f>
        <v>0</v>
      </c>
      <c r="P199" s="1">
        <f t="shared" ref="P199" si="822">IF(P195&lt;6.5,$D200*1000,IF($D202=0,0,$D200*1000))</f>
        <v>0</v>
      </c>
      <c r="Q199">
        <f t="shared" si="549"/>
        <v>186</v>
      </c>
      <c r="R199" s="1">
        <f t="shared" ref="R199" si="823">HLOOKUP(Q199,E194:P200,7)</f>
        <v>255206401.33425495</v>
      </c>
    </row>
    <row r="200" spans="2:18" x14ac:dyDescent="0.25">
      <c r="B200" s="16"/>
      <c r="C200" t="s">
        <v>56</v>
      </c>
      <c r="D200" s="10">
        <f t="shared" ref="D200" si="824">ROUND(D199,-1)</f>
        <v>1280</v>
      </c>
      <c r="E200" s="1">
        <f t="shared" ref="E200" si="825">-FV($E$17,$E$18,$E$19,D192-E201,1)</f>
        <v>244497428.7568734</v>
      </c>
      <c r="F200" s="1">
        <f t="shared" ref="F200:I200" si="826">-FV($E$17,$E$18,$E$19,E200,1)</f>
        <v>246618876.31768206</v>
      </c>
      <c r="G200" s="1">
        <f t="shared" si="826"/>
        <v>248750448.91660205</v>
      </c>
      <c r="H200" s="1">
        <f t="shared" si="826"/>
        <v>250892194.87742823</v>
      </c>
      <c r="I200" s="1">
        <f t="shared" si="826"/>
        <v>253044162.7545906</v>
      </c>
      <c r="J200" s="1">
        <f t="shared" ref="J200" si="827">-FV($E$17,$E$18,$E$19,I200-J201-J202,1)</f>
        <v>255206401.33425495</v>
      </c>
      <c r="K200" s="1">
        <f t="shared" ref="K200" si="828">-FV($E$17,$E$18,$E$19,J200,1)</f>
        <v>257378959.63542897</v>
      </c>
      <c r="L200" s="1">
        <f t="shared" ref="L200" si="829">-FV($E$17,$E$18,$E$19,K200,1)</f>
        <v>259561886.91107348</v>
      </c>
      <c r="M200" s="1">
        <f t="shared" ref="M200" si="830">-FV($E$17,$E$18,$E$19,L200,1)</f>
        <v>261755232.64921901</v>
      </c>
      <c r="N200" s="1">
        <f t="shared" ref="N200" si="831">-FV($E$17,$E$18,$E$19,M200,1)</f>
        <v>263959046.57408774</v>
      </c>
      <c r="O200" s="1">
        <f t="shared" ref="O200" si="832">-FV($E$17,$E$18,$E$19,N200,1)</f>
        <v>266173378.64722082</v>
      </c>
      <c r="P200" s="1">
        <f t="shared" ref="P200" si="833">-FV($E$17,$E$18,$E$19,O200,1)</f>
        <v>268398279.06861091</v>
      </c>
      <c r="Q200">
        <f t="shared" si="549"/>
        <v>187</v>
      </c>
      <c r="R200" s="1">
        <f t="shared" ref="R200" si="834">HLOOKUP(Q200,E194:P200,7)</f>
        <v>257378959.63542897</v>
      </c>
    </row>
    <row r="201" spans="2:18" x14ac:dyDescent="0.25">
      <c r="B201" s="16"/>
      <c r="C201" t="s">
        <v>71</v>
      </c>
      <c r="D201">
        <f t="shared" ref="D201" si="835">$E201</f>
        <v>0</v>
      </c>
      <c r="E201" s="1">
        <f t="shared" ref="E201" si="836">ROUNDUP(IF(E195&gt;=$E$13,$D$13,IF(E195&gt;=$E$12,$D$12,IF(E195&gt;=$E$10,$D$10,IF(E195&gt;=$E$8,$D$8,IF(E195&gt;=$E$6,$D$6,IF(E195&gt;=$E$4,$D$4,0))))))*1000*(1+$D$2)^$B194,-3)</f>
        <v>0</v>
      </c>
      <c r="J201" s="1">
        <f t="shared" ref="J201" si="837">ROUNDUP(IF(J195&gt;=$E$13,$D$13,IF(J195&gt;=$E$12,$D$12,IF(J195&gt;=$E$10,$D$10,IF(J195&gt;=$E$8,$D$8,IF(J195&gt;=$E$6,$D$6,IF(J195&gt;=$E$4,$D$4,0))))))*1000*(1+$D$2)^$B194,-3)</f>
        <v>0</v>
      </c>
      <c r="Q201">
        <f t="shared" si="549"/>
        <v>188</v>
      </c>
      <c r="R201" s="1">
        <f t="shared" ref="R201" si="838">HLOOKUP(Q201,E194:P200,7)</f>
        <v>259561886.91107348</v>
      </c>
    </row>
    <row r="202" spans="2:18" x14ac:dyDescent="0.25">
      <c r="B202" s="16"/>
      <c r="C202" t="s">
        <v>72</v>
      </c>
      <c r="D202">
        <f t="shared" ref="D202" si="839">$J201</f>
        <v>0</v>
      </c>
      <c r="J202" s="1">
        <f t="shared" ref="J202" si="840">ROUND(IF(J195=$E$4,$D$5,IF(J195=$E$6,$D$7,IF(J195=$E$8,$D$9,IF(J195=$E$10,$D$11,0))))*1000*(1+$D$2)^$B194,-4)</f>
        <v>0</v>
      </c>
      <c r="Q202">
        <f t="shared" si="549"/>
        <v>189</v>
      </c>
      <c r="R202" s="1">
        <f t="shared" ref="R202" si="841">HLOOKUP(Q202,E194:P200,7)</f>
        <v>261755232.64921901</v>
      </c>
    </row>
    <row r="203" spans="2:18" x14ac:dyDescent="0.25">
      <c r="B203" s="16"/>
      <c r="C203" t="s">
        <v>58</v>
      </c>
      <c r="D203">
        <f t="shared" ref="D203" si="842">D201+D202</f>
        <v>0</v>
      </c>
      <c r="Q203">
        <f t="shared" si="549"/>
        <v>190</v>
      </c>
      <c r="R203" s="1">
        <f t="shared" ref="R203" si="843">HLOOKUP(Q203,E194:P200,7)</f>
        <v>263959046.57408774</v>
      </c>
    </row>
    <row r="204" spans="2:18" x14ac:dyDescent="0.25">
      <c r="B204" s="16"/>
      <c r="C204" t="s">
        <v>42</v>
      </c>
      <c r="D204" s="4">
        <f t="shared" ref="D204" si="844">P200*(1-D196)</f>
        <v>265043300.58025327</v>
      </c>
      <c r="Q204">
        <f t="shared" si="549"/>
        <v>191</v>
      </c>
      <c r="R204" s="1">
        <f t="shared" ref="R204" si="845">HLOOKUP(Q204,E194:P200,7)</f>
        <v>266173378.64722082</v>
      </c>
    </row>
    <row r="205" spans="2:18" x14ac:dyDescent="0.25">
      <c r="B205" s="16"/>
      <c r="Q205">
        <f t="shared" si="549"/>
        <v>192</v>
      </c>
      <c r="R205" s="1">
        <f t="shared" ref="R205" si="846">HLOOKUP(Q205,E194:P200,7)</f>
        <v>268398279.06861091</v>
      </c>
    </row>
    <row r="206" spans="2:18" x14ac:dyDescent="0.25">
      <c r="B206" s="16">
        <f t="shared" ref="B206" si="847">B194+1</f>
        <v>16</v>
      </c>
      <c r="C206" t="s">
        <v>40</v>
      </c>
      <c r="D206" s="2">
        <f t="shared" ref="D206" si="848">5.88%</f>
        <v>5.8799999999999998E-2</v>
      </c>
      <c r="E206">
        <f t="shared" ref="E206" si="849">($B206*12)+1</f>
        <v>193</v>
      </c>
      <c r="F206">
        <f t="shared" ref="F206" si="850">E206+1</f>
        <v>194</v>
      </c>
      <c r="G206">
        <f t="shared" ref="G206" si="851">F206+1</f>
        <v>195</v>
      </c>
      <c r="H206">
        <f t="shared" ref="H206" si="852">G206+1</f>
        <v>196</v>
      </c>
      <c r="I206">
        <f t="shared" ref="I206" si="853">H206+1</f>
        <v>197</v>
      </c>
      <c r="J206">
        <f t="shared" ref="J206" si="854">I206+1</f>
        <v>198</v>
      </c>
      <c r="K206">
        <f t="shared" ref="K206" si="855">J206+1</f>
        <v>199</v>
      </c>
      <c r="L206">
        <f t="shared" ref="L206" si="856">K206+1</f>
        <v>200</v>
      </c>
      <c r="M206">
        <f t="shared" ref="M206" si="857">L206+1</f>
        <v>201</v>
      </c>
      <c r="N206">
        <f t="shared" ref="N206" si="858">M206+1</f>
        <v>202</v>
      </c>
      <c r="O206">
        <f t="shared" ref="O206" si="859">N206+1</f>
        <v>203</v>
      </c>
      <c r="P206">
        <f t="shared" ref="P206" si="860">O206+1</f>
        <v>204</v>
      </c>
      <c r="Q206">
        <f t="shared" si="549"/>
        <v>193</v>
      </c>
      <c r="R206" s="1">
        <f t="shared" ref="R206" si="861">HLOOKUP(Q206,E206:P212,7)</f>
        <v>267262807.47520971</v>
      </c>
    </row>
    <row r="207" spans="2:18" x14ac:dyDescent="0.25">
      <c r="B207" s="16"/>
      <c r="C207" t="s">
        <v>41</v>
      </c>
      <c r="D207" s="3">
        <f t="shared" ref="D207" si="862">(1+D206)^(1/12)-1</f>
        <v>4.7727025161425907E-3</v>
      </c>
      <c r="E207">
        <f t="shared" ref="E207:P207" si="863">E206/12</f>
        <v>16.083333333333332</v>
      </c>
      <c r="F207">
        <f t="shared" si="863"/>
        <v>16.166666666666668</v>
      </c>
      <c r="G207">
        <f t="shared" si="863"/>
        <v>16.25</v>
      </c>
      <c r="H207">
        <f t="shared" si="863"/>
        <v>16.333333333333332</v>
      </c>
      <c r="I207">
        <f t="shared" si="863"/>
        <v>16.416666666666668</v>
      </c>
      <c r="J207">
        <f t="shared" si="863"/>
        <v>16.5</v>
      </c>
      <c r="K207">
        <f t="shared" si="863"/>
        <v>16.583333333333332</v>
      </c>
      <c r="L207">
        <f t="shared" si="863"/>
        <v>16.666666666666668</v>
      </c>
      <c r="M207">
        <f t="shared" si="863"/>
        <v>16.75</v>
      </c>
      <c r="N207">
        <f t="shared" si="863"/>
        <v>16.833333333333332</v>
      </c>
      <c r="O207">
        <f t="shared" si="863"/>
        <v>16.916666666666668</v>
      </c>
      <c r="P207">
        <f t="shared" si="863"/>
        <v>17</v>
      </c>
      <c r="Q207">
        <f t="shared" si="549"/>
        <v>194</v>
      </c>
      <c r="R207" s="1">
        <f t="shared" ref="R207" si="864">HLOOKUP(Q207,E206:P212,7)</f>
        <v>269492907.41630828</v>
      </c>
    </row>
    <row r="208" spans="2:18" x14ac:dyDescent="0.25">
      <c r="B208" s="16"/>
      <c r="C208" t="s">
        <v>53</v>
      </c>
      <c r="D208" s="2">
        <f t="shared" ref="D208" si="865">1.25%</f>
        <v>1.2500000000000001E-2</v>
      </c>
      <c r="E208" t="s">
        <v>59</v>
      </c>
      <c r="F208" t="s">
        <v>60</v>
      </c>
      <c r="G208" t="s">
        <v>61</v>
      </c>
      <c r="H208" t="s">
        <v>62</v>
      </c>
      <c r="I208" t="s">
        <v>63</v>
      </c>
      <c r="J208" t="s">
        <v>64</v>
      </c>
      <c r="K208" t="s">
        <v>65</v>
      </c>
      <c r="L208" t="s">
        <v>66</v>
      </c>
      <c r="M208" t="s">
        <v>67</v>
      </c>
      <c r="N208" t="s">
        <v>68</v>
      </c>
      <c r="O208" t="s">
        <v>69</v>
      </c>
      <c r="P208" t="s">
        <v>70</v>
      </c>
      <c r="Q208">
        <f t="shared" ref="Q208:Q271" si="866">Q207+1</f>
        <v>195</v>
      </c>
      <c r="R208" s="1">
        <f t="shared" ref="R208" si="867">HLOOKUP(Q208,E206:P212,7)</f>
        <v>271733650.961007</v>
      </c>
    </row>
    <row r="209" spans="2:18" x14ac:dyDescent="0.25">
      <c r="B209" s="16"/>
      <c r="C209" t="s">
        <v>54</v>
      </c>
      <c r="D209">
        <f>1</f>
        <v>1</v>
      </c>
      <c r="E209" s="2">
        <f t="shared" ref="E209:P209" si="868">$D195</f>
        <v>4.7727025161425907E-3</v>
      </c>
      <c r="F209" s="2">
        <f t="shared" si="868"/>
        <v>4.7727025161425907E-3</v>
      </c>
      <c r="G209" s="2">
        <f t="shared" si="868"/>
        <v>4.7727025161425907E-3</v>
      </c>
      <c r="H209" s="2">
        <f t="shared" si="868"/>
        <v>4.7727025161425907E-3</v>
      </c>
      <c r="I209" s="2">
        <f t="shared" si="868"/>
        <v>4.7727025161425907E-3</v>
      </c>
      <c r="J209" s="2">
        <f t="shared" si="868"/>
        <v>4.7727025161425907E-3</v>
      </c>
      <c r="K209" s="2">
        <f t="shared" si="868"/>
        <v>4.7727025161425907E-3</v>
      </c>
      <c r="L209" s="2">
        <f t="shared" si="868"/>
        <v>4.7727025161425907E-3</v>
      </c>
      <c r="M209" s="2">
        <f t="shared" si="868"/>
        <v>4.7727025161425907E-3</v>
      </c>
      <c r="N209" s="2">
        <f t="shared" si="868"/>
        <v>4.7727025161425907E-3</v>
      </c>
      <c r="O209" s="2">
        <f t="shared" si="868"/>
        <v>4.7727025161425907E-3</v>
      </c>
      <c r="P209" s="2">
        <f t="shared" si="868"/>
        <v>4.7727025161425907E-3</v>
      </c>
      <c r="Q209">
        <f t="shared" si="866"/>
        <v>196</v>
      </c>
      <c r="R209" s="1">
        <f t="shared" ref="R209" si="869">HLOOKUP(Q209,E206:P212,7)</f>
        <v>273985088.90805954</v>
      </c>
    </row>
    <row r="210" spans="2:18" x14ac:dyDescent="0.25">
      <c r="B210" s="16"/>
      <c r="C210" t="s">
        <v>55</v>
      </c>
      <c r="D210">
        <f t="shared" ref="D210" si="870">D209*12</f>
        <v>12</v>
      </c>
      <c r="E210">
        <f>1</f>
        <v>1</v>
      </c>
      <c r="F210">
        <f>1</f>
        <v>1</v>
      </c>
      <c r="G210">
        <f>1</f>
        <v>1</v>
      </c>
      <c r="H210">
        <f>1</f>
        <v>1</v>
      </c>
      <c r="I210">
        <f>1</f>
        <v>1</v>
      </c>
      <c r="J210">
        <f>1</f>
        <v>1</v>
      </c>
      <c r="K210">
        <f>1</f>
        <v>1</v>
      </c>
      <c r="L210">
        <f>1</f>
        <v>1</v>
      </c>
      <c r="M210">
        <f>1</f>
        <v>1</v>
      </c>
      <c r="N210">
        <f>1</f>
        <v>1</v>
      </c>
      <c r="O210">
        <f>1</f>
        <v>1</v>
      </c>
      <c r="P210">
        <f>1</f>
        <v>1</v>
      </c>
      <c r="Q210">
        <f t="shared" si="866"/>
        <v>197</v>
      </c>
      <c r="R210" s="1">
        <f t="shared" ref="R210" si="871">HLOOKUP(Q210,E206:P212,7)</f>
        <v>276247272.29866689</v>
      </c>
    </row>
    <row r="211" spans="2:18" x14ac:dyDescent="0.25">
      <c r="B211" s="16"/>
      <c r="C211" t="s">
        <v>57</v>
      </c>
      <c r="D211" s="10">
        <f t="shared" ref="D211" si="872">D199*(1+$D$2)</f>
        <v>1304.1464198360823</v>
      </c>
      <c r="E211" s="1">
        <f t="shared" ref="E211:F211" si="873">IF(E207&lt;6.5,$D212*1000,IF($D213=0,0,$D212*1000))</f>
        <v>0</v>
      </c>
      <c r="F211" s="1">
        <f t="shared" si="873"/>
        <v>0</v>
      </c>
      <c r="G211" s="1">
        <f t="shared" ref="G211" si="874">IF(G207&lt;6.5,$D212*1000,IF($D213=0,0,$D212*1000))</f>
        <v>0</v>
      </c>
      <c r="H211" s="1">
        <f t="shared" ref="H211" si="875">IF(H207&lt;6.5,$D212*1000,IF($D213=0,0,$D212*1000))</f>
        <v>0</v>
      </c>
      <c r="I211" s="1">
        <f t="shared" ref="I211" si="876">IF(I207&lt;6.5,$D212*1000,IF($D213=0,0,$D212*1000))</f>
        <v>0</v>
      </c>
      <c r="J211" s="1">
        <f t="shared" ref="J211:K211" si="877">IF(J207&lt;6.5,$D212*1000,IF($D214=0,0,$D212*1000))</f>
        <v>0</v>
      </c>
      <c r="K211" s="1">
        <f t="shared" si="877"/>
        <v>0</v>
      </c>
      <c r="L211" s="1">
        <f t="shared" ref="L211" si="878">IF(L207&lt;6.5,$D212*1000,IF($D214=0,0,$D212*1000))</f>
        <v>0</v>
      </c>
      <c r="M211" s="1">
        <f t="shared" ref="M211" si="879">IF(M207&lt;6.5,$D212*1000,IF($D214=0,0,$D212*1000))</f>
        <v>0</v>
      </c>
      <c r="N211" s="1">
        <f t="shared" ref="N211" si="880">IF(N207&lt;6.5,$D212*1000,IF($D214=0,0,$D212*1000))</f>
        <v>0</v>
      </c>
      <c r="O211" s="1">
        <f t="shared" ref="O211" si="881">IF(O207&lt;6.5,$D212*1000,IF($D214=0,0,$D212*1000))</f>
        <v>0</v>
      </c>
      <c r="P211" s="1">
        <f t="shared" ref="P211" si="882">IF(P207&lt;6.5,$D212*1000,IF($D214=0,0,$D212*1000))</f>
        <v>0</v>
      </c>
      <c r="Q211">
        <f t="shared" si="866"/>
        <v>198</v>
      </c>
      <c r="R211" s="1">
        <f t="shared" ref="R211" si="883">HLOOKUP(Q211,E206:P212,7)</f>
        <v>278520252.41763461</v>
      </c>
    </row>
    <row r="212" spans="2:18" x14ac:dyDescent="0.25">
      <c r="B212" s="16"/>
      <c r="C212" t="s">
        <v>56</v>
      </c>
      <c r="D212" s="10">
        <f t="shared" ref="D212" si="884">ROUND(D211,-1)</f>
        <v>1300</v>
      </c>
      <c r="E212" s="1">
        <f t="shared" ref="E212" si="885">-FV($E$17,$E$18,$E$19,D204-E213,1)</f>
        <v>267262807.47520971</v>
      </c>
      <c r="F212" s="1">
        <f t="shared" ref="F212:I212" si="886">-FV($E$17,$E$18,$E$19,E212,1)</f>
        <v>269492907.41630828</v>
      </c>
      <c r="G212" s="1">
        <f t="shared" si="886"/>
        <v>271733650.961007</v>
      </c>
      <c r="H212" s="1">
        <f t="shared" si="886"/>
        <v>273985088.90805954</v>
      </c>
      <c r="I212" s="1">
        <f t="shared" si="886"/>
        <v>276247272.29866689</v>
      </c>
      <c r="J212" s="1">
        <f t="shared" ref="J212" si="887">-FV($E$17,$E$18,$E$19,I212-J213-J214,1)</f>
        <v>278520252.41763461</v>
      </c>
      <c r="K212" s="1">
        <f t="shared" ref="K212" si="888">-FV($E$17,$E$18,$E$19,J212,1)</f>
        <v>280804080.79453522</v>
      </c>
      <c r="L212" s="1">
        <f t="shared" ref="L212" si="889">-FV($E$17,$E$18,$E$19,K212,1)</f>
        <v>283098809.20487672</v>
      </c>
      <c r="M212" s="1">
        <f t="shared" ref="M212" si="890">-FV($E$17,$E$18,$E$19,L212,1)</f>
        <v>285404489.67127615</v>
      </c>
      <c r="N212" s="1">
        <f t="shared" ref="N212" si="891">-FV($E$17,$E$18,$E$19,M212,1)</f>
        <v>287721174.46463895</v>
      </c>
      <c r="O212" s="1">
        <f t="shared" ref="O212" si="892">-FV($E$17,$E$18,$E$19,N212,1)</f>
        <v>290048916.10534418</v>
      </c>
      <c r="P212" s="1">
        <f t="shared" ref="P212" si="893">-FV($E$17,$E$18,$E$19,O212,1)</f>
        <v>292387767.3644349</v>
      </c>
      <c r="Q212">
        <f t="shared" si="866"/>
        <v>199</v>
      </c>
      <c r="R212" s="1">
        <f t="shared" ref="R212" si="894">HLOOKUP(Q212,E206:P212,7)</f>
        <v>280804080.79453522</v>
      </c>
    </row>
    <row r="213" spans="2:18" x14ac:dyDescent="0.25">
      <c r="B213" s="16"/>
      <c r="C213" t="s">
        <v>71</v>
      </c>
      <c r="D213">
        <f t="shared" ref="D213" si="895">$E213</f>
        <v>0</v>
      </c>
      <c r="E213" s="1">
        <f t="shared" ref="E213" si="896">ROUNDUP(IF(E207&gt;=$E$13,$D$13,IF(E207&gt;=$E$12,$D$12,IF(E207&gt;=$E$10,$D$10,IF(E207&gt;=$E$8,$D$8,IF(E207&gt;=$E$6,$D$6,IF(E207&gt;=$E$4,$D$4,0))))))*1000*(1+$D$2)^$B206,-3)</f>
        <v>0</v>
      </c>
      <c r="J213" s="1">
        <f t="shared" ref="J213" si="897">ROUNDUP(IF(J207&gt;=$E$13,$D$13,IF(J207&gt;=$E$12,$D$12,IF(J207&gt;=$E$10,$D$10,IF(J207&gt;=$E$8,$D$8,IF(J207&gt;=$E$6,$D$6,IF(J207&gt;=$E$4,$D$4,0))))))*1000*(1+$D$2)^$B206,-3)</f>
        <v>0</v>
      </c>
      <c r="Q213">
        <f t="shared" si="866"/>
        <v>200</v>
      </c>
      <c r="R213" s="1">
        <f t="shared" ref="R213" si="898">HLOOKUP(Q213,E206:P212,7)</f>
        <v>283098809.20487672</v>
      </c>
    </row>
    <row r="214" spans="2:18" x14ac:dyDescent="0.25">
      <c r="B214" s="16"/>
      <c r="C214" t="s">
        <v>72</v>
      </c>
      <c r="D214">
        <f t="shared" ref="D214" si="899">$J213</f>
        <v>0</v>
      </c>
      <c r="J214" s="1">
        <f t="shared" ref="J214" si="900">ROUND(IF(J207=$E$4,$D$5,IF(J207=$E$6,$D$7,IF(J207=$E$8,$D$9,IF(J207=$E$10,$D$11,0))))*1000*(1+$D$2)^$B206,-4)</f>
        <v>0</v>
      </c>
      <c r="Q214">
        <f t="shared" si="866"/>
        <v>201</v>
      </c>
      <c r="R214" s="1">
        <f t="shared" ref="R214" si="901">HLOOKUP(Q214,E206:P212,7)</f>
        <v>285404489.67127615</v>
      </c>
    </row>
    <row r="215" spans="2:18" x14ac:dyDescent="0.25">
      <c r="B215" s="16"/>
      <c r="C215" t="s">
        <v>58</v>
      </c>
      <c r="D215">
        <f t="shared" ref="D215" si="902">D213+D214</f>
        <v>0</v>
      </c>
      <c r="Q215">
        <f t="shared" si="866"/>
        <v>202</v>
      </c>
      <c r="R215" s="1">
        <f t="shared" ref="R215" si="903">HLOOKUP(Q215,E206:P212,7)</f>
        <v>287721174.46463895</v>
      </c>
    </row>
    <row r="216" spans="2:18" x14ac:dyDescent="0.25">
      <c r="B216" s="16"/>
      <c r="C216" t="s">
        <v>42</v>
      </c>
      <c r="D216" s="4">
        <f t="shared" ref="D216" si="904">P212*(1-D208)</f>
        <v>288732920.27237946</v>
      </c>
      <c r="Q216">
        <f t="shared" si="866"/>
        <v>203</v>
      </c>
      <c r="R216" s="1">
        <f t="shared" ref="R216" si="905">HLOOKUP(Q216,E206:P212,7)</f>
        <v>290048916.10534418</v>
      </c>
    </row>
    <row r="217" spans="2:18" x14ac:dyDescent="0.25">
      <c r="B217" s="16"/>
      <c r="Q217">
        <f t="shared" si="866"/>
        <v>204</v>
      </c>
      <c r="R217" s="1">
        <f t="shared" ref="R217" si="906">HLOOKUP(Q217,E206:P212,7)</f>
        <v>292387767.3644349</v>
      </c>
    </row>
    <row r="218" spans="2:18" x14ac:dyDescent="0.25">
      <c r="B218" s="16">
        <f t="shared" ref="B218" si="907">B206+1</f>
        <v>17</v>
      </c>
      <c r="C218" t="s">
        <v>40</v>
      </c>
      <c r="D218" s="2">
        <f t="shared" ref="D218" si="908">5.88%</f>
        <v>5.8799999999999998E-2</v>
      </c>
      <c r="E218">
        <f t="shared" ref="E218" si="909">($B218*12)+1</f>
        <v>205</v>
      </c>
      <c r="F218">
        <f t="shared" ref="F218" si="910">E218+1</f>
        <v>206</v>
      </c>
      <c r="G218">
        <f t="shared" ref="G218" si="911">F218+1</f>
        <v>207</v>
      </c>
      <c r="H218">
        <f t="shared" ref="H218" si="912">G218+1</f>
        <v>208</v>
      </c>
      <c r="I218">
        <f t="shared" ref="I218" si="913">H218+1</f>
        <v>209</v>
      </c>
      <c r="J218">
        <f t="shared" ref="J218" si="914">I218+1</f>
        <v>210</v>
      </c>
      <c r="K218">
        <f t="shared" ref="K218" si="915">J218+1</f>
        <v>211</v>
      </c>
      <c r="L218">
        <f t="shared" ref="L218" si="916">K218+1</f>
        <v>212</v>
      </c>
      <c r="M218">
        <f t="shared" ref="M218" si="917">L218+1</f>
        <v>213</v>
      </c>
      <c r="N218">
        <f t="shared" ref="N218" si="918">M218+1</f>
        <v>214</v>
      </c>
      <c r="O218">
        <f t="shared" ref="O218" si="919">N218+1</f>
        <v>215</v>
      </c>
      <c r="P218">
        <f t="shared" ref="P218" si="920">O218+1</f>
        <v>216</v>
      </c>
      <c r="Q218">
        <f t="shared" si="866"/>
        <v>205</v>
      </c>
      <c r="R218" s="1">
        <f t="shared" ref="R218" si="921">HLOOKUP(Q218,E218:P224,7)</f>
        <v>291065490.67484695</v>
      </c>
    </row>
    <row r="219" spans="2:18" x14ac:dyDescent="0.25">
      <c r="B219" s="16"/>
      <c r="C219" t="s">
        <v>41</v>
      </c>
      <c r="D219" s="3">
        <f t="shared" ref="D219" si="922">(1+D218)^(1/12)-1</f>
        <v>4.7727025161425907E-3</v>
      </c>
      <c r="E219">
        <f t="shared" ref="E219:P219" si="923">E218/12</f>
        <v>17.083333333333332</v>
      </c>
      <c r="F219">
        <f t="shared" si="923"/>
        <v>17.166666666666668</v>
      </c>
      <c r="G219">
        <f t="shared" si="923"/>
        <v>17.25</v>
      </c>
      <c r="H219">
        <f t="shared" si="923"/>
        <v>17.333333333333332</v>
      </c>
      <c r="I219">
        <f t="shared" si="923"/>
        <v>17.416666666666668</v>
      </c>
      <c r="J219">
        <f t="shared" si="923"/>
        <v>17.5</v>
      </c>
      <c r="K219">
        <f t="shared" si="923"/>
        <v>17.583333333333332</v>
      </c>
      <c r="L219">
        <f t="shared" si="923"/>
        <v>17.666666666666668</v>
      </c>
      <c r="M219">
        <f t="shared" si="923"/>
        <v>17.75</v>
      </c>
      <c r="N219">
        <f t="shared" si="923"/>
        <v>17.833333333333332</v>
      </c>
      <c r="O219">
        <f t="shared" si="923"/>
        <v>17.916666666666668</v>
      </c>
      <c r="P219">
        <f t="shared" si="923"/>
        <v>18</v>
      </c>
      <c r="Q219">
        <f t="shared" si="866"/>
        <v>206</v>
      </c>
      <c r="R219" s="1">
        <f t="shared" ref="R219" si="924">HLOOKUP(Q219,E218:P224,7)</f>
        <v>293409193.74194342</v>
      </c>
    </row>
    <row r="220" spans="2:18" x14ac:dyDescent="0.25">
      <c r="B220" s="16"/>
      <c r="C220" t="s">
        <v>53</v>
      </c>
      <c r="D220" s="2">
        <f t="shared" ref="D220" si="925">1.25%</f>
        <v>1.2500000000000001E-2</v>
      </c>
      <c r="E220" t="s">
        <v>59</v>
      </c>
      <c r="F220" t="s">
        <v>60</v>
      </c>
      <c r="G220" t="s">
        <v>61</v>
      </c>
      <c r="H220" t="s">
        <v>62</v>
      </c>
      <c r="I220" t="s">
        <v>63</v>
      </c>
      <c r="J220" t="s">
        <v>64</v>
      </c>
      <c r="K220" t="s">
        <v>65</v>
      </c>
      <c r="L220" t="s">
        <v>66</v>
      </c>
      <c r="M220" t="s">
        <v>67</v>
      </c>
      <c r="N220" t="s">
        <v>68</v>
      </c>
      <c r="O220" t="s">
        <v>69</v>
      </c>
      <c r="P220" t="s">
        <v>70</v>
      </c>
      <c r="Q220">
        <f t="shared" si="866"/>
        <v>207</v>
      </c>
      <c r="R220" s="1">
        <f t="shared" ref="R220" si="926">HLOOKUP(Q220,E218:P224,7)</f>
        <v>295764082.6065653</v>
      </c>
    </row>
    <row r="221" spans="2:18" x14ac:dyDescent="0.25">
      <c r="B221" s="16"/>
      <c r="C221" t="s">
        <v>54</v>
      </c>
      <c r="D221">
        <f>1</f>
        <v>1</v>
      </c>
      <c r="E221" s="2">
        <f t="shared" ref="E221:P221" si="927">$D207</f>
        <v>4.7727025161425907E-3</v>
      </c>
      <c r="F221" s="2">
        <f t="shared" si="927"/>
        <v>4.7727025161425907E-3</v>
      </c>
      <c r="G221" s="2">
        <f t="shared" si="927"/>
        <v>4.7727025161425907E-3</v>
      </c>
      <c r="H221" s="2">
        <f t="shared" si="927"/>
        <v>4.7727025161425907E-3</v>
      </c>
      <c r="I221" s="2">
        <f t="shared" si="927"/>
        <v>4.7727025161425907E-3</v>
      </c>
      <c r="J221" s="2">
        <f t="shared" si="927"/>
        <v>4.7727025161425907E-3</v>
      </c>
      <c r="K221" s="2">
        <f t="shared" si="927"/>
        <v>4.7727025161425907E-3</v>
      </c>
      <c r="L221" s="2">
        <f t="shared" si="927"/>
        <v>4.7727025161425907E-3</v>
      </c>
      <c r="M221" s="2">
        <f t="shared" si="927"/>
        <v>4.7727025161425907E-3</v>
      </c>
      <c r="N221" s="2">
        <f t="shared" si="927"/>
        <v>4.7727025161425907E-3</v>
      </c>
      <c r="O221" s="2">
        <f t="shared" si="927"/>
        <v>4.7727025161425907E-3</v>
      </c>
      <c r="P221" s="2">
        <f t="shared" si="927"/>
        <v>4.7727025161425907E-3</v>
      </c>
      <c r="Q221">
        <f t="shared" si="866"/>
        <v>208</v>
      </c>
      <c r="R221" s="1">
        <f t="shared" ref="R221" si="928">HLOOKUP(Q221,E218:P224,7)</f>
        <v>298130210.65519661</v>
      </c>
    </row>
    <row r="222" spans="2:18" x14ac:dyDescent="0.25">
      <c r="B222" s="16"/>
      <c r="C222" t="s">
        <v>55</v>
      </c>
      <c r="D222">
        <f t="shared" ref="D222" si="929">D221*12</f>
        <v>12</v>
      </c>
      <c r="E222">
        <f>1</f>
        <v>1</v>
      </c>
      <c r="F222">
        <f>1</f>
        <v>1</v>
      </c>
      <c r="G222">
        <f>1</f>
        <v>1</v>
      </c>
      <c r="H222">
        <f>1</f>
        <v>1</v>
      </c>
      <c r="I222">
        <f>1</f>
        <v>1</v>
      </c>
      <c r="J222">
        <f>1</f>
        <v>1</v>
      </c>
      <c r="K222">
        <f>1</f>
        <v>1</v>
      </c>
      <c r="L222">
        <f>1</f>
        <v>1</v>
      </c>
      <c r="M222">
        <f>1</f>
        <v>1</v>
      </c>
      <c r="N222">
        <f>1</f>
        <v>1</v>
      </c>
      <c r="O222">
        <f>1</f>
        <v>1</v>
      </c>
      <c r="P222">
        <f>1</f>
        <v>1</v>
      </c>
      <c r="Q222">
        <f t="shared" si="866"/>
        <v>209</v>
      </c>
      <c r="R222" s="1">
        <f t="shared" ref="R222" si="930">HLOOKUP(Q222,E218:P224,7)</f>
        <v>300507631.52911913</v>
      </c>
    </row>
    <row r="223" spans="2:18" x14ac:dyDescent="0.25">
      <c r="B223" s="16"/>
      <c r="C223" t="s">
        <v>57</v>
      </c>
      <c r="D223" s="10">
        <f t="shared" ref="D223" si="931">D211*(1+$D$2)</f>
        <v>1330.2293482328039</v>
      </c>
      <c r="E223" s="1">
        <f t="shared" ref="E223:F223" si="932">IF(E219&lt;6.5,$D224*1000,IF($D225=0,0,$D224*1000))</f>
        <v>0</v>
      </c>
      <c r="F223" s="1">
        <f t="shared" si="932"/>
        <v>0</v>
      </c>
      <c r="G223" s="1">
        <f t="shared" ref="G223" si="933">IF(G219&lt;6.5,$D224*1000,IF($D225=0,0,$D224*1000))</f>
        <v>0</v>
      </c>
      <c r="H223" s="1">
        <f t="shared" ref="H223" si="934">IF(H219&lt;6.5,$D224*1000,IF($D225=0,0,$D224*1000))</f>
        <v>0</v>
      </c>
      <c r="I223" s="1">
        <f t="shared" ref="I223" si="935">IF(I219&lt;6.5,$D224*1000,IF($D225=0,0,$D224*1000))</f>
        <v>0</v>
      </c>
      <c r="J223" s="1">
        <f t="shared" ref="J223:K223" si="936">IF(J219&lt;6.5,$D224*1000,IF($D226=0,0,$D224*1000))</f>
        <v>0</v>
      </c>
      <c r="K223" s="1">
        <f t="shared" si="936"/>
        <v>0</v>
      </c>
      <c r="L223" s="1">
        <f t="shared" ref="L223" si="937">IF(L219&lt;6.5,$D224*1000,IF($D226=0,0,$D224*1000))</f>
        <v>0</v>
      </c>
      <c r="M223" s="1">
        <f t="shared" ref="M223" si="938">IF(M219&lt;6.5,$D224*1000,IF($D226=0,0,$D224*1000))</f>
        <v>0</v>
      </c>
      <c r="N223" s="1">
        <f t="shared" ref="N223" si="939">IF(N219&lt;6.5,$D224*1000,IF($D226=0,0,$D224*1000))</f>
        <v>0</v>
      </c>
      <c r="O223" s="1">
        <f t="shared" ref="O223" si="940">IF(O219&lt;6.5,$D224*1000,IF($D226=0,0,$D224*1000))</f>
        <v>0</v>
      </c>
      <c r="P223" s="1">
        <f t="shared" ref="P223" si="941">IF(P219&lt;6.5,$D224*1000,IF($D226=0,0,$D224*1000))</f>
        <v>0</v>
      </c>
      <c r="Q223">
        <f t="shared" si="866"/>
        <v>210</v>
      </c>
      <c r="R223" s="1">
        <f t="shared" ref="R223" si="942">HLOOKUP(Q223,E218:P224,7)</f>
        <v>302896399.12562853</v>
      </c>
    </row>
    <row r="224" spans="2:18" x14ac:dyDescent="0.25">
      <c r="B224" s="16"/>
      <c r="C224" t="s">
        <v>56</v>
      </c>
      <c r="D224" s="10">
        <f t="shared" ref="D224" si="943">ROUND(D223,-1)</f>
        <v>1330</v>
      </c>
      <c r="E224" s="1">
        <f t="shared" ref="E224" si="944">-FV($E$17,$E$18,$E$19,D216-E225,1)</f>
        <v>291065490.67484695</v>
      </c>
      <c r="F224" s="1">
        <f t="shared" ref="F224:I224" si="945">-FV($E$17,$E$18,$E$19,E224,1)</f>
        <v>293409193.74194342</v>
      </c>
      <c r="G224" s="1">
        <f t="shared" si="945"/>
        <v>295764082.6065653</v>
      </c>
      <c r="H224" s="1">
        <f t="shared" si="945"/>
        <v>298130210.65519661</v>
      </c>
      <c r="I224" s="1">
        <f t="shared" si="945"/>
        <v>300507631.52911913</v>
      </c>
      <c r="J224" s="1">
        <f t="shared" ref="J224" si="946">-FV($E$17,$E$18,$E$19,I224-J225-J226,1)</f>
        <v>302896399.12562853</v>
      </c>
      <c r="K224" s="1">
        <f t="shared" ref="K224" si="947">-FV($E$17,$E$18,$E$19,J224,1)</f>
        <v>305296567.59925628</v>
      </c>
      <c r="L224" s="1">
        <f t="shared" ref="L224" si="948">-FV($E$17,$E$18,$E$19,K224,1)</f>
        <v>307708191.36299729</v>
      </c>
      <c r="M224" s="1">
        <f t="shared" ref="M224" si="949">-FV($E$17,$E$18,$E$19,L224,1)</f>
        <v>310131325.08954346</v>
      </c>
      <c r="N224" s="1">
        <f t="shared" ref="N224" si="950">-FV($E$17,$E$18,$E$19,M224,1)</f>
        <v>312566023.71252328</v>
      </c>
      <c r="O224" s="1">
        <f t="shared" ref="O224" si="951">-FV($E$17,$E$18,$E$19,N224,1)</f>
        <v>315012342.42774707</v>
      </c>
      <c r="P224" s="1">
        <f t="shared" ref="P224" si="952">-FV($E$17,$E$18,$E$19,O224,1)</f>
        <v>317470336.69445825</v>
      </c>
      <c r="Q224">
        <f t="shared" si="866"/>
        <v>211</v>
      </c>
      <c r="R224" s="1">
        <f t="shared" ref="R224" si="953">HLOOKUP(Q224,E218:P224,7)</f>
        <v>305296567.59925628</v>
      </c>
    </row>
    <row r="225" spans="2:18" x14ac:dyDescent="0.25">
      <c r="B225" s="16"/>
      <c r="C225" t="s">
        <v>71</v>
      </c>
      <c r="D225">
        <f t="shared" ref="D225" si="954">$E225</f>
        <v>0</v>
      </c>
      <c r="E225" s="1">
        <f t="shared" ref="E225" si="955">ROUNDUP(IF(E219&gt;=$E$13,$D$13,IF(E219&gt;=$E$12,$D$12,IF(E219&gt;=$E$10,$D$10,IF(E219&gt;=$E$8,$D$8,IF(E219&gt;=$E$6,$D$6,IF(E219&gt;=$E$4,$D$4,0))))))*1000*(1+$D$2)^$B218,-3)</f>
        <v>0</v>
      </c>
      <c r="J225" s="1">
        <f t="shared" ref="J225" si="956">ROUNDUP(IF(J219&gt;=$E$13,$D$13,IF(J219&gt;=$E$12,$D$12,IF(J219&gt;=$E$10,$D$10,IF(J219&gt;=$E$8,$D$8,IF(J219&gt;=$E$6,$D$6,IF(J219&gt;=$E$4,$D$4,0))))))*1000*(1+$D$2)^$B218,-3)</f>
        <v>0</v>
      </c>
      <c r="Q225">
        <f t="shared" si="866"/>
        <v>212</v>
      </c>
      <c r="R225" s="1">
        <f t="shared" ref="R225" si="957">HLOOKUP(Q225,E218:P224,7)</f>
        <v>307708191.36299729</v>
      </c>
    </row>
    <row r="226" spans="2:18" x14ac:dyDescent="0.25">
      <c r="B226" s="16"/>
      <c r="C226" t="s">
        <v>72</v>
      </c>
      <c r="D226">
        <f t="shared" ref="D226" si="958">$J225</f>
        <v>0</v>
      </c>
      <c r="J226" s="1">
        <f t="shared" ref="J226" si="959">ROUND(IF(J219=$E$4,$D$5,IF(J219=$E$6,$D$7,IF(J219=$E$8,$D$9,IF(J219=$E$10,$D$11,0))))*1000*(1+$D$2)^$B218,-4)</f>
        <v>0</v>
      </c>
      <c r="Q226">
        <f t="shared" si="866"/>
        <v>213</v>
      </c>
      <c r="R226" s="1">
        <f t="shared" ref="R226" si="960">HLOOKUP(Q226,E218:P224,7)</f>
        <v>310131325.08954346</v>
      </c>
    </row>
    <row r="227" spans="2:18" x14ac:dyDescent="0.25">
      <c r="B227" s="16"/>
      <c r="C227" t="s">
        <v>58</v>
      </c>
      <c r="D227">
        <f t="shared" ref="D227" si="961">D225+D226</f>
        <v>0</v>
      </c>
      <c r="Q227">
        <f t="shared" si="866"/>
        <v>214</v>
      </c>
      <c r="R227" s="1">
        <f t="shared" ref="R227" si="962">HLOOKUP(Q227,E218:P224,7)</f>
        <v>312566023.71252328</v>
      </c>
    </row>
    <row r="228" spans="2:18" x14ac:dyDescent="0.25">
      <c r="B228" s="16"/>
      <c r="C228" t="s">
        <v>42</v>
      </c>
      <c r="D228" s="4">
        <f t="shared" ref="D228" si="963">P224*(1-D220)</f>
        <v>313501957.48577756</v>
      </c>
      <c r="Q228">
        <f t="shared" si="866"/>
        <v>215</v>
      </c>
      <c r="R228" s="1">
        <f t="shared" ref="R228" si="964">HLOOKUP(Q228,E218:P224,7)</f>
        <v>315012342.42774707</v>
      </c>
    </row>
    <row r="229" spans="2:18" x14ac:dyDescent="0.25">
      <c r="B229" s="16"/>
      <c r="Q229">
        <f t="shared" si="866"/>
        <v>216</v>
      </c>
      <c r="R229" s="1">
        <f t="shared" ref="R229" si="965">HLOOKUP(Q229,E218:P224,7)</f>
        <v>317470336.69445825</v>
      </c>
    </row>
    <row r="230" spans="2:18" x14ac:dyDescent="0.25">
      <c r="B230" s="16">
        <f t="shared" ref="B230" si="966">B218+1</f>
        <v>18</v>
      </c>
      <c r="C230" t="s">
        <v>40</v>
      </c>
      <c r="D230" s="2">
        <f t="shared" ref="D230" si="967">5.88%</f>
        <v>5.8799999999999998E-2</v>
      </c>
      <c r="E230">
        <f t="shared" ref="E230" si="968">($B230*12)+1</f>
        <v>217</v>
      </c>
      <c r="F230">
        <f t="shared" ref="F230" si="969">E230+1</f>
        <v>218</v>
      </c>
      <c r="G230">
        <f t="shared" ref="G230" si="970">F230+1</f>
        <v>219</v>
      </c>
      <c r="H230">
        <f t="shared" ref="H230" si="971">G230+1</f>
        <v>220</v>
      </c>
      <c r="I230">
        <f t="shared" ref="I230" si="972">H230+1</f>
        <v>221</v>
      </c>
      <c r="J230">
        <f t="shared" ref="J230" si="973">I230+1</f>
        <v>222</v>
      </c>
      <c r="K230">
        <f t="shared" ref="K230" si="974">J230+1</f>
        <v>223</v>
      </c>
      <c r="L230">
        <f t="shared" ref="L230" si="975">K230+1</f>
        <v>224</v>
      </c>
      <c r="M230">
        <f t="shared" ref="M230" si="976">L230+1</f>
        <v>225</v>
      </c>
      <c r="N230">
        <f t="shared" ref="N230" si="977">M230+1</f>
        <v>226</v>
      </c>
      <c r="O230">
        <f t="shared" ref="O230" si="978">N230+1</f>
        <v>227</v>
      </c>
      <c r="P230">
        <f t="shared" ref="P230" si="979">O230+1</f>
        <v>228</v>
      </c>
      <c r="Q230">
        <f t="shared" si="866"/>
        <v>217</v>
      </c>
      <c r="R230" s="1">
        <f t="shared" ref="R230" si="980">HLOOKUP(Q230,E230:P236,7)</f>
        <v>315952743.13447589</v>
      </c>
    </row>
    <row r="231" spans="2:18" x14ac:dyDescent="0.25">
      <c r="B231" s="16"/>
      <c r="C231" t="s">
        <v>41</v>
      </c>
      <c r="D231" s="3">
        <f t="shared" ref="D231" si="981">(1+D230)^(1/12)-1</f>
        <v>4.7727025161425907E-3</v>
      </c>
      <c r="E231">
        <f t="shared" ref="E231:P231" si="982">E230/12</f>
        <v>18.083333333333332</v>
      </c>
      <c r="F231">
        <f t="shared" si="982"/>
        <v>18.166666666666668</v>
      </c>
      <c r="G231">
        <f t="shared" si="982"/>
        <v>18.25</v>
      </c>
      <c r="H231">
        <f t="shared" si="982"/>
        <v>18.333333333333332</v>
      </c>
      <c r="I231">
        <f t="shared" si="982"/>
        <v>18.416666666666668</v>
      </c>
      <c r="J231">
        <f t="shared" si="982"/>
        <v>18.5</v>
      </c>
      <c r="K231">
        <f t="shared" si="982"/>
        <v>18.583333333333332</v>
      </c>
      <c r="L231">
        <f t="shared" si="982"/>
        <v>18.666666666666668</v>
      </c>
      <c r="M231">
        <f t="shared" si="982"/>
        <v>18.75</v>
      </c>
      <c r="N231">
        <f t="shared" si="982"/>
        <v>18.833333333333332</v>
      </c>
      <c r="O231">
        <f t="shared" si="982"/>
        <v>18.916666666666668</v>
      </c>
      <c r="P231">
        <f t="shared" si="982"/>
        <v>19</v>
      </c>
      <c r="Q231">
        <f t="shared" si="866"/>
        <v>218</v>
      </c>
      <c r="R231" s="1">
        <f t="shared" ref="R231" si="983">HLOOKUP(Q231,E230:P236,7)</f>
        <v>318415225.6540063</v>
      </c>
    </row>
    <row r="232" spans="2:18" x14ac:dyDescent="0.25">
      <c r="B232" s="16"/>
      <c r="C232" t="s">
        <v>53</v>
      </c>
      <c r="D232" s="2">
        <f t="shared" ref="D232" si="984">1.25%</f>
        <v>1.2500000000000001E-2</v>
      </c>
      <c r="E232" t="s">
        <v>59</v>
      </c>
      <c r="F232" t="s">
        <v>60</v>
      </c>
      <c r="G232" t="s">
        <v>61</v>
      </c>
      <c r="H232" t="s">
        <v>62</v>
      </c>
      <c r="I232" t="s">
        <v>63</v>
      </c>
      <c r="J232" t="s">
        <v>64</v>
      </c>
      <c r="K232" t="s">
        <v>65</v>
      </c>
      <c r="L232" t="s">
        <v>66</v>
      </c>
      <c r="M232" t="s">
        <v>67</v>
      </c>
      <c r="N232" t="s">
        <v>68</v>
      </c>
      <c r="O232" t="s">
        <v>69</v>
      </c>
      <c r="P232" t="s">
        <v>70</v>
      </c>
      <c r="Q232">
        <f t="shared" si="866"/>
        <v>219</v>
      </c>
      <c r="R232" s="1">
        <f t="shared" ref="R232" si="985">HLOOKUP(Q232,E230:P236,7)</f>
        <v>320889460.87005359</v>
      </c>
    </row>
    <row r="233" spans="2:18" x14ac:dyDescent="0.25">
      <c r="B233" s="16"/>
      <c r="C233" t="s">
        <v>54</v>
      </c>
      <c r="D233">
        <f>1</f>
        <v>1</v>
      </c>
      <c r="E233" s="2">
        <f t="shared" ref="E233:P233" si="986">$D219</f>
        <v>4.7727025161425907E-3</v>
      </c>
      <c r="F233" s="2">
        <f t="shared" si="986"/>
        <v>4.7727025161425907E-3</v>
      </c>
      <c r="G233" s="2">
        <f t="shared" si="986"/>
        <v>4.7727025161425907E-3</v>
      </c>
      <c r="H233" s="2">
        <f t="shared" si="986"/>
        <v>4.7727025161425907E-3</v>
      </c>
      <c r="I233" s="2">
        <f t="shared" si="986"/>
        <v>4.7727025161425907E-3</v>
      </c>
      <c r="J233" s="2">
        <f t="shared" si="986"/>
        <v>4.7727025161425907E-3</v>
      </c>
      <c r="K233" s="2">
        <f t="shared" si="986"/>
        <v>4.7727025161425907E-3</v>
      </c>
      <c r="L233" s="2">
        <f t="shared" si="986"/>
        <v>4.7727025161425907E-3</v>
      </c>
      <c r="M233" s="2">
        <f t="shared" si="986"/>
        <v>4.7727025161425907E-3</v>
      </c>
      <c r="N233" s="2">
        <f t="shared" si="986"/>
        <v>4.7727025161425907E-3</v>
      </c>
      <c r="O233" s="2">
        <f t="shared" si="986"/>
        <v>4.7727025161425907E-3</v>
      </c>
      <c r="P233" s="2">
        <f t="shared" si="986"/>
        <v>4.7727025161425907E-3</v>
      </c>
      <c r="Q233">
        <f t="shared" si="866"/>
        <v>220</v>
      </c>
      <c r="R233" s="1">
        <f t="shared" ref="R233" si="987">HLOOKUP(Q233,E230:P236,7)</f>
        <v>323375504.87474203</v>
      </c>
    </row>
    <row r="234" spans="2:18" x14ac:dyDescent="0.25">
      <c r="B234" s="16"/>
      <c r="C234" t="s">
        <v>55</v>
      </c>
      <c r="D234">
        <f t="shared" ref="D234" si="988">D233*12</f>
        <v>12</v>
      </c>
      <c r="E234">
        <f>1</f>
        <v>1</v>
      </c>
      <c r="F234">
        <f>1</f>
        <v>1</v>
      </c>
      <c r="G234">
        <f>1</f>
        <v>1</v>
      </c>
      <c r="H234">
        <f>1</f>
        <v>1</v>
      </c>
      <c r="I234">
        <f>1</f>
        <v>1</v>
      </c>
      <c r="J234">
        <f>1</f>
        <v>1</v>
      </c>
      <c r="K234">
        <f>1</f>
        <v>1</v>
      </c>
      <c r="L234">
        <f>1</f>
        <v>1</v>
      </c>
      <c r="M234">
        <f>1</f>
        <v>1</v>
      </c>
      <c r="N234">
        <f>1</f>
        <v>1</v>
      </c>
      <c r="O234">
        <f>1</f>
        <v>1</v>
      </c>
      <c r="P234">
        <f>1</f>
        <v>1</v>
      </c>
      <c r="Q234">
        <f t="shared" si="866"/>
        <v>221</v>
      </c>
      <c r="R234" s="1">
        <f t="shared" ref="R234" si="989">HLOOKUP(Q234,E230:P236,7)</f>
        <v>325873414.02790689</v>
      </c>
    </row>
    <row r="235" spans="2:18" x14ac:dyDescent="0.25">
      <c r="B235" s="16"/>
      <c r="C235" t="s">
        <v>57</v>
      </c>
      <c r="D235" s="10">
        <f t="shared" ref="D235" si="990">D223*(1+$D$2)</f>
        <v>1356.8339351974601</v>
      </c>
      <c r="E235" s="1">
        <f t="shared" ref="E235:F235" si="991">IF(E231&lt;6.5,$D236*1000,IF($D237=0,0,$D236*1000))</f>
        <v>0</v>
      </c>
      <c r="F235" s="1">
        <f t="shared" si="991"/>
        <v>0</v>
      </c>
      <c r="G235" s="1">
        <f t="shared" ref="G235" si="992">IF(G231&lt;6.5,$D236*1000,IF($D237=0,0,$D236*1000))</f>
        <v>0</v>
      </c>
      <c r="H235" s="1">
        <f t="shared" ref="H235" si="993">IF(H231&lt;6.5,$D236*1000,IF($D237=0,0,$D236*1000))</f>
        <v>0</v>
      </c>
      <c r="I235" s="1">
        <f t="shared" ref="I235" si="994">IF(I231&lt;6.5,$D236*1000,IF($D237=0,0,$D236*1000))</f>
        <v>0</v>
      </c>
      <c r="J235" s="1">
        <f t="shared" ref="J235:K235" si="995">IF(J231&lt;6.5,$D236*1000,IF($D238=0,0,$D236*1000))</f>
        <v>1360000</v>
      </c>
      <c r="K235" s="1">
        <f t="shared" si="995"/>
        <v>1360000</v>
      </c>
      <c r="L235" s="1">
        <f t="shared" ref="L235" si="996">IF(L231&lt;6.5,$D236*1000,IF($D238=0,0,$D236*1000))</f>
        <v>1360000</v>
      </c>
      <c r="M235" s="1">
        <f t="shared" ref="M235" si="997">IF(M231&lt;6.5,$D236*1000,IF($D238=0,0,$D236*1000))</f>
        <v>1360000</v>
      </c>
      <c r="N235" s="1">
        <f t="shared" ref="N235" si="998">IF(N231&lt;6.5,$D236*1000,IF($D238=0,0,$D236*1000))</f>
        <v>1360000</v>
      </c>
      <c r="O235" s="1">
        <f t="shared" ref="O235" si="999">IF(O231&lt;6.5,$D236*1000,IF($D238=0,0,$D236*1000))</f>
        <v>1360000</v>
      </c>
      <c r="P235" s="1">
        <f t="shared" ref="P235" si="1000">IF(P231&lt;6.5,$D236*1000,IF($D238=0,0,$D236*1000))</f>
        <v>1360000</v>
      </c>
      <c r="Q235">
        <f t="shared" si="866"/>
        <v>222</v>
      </c>
      <c r="R235" s="1">
        <f t="shared" ref="R235" si="1001">HLOOKUP(Q235,E230:P236,7)</f>
        <v>206406853.19102001</v>
      </c>
    </row>
    <row r="236" spans="2:18" x14ac:dyDescent="0.25">
      <c r="B236" s="16"/>
      <c r="C236" t="s">
        <v>56</v>
      </c>
      <c r="D236" s="10">
        <f t="shared" ref="D236" si="1002">ROUND(D235,-1)</f>
        <v>1360</v>
      </c>
      <c r="E236" s="1">
        <f t="shared" ref="E236" si="1003">-FV($E$17,$E$18,$E$19,D228-E237,1)</f>
        <v>315952743.13447589</v>
      </c>
      <c r="F236" s="1">
        <f t="shared" ref="F236:I236" si="1004">-FV($E$17,$E$18,$E$19,E236,1)</f>
        <v>318415225.6540063</v>
      </c>
      <c r="G236" s="1">
        <f t="shared" si="1004"/>
        <v>320889460.87005359</v>
      </c>
      <c r="H236" s="1">
        <f t="shared" si="1004"/>
        <v>323375504.87474203</v>
      </c>
      <c r="I236" s="1">
        <f t="shared" si="1004"/>
        <v>325873414.02790689</v>
      </c>
      <c r="J236" s="1">
        <f t="shared" ref="J236" si="1005">-FV($E$17,$E$18,$E$19,I236-J237-J238,1)</f>
        <v>206406853.19102001</v>
      </c>
      <c r="K236" s="1">
        <f t="shared" ref="K236" si="1006">-FV($E$17,$E$18,$E$19,J236,1)</f>
        <v>208346505.76598418</v>
      </c>
      <c r="L236" s="1">
        <f t="shared" ref="L236" si="1007">-FV($E$17,$E$18,$E$19,K236,1)</f>
        <v>210295415.72567332</v>
      </c>
      <c r="M236" s="1">
        <f t="shared" ref="M236" si="1008">-FV($E$17,$E$18,$E$19,L236,1)</f>
        <v>212253627.2528308</v>
      </c>
      <c r="N236" s="1">
        <f t="shared" ref="N236" si="1009">-FV($E$17,$E$18,$E$19,M236,1)</f>
        <v>214221184.74107111</v>
      </c>
      <c r="O236" s="1">
        <f t="shared" ref="O236" si="1010">-FV($E$17,$E$18,$E$19,N236,1)</f>
        <v>216198132.79588619</v>
      </c>
      <c r="P236" s="1">
        <f t="shared" ref="P236" si="1011">-FV($E$17,$E$18,$E$19,O236,1)</f>
        <v>218184516.23565677</v>
      </c>
      <c r="Q236">
        <f t="shared" si="866"/>
        <v>223</v>
      </c>
      <c r="R236" s="1">
        <f t="shared" ref="R236" si="1012">HLOOKUP(Q236,E230:P236,7)</f>
        <v>208346505.76598418</v>
      </c>
    </row>
    <row r="237" spans="2:18" x14ac:dyDescent="0.25">
      <c r="B237" s="16"/>
      <c r="C237" t="s">
        <v>71</v>
      </c>
      <c r="D237">
        <f t="shared" ref="D237" si="1013">$E237</f>
        <v>0</v>
      </c>
      <c r="E237" s="1">
        <f t="shared" ref="E237" si="1014">ROUNDUP(IF(E231&gt;=$E$13,$D$13,IF(E231&gt;=$E$12,$D$12,IF(E231&gt;=$E$10,$D$10,IF(E231&gt;=$E$8,$D$8,IF(E231&gt;=$E$6,$D$6,IF(E231&gt;=$E$4,$D$4,0))))))*1000*(1+$D$2)^$B230,-3)</f>
        <v>0</v>
      </c>
      <c r="J237" s="1">
        <f t="shared" ref="J237" si="1015">ROUNDUP(IF(J231&gt;=$E$13,$D$13,IF(J231&gt;=$E$12,$D$12,IF(J231&gt;=$E$10,$D$10,IF(J231&gt;=$E$8,$D$8,IF(J231&gt;=$E$6,$D$6,IF(J231&gt;=$E$4,$D$4,0))))))*1000*(1+$D$2)^$B230,-3)</f>
        <v>35707000</v>
      </c>
      <c r="Q237">
        <f t="shared" si="866"/>
        <v>224</v>
      </c>
      <c r="R237" s="1">
        <f t="shared" ref="R237" si="1016">HLOOKUP(Q237,E230:P236,7)</f>
        <v>210295415.72567332</v>
      </c>
    </row>
    <row r="238" spans="2:18" x14ac:dyDescent="0.25">
      <c r="B238" s="16"/>
      <c r="C238" t="s">
        <v>72</v>
      </c>
      <c r="D238">
        <f t="shared" ref="D238" si="1017">$J237</f>
        <v>35707000</v>
      </c>
      <c r="J238" s="1">
        <f t="shared" ref="J238" si="1018">ROUND(IF(J231=$E$4,$D$5,IF(J231=$E$6,$D$7,IF(J231=$E$8,$D$9,IF(J231=$E$10,$D$11,0))))*1000*(1+$D$2)^$B230,-4)</f>
        <v>85690000</v>
      </c>
      <c r="Q238">
        <f t="shared" si="866"/>
        <v>225</v>
      </c>
      <c r="R238" s="1">
        <f t="shared" ref="R238" si="1019">HLOOKUP(Q238,E230:P236,7)</f>
        <v>212253627.2528308</v>
      </c>
    </row>
    <row r="239" spans="2:18" x14ac:dyDescent="0.25">
      <c r="B239" s="16"/>
      <c r="C239" t="s">
        <v>58</v>
      </c>
      <c r="D239">
        <f t="shared" ref="D239" si="1020">D237+D238</f>
        <v>35707000</v>
      </c>
      <c r="Q239">
        <f t="shared" si="866"/>
        <v>226</v>
      </c>
      <c r="R239" s="1">
        <f t="shared" ref="R239" si="1021">HLOOKUP(Q239,E230:P236,7)</f>
        <v>214221184.74107111</v>
      </c>
    </row>
    <row r="240" spans="2:18" x14ac:dyDescent="0.25">
      <c r="B240" s="16"/>
      <c r="C240" t="s">
        <v>42</v>
      </c>
      <c r="D240" s="4">
        <f t="shared" ref="D240" si="1022">P236*(1-D232)</f>
        <v>215457209.78271106</v>
      </c>
      <c r="Q240">
        <f t="shared" si="866"/>
        <v>227</v>
      </c>
      <c r="R240" s="1">
        <f t="shared" ref="R240" si="1023">HLOOKUP(Q240,E230:P236,7)</f>
        <v>216198132.79588619</v>
      </c>
    </row>
    <row r="241" spans="2:18" x14ac:dyDescent="0.25">
      <c r="B241" s="16"/>
      <c r="Q241">
        <f t="shared" si="866"/>
        <v>228</v>
      </c>
      <c r="R241" s="1">
        <f t="shared" ref="R241" si="1024">HLOOKUP(Q241,E230:P236,7)</f>
        <v>218184516.23565677</v>
      </c>
    </row>
    <row r="242" spans="2:18" x14ac:dyDescent="0.25">
      <c r="B242" s="16">
        <f t="shared" ref="B242" si="1025">B230+1</f>
        <v>19</v>
      </c>
      <c r="C242" t="s">
        <v>40</v>
      </c>
      <c r="D242" s="2">
        <f t="shared" ref="D242" si="1026">5.88%</f>
        <v>5.8799999999999998E-2</v>
      </c>
      <c r="E242">
        <f t="shared" ref="E242" si="1027">($B242*12)+1</f>
        <v>229</v>
      </c>
      <c r="F242">
        <f t="shared" ref="F242" si="1028">E242+1</f>
        <v>230</v>
      </c>
      <c r="G242">
        <f t="shared" ref="G242" si="1029">F242+1</f>
        <v>231</v>
      </c>
      <c r="H242">
        <f t="shared" ref="H242" si="1030">G242+1</f>
        <v>232</v>
      </c>
      <c r="I242">
        <f t="shared" ref="I242" si="1031">H242+1</f>
        <v>233</v>
      </c>
      <c r="J242">
        <f t="shared" ref="J242" si="1032">I242+1</f>
        <v>234</v>
      </c>
      <c r="K242">
        <f t="shared" ref="K242" si="1033">J242+1</f>
        <v>235</v>
      </c>
      <c r="L242">
        <f t="shared" ref="L242" si="1034">K242+1</f>
        <v>236</v>
      </c>
      <c r="M242">
        <f t="shared" ref="M242" si="1035">L242+1</f>
        <v>237</v>
      </c>
      <c r="N242">
        <f t="shared" ref="N242" si="1036">M242+1</f>
        <v>238</v>
      </c>
      <c r="O242">
        <f t="shared" ref="O242" si="1037">N242+1</f>
        <v>239</v>
      </c>
      <c r="P242">
        <f t="shared" ref="P242" si="1038">O242+1</f>
        <v>240</v>
      </c>
      <c r="Q242">
        <f t="shared" si="866"/>
        <v>229</v>
      </c>
      <c r="R242" s="1">
        <f t="shared" ref="R242" si="1039">HLOOKUP(Q242,E242:P248,7)</f>
        <v>180845230.41901195</v>
      </c>
    </row>
    <row r="243" spans="2:18" x14ac:dyDescent="0.25">
      <c r="B243" s="16"/>
      <c r="C243" t="s">
        <v>41</v>
      </c>
      <c r="D243" s="3">
        <f t="shared" ref="D243" si="1040">(1+D242)^(1/12)-1</f>
        <v>4.7727025161425907E-3</v>
      </c>
      <c r="E243">
        <f t="shared" ref="E243:P243" si="1041">E242/12</f>
        <v>19.083333333333332</v>
      </c>
      <c r="F243">
        <f t="shared" si="1041"/>
        <v>19.166666666666668</v>
      </c>
      <c r="G243">
        <f t="shared" si="1041"/>
        <v>19.25</v>
      </c>
      <c r="H243">
        <f t="shared" si="1041"/>
        <v>19.333333333333332</v>
      </c>
      <c r="I243">
        <f t="shared" si="1041"/>
        <v>19.416666666666668</v>
      </c>
      <c r="J243">
        <f t="shared" si="1041"/>
        <v>19.5</v>
      </c>
      <c r="K243">
        <f t="shared" si="1041"/>
        <v>19.583333333333332</v>
      </c>
      <c r="L243">
        <f t="shared" si="1041"/>
        <v>19.666666666666668</v>
      </c>
      <c r="M243">
        <f t="shared" si="1041"/>
        <v>19.75</v>
      </c>
      <c r="N243">
        <f t="shared" si="1041"/>
        <v>19.833333333333332</v>
      </c>
      <c r="O243">
        <f t="shared" si="1041"/>
        <v>19.916666666666668</v>
      </c>
      <c r="P243">
        <f t="shared" si="1041"/>
        <v>20</v>
      </c>
      <c r="Q243">
        <f t="shared" si="866"/>
        <v>230</v>
      </c>
      <c r="R243" s="1">
        <f t="shared" ref="R243" si="1042">HLOOKUP(Q243,E242:P248,7)</f>
        <v>182662884.97265548</v>
      </c>
    </row>
    <row r="244" spans="2:18" x14ac:dyDescent="0.25">
      <c r="B244" s="16"/>
      <c r="C244" t="s">
        <v>53</v>
      </c>
      <c r="D244" s="2">
        <f t="shared" ref="D244" si="1043">1.25%</f>
        <v>1.2500000000000001E-2</v>
      </c>
      <c r="E244" t="s">
        <v>59</v>
      </c>
      <c r="F244" t="s">
        <v>60</v>
      </c>
      <c r="G244" t="s">
        <v>61</v>
      </c>
      <c r="H244" t="s">
        <v>62</v>
      </c>
      <c r="I244" t="s">
        <v>63</v>
      </c>
      <c r="J244" t="s">
        <v>64</v>
      </c>
      <c r="K244" t="s">
        <v>65</v>
      </c>
      <c r="L244" t="s">
        <v>66</v>
      </c>
      <c r="M244" t="s">
        <v>67</v>
      </c>
      <c r="N244" t="s">
        <v>68</v>
      </c>
      <c r="O244" t="s">
        <v>69</v>
      </c>
      <c r="P244" t="s">
        <v>70</v>
      </c>
      <c r="Q244">
        <f t="shared" si="866"/>
        <v>231</v>
      </c>
      <c r="R244" s="1">
        <f t="shared" ref="R244" si="1044">HLOOKUP(Q244,E242:P248,7)</f>
        <v>184489214.65076065</v>
      </c>
    </row>
    <row r="245" spans="2:18" x14ac:dyDescent="0.25">
      <c r="B245" s="16"/>
      <c r="C245" t="s">
        <v>54</v>
      </c>
      <c r="D245">
        <f>1</f>
        <v>1</v>
      </c>
      <c r="E245" s="2">
        <f t="shared" ref="E245:P245" si="1045">$D231</f>
        <v>4.7727025161425907E-3</v>
      </c>
      <c r="F245" s="2">
        <f t="shared" si="1045"/>
        <v>4.7727025161425907E-3</v>
      </c>
      <c r="G245" s="2">
        <f t="shared" si="1045"/>
        <v>4.7727025161425907E-3</v>
      </c>
      <c r="H245" s="2">
        <f t="shared" si="1045"/>
        <v>4.7727025161425907E-3</v>
      </c>
      <c r="I245" s="2">
        <f t="shared" si="1045"/>
        <v>4.7727025161425907E-3</v>
      </c>
      <c r="J245" s="2">
        <f t="shared" si="1045"/>
        <v>4.7727025161425907E-3</v>
      </c>
      <c r="K245" s="2">
        <f t="shared" si="1045"/>
        <v>4.7727025161425907E-3</v>
      </c>
      <c r="L245" s="2">
        <f t="shared" si="1045"/>
        <v>4.7727025161425907E-3</v>
      </c>
      <c r="M245" s="2">
        <f t="shared" si="1045"/>
        <v>4.7727025161425907E-3</v>
      </c>
      <c r="N245" s="2">
        <f t="shared" si="1045"/>
        <v>4.7727025161425907E-3</v>
      </c>
      <c r="O245" s="2">
        <f t="shared" si="1045"/>
        <v>4.7727025161425907E-3</v>
      </c>
      <c r="P245" s="2">
        <f t="shared" si="1045"/>
        <v>4.7727025161425907E-3</v>
      </c>
      <c r="Q245">
        <f t="shared" si="866"/>
        <v>232</v>
      </c>
      <c r="R245" s="1">
        <f t="shared" ref="R245" si="1046">HLOOKUP(Q245,E242:P248,7)</f>
        <v>186324260.85711583</v>
      </c>
    </row>
    <row r="246" spans="2:18" x14ac:dyDescent="0.25">
      <c r="B246" s="16"/>
      <c r="C246" t="s">
        <v>55</v>
      </c>
      <c r="D246">
        <f t="shared" ref="D246" si="1047">D245*12</f>
        <v>12</v>
      </c>
      <c r="E246">
        <f>1</f>
        <v>1</v>
      </c>
      <c r="F246">
        <f>1</f>
        <v>1</v>
      </c>
      <c r="G246">
        <f>1</f>
        <v>1</v>
      </c>
      <c r="H246">
        <f>1</f>
        <v>1</v>
      </c>
      <c r="I246">
        <f>1</f>
        <v>1</v>
      </c>
      <c r="J246">
        <f>1</f>
        <v>1</v>
      </c>
      <c r="K246">
        <f>1</f>
        <v>1</v>
      </c>
      <c r="L246">
        <f>1</f>
        <v>1</v>
      </c>
      <c r="M246">
        <f>1</f>
        <v>1</v>
      </c>
      <c r="N246">
        <f>1</f>
        <v>1</v>
      </c>
      <c r="O246">
        <f>1</f>
        <v>1</v>
      </c>
      <c r="P246">
        <f>1</f>
        <v>1</v>
      </c>
      <c r="Q246">
        <f t="shared" si="866"/>
        <v>233</v>
      </c>
      <c r="R246" s="1">
        <f t="shared" ref="R246" si="1048">HLOOKUP(Q246,E242:P248,7)</f>
        <v>188168065.19311732</v>
      </c>
    </row>
    <row r="247" spans="2:18" x14ac:dyDescent="0.25">
      <c r="B247" s="16"/>
      <c r="C247" t="s">
        <v>57</v>
      </c>
      <c r="D247" s="10">
        <f t="shared" ref="D247" si="1049">D235*(1+$D$2)</f>
        <v>1383.9706139014093</v>
      </c>
      <c r="E247" s="1">
        <f t="shared" ref="E247:F247" si="1050">IF(E243&lt;6.5,$D248*1000,IF($D249=0,0,$D248*1000))</f>
        <v>1380000</v>
      </c>
      <c r="F247" s="1">
        <f t="shared" si="1050"/>
        <v>1380000</v>
      </c>
      <c r="G247" s="1">
        <f t="shared" ref="G247" si="1051">IF(G243&lt;6.5,$D248*1000,IF($D249=0,0,$D248*1000))</f>
        <v>1380000</v>
      </c>
      <c r="H247" s="1">
        <f t="shared" ref="H247" si="1052">IF(H243&lt;6.5,$D248*1000,IF($D249=0,0,$D248*1000))</f>
        <v>1380000</v>
      </c>
      <c r="I247" s="1">
        <f t="shared" ref="I247" si="1053">IF(I243&lt;6.5,$D248*1000,IF($D249=0,0,$D248*1000))</f>
        <v>1380000</v>
      </c>
      <c r="J247" s="1">
        <f t="shared" ref="J247:K247" si="1054">IF(J243&lt;6.5,$D248*1000,IF($D250=0,0,$D248*1000))</f>
        <v>1380000</v>
      </c>
      <c r="K247" s="1">
        <f t="shared" si="1054"/>
        <v>1380000</v>
      </c>
      <c r="L247" s="1">
        <f t="shared" ref="L247" si="1055">IF(L243&lt;6.5,$D248*1000,IF($D250=0,0,$D248*1000))</f>
        <v>1380000</v>
      </c>
      <c r="M247" s="1">
        <f t="shared" ref="M247" si="1056">IF(M243&lt;6.5,$D248*1000,IF($D250=0,0,$D248*1000))</f>
        <v>1380000</v>
      </c>
      <c r="N247" s="1">
        <f t="shared" ref="N247" si="1057">IF(N243&lt;6.5,$D248*1000,IF($D250=0,0,$D248*1000))</f>
        <v>1380000</v>
      </c>
      <c r="O247" s="1">
        <f t="shared" ref="O247" si="1058">IF(O243&lt;6.5,$D248*1000,IF($D250=0,0,$D248*1000))</f>
        <v>1380000</v>
      </c>
      <c r="P247" s="1">
        <f t="shared" ref="P247" si="1059">IF(P243&lt;6.5,$D248*1000,IF($D250=0,0,$D248*1000))</f>
        <v>1380000</v>
      </c>
      <c r="Q247">
        <f t="shared" si="866"/>
        <v>234</v>
      </c>
      <c r="R247" s="1">
        <f t="shared" ref="R247" si="1060">HLOOKUP(Q247,E242:P248,7)</f>
        <v>153425842.8603721</v>
      </c>
    </row>
    <row r="248" spans="2:18" x14ac:dyDescent="0.25">
      <c r="B248" s="16"/>
      <c r="C248" t="s">
        <v>56</v>
      </c>
      <c r="D248" s="10">
        <f t="shared" ref="D248" si="1061">ROUND(D247,-1)</f>
        <v>1380</v>
      </c>
      <c r="E248" s="1">
        <f t="shared" ref="E248" si="1062">-FV($E$17,$E$18,$E$19,D240-E249,1)</f>
        <v>180845230.41901195</v>
      </c>
      <c r="F248" s="1">
        <f t="shared" ref="F248:I248" si="1063">-FV($E$17,$E$18,$E$19,E248,1)</f>
        <v>182662884.97265548</v>
      </c>
      <c r="G248" s="1">
        <f t="shared" si="1063"/>
        <v>184489214.65076065</v>
      </c>
      <c r="H248" s="1">
        <f t="shared" si="1063"/>
        <v>186324260.85711583</v>
      </c>
      <c r="I248" s="1">
        <f t="shared" si="1063"/>
        <v>188168065.19311732</v>
      </c>
      <c r="J248" s="1">
        <f t="shared" ref="J248" si="1064">-FV($E$17,$E$18,$E$19,I248-J249-J250,1)</f>
        <v>153425842.8603721</v>
      </c>
      <c r="K248" s="1">
        <f t="shared" ref="K248" si="1065">-FV($E$17,$E$18,$E$19,J248,1)</f>
        <v>155112632.83402342</v>
      </c>
      <c r="L248" s="1">
        <f t="shared" ref="L248" si="1066">-FV($E$17,$E$18,$E$19,K248,1)</f>
        <v>156807473.35442618</v>
      </c>
      <c r="M248" s="1">
        <f t="shared" ref="M248" si="1067">-FV($E$17,$E$18,$E$19,L248,1)</f>
        <v>158510402.84444514</v>
      </c>
      <c r="N248" s="1">
        <f t="shared" ref="N248" si="1068">-FV($E$17,$E$18,$E$19,M248,1)</f>
        <v>160221459.91032591</v>
      </c>
      <c r="O248" s="1">
        <f t="shared" ref="O248" si="1069">-FV($E$17,$E$18,$E$19,N248,1)</f>
        <v>161940683.34257028</v>
      </c>
      <c r="P248" s="1">
        <f t="shared" ref="P248" si="1070">-FV($E$17,$E$18,$E$19,O248,1)</f>
        <v>163668112.11681554</v>
      </c>
      <c r="Q248">
        <f t="shared" si="866"/>
        <v>235</v>
      </c>
      <c r="R248" s="1">
        <f t="shared" ref="R248" si="1071">HLOOKUP(Q248,E242:P248,7)</f>
        <v>155112632.83402342</v>
      </c>
    </row>
    <row r="249" spans="2:18" x14ac:dyDescent="0.25">
      <c r="B249" s="16"/>
      <c r="C249" t="s">
        <v>71</v>
      </c>
      <c r="D249">
        <f t="shared" ref="D249" si="1072">$E249</f>
        <v>36421000</v>
      </c>
      <c r="E249" s="1">
        <f t="shared" ref="E249" si="1073">ROUNDUP(IF(E243&gt;=$E$13,$D$13,IF(E243&gt;=$E$12,$D$12,IF(E243&gt;=$E$10,$D$10,IF(E243&gt;=$E$8,$D$8,IF(E243&gt;=$E$6,$D$6,IF(E243&gt;=$E$4,$D$4,0))))))*1000*(1+$D$2)^$B242,-3)</f>
        <v>36421000</v>
      </c>
      <c r="J249" s="1">
        <f t="shared" ref="J249" si="1074">ROUNDUP(IF(J243&gt;=$E$13,$D$13,IF(J243&gt;=$E$12,$D$12,IF(J243&gt;=$E$10,$D$10,IF(J243&gt;=$E$8,$D$8,IF(J243&gt;=$E$6,$D$6,IF(J243&gt;=$E$4,$D$4,0))))))*1000*(1+$D$2)^$B242,-3)</f>
        <v>36421000</v>
      </c>
      <c r="Q249">
        <f t="shared" si="866"/>
        <v>236</v>
      </c>
      <c r="R249" s="1">
        <f t="shared" ref="R249" si="1075">HLOOKUP(Q249,E242:P248,7)</f>
        <v>156807473.35442618</v>
      </c>
    </row>
    <row r="250" spans="2:18" x14ac:dyDescent="0.25">
      <c r="B250" s="16"/>
      <c r="C250" t="s">
        <v>72</v>
      </c>
      <c r="D250">
        <f t="shared" ref="D250" si="1076">$J249</f>
        <v>36421000</v>
      </c>
      <c r="J250" s="1">
        <f t="shared" ref="J250" si="1077">ROUND(IF(J243=$E$4,$D$5,IF(J243=$E$6,$D$7,IF(J243=$E$8,$D$9,IF(J243=$E$10,$D$11,0))))*1000*(1+$D$2)^$B242,-4)</f>
        <v>0</v>
      </c>
      <c r="Q250">
        <f t="shared" si="866"/>
        <v>237</v>
      </c>
      <c r="R250" s="1">
        <f t="shared" ref="R250" si="1078">HLOOKUP(Q250,E242:P248,7)</f>
        <v>158510402.84444514</v>
      </c>
    </row>
    <row r="251" spans="2:18" x14ac:dyDescent="0.25">
      <c r="B251" s="16"/>
      <c r="C251" t="s">
        <v>58</v>
      </c>
      <c r="D251">
        <f t="shared" ref="D251" si="1079">D249+D250</f>
        <v>72842000</v>
      </c>
      <c r="Q251">
        <f t="shared" si="866"/>
        <v>238</v>
      </c>
      <c r="R251" s="1">
        <f t="shared" ref="R251" si="1080">HLOOKUP(Q251,E242:P248,7)</f>
        <v>160221459.91032591</v>
      </c>
    </row>
    <row r="252" spans="2:18" x14ac:dyDescent="0.25">
      <c r="B252" s="16"/>
      <c r="C252" t="s">
        <v>42</v>
      </c>
      <c r="D252" s="4">
        <f t="shared" ref="D252" si="1081">P248*(1-D244)</f>
        <v>161622260.71535534</v>
      </c>
      <c r="Q252">
        <f t="shared" si="866"/>
        <v>239</v>
      </c>
      <c r="R252" s="1">
        <f t="shared" ref="R252" si="1082">HLOOKUP(Q252,E242:P248,7)</f>
        <v>161940683.34257028</v>
      </c>
    </row>
    <row r="253" spans="2:18" x14ac:dyDescent="0.25">
      <c r="B253" s="16"/>
      <c r="Q253">
        <f t="shared" si="866"/>
        <v>240</v>
      </c>
      <c r="R253" s="1">
        <f t="shared" ref="R253" si="1083">HLOOKUP(Q253,E242:P248,7)</f>
        <v>163668112.11681554</v>
      </c>
    </row>
    <row r="254" spans="2:18" x14ac:dyDescent="0.25">
      <c r="B254" s="16">
        <f t="shared" ref="B254" si="1084">B242+1</f>
        <v>20</v>
      </c>
      <c r="C254" t="s">
        <v>40</v>
      </c>
      <c r="D254" s="2">
        <f t="shared" ref="D254" si="1085">5.88%</f>
        <v>5.8799999999999998E-2</v>
      </c>
      <c r="E254">
        <f t="shared" ref="E254" si="1086">($B254*12)+1</f>
        <v>241</v>
      </c>
      <c r="F254">
        <f t="shared" ref="F254" si="1087">E254+1</f>
        <v>242</v>
      </c>
      <c r="G254">
        <f t="shared" ref="G254" si="1088">F254+1</f>
        <v>243</v>
      </c>
      <c r="H254">
        <f t="shared" ref="H254" si="1089">G254+1</f>
        <v>244</v>
      </c>
      <c r="I254">
        <f t="shared" ref="I254" si="1090">H254+1</f>
        <v>245</v>
      </c>
      <c r="J254">
        <f t="shared" ref="J254" si="1091">I254+1</f>
        <v>246</v>
      </c>
      <c r="K254">
        <f t="shared" ref="K254" si="1092">J254+1</f>
        <v>247</v>
      </c>
      <c r="L254">
        <f t="shared" ref="L254" si="1093">K254+1</f>
        <v>248</v>
      </c>
      <c r="M254">
        <f t="shared" ref="M254" si="1094">L254+1</f>
        <v>249</v>
      </c>
      <c r="N254">
        <f t="shared" ref="N254" si="1095">M254+1</f>
        <v>250</v>
      </c>
      <c r="O254">
        <f t="shared" ref="O254" si="1096">N254+1</f>
        <v>251</v>
      </c>
      <c r="P254">
        <f t="shared" ref="P254" si="1097">O254+1</f>
        <v>252</v>
      </c>
      <c r="Q254">
        <f t="shared" si="866"/>
        <v>241</v>
      </c>
      <c r="R254" s="1">
        <f t="shared" ref="R254" si="1098">HLOOKUP(Q254,E254:P260,7)</f>
        <v>126021868.62735432</v>
      </c>
    </row>
    <row r="255" spans="2:18" x14ac:dyDescent="0.25">
      <c r="B255" s="16"/>
      <c r="C255" t="s">
        <v>41</v>
      </c>
      <c r="D255" s="3">
        <f t="shared" ref="D255" si="1099">(1+D254)^(1/12)-1</f>
        <v>4.7727025161425907E-3</v>
      </c>
      <c r="E255">
        <f t="shared" ref="E255:P255" si="1100">E254/12</f>
        <v>20.083333333333332</v>
      </c>
      <c r="F255">
        <f t="shared" si="1100"/>
        <v>20.166666666666668</v>
      </c>
      <c r="G255">
        <f t="shared" si="1100"/>
        <v>20.25</v>
      </c>
      <c r="H255">
        <f t="shared" si="1100"/>
        <v>20.333333333333332</v>
      </c>
      <c r="I255">
        <f t="shared" si="1100"/>
        <v>20.416666666666668</v>
      </c>
      <c r="J255">
        <f t="shared" si="1100"/>
        <v>20.5</v>
      </c>
      <c r="K255">
        <f t="shared" si="1100"/>
        <v>20.583333333333332</v>
      </c>
      <c r="L255">
        <f t="shared" si="1100"/>
        <v>20.666666666666668</v>
      </c>
      <c r="M255">
        <f t="shared" si="1100"/>
        <v>20.75</v>
      </c>
      <c r="N255">
        <f t="shared" si="1100"/>
        <v>20.833333333333332</v>
      </c>
      <c r="O255">
        <f t="shared" si="1100"/>
        <v>20.916666666666668</v>
      </c>
      <c r="P255">
        <f t="shared" si="1100"/>
        <v>21</v>
      </c>
      <c r="Q255">
        <f t="shared" si="866"/>
        <v>242</v>
      </c>
      <c r="R255" s="1">
        <f t="shared" ref="R255" si="1101">HLOOKUP(Q255,E254:P260,7)</f>
        <v>127577867.58423142</v>
      </c>
    </row>
    <row r="256" spans="2:18" x14ac:dyDescent="0.25">
      <c r="B256" s="16"/>
      <c r="C256" t="s">
        <v>53</v>
      </c>
      <c r="D256" s="2">
        <f t="shared" ref="D256" si="1102">1.25%</f>
        <v>1.2500000000000001E-2</v>
      </c>
      <c r="E256" t="s">
        <v>59</v>
      </c>
      <c r="F256" t="s">
        <v>60</v>
      </c>
      <c r="G256" t="s">
        <v>61</v>
      </c>
      <c r="H256" t="s">
        <v>62</v>
      </c>
      <c r="I256" t="s">
        <v>63</v>
      </c>
      <c r="J256" t="s">
        <v>64</v>
      </c>
      <c r="K256" t="s">
        <v>65</v>
      </c>
      <c r="L256" t="s">
        <v>66</v>
      </c>
      <c r="M256" t="s">
        <v>67</v>
      </c>
      <c r="N256" t="s">
        <v>68</v>
      </c>
      <c r="O256" t="s">
        <v>69</v>
      </c>
      <c r="P256" t="s">
        <v>70</v>
      </c>
      <c r="Q256">
        <f t="shared" si="866"/>
        <v>243</v>
      </c>
      <c r="R256" s="1">
        <f t="shared" ref="R256" si="1103">HLOOKUP(Q256,E254:P260,7)</f>
        <v>129141292.86124513</v>
      </c>
    </row>
    <row r="257" spans="2:18" x14ac:dyDescent="0.25">
      <c r="B257" s="16"/>
      <c r="C257" t="s">
        <v>54</v>
      </c>
      <c r="D257">
        <f>1</f>
        <v>1</v>
      </c>
      <c r="E257" s="2">
        <f t="shared" ref="E257:P257" si="1104">$D243</f>
        <v>4.7727025161425907E-3</v>
      </c>
      <c r="F257" s="2">
        <f t="shared" si="1104"/>
        <v>4.7727025161425907E-3</v>
      </c>
      <c r="G257" s="2">
        <f t="shared" si="1104"/>
        <v>4.7727025161425907E-3</v>
      </c>
      <c r="H257" s="2">
        <f t="shared" si="1104"/>
        <v>4.7727025161425907E-3</v>
      </c>
      <c r="I257" s="2">
        <f t="shared" si="1104"/>
        <v>4.7727025161425907E-3</v>
      </c>
      <c r="J257" s="2">
        <f t="shared" si="1104"/>
        <v>4.7727025161425907E-3</v>
      </c>
      <c r="K257" s="2">
        <f t="shared" si="1104"/>
        <v>4.7727025161425907E-3</v>
      </c>
      <c r="L257" s="2">
        <f t="shared" si="1104"/>
        <v>4.7727025161425907E-3</v>
      </c>
      <c r="M257" s="2">
        <f t="shared" si="1104"/>
        <v>4.7727025161425907E-3</v>
      </c>
      <c r="N257" s="2">
        <f t="shared" si="1104"/>
        <v>4.7727025161425907E-3</v>
      </c>
      <c r="O257" s="2">
        <f t="shared" si="1104"/>
        <v>4.7727025161425907E-3</v>
      </c>
      <c r="P257" s="2">
        <f t="shared" si="1104"/>
        <v>4.7727025161425907E-3</v>
      </c>
      <c r="Q257">
        <f t="shared" si="866"/>
        <v>244</v>
      </c>
      <c r="R257" s="1">
        <f t="shared" ref="R257" si="1105">HLOOKUP(Q257,E254:P260,7)</f>
        <v>130712179.90201223</v>
      </c>
    </row>
    <row r="258" spans="2:18" x14ac:dyDescent="0.25">
      <c r="B258" s="16"/>
      <c r="C258" t="s">
        <v>55</v>
      </c>
      <c r="D258">
        <f t="shared" ref="D258" si="1106">D257*12</f>
        <v>12</v>
      </c>
      <c r="E258">
        <f>1</f>
        <v>1</v>
      </c>
      <c r="F258">
        <f>1</f>
        <v>1</v>
      </c>
      <c r="G258">
        <f>1</f>
        <v>1</v>
      </c>
      <c r="H258">
        <f>1</f>
        <v>1</v>
      </c>
      <c r="I258">
        <f>1</f>
        <v>1</v>
      </c>
      <c r="J258">
        <f>1</f>
        <v>1</v>
      </c>
      <c r="K258">
        <f>1</f>
        <v>1</v>
      </c>
      <c r="L258">
        <f>1</f>
        <v>1</v>
      </c>
      <c r="M258">
        <f>1</f>
        <v>1</v>
      </c>
      <c r="N258">
        <f>1</f>
        <v>1</v>
      </c>
      <c r="O258">
        <f>1</f>
        <v>1</v>
      </c>
      <c r="P258">
        <f>1</f>
        <v>1</v>
      </c>
      <c r="Q258">
        <f t="shared" si="866"/>
        <v>245</v>
      </c>
      <c r="R258" s="1">
        <f t="shared" ref="R258" si="1107">HLOOKUP(Q258,E254:P260,7)</f>
        <v>132290564.31931138</v>
      </c>
    </row>
    <row r="259" spans="2:18" x14ac:dyDescent="0.25">
      <c r="B259" s="16"/>
      <c r="C259" t="s">
        <v>57</v>
      </c>
      <c r="D259" s="10">
        <f t="shared" ref="D259" si="1108">D247*(1+$D$2)</f>
        <v>1411.6500261794374</v>
      </c>
      <c r="E259" s="1">
        <f t="shared" ref="E259:F259" si="1109">IF(E255&lt;6.5,$D260*1000,IF($D261=0,0,$D260*1000))</f>
        <v>1410000</v>
      </c>
      <c r="F259" s="1">
        <f t="shared" si="1109"/>
        <v>1410000</v>
      </c>
      <c r="G259" s="1">
        <f t="shared" ref="G259" si="1110">IF(G255&lt;6.5,$D260*1000,IF($D261=0,0,$D260*1000))</f>
        <v>1410000</v>
      </c>
      <c r="H259" s="1">
        <f t="shared" ref="H259" si="1111">IF(H255&lt;6.5,$D260*1000,IF($D261=0,0,$D260*1000))</f>
        <v>1410000</v>
      </c>
      <c r="I259" s="1">
        <f t="shared" ref="I259" si="1112">IF(I255&lt;6.5,$D260*1000,IF($D261=0,0,$D260*1000))</f>
        <v>1410000</v>
      </c>
      <c r="J259" s="1">
        <f t="shared" ref="J259:K259" si="1113">IF(J255&lt;6.5,$D260*1000,IF($D262=0,0,$D260*1000))</f>
        <v>1410000</v>
      </c>
      <c r="K259" s="1">
        <f t="shared" si="1113"/>
        <v>1410000</v>
      </c>
      <c r="L259" s="1">
        <f t="shared" ref="L259" si="1114">IF(L255&lt;6.5,$D260*1000,IF($D262=0,0,$D260*1000))</f>
        <v>1410000</v>
      </c>
      <c r="M259" s="1">
        <f t="shared" ref="M259" si="1115">IF(M255&lt;6.5,$D260*1000,IF($D262=0,0,$D260*1000))</f>
        <v>1410000</v>
      </c>
      <c r="N259" s="1">
        <f t="shared" ref="N259" si="1116">IF(N255&lt;6.5,$D260*1000,IF($D262=0,0,$D260*1000))</f>
        <v>1410000</v>
      </c>
      <c r="O259" s="1">
        <f t="shared" ref="O259" si="1117">IF(O255&lt;6.5,$D260*1000,IF($D262=0,0,$D260*1000))</f>
        <v>1410000</v>
      </c>
      <c r="P259" s="1">
        <f t="shared" ref="P259" si="1118">IF(P255&lt;6.5,$D260*1000,IF($D262=0,0,$D260*1000))</f>
        <v>1410000</v>
      </c>
      <c r="Q259">
        <f t="shared" si="866"/>
        <v>246</v>
      </c>
      <c r="R259" s="1">
        <f t="shared" ref="R259" si="1119">HLOOKUP(Q259,E254:P260,7)</f>
        <v>96550180.770118237</v>
      </c>
    </row>
    <row r="260" spans="2:18" x14ac:dyDescent="0.25">
      <c r="B260" s="16"/>
      <c r="C260" t="s">
        <v>56</v>
      </c>
      <c r="D260" s="10">
        <f t="shared" ref="D260" si="1120">ROUND(D259,-1)</f>
        <v>1410</v>
      </c>
      <c r="E260" s="1">
        <f t="shared" ref="E260" si="1121">-FV($E$17,$E$18,$E$19,D252-E261,1)</f>
        <v>126021868.62735432</v>
      </c>
      <c r="F260" s="1">
        <f t="shared" ref="F260:I260" si="1122">-FV($E$17,$E$18,$E$19,E260,1)</f>
        <v>127577867.58423142</v>
      </c>
      <c r="G260" s="1">
        <f t="shared" si="1122"/>
        <v>129141292.86124513</v>
      </c>
      <c r="H260" s="1">
        <f t="shared" si="1122"/>
        <v>130712179.90201223</v>
      </c>
      <c r="I260" s="1">
        <f t="shared" si="1122"/>
        <v>132290564.31931138</v>
      </c>
      <c r="J260" s="1">
        <f t="shared" ref="J260" si="1123">-FV($E$17,$E$18,$E$19,I260-J261-J262,1)</f>
        <v>96550180.770118237</v>
      </c>
      <c r="K260" s="1">
        <f t="shared" ref="K260" si="1124">-FV($E$17,$E$18,$E$19,J260,1)</f>
        <v>97965520.128204137</v>
      </c>
      <c r="L260" s="1">
        <f t="shared" ref="L260" si="1125">-FV($E$17,$E$18,$E$19,K260,1)</f>
        <v>99387614.480005577</v>
      </c>
      <c r="M260" s="1">
        <f t="shared" ref="M260" si="1126">-FV($E$17,$E$18,$E$19,L260,1)</f>
        <v>100816496.06509805</v>
      </c>
      <c r="N260" s="1">
        <f t="shared" ref="N260" si="1127">-FV($E$17,$E$18,$E$19,M260,1)</f>
        <v>102252197.27692696</v>
      </c>
      <c r="O260" s="1">
        <f t="shared" ref="O260" si="1128">-FV($E$17,$E$18,$E$19,N260,1)</f>
        <v>103694750.663542</v>
      </c>
      <c r="P260" s="1">
        <f t="shared" ref="P260" si="1129">-FV($E$17,$E$18,$E$19,O260,1)</f>
        <v>105144188.92833501</v>
      </c>
      <c r="Q260">
        <f t="shared" si="866"/>
        <v>247</v>
      </c>
      <c r="R260" s="1">
        <f t="shared" ref="R260" si="1130">HLOOKUP(Q260,E254:P260,7)</f>
        <v>97965520.128204137</v>
      </c>
    </row>
    <row r="261" spans="2:18" x14ac:dyDescent="0.25">
      <c r="B261" s="16"/>
      <c r="C261" t="s">
        <v>71</v>
      </c>
      <c r="D261">
        <f t="shared" ref="D261" si="1131">$E261</f>
        <v>37149000</v>
      </c>
      <c r="E261" s="1">
        <f t="shared" ref="E261" si="1132">ROUNDUP(IF(E255&gt;=$E$13,$D$13,IF(E255&gt;=$E$12,$D$12,IF(E255&gt;=$E$10,$D$10,IF(E255&gt;=$E$8,$D$8,IF(E255&gt;=$E$6,$D$6,IF(E255&gt;=$E$4,$D$4,0))))))*1000*(1+$D$2)^$B254,-3)</f>
        <v>37149000</v>
      </c>
      <c r="J261" s="1">
        <f t="shared" ref="J261" si="1133">ROUNDUP(IF(J255&gt;=$E$13,$D$13,IF(J255&gt;=$E$12,$D$12,IF(J255&gt;=$E$10,$D$10,IF(J255&gt;=$E$8,$D$8,IF(J255&gt;=$E$6,$D$6,IF(J255&gt;=$E$4,$D$4,0))))))*1000*(1+$D$2)^$B254,-3)</f>
        <v>37149000</v>
      </c>
      <c r="Q261">
        <f t="shared" si="866"/>
        <v>248</v>
      </c>
      <c r="R261" s="1">
        <f t="shared" ref="R261" si="1134">HLOOKUP(Q261,E254:P260,7)</f>
        <v>99387614.480005577</v>
      </c>
    </row>
    <row r="262" spans="2:18" x14ac:dyDescent="0.25">
      <c r="B262" s="16"/>
      <c r="C262" t="s">
        <v>72</v>
      </c>
      <c r="D262">
        <f t="shared" ref="D262" si="1135">$J261</f>
        <v>37149000</v>
      </c>
      <c r="J262" s="1">
        <f t="shared" ref="J262" si="1136">ROUND(IF(J255=$E$4,$D$5,IF(J255=$E$6,$D$7,IF(J255=$E$8,$D$9,IF(J255=$E$10,$D$11,0))))*1000*(1+$D$2)^$B254,-4)</f>
        <v>0</v>
      </c>
      <c r="Q262">
        <f t="shared" si="866"/>
        <v>249</v>
      </c>
      <c r="R262" s="1">
        <f t="shared" ref="R262" si="1137">HLOOKUP(Q262,E254:P260,7)</f>
        <v>100816496.06509805</v>
      </c>
    </row>
    <row r="263" spans="2:18" x14ac:dyDescent="0.25">
      <c r="B263" s="16"/>
      <c r="C263" t="s">
        <v>58</v>
      </c>
      <c r="D263">
        <f t="shared" ref="D263" si="1138">D261+D262</f>
        <v>74298000</v>
      </c>
      <c r="Q263">
        <f t="shared" si="866"/>
        <v>250</v>
      </c>
      <c r="R263" s="1">
        <f t="shared" ref="R263" si="1139">HLOOKUP(Q263,E254:P260,7)</f>
        <v>102252197.27692696</v>
      </c>
    </row>
    <row r="264" spans="2:18" x14ac:dyDescent="0.25">
      <c r="B264" s="16"/>
      <c r="C264" t="s">
        <v>42</v>
      </c>
      <c r="D264" s="4">
        <f t="shared" ref="D264" si="1140">P260*(1-D256)</f>
        <v>103829886.56673083</v>
      </c>
      <c r="Q264">
        <f t="shared" si="866"/>
        <v>251</v>
      </c>
      <c r="R264" s="1">
        <f t="shared" ref="R264" si="1141">HLOOKUP(Q264,E254:P260,7)</f>
        <v>103694750.663542</v>
      </c>
    </row>
    <row r="265" spans="2:18" x14ac:dyDescent="0.25">
      <c r="B265" s="16"/>
      <c r="Q265">
        <f t="shared" si="866"/>
        <v>252</v>
      </c>
      <c r="R265" s="1">
        <f t="shared" ref="R265" si="1142">HLOOKUP(Q265,E254:P260,7)</f>
        <v>105144188.92833501</v>
      </c>
    </row>
    <row r="266" spans="2:18" x14ac:dyDescent="0.25">
      <c r="B266" s="16">
        <f t="shared" ref="B266" si="1143">B254+1</f>
        <v>21</v>
      </c>
      <c r="C266" t="s">
        <v>40</v>
      </c>
      <c r="D266" s="2">
        <f t="shared" ref="D266" si="1144">5.88%</f>
        <v>5.8799999999999998E-2</v>
      </c>
      <c r="E266">
        <f t="shared" ref="E266" si="1145">($B266*12)+1</f>
        <v>253</v>
      </c>
      <c r="F266">
        <f t="shared" ref="F266" si="1146">E266+1</f>
        <v>254</v>
      </c>
      <c r="G266">
        <f t="shared" ref="G266" si="1147">F266+1</f>
        <v>255</v>
      </c>
      <c r="H266">
        <f t="shared" ref="H266" si="1148">G266+1</f>
        <v>256</v>
      </c>
      <c r="I266">
        <f t="shared" ref="I266" si="1149">H266+1</f>
        <v>257</v>
      </c>
      <c r="J266">
        <f t="shared" ref="J266" si="1150">I266+1</f>
        <v>258</v>
      </c>
      <c r="K266">
        <f t="shared" ref="K266" si="1151">J266+1</f>
        <v>259</v>
      </c>
      <c r="L266">
        <f t="shared" ref="L266" si="1152">K266+1</f>
        <v>260</v>
      </c>
      <c r="M266">
        <f t="shared" ref="M266" si="1153">L266+1</f>
        <v>261</v>
      </c>
      <c r="N266">
        <f t="shared" ref="N266" si="1154">M266+1</f>
        <v>262</v>
      </c>
      <c r="O266">
        <f t="shared" ref="O266" si="1155">N266+1</f>
        <v>263</v>
      </c>
      <c r="P266">
        <f t="shared" ref="P266" si="1156">O266+1</f>
        <v>264</v>
      </c>
      <c r="Q266">
        <f t="shared" si="866"/>
        <v>253</v>
      </c>
      <c r="R266" s="1">
        <f t="shared" ref="R266" si="1157">HLOOKUP(Q266,E266:P272,7)</f>
        <v>67207122.551247329</v>
      </c>
    </row>
    <row r="267" spans="2:18" x14ac:dyDescent="0.25">
      <c r="B267" s="16"/>
      <c r="C267" t="s">
        <v>41</v>
      </c>
      <c r="D267" s="3">
        <f t="shared" ref="D267" si="1158">(1+D266)^(1/12)-1</f>
        <v>4.7727025161425907E-3</v>
      </c>
      <c r="E267">
        <f t="shared" ref="E267:P267" si="1159">E266/12</f>
        <v>21.083333333333332</v>
      </c>
      <c r="F267">
        <f t="shared" si="1159"/>
        <v>21.166666666666668</v>
      </c>
      <c r="G267">
        <f t="shared" si="1159"/>
        <v>21.25</v>
      </c>
      <c r="H267">
        <f t="shared" si="1159"/>
        <v>21.333333333333332</v>
      </c>
      <c r="I267">
        <f t="shared" si="1159"/>
        <v>21.416666666666668</v>
      </c>
      <c r="J267">
        <f t="shared" si="1159"/>
        <v>21.5</v>
      </c>
      <c r="K267">
        <f t="shared" si="1159"/>
        <v>21.583333333333332</v>
      </c>
      <c r="L267">
        <f t="shared" si="1159"/>
        <v>21.666666666666668</v>
      </c>
      <c r="M267">
        <f t="shared" si="1159"/>
        <v>21.75</v>
      </c>
      <c r="N267">
        <f t="shared" si="1159"/>
        <v>21.833333333333332</v>
      </c>
      <c r="O267">
        <f t="shared" si="1159"/>
        <v>21.916666666666668</v>
      </c>
      <c r="P267">
        <f t="shared" si="1159"/>
        <v>22</v>
      </c>
      <c r="Q267">
        <f t="shared" si="866"/>
        <v>254</v>
      </c>
      <c r="R267" s="1">
        <f t="shared" ref="R267" si="1160">HLOOKUP(Q267,E266:P272,7)</f>
        <v>68482416.221540704</v>
      </c>
    </row>
    <row r="268" spans="2:18" x14ac:dyDescent="0.25">
      <c r="B268" s="16"/>
      <c r="C268" t="s">
        <v>53</v>
      </c>
      <c r="D268" s="2">
        <f t="shared" ref="D268" si="1161">1.25%</f>
        <v>1.2500000000000001E-2</v>
      </c>
      <c r="E268" t="s">
        <v>59</v>
      </c>
      <c r="F268" t="s">
        <v>60</v>
      </c>
      <c r="G268" t="s">
        <v>61</v>
      </c>
      <c r="H268" t="s">
        <v>62</v>
      </c>
      <c r="I268" t="s">
        <v>63</v>
      </c>
      <c r="J268" t="s">
        <v>64</v>
      </c>
      <c r="K268" t="s">
        <v>65</v>
      </c>
      <c r="L268" t="s">
        <v>66</v>
      </c>
      <c r="M268" t="s">
        <v>67</v>
      </c>
      <c r="N268" t="s">
        <v>68</v>
      </c>
      <c r="O268" t="s">
        <v>69</v>
      </c>
      <c r="P268" t="s">
        <v>70</v>
      </c>
      <c r="Q268">
        <f t="shared" si="866"/>
        <v>255</v>
      </c>
      <c r="R268" s="1">
        <f t="shared" ref="R268" si="1162">HLOOKUP(Q268,E266:P272,7)</f>
        <v>69763796.489143118</v>
      </c>
    </row>
    <row r="269" spans="2:18" x14ac:dyDescent="0.25">
      <c r="B269" s="16"/>
      <c r="C269" t="s">
        <v>54</v>
      </c>
      <c r="D269">
        <f>1</f>
        <v>1</v>
      </c>
      <c r="E269" s="2">
        <f t="shared" ref="E269:P269" si="1163">$D255</f>
        <v>4.7727025161425907E-3</v>
      </c>
      <c r="F269" s="2">
        <f t="shared" si="1163"/>
        <v>4.7727025161425907E-3</v>
      </c>
      <c r="G269" s="2">
        <f t="shared" si="1163"/>
        <v>4.7727025161425907E-3</v>
      </c>
      <c r="H269" s="2">
        <f t="shared" si="1163"/>
        <v>4.7727025161425907E-3</v>
      </c>
      <c r="I269" s="2">
        <f t="shared" si="1163"/>
        <v>4.7727025161425907E-3</v>
      </c>
      <c r="J269" s="2">
        <f t="shared" si="1163"/>
        <v>4.7727025161425907E-3</v>
      </c>
      <c r="K269" s="2">
        <f t="shared" si="1163"/>
        <v>4.7727025161425907E-3</v>
      </c>
      <c r="L269" s="2">
        <f t="shared" si="1163"/>
        <v>4.7727025161425907E-3</v>
      </c>
      <c r="M269" s="2">
        <f t="shared" si="1163"/>
        <v>4.7727025161425907E-3</v>
      </c>
      <c r="N269" s="2">
        <f t="shared" si="1163"/>
        <v>4.7727025161425907E-3</v>
      </c>
      <c r="O269" s="2">
        <f t="shared" si="1163"/>
        <v>4.7727025161425907E-3</v>
      </c>
      <c r="P269" s="2">
        <f t="shared" si="1163"/>
        <v>4.7727025161425907E-3</v>
      </c>
      <c r="Q269">
        <f t="shared" si="866"/>
        <v>256</v>
      </c>
      <c r="R269" s="1">
        <f t="shared" ref="R269" si="1164">HLOOKUP(Q269,E266:P272,7)</f>
        <v>71051292.403572842</v>
      </c>
    </row>
    <row r="270" spans="2:18" x14ac:dyDescent="0.25">
      <c r="B270" s="16"/>
      <c r="C270" t="s">
        <v>55</v>
      </c>
      <c r="D270">
        <f t="shared" ref="D270" si="1165">D269*12</f>
        <v>12</v>
      </c>
      <c r="E270">
        <f>1</f>
        <v>1</v>
      </c>
      <c r="F270">
        <f>1</f>
        <v>1</v>
      </c>
      <c r="G270">
        <f>1</f>
        <v>1</v>
      </c>
      <c r="H270">
        <f>1</f>
        <v>1</v>
      </c>
      <c r="I270">
        <f>1</f>
        <v>1</v>
      </c>
      <c r="J270">
        <f>1</f>
        <v>1</v>
      </c>
      <c r="K270">
        <f>1</f>
        <v>1</v>
      </c>
      <c r="L270">
        <f>1</f>
        <v>1</v>
      </c>
      <c r="M270">
        <f>1</f>
        <v>1</v>
      </c>
      <c r="N270">
        <f>1</f>
        <v>1</v>
      </c>
      <c r="O270">
        <f>1</f>
        <v>1</v>
      </c>
      <c r="P270">
        <f>1</f>
        <v>1</v>
      </c>
      <c r="Q270">
        <f t="shared" si="866"/>
        <v>257</v>
      </c>
      <c r="R270" s="1">
        <f t="shared" ref="R270" si="1166">HLOOKUP(Q270,E266:P272,7)</f>
        <v>72344933.152992889</v>
      </c>
    </row>
    <row r="271" spans="2:18" x14ac:dyDescent="0.25">
      <c r="B271" s="16"/>
      <c r="C271" t="s">
        <v>57</v>
      </c>
      <c r="D271" s="10">
        <f t="shared" ref="D271" si="1167">D259*(1+$D$2)</f>
        <v>1439.8830267030262</v>
      </c>
      <c r="E271" s="1">
        <f t="shared" ref="E271:F271" si="1168">IF(E267&lt;6.5,$D272*1000,IF($D273=0,0,$D272*1000))</f>
        <v>1440000</v>
      </c>
      <c r="F271" s="1">
        <f t="shared" si="1168"/>
        <v>1440000</v>
      </c>
      <c r="G271" s="1">
        <f t="shared" ref="G271" si="1169">IF(G267&lt;6.5,$D272*1000,IF($D273=0,0,$D272*1000))</f>
        <v>1440000</v>
      </c>
      <c r="H271" s="1">
        <f t="shared" ref="H271" si="1170">IF(H267&lt;6.5,$D272*1000,IF($D273=0,0,$D272*1000))</f>
        <v>1440000</v>
      </c>
      <c r="I271" s="1">
        <f t="shared" ref="I271" si="1171">IF(I267&lt;6.5,$D272*1000,IF($D273=0,0,$D272*1000))</f>
        <v>1440000</v>
      </c>
      <c r="J271" s="1">
        <f t="shared" ref="J271:K271" si="1172">IF(J267&lt;6.5,$D272*1000,IF($D274=0,0,$D272*1000))</f>
        <v>1440000</v>
      </c>
      <c r="K271" s="1">
        <f t="shared" si="1172"/>
        <v>1440000</v>
      </c>
      <c r="L271" s="1">
        <f t="shared" ref="L271" si="1173">IF(L267&lt;6.5,$D272*1000,IF($D274=0,0,$D272*1000))</f>
        <v>1440000</v>
      </c>
      <c r="M271" s="1">
        <f t="shared" ref="M271" si="1174">IF(M267&lt;6.5,$D272*1000,IF($D274=0,0,$D272*1000))</f>
        <v>1440000</v>
      </c>
      <c r="N271" s="1">
        <f t="shared" ref="N271" si="1175">IF(N267&lt;6.5,$D272*1000,IF($D274=0,0,$D272*1000))</f>
        <v>1440000</v>
      </c>
      <c r="O271" s="1">
        <f t="shared" ref="O271" si="1176">IF(O267&lt;6.5,$D272*1000,IF($D274=0,0,$D272*1000))</f>
        <v>1440000</v>
      </c>
      <c r="P271" s="1">
        <f t="shared" ref="P271" si="1177">IF(P267&lt;6.5,$D272*1000,IF($D274=0,0,$D272*1000))</f>
        <v>1440000</v>
      </c>
      <c r="Q271">
        <f t="shared" si="866"/>
        <v>258</v>
      </c>
      <c r="R271" s="1">
        <f t="shared" ref="R271" si="1178">HLOOKUP(Q271,E266:P272,7)</f>
        <v>35571900.821131006</v>
      </c>
    </row>
    <row r="272" spans="2:18" x14ac:dyDescent="0.25">
      <c r="B272" s="16"/>
      <c r="C272" t="s">
        <v>56</v>
      </c>
      <c r="D272" s="10">
        <f t="shared" ref="D272" si="1179">ROUND(D271,-1)</f>
        <v>1440</v>
      </c>
      <c r="E272" s="1">
        <f t="shared" ref="E272" si="1180">-FV($E$17,$E$18,$E$19,D264-E273,1)</f>
        <v>67207122.551247329</v>
      </c>
      <c r="F272" s="1">
        <f t="shared" ref="F272:I272" si="1181">-FV($E$17,$E$18,$E$19,E272,1)</f>
        <v>68482416.221540704</v>
      </c>
      <c r="G272" s="1">
        <f t="shared" si="1181"/>
        <v>69763796.489143118</v>
      </c>
      <c r="H272" s="1">
        <f t="shared" si="1181"/>
        <v>71051292.403572842</v>
      </c>
      <c r="I272" s="1">
        <f t="shared" si="1181"/>
        <v>72344933.152992889</v>
      </c>
      <c r="J272" s="1">
        <f t="shared" ref="J272" si="1182">-FV($E$17,$E$18,$E$19,I272-J273-J274,1)</f>
        <v>35571900.821131006</v>
      </c>
      <c r="K272" s="1">
        <f t="shared" ref="K272" si="1183">-FV($E$17,$E$18,$E$19,J272,1)</f>
        <v>36696208.989074327</v>
      </c>
      <c r="L272" s="1">
        <f t="shared" ref="L272" si="1184">-FV($E$17,$E$18,$E$19,K272,1)</f>
        <v>37825883.145439714</v>
      </c>
      <c r="M272" s="1">
        <f t="shared" ref="M272" si="1185">-FV($E$17,$E$18,$E$19,L272,1)</f>
        <v>38960948.900493607</v>
      </c>
      <c r="N272" s="1">
        <f t="shared" ref="N272" si="1186">-FV($E$17,$E$18,$E$19,M272,1)</f>
        <v>40101431.986732632</v>
      </c>
      <c r="O272" s="1">
        <f t="shared" ref="O272" si="1187">-FV($E$17,$E$18,$E$19,N272,1)</f>
        <v>41247358.259466968</v>
      </c>
      <c r="P272" s="1">
        <f t="shared" ref="P272" si="1188">-FV($E$17,$E$18,$E$19,O272,1)</f>
        <v>42398753.697406501</v>
      </c>
      <c r="Q272">
        <f t="shared" ref="Q272:Q335" si="1189">Q271+1</f>
        <v>259</v>
      </c>
      <c r="R272" s="1">
        <f t="shared" ref="R272" si="1190">HLOOKUP(Q272,E266:P272,7)</f>
        <v>36696208.989074327</v>
      </c>
    </row>
    <row r="273" spans="2:18" x14ac:dyDescent="0.25">
      <c r="B273" s="16"/>
      <c r="C273" t="s">
        <v>71</v>
      </c>
      <c r="D273">
        <f t="shared" ref="D273" si="1191">$E273</f>
        <v>37892000</v>
      </c>
      <c r="E273" s="1">
        <f t="shared" ref="E273" si="1192">ROUNDUP(IF(E267&gt;=$E$13,$D$13,IF(E267&gt;=$E$12,$D$12,IF(E267&gt;=$E$10,$D$10,IF(E267&gt;=$E$8,$D$8,IF(E267&gt;=$E$6,$D$6,IF(E267&gt;=$E$4,$D$4,0))))))*1000*(1+$D$2)^$B266,-3)</f>
        <v>37892000</v>
      </c>
      <c r="J273" s="1">
        <f t="shared" ref="J273" si="1193">ROUNDUP(IF(J267&gt;=$E$13,$D$13,IF(J267&gt;=$E$12,$D$12,IF(J267&gt;=$E$10,$D$10,IF(J267&gt;=$E$8,$D$8,IF(J267&gt;=$E$6,$D$6,IF(J267&gt;=$E$4,$D$4,0))))))*1000*(1+$D$2)^$B266,-3)</f>
        <v>37892000</v>
      </c>
      <c r="Q273">
        <f t="shared" si="1189"/>
        <v>260</v>
      </c>
      <c r="R273" s="1">
        <f t="shared" ref="R273" si="1194">HLOOKUP(Q273,E266:P272,7)</f>
        <v>37825883.145439714</v>
      </c>
    </row>
    <row r="274" spans="2:18" x14ac:dyDescent="0.25">
      <c r="B274" s="16"/>
      <c r="C274" t="s">
        <v>72</v>
      </c>
      <c r="D274">
        <f t="shared" ref="D274" si="1195">$J273</f>
        <v>37892000</v>
      </c>
      <c r="J274" s="1">
        <f t="shared" ref="J274" si="1196">ROUND(IF(J267=$E$4,$D$5,IF(J267=$E$6,$D$7,IF(J267=$E$8,$D$9,IF(J267=$E$10,$D$11,0))))*1000*(1+$D$2)^$B266,-4)</f>
        <v>0</v>
      </c>
      <c r="Q274">
        <f t="shared" si="1189"/>
        <v>261</v>
      </c>
      <c r="R274" s="1">
        <f t="shared" ref="R274" si="1197">HLOOKUP(Q274,E266:P272,7)</f>
        <v>38960948.900493607</v>
      </c>
    </row>
    <row r="275" spans="2:18" x14ac:dyDescent="0.25">
      <c r="B275" s="16"/>
      <c r="C275" t="s">
        <v>58</v>
      </c>
      <c r="D275">
        <f t="shared" ref="D275" si="1198">D273+D274</f>
        <v>75784000</v>
      </c>
      <c r="Q275">
        <f t="shared" si="1189"/>
        <v>262</v>
      </c>
      <c r="R275" s="1">
        <f t="shared" ref="R275" si="1199">HLOOKUP(Q275,E266:P272,7)</f>
        <v>40101431.986732632</v>
      </c>
    </row>
    <row r="276" spans="2:18" x14ac:dyDescent="0.25">
      <c r="B276" s="16"/>
      <c r="C276" t="s">
        <v>42</v>
      </c>
      <c r="D276" s="4">
        <f t="shared" ref="D276" si="1200">P272*(1-D268)</f>
        <v>41868769.276188925</v>
      </c>
      <c r="Q276">
        <f t="shared" si="1189"/>
        <v>263</v>
      </c>
      <c r="R276" s="1">
        <f t="shared" ref="R276" si="1201">HLOOKUP(Q276,E266:P272,7)</f>
        <v>41247358.259466968</v>
      </c>
    </row>
    <row r="277" spans="2:18" x14ac:dyDescent="0.25">
      <c r="B277" s="16"/>
      <c r="Q277">
        <f t="shared" si="1189"/>
        <v>264</v>
      </c>
      <c r="R277" s="1">
        <f t="shared" ref="R277" si="1202">HLOOKUP(Q277,E266:P272,7)</f>
        <v>42398753.697406501</v>
      </c>
    </row>
    <row r="278" spans="2:18" x14ac:dyDescent="0.25">
      <c r="B278" s="16">
        <f t="shared" ref="B278" si="1203">B266+1</f>
        <v>22</v>
      </c>
      <c r="C278" t="s">
        <v>40</v>
      </c>
      <c r="D278" s="2">
        <f t="shared" ref="D278" si="1204">5.88%</f>
        <v>5.8799999999999998E-2</v>
      </c>
      <c r="E278">
        <f t="shared" ref="E278" si="1205">($B278*12)+1</f>
        <v>265</v>
      </c>
      <c r="F278">
        <f t="shared" ref="F278" si="1206">E278+1</f>
        <v>266</v>
      </c>
      <c r="G278">
        <f t="shared" ref="G278" si="1207">F278+1</f>
        <v>267</v>
      </c>
      <c r="H278">
        <f t="shared" ref="H278" si="1208">G278+1</f>
        <v>268</v>
      </c>
      <c r="I278">
        <f t="shared" ref="I278" si="1209">H278+1</f>
        <v>269</v>
      </c>
      <c r="J278">
        <f t="shared" ref="J278" si="1210">I278+1</f>
        <v>270</v>
      </c>
      <c r="K278">
        <f t="shared" ref="K278" si="1211">J278+1</f>
        <v>271</v>
      </c>
      <c r="L278">
        <f t="shared" ref="L278" si="1212">K278+1</f>
        <v>272</v>
      </c>
      <c r="M278">
        <f t="shared" ref="M278" si="1213">L278+1</f>
        <v>273</v>
      </c>
      <c r="N278">
        <f t="shared" ref="N278" si="1214">M278+1</f>
        <v>274</v>
      </c>
      <c r="O278">
        <f t="shared" ref="O278" si="1215">N278+1</f>
        <v>275</v>
      </c>
      <c r="P278">
        <f t="shared" ref="P278" si="1216">O278+1</f>
        <v>276</v>
      </c>
      <c r="Q278">
        <f t="shared" si="1189"/>
        <v>265</v>
      </c>
      <c r="R278" s="1">
        <f t="shared" ref="R278" si="1217">HLOOKUP(Q278,E278:P284,7)</f>
        <v>4188665.5718026096</v>
      </c>
    </row>
    <row r="279" spans="2:18" x14ac:dyDescent="0.25">
      <c r="B279" s="16"/>
      <c r="C279" t="s">
        <v>41</v>
      </c>
      <c r="D279" s="3">
        <f t="shared" ref="D279" si="1218">(1+D278)^(1/12)-1</f>
        <v>4.7727025161425907E-3</v>
      </c>
      <c r="E279">
        <f t="shared" ref="E279:P279" si="1219">E278/12</f>
        <v>22.083333333333332</v>
      </c>
      <c r="F279">
        <f t="shared" si="1219"/>
        <v>22.166666666666668</v>
      </c>
      <c r="G279">
        <f t="shared" si="1219"/>
        <v>22.25</v>
      </c>
      <c r="H279">
        <f t="shared" si="1219"/>
        <v>22.333333333333332</v>
      </c>
      <c r="I279">
        <f t="shared" si="1219"/>
        <v>22.416666666666668</v>
      </c>
      <c r="J279">
        <f t="shared" si="1219"/>
        <v>22.5</v>
      </c>
      <c r="K279">
        <f t="shared" si="1219"/>
        <v>22.583333333333332</v>
      </c>
      <c r="L279">
        <f t="shared" si="1219"/>
        <v>22.666666666666668</v>
      </c>
      <c r="M279">
        <f t="shared" si="1219"/>
        <v>22.75</v>
      </c>
      <c r="N279">
        <f t="shared" si="1219"/>
        <v>22.833333333333332</v>
      </c>
      <c r="O279">
        <f t="shared" si="1219"/>
        <v>22.916666666666668</v>
      </c>
      <c r="P279">
        <f t="shared" si="1219"/>
        <v>23</v>
      </c>
      <c r="Q279">
        <f t="shared" si="1189"/>
        <v>266</v>
      </c>
      <c r="R279" s="1">
        <f t="shared" ref="R279" si="1220">HLOOKUP(Q279,E278:P284,7)</f>
        <v>5163190.8939067675</v>
      </c>
    </row>
    <row r="280" spans="2:18" x14ac:dyDescent="0.25">
      <c r="B280" s="16"/>
      <c r="C280" t="s">
        <v>53</v>
      </c>
      <c r="D280" s="2">
        <f t="shared" ref="D280" si="1221">1.25%</f>
        <v>1.2500000000000001E-2</v>
      </c>
      <c r="E280" t="s">
        <v>59</v>
      </c>
      <c r="F280" t="s">
        <v>60</v>
      </c>
      <c r="G280" t="s">
        <v>61</v>
      </c>
      <c r="H280" t="s">
        <v>62</v>
      </c>
      <c r="I280" t="s">
        <v>63</v>
      </c>
      <c r="J280" t="s">
        <v>64</v>
      </c>
      <c r="K280" t="s">
        <v>65</v>
      </c>
      <c r="L280" t="s">
        <v>66</v>
      </c>
      <c r="M280" t="s">
        <v>67</v>
      </c>
      <c r="N280" t="s">
        <v>68</v>
      </c>
      <c r="O280" t="s">
        <v>69</v>
      </c>
      <c r="P280" t="s">
        <v>70</v>
      </c>
      <c r="Q280">
        <f t="shared" si="1189"/>
        <v>267</v>
      </c>
      <c r="R280" s="1">
        <f t="shared" ref="R280" si="1222">HLOOKUP(Q280,E278:P284,7)</f>
        <v>6142367.3354677763</v>
      </c>
    </row>
    <row r="281" spans="2:18" x14ac:dyDescent="0.25">
      <c r="B281" s="16"/>
      <c r="C281" t="s">
        <v>54</v>
      </c>
      <c r="D281">
        <f>1</f>
        <v>1</v>
      </c>
      <c r="E281" s="2">
        <f t="shared" ref="E281:P281" si="1223">$D267</f>
        <v>4.7727025161425907E-3</v>
      </c>
      <c r="F281" s="2">
        <f t="shared" si="1223"/>
        <v>4.7727025161425907E-3</v>
      </c>
      <c r="G281" s="2">
        <f t="shared" si="1223"/>
        <v>4.7727025161425907E-3</v>
      </c>
      <c r="H281" s="2">
        <f t="shared" si="1223"/>
        <v>4.7727025161425907E-3</v>
      </c>
      <c r="I281" s="2">
        <f t="shared" si="1223"/>
        <v>4.7727025161425907E-3</v>
      </c>
      <c r="J281" s="2">
        <f t="shared" si="1223"/>
        <v>4.7727025161425907E-3</v>
      </c>
      <c r="K281" s="2">
        <f t="shared" si="1223"/>
        <v>4.7727025161425907E-3</v>
      </c>
      <c r="L281" s="2">
        <f t="shared" si="1223"/>
        <v>4.7727025161425907E-3</v>
      </c>
      <c r="M281" s="2">
        <f t="shared" si="1223"/>
        <v>4.7727025161425907E-3</v>
      </c>
      <c r="N281" s="2">
        <f t="shared" si="1223"/>
        <v>4.7727025161425907E-3</v>
      </c>
      <c r="O281" s="2">
        <f t="shared" si="1223"/>
        <v>4.7727025161425907E-3</v>
      </c>
      <c r="P281" s="2">
        <f t="shared" si="1223"/>
        <v>4.7727025161425907E-3</v>
      </c>
      <c r="Q281">
        <f t="shared" si="1189"/>
        <v>268</v>
      </c>
      <c r="R281" s="1">
        <f t="shared" ref="R281" si="1224">HLOOKUP(Q281,E278:P284,7)</f>
        <v>7126217.094895171</v>
      </c>
    </row>
    <row r="282" spans="2:18" x14ac:dyDescent="0.25">
      <c r="B282" s="16"/>
      <c r="C282" t="s">
        <v>55</v>
      </c>
      <c r="D282">
        <f t="shared" ref="D282" si="1225">D281*12</f>
        <v>12</v>
      </c>
      <c r="E282">
        <f>1</f>
        <v>1</v>
      </c>
      <c r="F282">
        <f>1</f>
        <v>1</v>
      </c>
      <c r="G282">
        <f>1</f>
        <v>1</v>
      </c>
      <c r="H282">
        <f>1</f>
        <v>1</v>
      </c>
      <c r="I282">
        <f>1</f>
        <v>1</v>
      </c>
      <c r="J282">
        <f>1</f>
        <v>1</v>
      </c>
      <c r="K282">
        <f>1</f>
        <v>1</v>
      </c>
      <c r="L282">
        <f>1</f>
        <v>1</v>
      </c>
      <c r="M282">
        <f>1</f>
        <v>1</v>
      </c>
      <c r="N282">
        <f>1</f>
        <v>1</v>
      </c>
      <c r="O282">
        <f>1</f>
        <v>1</v>
      </c>
      <c r="P282">
        <f>1</f>
        <v>1</v>
      </c>
      <c r="Q282">
        <f t="shared" si="1189"/>
        <v>269</v>
      </c>
      <c r="R282" s="1">
        <f t="shared" ref="R282" si="1226">HLOOKUP(Q282,E278:P284,7)</f>
        <v>8114762.4765448915</v>
      </c>
    </row>
    <row r="283" spans="2:18" x14ac:dyDescent="0.25">
      <c r="B283" s="16"/>
      <c r="C283" t="s">
        <v>57</v>
      </c>
      <c r="D283" s="10">
        <f t="shared" ref="D283" si="1227">D271*(1+$D$2)</f>
        <v>1468.6806872370867</v>
      </c>
      <c r="E283" s="1">
        <f t="shared" ref="E283:F283" si="1228">IF(E279&lt;6.5,$D284*1000,IF($D285=0,0,$D284*1000))</f>
        <v>1470000</v>
      </c>
      <c r="F283" s="1">
        <f t="shared" si="1228"/>
        <v>1470000</v>
      </c>
      <c r="G283" s="1">
        <f t="shared" ref="G283" si="1229">IF(G279&lt;6.5,$D284*1000,IF($D285=0,0,$D284*1000))</f>
        <v>1470000</v>
      </c>
      <c r="H283" s="1">
        <f t="shared" ref="H283" si="1230">IF(H279&lt;6.5,$D284*1000,IF($D285=0,0,$D284*1000))</f>
        <v>1470000</v>
      </c>
      <c r="I283" s="1">
        <f t="shared" ref="I283" si="1231">IF(I279&lt;6.5,$D284*1000,IF($D285=0,0,$D284*1000))</f>
        <v>1470000</v>
      </c>
      <c r="J283" s="1">
        <f t="shared" ref="J283:K283" si="1232">IF(J279&lt;6.5,$D284*1000,IF($D286=0,0,$D284*1000))</f>
        <v>0</v>
      </c>
      <c r="K283" s="1">
        <f t="shared" si="1232"/>
        <v>0</v>
      </c>
      <c r="L283" s="1">
        <f t="shared" ref="L283" si="1233">IF(L279&lt;6.5,$D284*1000,IF($D286=0,0,$D284*1000))</f>
        <v>0</v>
      </c>
      <c r="M283" s="1">
        <f t="shared" ref="M283" si="1234">IF(M279&lt;6.5,$D284*1000,IF($D286=0,0,$D284*1000))</f>
        <v>0</v>
      </c>
      <c r="N283" s="1">
        <f t="shared" ref="N283" si="1235">IF(N279&lt;6.5,$D284*1000,IF($D286=0,0,$D284*1000))</f>
        <v>0</v>
      </c>
      <c r="O283" s="1">
        <f t="shared" ref="O283" si="1236">IF(O279&lt;6.5,$D284*1000,IF($D286=0,0,$D284*1000))</f>
        <v>0</v>
      </c>
      <c r="P283" s="1">
        <f t="shared" ref="P283" si="1237">IF(P279&lt;6.5,$D284*1000,IF($D286=0,0,$D284*1000))</f>
        <v>0</v>
      </c>
      <c r="Q283">
        <f t="shared" si="1189"/>
        <v>270</v>
      </c>
      <c r="R283" s="1">
        <f t="shared" ref="R283" si="1238">HLOOKUP(Q283,E278:P284,7)</f>
        <v>9108025.8912249319</v>
      </c>
    </row>
    <row r="284" spans="2:18" x14ac:dyDescent="0.25">
      <c r="B284" s="16"/>
      <c r="C284" t="s">
        <v>56</v>
      </c>
      <c r="D284" s="10">
        <f t="shared" ref="D284" si="1239">ROUND(D283,-1)</f>
        <v>1470</v>
      </c>
      <c r="E284" s="1">
        <f t="shared" ref="E284" si="1240">-FV($E$17,$E$18,$E$19,D276-E285,1)</f>
        <v>4188665.5718026096</v>
      </c>
      <c r="F284" s="1">
        <f t="shared" ref="F284:I284" si="1241">-FV($E$17,$E$18,$E$19,E284,1)</f>
        <v>5163190.8939067675</v>
      </c>
      <c r="G284" s="1">
        <f t="shared" si="1241"/>
        <v>6142367.3354677763</v>
      </c>
      <c r="H284" s="1">
        <f t="shared" si="1241"/>
        <v>7126217.094895171</v>
      </c>
      <c r="I284" s="1">
        <f t="shared" si="1241"/>
        <v>8114762.4765448915</v>
      </c>
      <c r="J284" s="1">
        <f t="shared" ref="J284" si="1242">-FV($E$17,$E$18,$E$19,I284-J285-J286,1)</f>
        <v>9108025.8912249319</v>
      </c>
      <c r="K284" s="1">
        <f t="shared" ref="K284" si="1243">-FV($E$17,$E$18,$E$19,J284,1)</f>
        <v>10106029.856703408</v>
      </c>
      <c r="L284" s="1">
        <f t="shared" ref="L284" si="1244">-FV($E$17,$E$18,$E$19,K284,1)</f>
        <v>11108796.998219045</v>
      </c>
      <c r="M284" s="1">
        <f t="shared" ref="M284" si="1245">-FV($E$17,$E$18,$E$19,L284,1)</f>
        <v>12116350.048994098</v>
      </c>
      <c r="N284" s="1">
        <f t="shared" ref="N284" si="1246">-FV($E$17,$E$18,$E$19,M284,1)</f>
        <v>13128711.850749733</v>
      </c>
      <c r="O284" s="1">
        <f t="shared" ref="O284" si="1247">-FV($E$17,$E$18,$E$19,N284,1)</f>
        <v>14145905.354223853</v>
      </c>
      <c r="P284" s="1">
        <f t="shared" ref="P284" si="1248">-FV($E$17,$E$18,$E$19,O284,1)</f>
        <v>15167953.619691407</v>
      </c>
      <c r="Q284">
        <f t="shared" si="1189"/>
        <v>271</v>
      </c>
      <c r="R284" s="1">
        <f t="shared" ref="R284" si="1249">HLOOKUP(Q284,E278:P284,7)</f>
        <v>10106029.856703408</v>
      </c>
    </row>
    <row r="285" spans="2:18" x14ac:dyDescent="0.25">
      <c r="B285" s="16"/>
      <c r="C285" t="s">
        <v>71</v>
      </c>
      <c r="D285">
        <f t="shared" ref="D285" si="1250">$E285</f>
        <v>38650000</v>
      </c>
      <c r="E285" s="1">
        <f t="shared" ref="E285" si="1251">ROUNDUP(IF(E279&gt;=$E$13,$D$13,IF(E279&gt;=$E$12,$D$12,IF(E279&gt;=$E$10,$D$10,IF(E279&gt;=$E$8,$D$8,IF(E279&gt;=$E$6,$D$6,IF(E279&gt;=$E$4,$D$4,0))))))*1000*(1+$D$2)^$B278,-3)</f>
        <v>38650000</v>
      </c>
      <c r="J285" s="1">
        <f t="shared" ref="J285" si="1252">ROUNDUP(IF(J279&gt;=$E$13,$D$13,IF(J279&gt;=$E$12,$D$12,IF(J279&gt;=$E$10,$D$10,IF(J279&gt;=$E$8,$D$8,IF(J279&gt;=$E$6,$D$6,IF(J279&gt;=$E$4,$D$4,0))))))*1000*(1+$D$2)^$B278,-3)</f>
        <v>0</v>
      </c>
      <c r="Q285">
        <f t="shared" si="1189"/>
        <v>272</v>
      </c>
      <c r="R285" s="1">
        <f t="shared" ref="R285" si="1253">HLOOKUP(Q285,E278:P284,7)</f>
        <v>11108796.998219045</v>
      </c>
    </row>
    <row r="286" spans="2:18" x14ac:dyDescent="0.25">
      <c r="B286" s="16"/>
      <c r="C286" t="s">
        <v>72</v>
      </c>
      <c r="D286">
        <f t="shared" ref="D286" si="1254">$J285</f>
        <v>0</v>
      </c>
      <c r="J286" s="1">
        <f t="shared" ref="J286" si="1255">ROUND(IF(J279=$E$4,$D$5,IF(J279=$E$6,$D$7,IF(J279=$E$8,$D$9,IF(J279=$E$10,$D$11,0))))*1000*(1+$D$2)^$B278,-4)</f>
        <v>0</v>
      </c>
      <c r="Q286">
        <f t="shared" si="1189"/>
        <v>273</v>
      </c>
      <c r="R286" s="1">
        <f t="shared" ref="R286" si="1256">HLOOKUP(Q286,E278:P284,7)</f>
        <v>12116350.048994098</v>
      </c>
    </row>
    <row r="287" spans="2:18" x14ac:dyDescent="0.25">
      <c r="B287" s="16"/>
      <c r="C287" t="s">
        <v>58</v>
      </c>
      <c r="D287">
        <f t="shared" ref="D287" si="1257">D285+D286</f>
        <v>38650000</v>
      </c>
      <c r="Q287">
        <f t="shared" si="1189"/>
        <v>274</v>
      </c>
      <c r="R287" s="1">
        <f t="shared" ref="R287" si="1258">HLOOKUP(Q287,E278:P284,7)</f>
        <v>13128711.850749733</v>
      </c>
    </row>
    <row r="288" spans="2:18" x14ac:dyDescent="0.25">
      <c r="B288" s="16"/>
      <c r="C288" t="s">
        <v>42</v>
      </c>
      <c r="D288" s="4">
        <f t="shared" ref="D288" si="1259">P284*(1-D280)</f>
        <v>14978354.199445266</v>
      </c>
      <c r="Q288">
        <f t="shared" si="1189"/>
        <v>275</v>
      </c>
      <c r="R288" s="1">
        <f t="shared" ref="R288" si="1260">HLOOKUP(Q288,E278:P284,7)</f>
        <v>14145905.354223853</v>
      </c>
    </row>
    <row r="289" spans="2:18" x14ac:dyDescent="0.25">
      <c r="B289" s="16"/>
      <c r="Q289">
        <f t="shared" si="1189"/>
        <v>276</v>
      </c>
      <c r="R289" s="1">
        <f t="shared" ref="R289" si="1261">HLOOKUP(Q289,E278:P284,7)</f>
        <v>15167953.619691407</v>
      </c>
    </row>
    <row r="290" spans="2:18" x14ac:dyDescent="0.25">
      <c r="B290" s="16">
        <f t="shared" ref="B290" si="1262">B278+1</f>
        <v>23</v>
      </c>
      <c r="C290" t="s">
        <v>40</v>
      </c>
      <c r="D290" s="2">
        <f t="shared" ref="D290" si="1263">5.88%</f>
        <v>5.8799999999999998E-2</v>
      </c>
      <c r="E290">
        <f t="shared" ref="E290" si="1264">($B290*12)+1</f>
        <v>277</v>
      </c>
      <c r="F290">
        <f t="shared" ref="F290" si="1265">E290+1</f>
        <v>278</v>
      </c>
      <c r="G290">
        <f t="shared" ref="G290" si="1266">F290+1</f>
        <v>279</v>
      </c>
      <c r="H290">
        <f t="shared" ref="H290" si="1267">G290+1</f>
        <v>280</v>
      </c>
      <c r="I290">
        <f t="shared" ref="I290" si="1268">H290+1</f>
        <v>281</v>
      </c>
      <c r="J290">
        <f t="shared" ref="J290" si="1269">I290+1</f>
        <v>282</v>
      </c>
      <c r="K290">
        <f t="shared" ref="K290" si="1270">J290+1</f>
        <v>283</v>
      </c>
      <c r="L290">
        <f t="shared" ref="L290" si="1271">K290+1</f>
        <v>284</v>
      </c>
      <c r="M290">
        <f t="shared" ref="M290" si="1272">L290+1</f>
        <v>285</v>
      </c>
      <c r="N290">
        <f t="shared" ref="N290" si="1273">M290+1</f>
        <v>286</v>
      </c>
      <c r="O290">
        <f t="shared" ref="O290" si="1274">N290+1</f>
        <v>287</v>
      </c>
      <c r="P290">
        <f t="shared" ref="P290" si="1275">O290+1</f>
        <v>288</v>
      </c>
      <c r="Q290">
        <f t="shared" si="1189"/>
        <v>277</v>
      </c>
      <c r="R290" s="1">
        <f t="shared" ref="R290" si="1276">HLOOKUP(Q290,E290:P296,7)</f>
        <v>16004375.495610969</v>
      </c>
    </row>
    <row r="291" spans="2:18" x14ac:dyDescent="0.25">
      <c r="B291" s="16"/>
      <c r="C291" t="s">
        <v>41</v>
      </c>
      <c r="D291" s="3">
        <f t="shared" ref="D291" si="1277">(1+D290)^(1/12)-1</f>
        <v>4.7727025161425907E-3</v>
      </c>
      <c r="E291">
        <f t="shared" ref="E291:P291" si="1278">E290/12</f>
        <v>23.083333333333332</v>
      </c>
      <c r="F291">
        <f t="shared" si="1278"/>
        <v>23.166666666666668</v>
      </c>
      <c r="G291">
        <f t="shared" si="1278"/>
        <v>23.25</v>
      </c>
      <c r="H291">
        <f t="shared" si="1278"/>
        <v>23.333333333333332</v>
      </c>
      <c r="I291">
        <f t="shared" si="1278"/>
        <v>23.416666666666668</v>
      </c>
      <c r="J291">
        <f t="shared" si="1278"/>
        <v>23.5</v>
      </c>
      <c r="K291">
        <f t="shared" si="1278"/>
        <v>23.583333333333332</v>
      </c>
      <c r="L291">
        <f t="shared" si="1278"/>
        <v>23.666666666666668</v>
      </c>
      <c r="M291">
        <f t="shared" si="1278"/>
        <v>23.75</v>
      </c>
      <c r="N291">
        <f t="shared" si="1278"/>
        <v>23.833333333333332</v>
      </c>
      <c r="O291">
        <f t="shared" si="1278"/>
        <v>23.916666666666668</v>
      </c>
      <c r="P291">
        <f t="shared" si="1278"/>
        <v>24</v>
      </c>
      <c r="Q291">
        <f t="shared" si="1189"/>
        <v>278</v>
      </c>
      <c r="R291" s="1">
        <f t="shared" ref="R291" si="1279">HLOOKUP(Q291,E290:P296,7)</f>
        <v>17035293.686198499</v>
      </c>
    </row>
    <row r="292" spans="2:18" x14ac:dyDescent="0.25">
      <c r="B292" s="16"/>
      <c r="C292" t="s">
        <v>53</v>
      </c>
      <c r="D292" s="2">
        <f t="shared" ref="D292" si="1280">1.25%</f>
        <v>1.2500000000000001E-2</v>
      </c>
      <c r="E292" t="s">
        <v>59</v>
      </c>
      <c r="F292" t="s">
        <v>60</v>
      </c>
      <c r="G292" t="s">
        <v>61</v>
      </c>
      <c r="H292" t="s">
        <v>62</v>
      </c>
      <c r="I292" t="s">
        <v>63</v>
      </c>
      <c r="J292" t="s">
        <v>64</v>
      </c>
      <c r="K292" t="s">
        <v>65</v>
      </c>
      <c r="L292" t="s">
        <v>66</v>
      </c>
      <c r="M292" t="s">
        <v>67</v>
      </c>
      <c r="N292" t="s">
        <v>68</v>
      </c>
      <c r="O292" t="s">
        <v>69</v>
      </c>
      <c r="P292" t="s">
        <v>70</v>
      </c>
      <c r="Q292">
        <f t="shared" si="1189"/>
        <v>279</v>
      </c>
      <c r="R292" s="1">
        <f t="shared" ref="R292" si="1281">HLOOKUP(Q292,E290:P296,7)</f>
        <v>18071132.142628182</v>
      </c>
    </row>
    <row r="293" spans="2:18" x14ac:dyDescent="0.25">
      <c r="B293" s="16"/>
      <c r="C293" t="s">
        <v>54</v>
      </c>
      <c r="D293">
        <f>1</f>
        <v>1</v>
      </c>
      <c r="E293" s="2">
        <f t="shared" ref="E293:P293" si="1282">$D279</f>
        <v>4.7727025161425907E-3</v>
      </c>
      <c r="F293" s="2">
        <f t="shared" si="1282"/>
        <v>4.7727025161425907E-3</v>
      </c>
      <c r="G293" s="2">
        <f t="shared" si="1282"/>
        <v>4.7727025161425907E-3</v>
      </c>
      <c r="H293" s="2">
        <f t="shared" si="1282"/>
        <v>4.7727025161425907E-3</v>
      </c>
      <c r="I293" s="2">
        <f t="shared" si="1282"/>
        <v>4.7727025161425907E-3</v>
      </c>
      <c r="J293" s="2">
        <f t="shared" si="1282"/>
        <v>4.7727025161425907E-3</v>
      </c>
      <c r="K293" s="2">
        <f t="shared" si="1282"/>
        <v>4.7727025161425907E-3</v>
      </c>
      <c r="L293" s="2">
        <f t="shared" si="1282"/>
        <v>4.7727025161425907E-3</v>
      </c>
      <c r="M293" s="2">
        <f t="shared" si="1282"/>
        <v>4.7727025161425907E-3</v>
      </c>
      <c r="N293" s="2">
        <f t="shared" si="1282"/>
        <v>4.7727025161425907E-3</v>
      </c>
      <c r="O293" s="2">
        <f t="shared" si="1282"/>
        <v>4.7727025161425907E-3</v>
      </c>
      <c r="P293" s="2">
        <f t="shared" si="1282"/>
        <v>4.7727025161425907E-3</v>
      </c>
      <c r="Q293">
        <f t="shared" si="1189"/>
        <v>280</v>
      </c>
      <c r="R293" s="1">
        <f t="shared" ref="R293" si="1283">HLOOKUP(Q293,E290:P296,7)</f>
        <v>19111914.347865183</v>
      </c>
    </row>
    <row r="294" spans="2:18" x14ac:dyDescent="0.25">
      <c r="B294" s="16"/>
      <c r="C294" t="s">
        <v>55</v>
      </c>
      <c r="D294">
        <f t="shared" ref="D294" si="1284">D293*12</f>
        <v>12</v>
      </c>
      <c r="E294">
        <f>1</f>
        <v>1</v>
      </c>
      <c r="F294">
        <f>1</f>
        <v>1</v>
      </c>
      <c r="G294">
        <f>1</f>
        <v>1</v>
      </c>
      <c r="H294">
        <f>1</f>
        <v>1</v>
      </c>
      <c r="I294">
        <f>1</f>
        <v>1</v>
      </c>
      <c r="J294">
        <f>1</f>
        <v>1</v>
      </c>
      <c r="K294">
        <f>1</f>
        <v>1</v>
      </c>
      <c r="L294">
        <f>1</f>
        <v>1</v>
      </c>
      <c r="M294">
        <f>1</f>
        <v>1</v>
      </c>
      <c r="N294">
        <f>1</f>
        <v>1</v>
      </c>
      <c r="O294">
        <f>1</f>
        <v>1</v>
      </c>
      <c r="P294">
        <f>1</f>
        <v>1</v>
      </c>
      <c r="Q294">
        <f t="shared" si="1189"/>
        <v>281</v>
      </c>
      <c r="R294" s="1">
        <f t="shared" ref="R294" si="1285">HLOOKUP(Q294,E290:P296,7)</f>
        <v>20157663.896951873</v>
      </c>
    </row>
    <row r="295" spans="2:18" x14ac:dyDescent="0.25">
      <c r="B295" s="16"/>
      <c r="C295" t="s">
        <v>57</v>
      </c>
      <c r="D295" s="10">
        <f t="shared" ref="D295" si="1286">D283*(1+$D$2)</f>
        <v>1498.0543009818284</v>
      </c>
      <c r="E295" s="1">
        <f t="shared" ref="E295:F295" si="1287">IF(E291&lt;6.5,$D296*1000,IF($D297=0,0,$D296*1000))</f>
        <v>0</v>
      </c>
      <c r="F295" s="1">
        <f t="shared" si="1287"/>
        <v>0</v>
      </c>
      <c r="G295" s="1">
        <f t="shared" ref="G295" si="1288">IF(G291&lt;6.5,$D296*1000,IF($D297=0,0,$D296*1000))</f>
        <v>0</v>
      </c>
      <c r="H295" s="1">
        <f t="shared" ref="H295" si="1289">IF(H291&lt;6.5,$D296*1000,IF($D297=0,0,$D296*1000))</f>
        <v>0</v>
      </c>
      <c r="I295" s="1">
        <f t="shared" ref="I295" si="1290">IF(I291&lt;6.5,$D296*1000,IF($D297=0,0,$D296*1000))</f>
        <v>0</v>
      </c>
      <c r="J295" s="1">
        <f t="shared" ref="J295:K295" si="1291">IF(J291&lt;6.5,$D296*1000,IF($D298=0,0,$D296*1000))</f>
        <v>0</v>
      </c>
      <c r="K295" s="1">
        <f t="shared" si="1291"/>
        <v>0</v>
      </c>
      <c r="L295" s="1">
        <f t="shared" ref="L295" si="1292">IF(L291&lt;6.5,$D296*1000,IF($D298=0,0,$D296*1000))</f>
        <v>0</v>
      </c>
      <c r="M295" s="1">
        <f t="shared" ref="M295" si="1293">IF(M291&lt;6.5,$D296*1000,IF($D298=0,0,$D296*1000))</f>
        <v>0</v>
      </c>
      <c r="N295" s="1">
        <f t="shared" ref="N295" si="1294">IF(N291&lt;6.5,$D296*1000,IF($D298=0,0,$D296*1000))</f>
        <v>0</v>
      </c>
      <c r="O295" s="1">
        <f t="shared" ref="O295" si="1295">IF(O291&lt;6.5,$D296*1000,IF($D298=0,0,$D296*1000))</f>
        <v>0</v>
      </c>
      <c r="P295" s="1">
        <f t="shared" ref="P295" si="1296">IF(P291&lt;6.5,$D296*1000,IF($D298=0,0,$D296*1000))</f>
        <v>0</v>
      </c>
      <c r="Q295">
        <f t="shared" si="1189"/>
        <v>282</v>
      </c>
      <c r="R295" s="1">
        <f t="shared" ref="R295" si="1297">HLOOKUP(Q295,E290:P296,7)</f>
        <v>21208404.497542746</v>
      </c>
    </row>
    <row r="296" spans="2:18" x14ac:dyDescent="0.25">
      <c r="B296" s="16"/>
      <c r="C296" t="s">
        <v>56</v>
      </c>
      <c r="D296" s="10">
        <f t="shared" ref="D296" si="1298">ROUND(D295,-1)</f>
        <v>1500</v>
      </c>
      <c r="E296" s="1">
        <f t="shared" ref="E296" si="1299">-FV($E$17,$E$18,$E$19,D288-E297,1)</f>
        <v>16004375.495610969</v>
      </c>
      <c r="F296" s="1">
        <f t="shared" ref="F296:I296" si="1300">-FV($E$17,$E$18,$E$19,E296,1)</f>
        <v>17035293.686198499</v>
      </c>
      <c r="G296" s="1">
        <f t="shared" si="1300"/>
        <v>18071132.142628182</v>
      </c>
      <c r="H296" s="1">
        <f t="shared" si="1300"/>
        <v>19111914.347865183</v>
      </c>
      <c r="I296" s="1">
        <f t="shared" si="1300"/>
        <v>20157663.896951873</v>
      </c>
      <c r="J296" s="1">
        <f t="shared" ref="J296" si="1301">-FV($E$17,$E$18,$E$19,I296-J297-J298,1)</f>
        <v>21208404.497542746</v>
      </c>
      <c r="K296" s="1">
        <f t="shared" ref="K296" si="1302">-FV($E$17,$E$18,$E$19,J296,1)</f>
        <v>22264159.970441874</v>
      </c>
      <c r="L296" s="1">
        <f t="shared" ref="L296" si="1303">-FV($E$17,$E$18,$E$19,K296,1)</f>
        <v>23324954.250142936</v>
      </c>
      <c r="M296" s="1">
        <f t="shared" ref="M296" si="1304">-FV($E$17,$E$18,$E$19,L296,1)</f>
        <v>24390811.385371838</v>
      </c>
      <c r="N296" s="1">
        <f t="shared" ref="N296" si="1305">-FV($E$17,$E$18,$E$19,M296,1)</f>
        <v>25461755.539631896</v>
      </c>
      <c r="O296" s="1">
        <f t="shared" ref="O296" si="1306">-FV($E$17,$E$18,$E$19,N296,1)</f>
        <v>26537810.991751637</v>
      </c>
      <c r="P296" s="1">
        <f t="shared" ref="P296" si="1307">-FV($E$17,$E$18,$E$19,O296,1)</f>
        <v>27619002.136435222</v>
      </c>
      <c r="Q296">
        <f t="shared" si="1189"/>
        <v>283</v>
      </c>
      <c r="R296" s="1">
        <f t="shared" ref="R296" si="1308">HLOOKUP(Q296,E290:P296,7)</f>
        <v>22264159.970441874</v>
      </c>
    </row>
    <row r="297" spans="2:18" x14ac:dyDescent="0.25">
      <c r="B297" s="16"/>
      <c r="C297" t="s">
        <v>71</v>
      </c>
      <c r="D297">
        <f t="shared" ref="D297" si="1309">$E297</f>
        <v>0</v>
      </c>
      <c r="E297" s="1">
        <f t="shared" ref="E297" si="1310">ROUNDUP(IF(E291&gt;=$E$13,$D$13,IF(E291&gt;=$E$12,$D$12,IF(E291&gt;=$E$10,$D$10,IF(E291&gt;=$E$8,$D$8,IF(E291&gt;=$E$6,$D$6,IF(E291&gt;=$E$4,$D$4,0))))))*1000*(1+$D$2)^$B290,-3)</f>
        <v>0</v>
      </c>
      <c r="J297" s="1">
        <f t="shared" ref="J297" si="1311">ROUNDUP(IF(J291&gt;=$E$13,$D$13,IF(J291&gt;=$E$12,$D$12,IF(J291&gt;=$E$10,$D$10,IF(J291&gt;=$E$8,$D$8,IF(J291&gt;=$E$6,$D$6,IF(J291&gt;=$E$4,$D$4,0))))))*1000*(1+$D$2)^$B290,-3)</f>
        <v>0</v>
      </c>
      <c r="Q297">
        <f t="shared" si="1189"/>
        <v>284</v>
      </c>
      <c r="R297" s="1">
        <f t="shared" ref="R297" si="1312">HLOOKUP(Q297,E290:P296,7)</f>
        <v>23324954.250142936</v>
      </c>
    </row>
    <row r="298" spans="2:18" x14ac:dyDescent="0.25">
      <c r="B298" s="16"/>
      <c r="C298" t="s">
        <v>72</v>
      </c>
      <c r="D298">
        <f t="shared" ref="D298" si="1313">$J297</f>
        <v>0</v>
      </c>
      <c r="J298" s="1">
        <f t="shared" ref="J298" si="1314">ROUND(IF(J291=$E$4,$D$5,IF(J291=$E$6,$D$7,IF(J291=$E$8,$D$9,IF(J291=$E$10,$D$11,0))))*1000*(1+$D$2)^$B290,-4)</f>
        <v>0</v>
      </c>
      <c r="Q298">
        <f t="shared" si="1189"/>
        <v>285</v>
      </c>
      <c r="R298" s="1">
        <f t="shared" ref="R298" si="1315">HLOOKUP(Q298,E290:P296,7)</f>
        <v>24390811.385371838</v>
      </c>
    </row>
    <row r="299" spans="2:18" x14ac:dyDescent="0.25">
      <c r="B299" s="16"/>
      <c r="C299" t="s">
        <v>58</v>
      </c>
      <c r="D299">
        <f t="shared" ref="D299" si="1316">D297+D298</f>
        <v>0</v>
      </c>
      <c r="Q299">
        <f t="shared" si="1189"/>
        <v>286</v>
      </c>
      <c r="R299" s="1">
        <f t="shared" ref="R299" si="1317">HLOOKUP(Q299,E290:P296,7)</f>
        <v>25461755.539631896</v>
      </c>
    </row>
    <row r="300" spans="2:18" x14ac:dyDescent="0.25">
      <c r="B300" s="16"/>
      <c r="C300" t="s">
        <v>42</v>
      </c>
      <c r="D300" s="4">
        <f t="shared" ref="D300" si="1318">P296*(1-D292)</f>
        <v>27273764.609729782</v>
      </c>
      <c r="Q300">
        <f t="shared" si="1189"/>
        <v>287</v>
      </c>
      <c r="R300" s="1">
        <f t="shared" ref="R300" si="1319">HLOOKUP(Q300,E290:P296,7)</f>
        <v>26537810.991751637</v>
      </c>
    </row>
    <row r="301" spans="2:18" x14ac:dyDescent="0.25">
      <c r="B301" s="16"/>
      <c r="Q301">
        <f t="shared" si="1189"/>
        <v>288</v>
      </c>
      <c r="R301" s="1">
        <f t="shared" ref="R301" si="1320">HLOOKUP(Q301,E290:P296,7)</f>
        <v>27619002.136435222</v>
      </c>
    </row>
    <row r="302" spans="2:18" x14ac:dyDescent="0.25">
      <c r="B302" s="16">
        <f t="shared" ref="B302" si="1321">B290+1</f>
        <v>24</v>
      </c>
      <c r="C302" t="s">
        <v>40</v>
      </c>
      <c r="D302" s="2">
        <f t="shared" ref="D302" si="1322">5.88%</f>
        <v>5.8799999999999998E-2</v>
      </c>
      <c r="E302">
        <f t="shared" ref="E302" si="1323">($B302*12)+1</f>
        <v>289</v>
      </c>
      <c r="F302">
        <f t="shared" ref="F302" si="1324">E302+1</f>
        <v>290</v>
      </c>
      <c r="G302">
        <f t="shared" ref="G302" si="1325">F302+1</f>
        <v>291</v>
      </c>
      <c r="H302">
        <f t="shared" ref="H302" si="1326">G302+1</f>
        <v>292</v>
      </c>
      <c r="I302">
        <f t="shared" ref="I302" si="1327">H302+1</f>
        <v>293</v>
      </c>
      <c r="J302">
        <f t="shared" ref="J302" si="1328">I302+1</f>
        <v>294</v>
      </c>
      <c r="K302">
        <f t="shared" ref="K302" si="1329">J302+1</f>
        <v>295</v>
      </c>
      <c r="L302">
        <f t="shared" ref="L302" si="1330">K302+1</f>
        <v>296</v>
      </c>
      <c r="M302">
        <f t="shared" ref="M302" si="1331">L302+1</f>
        <v>297</v>
      </c>
      <c r="N302">
        <f t="shared" ref="N302" si="1332">M302+1</f>
        <v>298</v>
      </c>
      <c r="O302">
        <f t="shared" ref="O302" si="1333">N302+1</f>
        <v>299</v>
      </c>
      <c r="P302">
        <f t="shared" ref="P302" si="1334">O302+1</f>
        <v>300</v>
      </c>
      <c r="Q302">
        <f t="shared" si="1189"/>
        <v>289</v>
      </c>
      <c r="R302" s="1">
        <f t="shared" ref="R302" si="1335">HLOOKUP(Q302,E302:P308,7)</f>
        <v>28358468.242097653</v>
      </c>
    </row>
    <row r="303" spans="2:18" x14ac:dyDescent="0.25">
      <c r="B303" s="16"/>
      <c r="C303" t="s">
        <v>41</v>
      </c>
      <c r="D303" s="3">
        <f t="shared" ref="D303" si="1336">(1+D302)^(1/12)-1</f>
        <v>4.7727025161425907E-3</v>
      </c>
      <c r="E303">
        <f t="shared" ref="E303:P303" si="1337">E302/12</f>
        <v>24.083333333333332</v>
      </c>
      <c r="F303">
        <f t="shared" si="1337"/>
        <v>24.166666666666668</v>
      </c>
      <c r="G303">
        <f t="shared" si="1337"/>
        <v>24.25</v>
      </c>
      <c r="H303">
        <f t="shared" si="1337"/>
        <v>24.333333333333332</v>
      </c>
      <c r="I303">
        <f t="shared" si="1337"/>
        <v>24.416666666666668</v>
      </c>
      <c r="J303">
        <f t="shared" si="1337"/>
        <v>24.5</v>
      </c>
      <c r="K303">
        <f t="shared" si="1337"/>
        <v>24.583333333333332</v>
      </c>
      <c r="L303">
        <f t="shared" si="1337"/>
        <v>24.666666666666668</v>
      </c>
      <c r="M303">
        <f t="shared" si="1337"/>
        <v>24.75</v>
      </c>
      <c r="N303">
        <f t="shared" si="1337"/>
        <v>24.833333333333332</v>
      </c>
      <c r="O303">
        <f t="shared" si="1337"/>
        <v>24.916666666666668</v>
      </c>
      <c r="P303">
        <f t="shared" si="1337"/>
        <v>25</v>
      </c>
      <c r="Q303">
        <f t="shared" si="1189"/>
        <v>290</v>
      </c>
      <c r="R303" s="1">
        <f t="shared" ref="R303" si="1338">HLOOKUP(Q303,E302:P308,7)</f>
        <v>29448348.842220996</v>
      </c>
    </row>
    <row r="304" spans="2:18" x14ac:dyDescent="0.25">
      <c r="B304" s="16"/>
      <c r="C304" t="s">
        <v>53</v>
      </c>
      <c r="D304" s="2">
        <f t="shared" ref="D304" si="1339">1.25%</f>
        <v>1.2500000000000001E-2</v>
      </c>
      <c r="E304" t="s">
        <v>59</v>
      </c>
      <c r="F304" t="s">
        <v>60</v>
      </c>
      <c r="G304" t="s">
        <v>61</v>
      </c>
      <c r="H304" t="s">
        <v>62</v>
      </c>
      <c r="I304" t="s">
        <v>63</v>
      </c>
      <c r="J304" t="s">
        <v>64</v>
      </c>
      <c r="K304" t="s">
        <v>65</v>
      </c>
      <c r="L304" t="s">
        <v>66</v>
      </c>
      <c r="M304" t="s">
        <v>67</v>
      </c>
      <c r="N304" t="s">
        <v>68</v>
      </c>
      <c r="O304" t="s">
        <v>69</v>
      </c>
      <c r="P304" t="s">
        <v>70</v>
      </c>
      <c r="Q304">
        <f t="shared" si="1189"/>
        <v>291</v>
      </c>
      <c r="R304" s="1">
        <f t="shared" ref="R304" si="1340">HLOOKUP(Q304,E302:P308,7)</f>
        <v>30543431.118226841</v>
      </c>
    </row>
    <row r="305" spans="2:18" x14ac:dyDescent="0.25">
      <c r="B305" s="16"/>
      <c r="C305" t="s">
        <v>54</v>
      </c>
      <c r="D305">
        <f>1</f>
        <v>1</v>
      </c>
      <c r="E305" s="2">
        <f t="shared" ref="E305:P305" si="1341">$D291</f>
        <v>4.7727025161425907E-3</v>
      </c>
      <c r="F305" s="2">
        <f t="shared" si="1341"/>
        <v>4.7727025161425907E-3</v>
      </c>
      <c r="G305" s="2">
        <f t="shared" si="1341"/>
        <v>4.7727025161425907E-3</v>
      </c>
      <c r="H305" s="2">
        <f t="shared" si="1341"/>
        <v>4.7727025161425907E-3</v>
      </c>
      <c r="I305" s="2">
        <f t="shared" si="1341"/>
        <v>4.7727025161425907E-3</v>
      </c>
      <c r="J305" s="2">
        <f t="shared" si="1341"/>
        <v>4.7727025161425907E-3</v>
      </c>
      <c r="K305" s="2">
        <f t="shared" si="1341"/>
        <v>4.7727025161425907E-3</v>
      </c>
      <c r="L305" s="2">
        <f t="shared" si="1341"/>
        <v>4.7727025161425907E-3</v>
      </c>
      <c r="M305" s="2">
        <f t="shared" si="1341"/>
        <v>4.7727025161425907E-3</v>
      </c>
      <c r="N305" s="2">
        <f t="shared" si="1341"/>
        <v>4.7727025161425907E-3</v>
      </c>
      <c r="O305" s="2">
        <f t="shared" si="1341"/>
        <v>4.7727025161425907E-3</v>
      </c>
      <c r="P305" s="2">
        <f t="shared" si="1341"/>
        <v>4.7727025161425907E-3</v>
      </c>
      <c r="Q305">
        <f t="shared" si="1189"/>
        <v>292</v>
      </c>
      <c r="R305" s="1">
        <f t="shared" ref="R305" si="1342">HLOOKUP(Q305,E302:P308,7)</f>
        <v>31643739.896166764</v>
      </c>
    </row>
    <row r="306" spans="2:18" x14ac:dyDescent="0.25">
      <c r="B306" s="16"/>
      <c r="C306" t="s">
        <v>55</v>
      </c>
      <c r="D306">
        <f t="shared" ref="D306" si="1343">D305*12</f>
        <v>12</v>
      </c>
      <c r="E306">
        <f>1</f>
        <v>1</v>
      </c>
      <c r="F306">
        <f>1</f>
        <v>1</v>
      </c>
      <c r="G306">
        <f>1</f>
        <v>1</v>
      </c>
      <c r="H306">
        <f>1</f>
        <v>1</v>
      </c>
      <c r="I306">
        <f>1</f>
        <v>1</v>
      </c>
      <c r="J306">
        <f>1</f>
        <v>1</v>
      </c>
      <c r="K306">
        <f>1</f>
        <v>1</v>
      </c>
      <c r="L306">
        <f>1</f>
        <v>1</v>
      </c>
      <c r="M306">
        <f>1</f>
        <v>1</v>
      </c>
      <c r="N306">
        <f>1</f>
        <v>1</v>
      </c>
      <c r="O306">
        <f>1</f>
        <v>1</v>
      </c>
      <c r="P306">
        <f>1</f>
        <v>1</v>
      </c>
      <c r="Q306">
        <f t="shared" si="1189"/>
        <v>293</v>
      </c>
      <c r="R306" s="1">
        <f t="shared" ref="R306" si="1344">HLOOKUP(Q306,E302:P308,7)</f>
        <v>32749300.120579693</v>
      </c>
    </row>
    <row r="307" spans="2:18" x14ac:dyDescent="0.25">
      <c r="B307" s="16"/>
      <c r="C307" t="s">
        <v>57</v>
      </c>
      <c r="D307" s="10">
        <f t="shared" ref="D307" si="1345">D295*(1+$D$2)</f>
        <v>1528.0153870014651</v>
      </c>
      <c r="E307" s="1">
        <f t="shared" ref="E307:F307" si="1346">IF(E303&lt;6.5,$D308*1000,IF($D309=0,0,$D308*1000))</f>
        <v>0</v>
      </c>
      <c r="F307" s="1">
        <f t="shared" si="1346"/>
        <v>0</v>
      </c>
      <c r="G307" s="1">
        <f t="shared" ref="G307" si="1347">IF(G303&lt;6.5,$D308*1000,IF($D309=0,0,$D308*1000))</f>
        <v>0</v>
      </c>
      <c r="H307" s="1">
        <f t="shared" ref="H307" si="1348">IF(H303&lt;6.5,$D308*1000,IF($D309=0,0,$D308*1000))</f>
        <v>0</v>
      </c>
      <c r="I307" s="1">
        <f t="shared" ref="I307" si="1349">IF(I303&lt;6.5,$D308*1000,IF($D309=0,0,$D308*1000))</f>
        <v>0</v>
      </c>
      <c r="J307" s="1">
        <f t="shared" ref="J307:K307" si="1350">IF(J303&lt;6.5,$D308*1000,IF($D310=0,0,$D308*1000))</f>
        <v>0</v>
      </c>
      <c r="K307" s="1">
        <f t="shared" si="1350"/>
        <v>0</v>
      </c>
      <c r="L307" s="1">
        <f t="shared" ref="L307" si="1351">IF(L303&lt;6.5,$D308*1000,IF($D310=0,0,$D308*1000))</f>
        <v>0</v>
      </c>
      <c r="M307" s="1">
        <f t="shared" ref="M307" si="1352">IF(M303&lt;6.5,$D308*1000,IF($D310=0,0,$D308*1000))</f>
        <v>0</v>
      </c>
      <c r="N307" s="1">
        <f t="shared" ref="N307" si="1353">IF(N303&lt;6.5,$D308*1000,IF($D310=0,0,$D308*1000))</f>
        <v>0</v>
      </c>
      <c r="O307" s="1">
        <f t="shared" ref="O307" si="1354">IF(O303&lt;6.5,$D308*1000,IF($D310=0,0,$D308*1000))</f>
        <v>0</v>
      </c>
      <c r="P307" s="1">
        <f t="shared" ref="P307" si="1355">IF(P303&lt;6.5,$D308*1000,IF($D310=0,0,$D308*1000))</f>
        <v>0</v>
      </c>
      <c r="Q307">
        <f t="shared" si="1189"/>
        <v>294</v>
      </c>
      <c r="R307" s="1">
        <f t="shared" ref="R307" si="1356">HLOOKUP(Q307,E302:P308,7)</f>
        <v>33860136.855057426</v>
      </c>
    </row>
    <row r="308" spans="2:18" x14ac:dyDescent="0.25">
      <c r="B308" s="16"/>
      <c r="C308" t="s">
        <v>56</v>
      </c>
      <c r="D308" s="10">
        <f t="shared" ref="D308" si="1357">ROUND(D307,-1)</f>
        <v>1530</v>
      </c>
      <c r="E308" s="1">
        <f t="shared" ref="E308" si="1358">-FV($E$17,$E$18,$E$19,D300-E309,1)</f>
        <v>28358468.242097653</v>
      </c>
      <c r="F308" s="1">
        <f t="shared" ref="F308:I308" si="1359">-FV($E$17,$E$18,$E$19,E308,1)</f>
        <v>29448348.842220996</v>
      </c>
      <c r="G308" s="1">
        <f t="shared" si="1359"/>
        <v>30543431.118226841</v>
      </c>
      <c r="H308" s="1">
        <f t="shared" si="1359"/>
        <v>31643739.896166764</v>
      </c>
      <c r="I308" s="1">
        <f t="shared" si="1359"/>
        <v>32749300.120579693</v>
      </c>
      <c r="J308" s="1">
        <f t="shared" ref="J308" si="1360">-FV($E$17,$E$18,$E$19,I308-J309-J310,1)</f>
        <v>33860136.855057426</v>
      </c>
      <c r="K308" s="1">
        <f t="shared" ref="K308" si="1361">-FV($E$17,$E$18,$E$19,J308,1)</f>
        <v>34976275.282812826</v>
      </c>
      <c r="L308" s="1">
        <f t="shared" ref="L308" si="1362">-FV($E$17,$E$18,$E$19,K308,1)</f>
        <v>36097740.707250744</v>
      </c>
      <c r="M308" s="1">
        <f t="shared" ref="M308" si="1363">-FV($E$17,$E$18,$E$19,L308,1)</f>
        <v>37224558.552541643</v>
      </c>
      <c r="N308" s="1">
        <f t="shared" ref="N308" si="1364">-FV($E$17,$E$18,$E$19,M308,1)</f>
        <v>38356754.364197992</v>
      </c>
      <c r="O308" s="1">
        <f t="shared" ref="O308" si="1365">-FV($E$17,$E$18,$E$19,N308,1)</f>
        <v>39494353.809653401</v>
      </c>
      <c r="P308" s="1">
        <f t="shared" ref="P308" si="1366">-FV($E$17,$E$18,$E$19,O308,1)</f>
        <v>40637382.678844497</v>
      </c>
      <c r="Q308">
        <f t="shared" si="1189"/>
        <v>295</v>
      </c>
      <c r="R308" s="1">
        <f t="shared" ref="R308" si="1367">HLOOKUP(Q308,E302:P308,7)</f>
        <v>34976275.282812826</v>
      </c>
    </row>
    <row r="309" spans="2:18" x14ac:dyDescent="0.25">
      <c r="B309" s="16"/>
      <c r="C309" t="s">
        <v>71</v>
      </c>
      <c r="D309">
        <f t="shared" ref="D309" si="1368">$E309</f>
        <v>0</v>
      </c>
      <c r="E309" s="1">
        <f t="shared" ref="E309" si="1369">ROUNDUP(IF(E303&gt;=$E$13,$D$13,IF(E303&gt;=$E$12,$D$12,IF(E303&gt;=$E$10,$D$10,IF(E303&gt;=$E$8,$D$8,IF(E303&gt;=$E$6,$D$6,IF(E303&gt;=$E$4,$D$4,0))))))*1000*(1+$D$2)^$B302,-3)</f>
        <v>0</v>
      </c>
      <c r="J309" s="1">
        <f t="shared" ref="J309" si="1370">ROUNDUP(IF(J303&gt;=$E$13,$D$13,IF(J303&gt;=$E$12,$D$12,IF(J303&gt;=$E$10,$D$10,IF(J303&gt;=$E$8,$D$8,IF(J303&gt;=$E$6,$D$6,IF(J303&gt;=$E$4,$D$4,0))))))*1000*(1+$D$2)^$B302,-3)</f>
        <v>0</v>
      </c>
      <c r="Q309">
        <f t="shared" si="1189"/>
        <v>296</v>
      </c>
      <c r="R309" s="1">
        <f t="shared" ref="R309" si="1371">HLOOKUP(Q309,E302:P308,7)</f>
        <v>36097740.707250744</v>
      </c>
    </row>
    <row r="310" spans="2:18" x14ac:dyDescent="0.25">
      <c r="B310" s="16"/>
      <c r="C310" t="s">
        <v>72</v>
      </c>
      <c r="D310">
        <f t="shared" ref="D310" si="1372">$J309</f>
        <v>0</v>
      </c>
      <c r="J310" s="1">
        <f t="shared" ref="J310" si="1373">ROUND(IF(J303=$E$4,$D$5,IF(J303=$E$6,$D$7,IF(J303=$E$8,$D$9,IF(J303=$E$10,$D$11,0))))*1000*(1+$D$2)^$B302,-4)</f>
        <v>0</v>
      </c>
      <c r="Q310">
        <f t="shared" si="1189"/>
        <v>297</v>
      </c>
      <c r="R310" s="1">
        <f t="shared" ref="R310" si="1374">HLOOKUP(Q310,E302:P308,7)</f>
        <v>37224558.552541643</v>
      </c>
    </row>
    <row r="311" spans="2:18" x14ac:dyDescent="0.25">
      <c r="B311" s="16"/>
      <c r="C311" t="s">
        <v>58</v>
      </c>
      <c r="D311">
        <f t="shared" ref="D311" si="1375">D309+D310</f>
        <v>0</v>
      </c>
      <c r="Q311">
        <f t="shared" si="1189"/>
        <v>298</v>
      </c>
      <c r="R311" s="1">
        <f t="shared" ref="R311" si="1376">HLOOKUP(Q311,E302:P308,7)</f>
        <v>38356754.364197992</v>
      </c>
    </row>
    <row r="312" spans="2:18" x14ac:dyDescent="0.25">
      <c r="B312" s="16"/>
      <c r="C312" t="s">
        <v>42</v>
      </c>
      <c r="D312" s="4">
        <f t="shared" ref="D312" si="1377">P308*(1-D304)</f>
        <v>40129415.395358942</v>
      </c>
      <c r="Q312">
        <f t="shared" si="1189"/>
        <v>299</v>
      </c>
      <c r="R312" s="1">
        <f t="shared" ref="R312" si="1378">HLOOKUP(Q312,E302:P308,7)</f>
        <v>39494353.809653401</v>
      </c>
    </row>
    <row r="313" spans="2:18" x14ac:dyDescent="0.25">
      <c r="B313" s="16"/>
      <c r="Q313">
        <f t="shared" si="1189"/>
        <v>300</v>
      </c>
      <c r="R313" s="1">
        <f t="shared" ref="R313" si="1379">HLOOKUP(Q313,E302:P308,7)</f>
        <v>40637382.678844497</v>
      </c>
    </row>
    <row r="314" spans="2:18" x14ac:dyDescent="0.25">
      <c r="B314" s="16">
        <f t="shared" ref="B314" si="1380">B302+1</f>
        <v>25</v>
      </c>
      <c r="C314" t="s">
        <v>40</v>
      </c>
      <c r="D314" s="2">
        <f t="shared" ref="D314" si="1381">5.88%</f>
        <v>5.8799999999999998E-2</v>
      </c>
      <c r="E314">
        <f t="shared" ref="E314" si="1382">($B314*12)+1</f>
        <v>301</v>
      </c>
      <c r="F314">
        <f t="shared" ref="F314" si="1383">E314+1</f>
        <v>302</v>
      </c>
      <c r="G314">
        <f t="shared" ref="G314" si="1384">F314+1</f>
        <v>303</v>
      </c>
      <c r="H314">
        <f t="shared" ref="H314" si="1385">G314+1</f>
        <v>304</v>
      </c>
      <c r="I314">
        <f t="shared" ref="I314" si="1386">H314+1</f>
        <v>305</v>
      </c>
      <c r="J314">
        <f t="shared" ref="J314" si="1387">I314+1</f>
        <v>306</v>
      </c>
      <c r="K314">
        <f t="shared" ref="K314" si="1388">J314+1</f>
        <v>307</v>
      </c>
      <c r="L314">
        <f t="shared" ref="L314" si="1389">K314+1</f>
        <v>308</v>
      </c>
      <c r="M314">
        <f t="shared" ref="M314" si="1390">L314+1</f>
        <v>309</v>
      </c>
      <c r="N314">
        <f t="shared" ref="N314" si="1391">M314+1</f>
        <v>310</v>
      </c>
      <c r="O314">
        <f t="shared" ref="O314" si="1392">N314+1</f>
        <v>311</v>
      </c>
      <c r="P314">
        <f t="shared" ref="P314" si="1393">O314+1</f>
        <v>312</v>
      </c>
      <c r="Q314">
        <f t="shared" si="1189"/>
        <v>301</v>
      </c>
      <c r="R314" s="1">
        <f t="shared" ref="R314" si="1394">HLOOKUP(Q314,E314:P320,7)</f>
        <v>41275475.224578038</v>
      </c>
    </row>
    <row r="315" spans="2:18" x14ac:dyDescent="0.25">
      <c r="B315" s="16"/>
      <c r="C315" t="s">
        <v>41</v>
      </c>
      <c r="D315" s="3">
        <f t="shared" ref="D315" si="1395">(1+D314)^(1/12)-1</f>
        <v>4.7727025161425907E-3</v>
      </c>
      <c r="E315">
        <f t="shared" ref="E315:P315" si="1396">E314/12</f>
        <v>25.083333333333332</v>
      </c>
      <c r="F315">
        <f t="shared" si="1396"/>
        <v>25.166666666666668</v>
      </c>
      <c r="G315">
        <f t="shared" si="1396"/>
        <v>25.25</v>
      </c>
      <c r="H315">
        <f t="shared" si="1396"/>
        <v>25.333333333333332</v>
      </c>
      <c r="I315">
        <f t="shared" si="1396"/>
        <v>25.416666666666668</v>
      </c>
      <c r="J315">
        <f t="shared" si="1396"/>
        <v>25.5</v>
      </c>
      <c r="K315">
        <f t="shared" si="1396"/>
        <v>25.583333333333332</v>
      </c>
      <c r="L315">
        <f t="shared" si="1396"/>
        <v>25.666666666666668</v>
      </c>
      <c r="M315">
        <f t="shared" si="1396"/>
        <v>25.75</v>
      </c>
      <c r="N315">
        <f t="shared" si="1396"/>
        <v>25.833333333333332</v>
      </c>
      <c r="O315">
        <f t="shared" si="1396"/>
        <v>25.916666666666668</v>
      </c>
      <c r="P315">
        <f t="shared" si="1396"/>
        <v>26</v>
      </c>
      <c r="Q315">
        <f t="shared" si="1189"/>
        <v>302</v>
      </c>
      <c r="R315" s="1">
        <f t="shared" ref="R315" si="1397">HLOOKUP(Q315,E314:P320,7)</f>
        <v>42427004.856427699</v>
      </c>
    </row>
    <row r="316" spans="2:18" x14ac:dyDescent="0.25">
      <c r="B316" s="16"/>
      <c r="C316" t="s">
        <v>53</v>
      </c>
      <c r="D316" s="2">
        <f t="shared" ref="D316" si="1398">1.25%</f>
        <v>1.2500000000000001E-2</v>
      </c>
      <c r="E316" t="s">
        <v>59</v>
      </c>
      <c r="F316" t="s">
        <v>60</v>
      </c>
      <c r="G316" t="s">
        <v>61</v>
      </c>
      <c r="H316" t="s">
        <v>62</v>
      </c>
      <c r="I316" t="s">
        <v>63</v>
      </c>
      <c r="J316" t="s">
        <v>64</v>
      </c>
      <c r="K316" t="s">
        <v>65</v>
      </c>
      <c r="L316" t="s">
        <v>66</v>
      </c>
      <c r="M316" t="s">
        <v>67</v>
      </c>
      <c r="N316" t="s">
        <v>68</v>
      </c>
      <c r="O316" t="s">
        <v>69</v>
      </c>
      <c r="P316" t="s">
        <v>70</v>
      </c>
      <c r="Q316">
        <f t="shared" si="1189"/>
        <v>303</v>
      </c>
      <c r="R316" s="1">
        <f t="shared" ref="R316" si="1399">HLOOKUP(Q316,E314:P320,7)</f>
        <v>43584030.396648705</v>
      </c>
    </row>
    <row r="317" spans="2:18" x14ac:dyDescent="0.25">
      <c r="B317" s="16"/>
      <c r="C317" t="s">
        <v>54</v>
      </c>
      <c r="D317">
        <f>1</f>
        <v>1</v>
      </c>
      <c r="E317" s="2">
        <f t="shared" ref="E317:P317" si="1400">$D303</f>
        <v>4.7727025161425907E-3</v>
      </c>
      <c r="F317" s="2">
        <f t="shared" si="1400"/>
        <v>4.7727025161425907E-3</v>
      </c>
      <c r="G317" s="2">
        <f t="shared" si="1400"/>
        <v>4.7727025161425907E-3</v>
      </c>
      <c r="H317" s="2">
        <f t="shared" si="1400"/>
        <v>4.7727025161425907E-3</v>
      </c>
      <c r="I317" s="2">
        <f t="shared" si="1400"/>
        <v>4.7727025161425907E-3</v>
      </c>
      <c r="J317" s="2">
        <f t="shared" si="1400"/>
        <v>4.7727025161425907E-3</v>
      </c>
      <c r="K317" s="2">
        <f t="shared" si="1400"/>
        <v>4.7727025161425907E-3</v>
      </c>
      <c r="L317" s="2">
        <f t="shared" si="1400"/>
        <v>4.7727025161425907E-3</v>
      </c>
      <c r="M317" s="2">
        <f t="shared" si="1400"/>
        <v>4.7727025161425907E-3</v>
      </c>
      <c r="N317" s="2">
        <f t="shared" si="1400"/>
        <v>4.7727025161425907E-3</v>
      </c>
      <c r="O317" s="2">
        <f t="shared" si="1400"/>
        <v>4.7727025161425907E-3</v>
      </c>
      <c r="P317" s="2">
        <f t="shared" si="1400"/>
        <v>4.7727025161425907E-3</v>
      </c>
      <c r="Q317">
        <f t="shared" si="1189"/>
        <v>304</v>
      </c>
      <c r="R317" s="1">
        <f t="shared" ref="R317" si="1401">HLOOKUP(Q317,E314:P320,7)</f>
        <v>44746578.07557676</v>
      </c>
    </row>
    <row r="318" spans="2:18" x14ac:dyDescent="0.25">
      <c r="B318" s="16"/>
      <c r="C318" t="s">
        <v>55</v>
      </c>
      <c r="D318">
        <f t="shared" ref="D318" si="1402">D317*12</f>
        <v>12</v>
      </c>
      <c r="E318">
        <f>1</f>
        <v>1</v>
      </c>
      <c r="F318">
        <f>1</f>
        <v>1</v>
      </c>
      <c r="G318">
        <f>1</f>
        <v>1</v>
      </c>
      <c r="H318">
        <f>1</f>
        <v>1</v>
      </c>
      <c r="I318">
        <f>1</f>
        <v>1</v>
      </c>
      <c r="J318">
        <f>1</f>
        <v>1</v>
      </c>
      <c r="K318">
        <f>1</f>
        <v>1</v>
      </c>
      <c r="L318">
        <f>1</f>
        <v>1</v>
      </c>
      <c r="M318">
        <f>1</f>
        <v>1</v>
      </c>
      <c r="N318">
        <f>1</f>
        <v>1</v>
      </c>
      <c r="O318">
        <f>1</f>
        <v>1</v>
      </c>
      <c r="P318">
        <f>1</f>
        <v>1</v>
      </c>
      <c r="Q318">
        <f t="shared" si="1189"/>
        <v>305</v>
      </c>
      <c r="R318" s="1">
        <f t="shared" ref="R318" si="1403">HLOOKUP(Q318,E314:P320,7)</f>
        <v>45914674.248737171</v>
      </c>
    </row>
    <row r="319" spans="2:18" x14ac:dyDescent="0.25">
      <c r="B319" s="16"/>
      <c r="C319" t="s">
        <v>57</v>
      </c>
      <c r="D319" s="10">
        <f t="shared" ref="D319" si="1404">D307*(1+$D$2)</f>
        <v>1558.5756947414945</v>
      </c>
      <c r="E319" s="1">
        <f t="shared" ref="E319:F319" si="1405">IF(E315&lt;6.5,$D320*1000,IF($D321=0,0,$D320*1000))</f>
        <v>0</v>
      </c>
      <c r="F319" s="1">
        <f t="shared" si="1405"/>
        <v>0</v>
      </c>
      <c r="G319" s="1">
        <f t="shared" ref="G319" si="1406">IF(G315&lt;6.5,$D320*1000,IF($D321=0,0,$D320*1000))</f>
        <v>0</v>
      </c>
      <c r="H319" s="1">
        <f t="shared" ref="H319" si="1407">IF(H315&lt;6.5,$D320*1000,IF($D321=0,0,$D320*1000))</f>
        <v>0</v>
      </c>
      <c r="I319" s="1">
        <f t="shared" ref="I319" si="1408">IF(I315&lt;6.5,$D320*1000,IF($D321=0,0,$D320*1000))</f>
        <v>0</v>
      </c>
      <c r="J319" s="1">
        <f t="shared" ref="J319:K319" si="1409">IF(J315&lt;6.5,$D320*1000,IF($D322=0,0,$D320*1000))</f>
        <v>0</v>
      </c>
      <c r="K319" s="1">
        <f t="shared" si="1409"/>
        <v>0</v>
      </c>
      <c r="L319" s="1">
        <f t="shared" ref="L319" si="1410">IF(L315&lt;6.5,$D320*1000,IF($D322=0,0,$D320*1000))</f>
        <v>0</v>
      </c>
      <c r="M319" s="1">
        <f t="shared" ref="M319" si="1411">IF(M315&lt;6.5,$D320*1000,IF($D322=0,0,$D320*1000))</f>
        <v>0</v>
      </c>
      <c r="N319" s="1">
        <f t="shared" ref="N319" si="1412">IF(N315&lt;6.5,$D320*1000,IF($D322=0,0,$D320*1000))</f>
        <v>0</v>
      </c>
      <c r="O319" s="1">
        <f t="shared" ref="O319" si="1413">IF(O315&lt;6.5,$D320*1000,IF($D322=0,0,$D320*1000))</f>
        <v>0</v>
      </c>
      <c r="P319" s="1">
        <f t="shared" ref="P319" si="1414">IF(P315&lt;6.5,$D320*1000,IF($D322=0,0,$D320*1000))</f>
        <v>0</v>
      </c>
      <c r="Q319">
        <f t="shared" si="1189"/>
        <v>306</v>
      </c>
      <c r="R319" s="1">
        <f t="shared" ref="R319" si="1415">HLOOKUP(Q319,E314:P320,7)</f>
        <v>47088345.397442326</v>
      </c>
    </row>
    <row r="320" spans="2:18" x14ac:dyDescent="0.25">
      <c r="B320" s="16"/>
      <c r="C320" t="s">
        <v>56</v>
      </c>
      <c r="D320" s="10">
        <f t="shared" ref="D320" si="1416">ROUND(D319,-1)</f>
        <v>1560</v>
      </c>
      <c r="E320" s="1">
        <f t="shared" ref="E320" si="1417">-FV($E$17,$E$18,$E$19,D312-E321,1)</f>
        <v>41275475.224578038</v>
      </c>
      <c r="F320" s="1">
        <f t="shared" ref="F320:I320" si="1418">-FV($E$17,$E$18,$E$19,E320,1)</f>
        <v>42427004.856427699</v>
      </c>
      <c r="G320" s="1">
        <f t="shared" si="1418"/>
        <v>43584030.396648705</v>
      </c>
      <c r="H320" s="1">
        <f t="shared" si="1418"/>
        <v>44746578.07557676</v>
      </c>
      <c r="I320" s="1">
        <f t="shared" si="1418"/>
        <v>45914674.248737171</v>
      </c>
      <c r="J320" s="1">
        <f t="shared" ref="J320" si="1419">-FV($E$17,$E$18,$E$19,I320-J321-J322,1)</f>
        <v>47088345.397442326</v>
      </c>
      <c r="K320" s="1">
        <f t="shared" ref="K320" si="1420">-FV($E$17,$E$18,$E$19,J320,1)</f>
        <v>48267618.129392028</v>
      </c>
      <c r="L320" s="1">
        <f t="shared" ref="L320" si="1421">-FV($E$17,$E$18,$E$19,K320,1)</f>
        <v>49452519.179276727</v>
      </c>
      <c r="M320" s="1">
        <f t="shared" ref="M320" si="1422">-FV($E$17,$E$18,$E$19,L320,1)</f>
        <v>50643075.409383588</v>
      </c>
      <c r="N320" s="1">
        <f t="shared" ref="N320" si="1423">-FV($E$17,$E$18,$E$19,M320,1)</f>
        <v>51839313.810205489</v>
      </c>
      <c r="O320" s="1">
        <f t="shared" ref="O320" si="1424">-FV($E$17,$E$18,$E$19,N320,1)</f>
        <v>53041261.501052901</v>
      </c>
      <c r="P320" s="1">
        <f t="shared" ref="P320" si="1425">-FV($E$17,$E$18,$E$19,O320,1)</f>
        <v>54248945.730668694</v>
      </c>
      <c r="Q320">
        <f t="shared" si="1189"/>
        <v>307</v>
      </c>
      <c r="R320" s="1">
        <f t="shared" ref="R320" si="1426">HLOOKUP(Q320,E314:P320,7)</f>
        <v>48267618.129392028</v>
      </c>
    </row>
    <row r="321" spans="2:18" x14ac:dyDescent="0.25">
      <c r="B321" s="16"/>
      <c r="C321" t="s">
        <v>71</v>
      </c>
      <c r="D321">
        <f t="shared" ref="D321" si="1427">$E321</f>
        <v>0</v>
      </c>
      <c r="E321" s="1">
        <f t="shared" ref="E321" si="1428">ROUNDUP(IF(E315&gt;=$E$13,$D$13,IF(E315&gt;=$E$12,$D$12,IF(E315&gt;=$E$10,$D$10,IF(E315&gt;=$E$8,$D$8,IF(E315&gt;=$E$6,$D$6,IF(E315&gt;=$E$4,$D$4,0))))))*1000*(1+$D$2)^$B314,-3)</f>
        <v>0</v>
      </c>
      <c r="J321" s="1">
        <f t="shared" ref="J321" si="1429">ROUNDUP(IF(J315&gt;=$E$13,$D$13,IF(J315&gt;=$E$12,$D$12,IF(J315&gt;=$E$10,$D$10,IF(J315&gt;=$E$8,$D$8,IF(J315&gt;=$E$6,$D$6,IF(J315&gt;=$E$4,$D$4,0))))))*1000*(1+$D$2)^$B314,-3)</f>
        <v>0</v>
      </c>
      <c r="Q321">
        <f t="shared" si="1189"/>
        <v>308</v>
      </c>
      <c r="R321" s="1">
        <f t="shared" ref="R321" si="1430">HLOOKUP(Q321,E314:P320,7)</f>
        <v>49452519.179276727</v>
      </c>
    </row>
    <row r="322" spans="2:18" x14ac:dyDescent="0.25">
      <c r="B322" s="16"/>
      <c r="C322" t="s">
        <v>72</v>
      </c>
      <c r="D322">
        <f t="shared" ref="D322" si="1431">$J321</f>
        <v>0</v>
      </c>
      <c r="J322" s="1">
        <f t="shared" ref="J322" si="1432">ROUND(IF(J315=$E$4,$D$5,IF(J315=$E$6,$D$7,IF(J315=$E$8,$D$9,IF(J315=$E$10,$D$11,0))))*1000*(1+$D$2)^$B314,-4)</f>
        <v>0</v>
      </c>
      <c r="Q322">
        <f t="shared" si="1189"/>
        <v>309</v>
      </c>
      <c r="R322" s="1">
        <f t="shared" ref="R322" si="1433">HLOOKUP(Q322,E314:P320,7)</f>
        <v>50643075.409383588</v>
      </c>
    </row>
    <row r="323" spans="2:18" x14ac:dyDescent="0.25">
      <c r="B323" s="16"/>
      <c r="C323" t="s">
        <v>58</v>
      </c>
      <c r="D323">
        <f t="shared" ref="D323" si="1434">D321+D322</f>
        <v>0</v>
      </c>
      <c r="Q323">
        <f t="shared" si="1189"/>
        <v>310</v>
      </c>
      <c r="R323" s="1">
        <f t="shared" ref="R323" si="1435">HLOOKUP(Q323,E314:P320,7)</f>
        <v>51839313.810205489</v>
      </c>
    </row>
    <row r="324" spans="2:18" x14ac:dyDescent="0.25">
      <c r="B324" s="16"/>
      <c r="C324" t="s">
        <v>42</v>
      </c>
      <c r="D324" s="4">
        <f t="shared" ref="D324" si="1436">P320*(1-D316)</f>
        <v>53570833.90903534</v>
      </c>
      <c r="Q324">
        <f t="shared" si="1189"/>
        <v>311</v>
      </c>
      <c r="R324" s="1">
        <f t="shared" ref="R324" si="1437">HLOOKUP(Q324,E314:P320,7)</f>
        <v>53041261.501052901</v>
      </c>
    </row>
    <row r="325" spans="2:18" x14ac:dyDescent="0.25">
      <c r="B325" s="16"/>
      <c r="Q325">
        <f t="shared" si="1189"/>
        <v>312</v>
      </c>
      <c r="R325" s="1">
        <f t="shared" ref="R325" si="1438">HLOOKUP(Q325,E314:P320,7)</f>
        <v>54248945.730668694</v>
      </c>
    </row>
    <row r="326" spans="2:18" x14ac:dyDescent="0.25">
      <c r="B326" s="16">
        <f t="shared" ref="B326" si="1439">B314+1</f>
        <v>26</v>
      </c>
      <c r="C326" t="s">
        <v>40</v>
      </c>
      <c r="D326" s="2">
        <f t="shared" ref="D326" si="1440">5.88%</f>
        <v>5.8799999999999998E-2</v>
      </c>
      <c r="E326">
        <f t="shared" ref="E326" si="1441">($B326*12)+1</f>
        <v>313</v>
      </c>
      <c r="F326">
        <f t="shared" ref="F326" si="1442">E326+1</f>
        <v>314</v>
      </c>
      <c r="G326">
        <f t="shared" ref="G326" si="1443">F326+1</f>
        <v>315</v>
      </c>
      <c r="H326">
        <f t="shared" ref="H326" si="1444">G326+1</f>
        <v>316</v>
      </c>
      <c r="I326">
        <f t="shared" ref="I326" si="1445">H326+1</f>
        <v>317</v>
      </c>
      <c r="J326">
        <f t="shared" ref="J326" si="1446">I326+1</f>
        <v>318</v>
      </c>
      <c r="K326">
        <f t="shared" ref="K326" si="1447">J326+1</f>
        <v>319</v>
      </c>
      <c r="L326">
        <f t="shared" ref="L326" si="1448">K326+1</f>
        <v>320</v>
      </c>
      <c r="M326">
        <f t="shared" ref="M326" si="1449">L326+1</f>
        <v>321</v>
      </c>
      <c r="N326">
        <f t="shared" ref="N326" si="1450">M326+1</f>
        <v>322</v>
      </c>
      <c r="O326">
        <f t="shared" ref="O326" si="1451">N326+1</f>
        <v>323</v>
      </c>
      <c r="P326">
        <f t="shared" ref="P326" si="1452">O326+1</f>
        <v>324</v>
      </c>
      <c r="Q326">
        <f t="shared" si="1189"/>
        <v>313</v>
      </c>
      <c r="R326" s="1">
        <f t="shared" ref="R326" si="1453">HLOOKUP(Q326,E326:P332,7)</f>
        <v>54781045.63021519</v>
      </c>
    </row>
    <row r="327" spans="2:18" x14ac:dyDescent="0.25">
      <c r="B327" s="16"/>
      <c r="C327" t="s">
        <v>41</v>
      </c>
      <c r="D327" s="3">
        <f t="shared" ref="D327" si="1454">(1+D326)^(1/12)-1</f>
        <v>4.7727025161425907E-3</v>
      </c>
      <c r="E327">
        <f t="shared" ref="E327:P327" si="1455">E326/12</f>
        <v>26.083333333333332</v>
      </c>
      <c r="F327">
        <f t="shared" si="1455"/>
        <v>26.166666666666668</v>
      </c>
      <c r="G327">
        <f t="shared" si="1455"/>
        <v>26.25</v>
      </c>
      <c r="H327">
        <f t="shared" si="1455"/>
        <v>26.333333333333332</v>
      </c>
      <c r="I327">
        <f t="shared" si="1455"/>
        <v>26.416666666666668</v>
      </c>
      <c r="J327">
        <f t="shared" si="1455"/>
        <v>26.5</v>
      </c>
      <c r="K327">
        <f t="shared" si="1455"/>
        <v>26.583333333333332</v>
      </c>
      <c r="L327">
        <f t="shared" si="1455"/>
        <v>26.666666666666668</v>
      </c>
      <c r="M327">
        <f t="shared" si="1455"/>
        <v>26.75</v>
      </c>
      <c r="N327">
        <f t="shared" si="1455"/>
        <v>26.833333333333332</v>
      </c>
      <c r="O327">
        <f t="shared" si="1455"/>
        <v>26.916666666666668</v>
      </c>
      <c r="P327">
        <f t="shared" si="1455"/>
        <v>27</v>
      </c>
      <c r="Q327">
        <f t="shared" si="1189"/>
        <v>314</v>
      </c>
      <c r="R327" s="1">
        <f t="shared" ref="R327" si="1456">HLOOKUP(Q327,E326:P332,7)</f>
        <v>55997033.331921779</v>
      </c>
    </row>
    <row r="328" spans="2:18" x14ac:dyDescent="0.25">
      <c r="B328" s="16"/>
      <c r="C328" t="s">
        <v>53</v>
      </c>
      <c r="D328" s="2">
        <f t="shared" ref="D328" si="1457">1.25%</f>
        <v>1.2500000000000001E-2</v>
      </c>
      <c r="E328" t="s">
        <v>59</v>
      </c>
      <c r="F328" t="s">
        <v>60</v>
      </c>
      <c r="G328" t="s">
        <v>61</v>
      </c>
      <c r="H328" t="s">
        <v>62</v>
      </c>
      <c r="I328" t="s">
        <v>63</v>
      </c>
      <c r="J328" t="s">
        <v>64</v>
      </c>
      <c r="K328" t="s">
        <v>65</v>
      </c>
      <c r="L328" t="s">
        <v>66</v>
      </c>
      <c r="M328" t="s">
        <v>67</v>
      </c>
      <c r="N328" t="s">
        <v>68</v>
      </c>
      <c r="O328" t="s">
        <v>69</v>
      </c>
      <c r="P328" t="s">
        <v>70</v>
      </c>
      <c r="Q328">
        <f t="shared" si="1189"/>
        <v>315</v>
      </c>
      <c r="R328" s="1">
        <f t="shared" ref="R328" si="1458">HLOOKUP(Q328,E326:P332,7)</f>
        <v>57218824.581191897</v>
      </c>
    </row>
    <row r="329" spans="2:18" x14ac:dyDescent="0.25">
      <c r="B329" s="16"/>
      <c r="C329" t="s">
        <v>54</v>
      </c>
      <c r="D329">
        <f>1</f>
        <v>1</v>
      </c>
      <c r="E329" s="2">
        <f t="shared" ref="E329:P329" si="1459">$D315</f>
        <v>4.7727025161425907E-3</v>
      </c>
      <c r="F329" s="2">
        <f t="shared" si="1459"/>
        <v>4.7727025161425907E-3</v>
      </c>
      <c r="G329" s="2">
        <f t="shared" si="1459"/>
        <v>4.7727025161425907E-3</v>
      </c>
      <c r="H329" s="2">
        <f t="shared" si="1459"/>
        <v>4.7727025161425907E-3</v>
      </c>
      <c r="I329" s="2">
        <f t="shared" si="1459"/>
        <v>4.7727025161425907E-3</v>
      </c>
      <c r="J329" s="2">
        <f t="shared" si="1459"/>
        <v>4.7727025161425907E-3</v>
      </c>
      <c r="K329" s="2">
        <f t="shared" si="1459"/>
        <v>4.7727025161425907E-3</v>
      </c>
      <c r="L329" s="2">
        <f t="shared" si="1459"/>
        <v>4.7727025161425907E-3</v>
      </c>
      <c r="M329" s="2">
        <f t="shared" si="1459"/>
        <v>4.7727025161425907E-3</v>
      </c>
      <c r="N329" s="2">
        <f t="shared" si="1459"/>
        <v>4.7727025161425907E-3</v>
      </c>
      <c r="O329" s="2">
        <f t="shared" si="1459"/>
        <v>4.7727025161425907E-3</v>
      </c>
      <c r="P329" s="2">
        <f t="shared" si="1459"/>
        <v>4.7727025161425907E-3</v>
      </c>
      <c r="Q329">
        <f t="shared" si="1189"/>
        <v>316</v>
      </c>
      <c r="R329" s="1">
        <f t="shared" ref="R329" si="1460">HLOOKUP(Q329,E326:P332,7)</f>
        <v>58446447.076631613</v>
      </c>
    </row>
    <row r="330" spans="2:18" x14ac:dyDescent="0.25">
      <c r="B330" s="16"/>
      <c r="C330" t="s">
        <v>55</v>
      </c>
      <c r="D330">
        <f t="shared" ref="D330" si="1461">D329*12</f>
        <v>12</v>
      </c>
      <c r="E330">
        <f>1</f>
        <v>1</v>
      </c>
      <c r="F330">
        <f>1</f>
        <v>1</v>
      </c>
      <c r="G330">
        <f>1</f>
        <v>1</v>
      </c>
      <c r="H330">
        <f>1</f>
        <v>1</v>
      </c>
      <c r="I330">
        <f>1</f>
        <v>1</v>
      </c>
      <c r="J330">
        <f>1</f>
        <v>1</v>
      </c>
      <c r="K330">
        <f>1</f>
        <v>1</v>
      </c>
      <c r="L330">
        <f>1</f>
        <v>1</v>
      </c>
      <c r="M330">
        <f>1</f>
        <v>1</v>
      </c>
      <c r="N330">
        <f>1</f>
        <v>1</v>
      </c>
      <c r="O330">
        <f>1</f>
        <v>1</v>
      </c>
      <c r="P330">
        <f>1</f>
        <v>1</v>
      </c>
      <c r="Q330">
        <f t="shared" si="1189"/>
        <v>317</v>
      </c>
      <c r="R330" s="1">
        <f t="shared" ref="R330" si="1462">HLOOKUP(Q330,E326:P332,7)</f>
        <v>59679928.649044186</v>
      </c>
    </row>
    <row r="331" spans="2:18" x14ac:dyDescent="0.25">
      <c r="B331" s="16"/>
      <c r="C331" t="s">
        <v>57</v>
      </c>
      <c r="D331" s="10">
        <f t="shared" ref="D331" si="1463">D319*(1+$D$2)</f>
        <v>1589.7472086363246</v>
      </c>
      <c r="E331" s="1">
        <f t="shared" ref="E331:F331" si="1464">IF(E327&lt;6.5,$D332*1000,IF($D333=0,0,$D332*1000))</f>
        <v>0</v>
      </c>
      <c r="F331" s="1">
        <f t="shared" si="1464"/>
        <v>0</v>
      </c>
      <c r="G331" s="1">
        <f t="shared" ref="G331" si="1465">IF(G327&lt;6.5,$D332*1000,IF($D333=0,0,$D332*1000))</f>
        <v>0</v>
      </c>
      <c r="H331" s="1">
        <f t="shared" ref="H331" si="1466">IF(H327&lt;6.5,$D332*1000,IF($D333=0,0,$D332*1000))</f>
        <v>0</v>
      </c>
      <c r="I331" s="1">
        <f t="shared" ref="I331" si="1467">IF(I327&lt;6.5,$D332*1000,IF($D333=0,0,$D332*1000))</f>
        <v>0</v>
      </c>
      <c r="J331" s="1">
        <f t="shared" ref="J331:K331" si="1468">IF(J327&lt;6.5,$D332*1000,IF($D334=0,0,$D332*1000))</f>
        <v>0</v>
      </c>
      <c r="K331" s="1">
        <f t="shared" si="1468"/>
        <v>0</v>
      </c>
      <c r="L331" s="1">
        <f t="shared" ref="L331" si="1469">IF(L327&lt;6.5,$D332*1000,IF($D334=0,0,$D332*1000))</f>
        <v>0</v>
      </c>
      <c r="M331" s="1">
        <f t="shared" ref="M331" si="1470">IF(M327&lt;6.5,$D332*1000,IF($D334=0,0,$D332*1000))</f>
        <v>0</v>
      </c>
      <c r="N331" s="1">
        <f t="shared" ref="N331" si="1471">IF(N327&lt;6.5,$D332*1000,IF($D334=0,0,$D332*1000))</f>
        <v>0</v>
      </c>
      <c r="O331" s="1">
        <f t="shared" ref="O331" si="1472">IF(O327&lt;6.5,$D332*1000,IF($D334=0,0,$D332*1000))</f>
        <v>0</v>
      </c>
      <c r="P331" s="1">
        <f t="shared" ref="P331" si="1473">IF(P327&lt;6.5,$D332*1000,IF($D334=0,0,$D332*1000))</f>
        <v>0</v>
      </c>
      <c r="Q331">
        <f t="shared" si="1189"/>
        <v>318</v>
      </c>
      <c r="R331" s="1">
        <f t="shared" ref="R331" si="1474">HLOOKUP(Q331,E326:P332,7)</f>
        <v>60919297.26206103</v>
      </c>
    </row>
    <row r="332" spans="2:18" x14ac:dyDescent="0.25">
      <c r="B332" s="16"/>
      <c r="C332" t="s">
        <v>56</v>
      </c>
      <c r="D332" s="10">
        <f t="shared" ref="D332" si="1475">ROUND(D331,-1)</f>
        <v>1590</v>
      </c>
      <c r="E332" s="1">
        <f t="shared" ref="E332" si="1476">-FV($E$17,$E$18,$E$19,D324-E333,1)</f>
        <v>54781045.63021519</v>
      </c>
      <c r="F332" s="1">
        <f t="shared" ref="F332:I332" si="1477">-FV($E$17,$E$18,$E$19,E332,1)</f>
        <v>55997033.331921779</v>
      </c>
      <c r="G332" s="1">
        <f t="shared" si="1477"/>
        <v>57218824.581191897</v>
      </c>
      <c r="H332" s="1">
        <f t="shared" si="1477"/>
        <v>58446447.076631613</v>
      </c>
      <c r="I332" s="1">
        <f t="shared" si="1477"/>
        <v>59679928.649044186</v>
      </c>
      <c r="J332" s="1">
        <f t="shared" ref="J332" si="1478">-FV($E$17,$E$18,$E$19,I332-J333-J334,1)</f>
        <v>60919297.26206103</v>
      </c>
      <c r="K332" s="1">
        <f t="shared" ref="K332" si="1479">-FV($E$17,$E$18,$E$19,J332,1)</f>
        <v>62164581.012775645</v>
      </c>
      <c r="L332" s="1">
        <f t="shared" ref="L332" si="1480">-FV($E$17,$E$18,$E$19,K332,1)</f>
        <v>63415808.132380605</v>
      </c>
      <c r="M332" s="1">
        <f t="shared" ref="M332" si="1481">-FV($E$17,$E$18,$E$19,L332,1)</f>
        <v>64673006.98680757</v>
      </c>
      <c r="N332" s="1">
        <f t="shared" ref="N332" si="1482">-FV($E$17,$E$18,$E$19,M332,1)</f>
        <v>65936206.077370353</v>
      </c>
      <c r="O332" s="1">
        <f t="shared" ref="O332" si="1483">-FV($E$17,$E$18,$E$19,N332,1)</f>
        <v>67205434.041411042</v>
      </c>
      <c r="P332" s="1">
        <f t="shared" ref="P332" si="1484">-FV($E$17,$E$18,$E$19,O332,1)</f>
        <v>68480719.652949274</v>
      </c>
      <c r="Q332">
        <f t="shared" si="1189"/>
        <v>319</v>
      </c>
      <c r="R332" s="1">
        <f t="shared" ref="R332" si="1485">HLOOKUP(Q332,E326:P332,7)</f>
        <v>62164581.012775645</v>
      </c>
    </row>
    <row r="333" spans="2:18" x14ac:dyDescent="0.25">
      <c r="B333" s="16"/>
      <c r="C333" t="s">
        <v>71</v>
      </c>
      <c r="D333">
        <f t="shared" ref="D333" si="1486">$E333</f>
        <v>0</v>
      </c>
      <c r="E333" s="1">
        <f t="shared" ref="E333" si="1487">ROUNDUP(IF(E327&gt;=$E$13,$D$13,IF(E327&gt;=$E$12,$D$12,IF(E327&gt;=$E$10,$D$10,IF(E327&gt;=$E$8,$D$8,IF(E327&gt;=$E$6,$D$6,IF(E327&gt;=$E$4,$D$4,0))))))*1000*(1+$D$2)^$B326,-3)</f>
        <v>0</v>
      </c>
      <c r="J333" s="1">
        <f t="shared" ref="J333" si="1488">ROUNDUP(IF(J327&gt;=$E$13,$D$13,IF(J327&gt;=$E$12,$D$12,IF(J327&gt;=$E$10,$D$10,IF(J327&gt;=$E$8,$D$8,IF(J327&gt;=$E$6,$D$6,IF(J327&gt;=$E$4,$D$4,0))))))*1000*(1+$D$2)^$B326,-3)</f>
        <v>0</v>
      </c>
      <c r="Q333">
        <f t="shared" si="1189"/>
        <v>320</v>
      </c>
      <c r="R333" s="1">
        <f t="shared" ref="R333" si="1489">HLOOKUP(Q333,E326:P332,7)</f>
        <v>63415808.132380605</v>
      </c>
    </row>
    <row r="334" spans="2:18" x14ac:dyDescent="0.25">
      <c r="B334" s="16"/>
      <c r="C334" t="s">
        <v>72</v>
      </c>
      <c r="D334">
        <f t="shared" ref="D334" si="1490">$J333</f>
        <v>0</v>
      </c>
      <c r="J334" s="1">
        <f t="shared" ref="J334" si="1491">ROUND(IF(J327=$E$4,$D$5,IF(J327=$E$6,$D$7,IF(J327=$E$8,$D$9,IF(J327=$E$10,$D$11,0))))*1000*(1+$D$2)^$B326,-4)</f>
        <v>0</v>
      </c>
      <c r="Q334">
        <f t="shared" si="1189"/>
        <v>321</v>
      </c>
      <c r="R334" s="1">
        <f t="shared" ref="R334" si="1492">HLOOKUP(Q334,E326:P332,7)</f>
        <v>64673006.98680757</v>
      </c>
    </row>
    <row r="335" spans="2:18" x14ac:dyDescent="0.25">
      <c r="B335" s="16"/>
      <c r="C335" t="s">
        <v>58</v>
      </c>
      <c r="D335">
        <f t="shared" ref="D335" si="1493">D333+D334</f>
        <v>0</v>
      </c>
      <c r="Q335">
        <f t="shared" si="1189"/>
        <v>322</v>
      </c>
      <c r="R335" s="1">
        <f t="shared" ref="R335" si="1494">HLOOKUP(Q335,E326:P332,7)</f>
        <v>65936206.077370353</v>
      </c>
    </row>
    <row r="336" spans="2:18" x14ac:dyDescent="0.25">
      <c r="B336" s="16"/>
      <c r="C336" t="s">
        <v>42</v>
      </c>
      <c r="D336" s="4">
        <f t="shared" ref="D336" si="1495">P332*(1-D328)</f>
        <v>67624710.657287404</v>
      </c>
      <c r="Q336">
        <f t="shared" ref="Q336:Q373" si="1496">Q335+1</f>
        <v>323</v>
      </c>
      <c r="R336" s="1">
        <f t="shared" ref="R336" si="1497">HLOOKUP(Q336,E326:P332,7)</f>
        <v>67205434.041411042</v>
      </c>
    </row>
    <row r="337" spans="2:18" x14ac:dyDescent="0.25">
      <c r="B337" s="16"/>
      <c r="Q337">
        <f t="shared" si="1496"/>
        <v>324</v>
      </c>
      <c r="R337" s="1">
        <f t="shared" ref="R337" si="1498">HLOOKUP(Q337,E326:P332,7)</f>
        <v>68480719.652949274</v>
      </c>
    </row>
    <row r="338" spans="2:18" x14ac:dyDescent="0.25">
      <c r="B338" s="16">
        <f t="shared" ref="B338" si="1499">B326+1</f>
        <v>27</v>
      </c>
      <c r="C338" t="s">
        <v>40</v>
      </c>
      <c r="D338" s="2">
        <f t="shared" ref="D338" si="1500">5.88%</f>
        <v>5.8799999999999998E-2</v>
      </c>
      <c r="E338">
        <f t="shared" ref="E338" si="1501">($B338*12)+1</f>
        <v>325</v>
      </c>
      <c r="F338">
        <f t="shared" ref="F338" si="1502">E338+1</f>
        <v>326</v>
      </c>
      <c r="G338">
        <f t="shared" ref="G338" si="1503">F338+1</f>
        <v>327</v>
      </c>
      <c r="H338">
        <f t="shared" ref="H338" si="1504">G338+1</f>
        <v>328</v>
      </c>
      <c r="I338">
        <f t="shared" ref="I338" si="1505">H338+1</f>
        <v>329</v>
      </c>
      <c r="J338">
        <f t="shared" ref="J338" si="1506">I338+1</f>
        <v>330</v>
      </c>
      <c r="K338">
        <f t="shared" ref="K338" si="1507">J338+1</f>
        <v>331</v>
      </c>
      <c r="L338">
        <f t="shared" ref="L338" si="1508">K338+1</f>
        <v>332</v>
      </c>
      <c r="M338">
        <f t="shared" ref="M338" si="1509">L338+1</f>
        <v>333</v>
      </c>
      <c r="N338">
        <f t="shared" ref="N338" si="1510">M338+1</f>
        <v>334</v>
      </c>
      <c r="O338">
        <f t="shared" ref="O338" si="1511">N338+1</f>
        <v>335</v>
      </c>
      <c r="P338">
        <f t="shared" ref="P338" si="1512">O338+1</f>
        <v>336</v>
      </c>
      <c r="Q338">
        <f t="shared" si="1496"/>
        <v>325</v>
      </c>
      <c r="R338" s="1">
        <f t="shared" ref="R338" si="1513">HLOOKUP(Q338,E338:P344,7)</f>
        <v>68901997.351385191</v>
      </c>
    </row>
    <row r="339" spans="2:18" x14ac:dyDescent="0.25">
      <c r="B339" s="16"/>
      <c r="C339" t="s">
        <v>41</v>
      </c>
      <c r="D339" s="3">
        <f t="shared" ref="D339" si="1514">(1+D338)^(1/12)-1</f>
        <v>4.7727025161425907E-3</v>
      </c>
      <c r="E339">
        <f t="shared" ref="E339:P339" si="1515">E338/12</f>
        <v>27.083333333333332</v>
      </c>
      <c r="F339">
        <f t="shared" si="1515"/>
        <v>27.166666666666668</v>
      </c>
      <c r="G339">
        <f t="shared" si="1515"/>
        <v>27.25</v>
      </c>
      <c r="H339">
        <f t="shared" si="1515"/>
        <v>27.333333333333332</v>
      </c>
      <c r="I339">
        <f t="shared" si="1515"/>
        <v>27.416666666666668</v>
      </c>
      <c r="J339">
        <f t="shared" si="1515"/>
        <v>27.5</v>
      </c>
      <c r="K339">
        <f t="shared" si="1515"/>
        <v>27.583333333333332</v>
      </c>
      <c r="L339">
        <f t="shared" si="1515"/>
        <v>27.666666666666668</v>
      </c>
      <c r="M339">
        <f t="shared" si="1515"/>
        <v>27.75</v>
      </c>
      <c r="N339">
        <f t="shared" si="1515"/>
        <v>27.833333333333332</v>
      </c>
      <c r="O339">
        <f t="shared" si="1515"/>
        <v>27.916666666666668</v>
      </c>
      <c r="P339">
        <f t="shared" si="1515"/>
        <v>28</v>
      </c>
      <c r="Q339">
        <f t="shared" si="1496"/>
        <v>326</v>
      </c>
      <c r="R339" s="1">
        <f t="shared" ref="R339" si="1516">HLOOKUP(Q339,E338:P344,7)</f>
        <v>70185380.154901728</v>
      </c>
    </row>
    <row r="340" spans="2:18" x14ac:dyDescent="0.25">
      <c r="B340" s="16"/>
      <c r="C340" t="s">
        <v>53</v>
      </c>
      <c r="D340" s="2">
        <f t="shared" ref="D340" si="1517">1.25%</f>
        <v>1.2500000000000001E-2</v>
      </c>
      <c r="E340" t="s">
        <v>59</v>
      </c>
      <c r="F340" t="s">
        <v>60</v>
      </c>
      <c r="G340" t="s">
        <v>61</v>
      </c>
      <c r="H340" t="s">
        <v>62</v>
      </c>
      <c r="I340" t="s">
        <v>63</v>
      </c>
      <c r="J340" t="s">
        <v>64</v>
      </c>
      <c r="K340" t="s">
        <v>65</v>
      </c>
      <c r="L340" t="s">
        <v>66</v>
      </c>
      <c r="M340" t="s">
        <v>67</v>
      </c>
      <c r="N340" t="s">
        <v>68</v>
      </c>
      <c r="O340" t="s">
        <v>69</v>
      </c>
      <c r="P340" t="s">
        <v>70</v>
      </c>
      <c r="Q340">
        <f t="shared" si="1496"/>
        <v>327</v>
      </c>
      <c r="R340" s="1">
        <f t="shared" ref="R340" si="1518">HLOOKUP(Q340,E338:P344,7)</f>
        <v>71474888.162753791</v>
      </c>
    </row>
    <row r="341" spans="2:18" x14ac:dyDescent="0.25">
      <c r="B341" s="16"/>
      <c r="C341" t="s">
        <v>54</v>
      </c>
      <c r="D341">
        <f>1</f>
        <v>1</v>
      </c>
      <c r="E341" s="2">
        <f t="shared" ref="E341:P341" si="1519">$D327</f>
        <v>4.7727025161425907E-3</v>
      </c>
      <c r="F341" s="2">
        <f t="shared" si="1519"/>
        <v>4.7727025161425907E-3</v>
      </c>
      <c r="G341" s="2">
        <f t="shared" si="1519"/>
        <v>4.7727025161425907E-3</v>
      </c>
      <c r="H341" s="2">
        <f t="shared" si="1519"/>
        <v>4.7727025161425907E-3</v>
      </c>
      <c r="I341" s="2">
        <f t="shared" si="1519"/>
        <v>4.7727025161425907E-3</v>
      </c>
      <c r="J341" s="2">
        <f t="shared" si="1519"/>
        <v>4.7727025161425907E-3</v>
      </c>
      <c r="K341" s="2">
        <f t="shared" si="1519"/>
        <v>4.7727025161425907E-3</v>
      </c>
      <c r="L341" s="2">
        <f t="shared" si="1519"/>
        <v>4.7727025161425907E-3</v>
      </c>
      <c r="M341" s="2">
        <f t="shared" si="1519"/>
        <v>4.7727025161425907E-3</v>
      </c>
      <c r="N341" s="2">
        <f t="shared" si="1519"/>
        <v>4.7727025161425907E-3</v>
      </c>
      <c r="O341" s="2">
        <f t="shared" si="1519"/>
        <v>4.7727025161425907E-3</v>
      </c>
      <c r="P341" s="2">
        <f t="shared" si="1519"/>
        <v>4.7727025161425907E-3</v>
      </c>
      <c r="Q341">
        <f t="shared" si="1496"/>
        <v>328</v>
      </c>
      <c r="R341" s="1">
        <f t="shared" ref="R341" si="1520">HLOOKUP(Q341,E338:P344,7)</f>
        <v>72770550.608719513</v>
      </c>
    </row>
    <row r="342" spans="2:18" x14ac:dyDescent="0.25">
      <c r="B342" s="16"/>
      <c r="C342" t="s">
        <v>55</v>
      </c>
      <c r="D342">
        <f t="shared" ref="D342" si="1521">D341*12</f>
        <v>12</v>
      </c>
      <c r="E342">
        <f>1</f>
        <v>1</v>
      </c>
      <c r="F342">
        <f>1</f>
        <v>1</v>
      </c>
      <c r="G342">
        <f>1</f>
        <v>1</v>
      </c>
      <c r="H342">
        <f>1</f>
        <v>1</v>
      </c>
      <c r="I342">
        <f>1</f>
        <v>1</v>
      </c>
      <c r="J342">
        <f>1</f>
        <v>1</v>
      </c>
      <c r="K342">
        <f>1</f>
        <v>1</v>
      </c>
      <c r="L342">
        <f>1</f>
        <v>1</v>
      </c>
      <c r="M342">
        <f>1</f>
        <v>1</v>
      </c>
      <c r="N342">
        <f>1</f>
        <v>1</v>
      </c>
      <c r="O342">
        <f>1</f>
        <v>1</v>
      </c>
      <c r="P342">
        <f>1</f>
        <v>1</v>
      </c>
      <c r="Q342">
        <f t="shared" si="1496"/>
        <v>329</v>
      </c>
      <c r="R342" s="1">
        <f t="shared" ref="R342" si="1522">HLOOKUP(Q342,E338:P344,7)</f>
        <v>74072396.866101161</v>
      </c>
    </row>
    <row r="343" spans="2:18" x14ac:dyDescent="0.25">
      <c r="B343" s="16"/>
      <c r="C343" t="s">
        <v>57</v>
      </c>
      <c r="D343" s="10">
        <f t="shared" ref="D343" si="1523">D331*(1+$D$2)</f>
        <v>1621.542152809051</v>
      </c>
      <c r="E343" s="1">
        <f t="shared" ref="E343:F343" si="1524">IF(E339&lt;6.5,$D344*1000,IF($D345=0,0,$D344*1000))</f>
        <v>0</v>
      </c>
      <c r="F343" s="1">
        <f t="shared" si="1524"/>
        <v>0</v>
      </c>
      <c r="G343" s="1">
        <f t="shared" ref="G343" si="1525">IF(G339&lt;6.5,$D344*1000,IF($D345=0,0,$D344*1000))</f>
        <v>0</v>
      </c>
      <c r="H343" s="1">
        <f t="shared" ref="H343" si="1526">IF(H339&lt;6.5,$D344*1000,IF($D345=0,0,$D344*1000))</f>
        <v>0</v>
      </c>
      <c r="I343" s="1">
        <f t="shared" ref="I343" si="1527">IF(I339&lt;6.5,$D344*1000,IF($D345=0,0,$D344*1000))</f>
        <v>0</v>
      </c>
      <c r="J343" s="1">
        <f t="shared" ref="J343:K343" si="1528">IF(J339&lt;6.5,$D344*1000,IF($D346=0,0,$D344*1000))</f>
        <v>0</v>
      </c>
      <c r="K343" s="1">
        <f t="shared" si="1528"/>
        <v>0</v>
      </c>
      <c r="L343" s="1">
        <f t="shared" ref="L343" si="1529">IF(L339&lt;6.5,$D344*1000,IF($D346=0,0,$D344*1000))</f>
        <v>0</v>
      </c>
      <c r="M343" s="1">
        <f t="shared" ref="M343" si="1530">IF(M339&lt;6.5,$D344*1000,IF($D346=0,0,$D344*1000))</f>
        <v>0</v>
      </c>
      <c r="N343" s="1">
        <f t="shared" ref="N343" si="1531">IF(N339&lt;6.5,$D344*1000,IF($D346=0,0,$D344*1000))</f>
        <v>0</v>
      </c>
      <c r="O343" s="1">
        <f t="shared" ref="O343" si="1532">IF(O339&lt;6.5,$D344*1000,IF($D346=0,0,$D344*1000))</f>
        <v>0</v>
      </c>
      <c r="P343" s="1">
        <f t="shared" ref="P343" si="1533">IF(P339&lt;6.5,$D344*1000,IF($D346=0,0,$D344*1000))</f>
        <v>0</v>
      </c>
      <c r="Q343">
        <f t="shared" si="1496"/>
        <v>330</v>
      </c>
      <c r="R343" s="1">
        <f t="shared" ref="R343" si="1534">HLOOKUP(Q343,E338:P344,7)</f>
        <v>75380456.44839105</v>
      </c>
    </row>
    <row r="344" spans="2:18" x14ac:dyDescent="0.25">
      <c r="B344" s="16"/>
      <c r="C344" t="s">
        <v>56</v>
      </c>
      <c r="D344" s="10">
        <f t="shared" ref="D344" si="1535">ROUND(D343,-1)</f>
        <v>1620</v>
      </c>
      <c r="E344" s="1">
        <f t="shared" ref="E344" si="1536">-FV($E$17,$E$18,$E$19,D336-E345,1)</f>
        <v>68901997.351385191</v>
      </c>
      <c r="F344" s="1">
        <f t="shared" ref="F344:I344" si="1537">-FV($E$17,$E$18,$E$19,E344,1)</f>
        <v>70185380.154901728</v>
      </c>
      <c r="G344" s="1">
        <f t="shared" si="1537"/>
        <v>71474888.162753791</v>
      </c>
      <c r="H344" s="1">
        <f t="shared" si="1537"/>
        <v>72770550.608719513</v>
      </c>
      <c r="I344" s="1">
        <f t="shared" si="1537"/>
        <v>74072396.866101161</v>
      </c>
      <c r="J344" s="1">
        <f t="shared" ref="J344" si="1538">-FV($E$17,$E$18,$E$19,I344-J345-J346,1)</f>
        <v>75380456.44839105</v>
      </c>
      <c r="K344" s="1">
        <f t="shared" ref="K344" si="1539">-FV($E$17,$E$18,$E$19,J344,1)</f>
        <v>76694759.009940594</v>
      </c>
      <c r="L344" s="1">
        <f t="shared" ref="L344" si="1540">-FV($E$17,$E$18,$E$19,K344,1)</f>
        <v>78015334.34663263</v>
      </c>
      <c r="M344" s="1">
        <f t="shared" ref="M344" si="1541">-FV($E$17,$E$18,$E$19,L344,1)</f>
        <v>79342212.396556839</v>
      </c>
      <c r="N344" s="1">
        <f t="shared" ref="N344" si="1542">-FV($E$17,$E$18,$E$19,M344,1)</f>
        <v>80675423.240688547</v>
      </c>
      <c r="O344" s="1">
        <f t="shared" ref="O344" si="1543">-FV($E$17,$E$18,$E$19,N344,1)</f>
        <v>82014997.10357058</v>
      </c>
      <c r="P344" s="1">
        <f t="shared" ref="P344" si="1544">-FV($E$17,$E$18,$E$19,O344,1)</f>
        <v>83360964.353998557</v>
      </c>
      <c r="Q344">
        <f t="shared" si="1496"/>
        <v>331</v>
      </c>
      <c r="R344" s="1">
        <f t="shared" ref="R344" si="1545">HLOOKUP(Q344,E338:P344,7)</f>
        <v>76694759.009940594</v>
      </c>
    </row>
    <row r="345" spans="2:18" x14ac:dyDescent="0.25">
      <c r="B345" s="16"/>
      <c r="C345" t="s">
        <v>71</v>
      </c>
      <c r="D345">
        <f t="shared" ref="D345" si="1546">$E345</f>
        <v>0</v>
      </c>
      <c r="E345" s="1">
        <f t="shared" ref="E345" si="1547">ROUNDUP(IF(E339&gt;=$E$13,$D$13,IF(E339&gt;=$E$12,$D$12,IF(E339&gt;=$E$10,$D$10,IF(E339&gt;=$E$8,$D$8,IF(E339&gt;=$E$6,$D$6,IF(E339&gt;=$E$4,$D$4,0))))))*1000*(1+$D$2)^$B338,-3)</f>
        <v>0</v>
      </c>
      <c r="J345" s="1">
        <f t="shared" ref="J345" si="1548">ROUNDUP(IF(J339&gt;=$E$13,$D$13,IF(J339&gt;=$E$12,$D$12,IF(J339&gt;=$E$10,$D$10,IF(J339&gt;=$E$8,$D$8,IF(J339&gt;=$E$6,$D$6,IF(J339&gt;=$E$4,$D$4,0))))))*1000*(1+$D$2)^$B338,-3)</f>
        <v>0</v>
      </c>
      <c r="Q345">
        <f t="shared" si="1496"/>
        <v>332</v>
      </c>
      <c r="R345" s="1">
        <f t="shared" ref="R345" si="1549">HLOOKUP(Q345,E338:P344,7)</f>
        <v>78015334.34663263</v>
      </c>
    </row>
    <row r="346" spans="2:18" x14ac:dyDescent="0.25">
      <c r="B346" s="16"/>
      <c r="C346" t="s">
        <v>72</v>
      </c>
      <c r="D346">
        <f t="shared" ref="D346" si="1550">$J345</f>
        <v>0</v>
      </c>
      <c r="J346" s="1">
        <f t="shared" ref="J346" si="1551">ROUND(IF(J339=$E$4,$D$5,IF(J339=$E$6,$D$7,IF(J339=$E$8,$D$9,IF(J339=$E$10,$D$11,0))))*1000*(1+$D$2)^$B338,-4)</f>
        <v>0</v>
      </c>
      <c r="Q346">
        <f t="shared" si="1496"/>
        <v>333</v>
      </c>
      <c r="R346" s="1">
        <f t="shared" ref="R346" si="1552">HLOOKUP(Q346,E338:P344,7)</f>
        <v>79342212.396556839</v>
      </c>
    </row>
    <row r="347" spans="2:18" x14ac:dyDescent="0.25">
      <c r="B347" s="16"/>
      <c r="C347" t="s">
        <v>58</v>
      </c>
      <c r="D347">
        <f t="shared" ref="D347" si="1553">D345+D346</f>
        <v>0</v>
      </c>
      <c r="Q347">
        <f t="shared" si="1496"/>
        <v>334</v>
      </c>
      <c r="R347" s="1">
        <f t="shared" ref="R347" si="1554">HLOOKUP(Q347,E338:P344,7)</f>
        <v>80675423.240688547</v>
      </c>
    </row>
    <row r="348" spans="2:18" x14ac:dyDescent="0.25">
      <c r="B348" s="16"/>
      <c r="C348" t="s">
        <v>42</v>
      </c>
      <c r="D348" s="4">
        <f t="shared" ref="D348" si="1555">P344*(1-D340)</f>
        <v>82318952.299573585</v>
      </c>
      <c r="Q348">
        <f t="shared" si="1496"/>
        <v>335</v>
      </c>
      <c r="R348" s="1">
        <f t="shared" ref="R348" si="1556">HLOOKUP(Q348,E338:P344,7)</f>
        <v>82014997.10357058</v>
      </c>
    </row>
    <row r="349" spans="2:18" x14ac:dyDescent="0.25">
      <c r="B349" s="16"/>
      <c r="Q349">
        <f t="shared" si="1496"/>
        <v>336</v>
      </c>
      <c r="R349" s="1">
        <f t="shared" ref="R349" si="1557">HLOOKUP(Q349,E338:P344,7)</f>
        <v>83360964.353998557</v>
      </c>
    </row>
    <row r="350" spans="2:18" x14ac:dyDescent="0.25">
      <c r="B350" s="16">
        <f t="shared" ref="B350" si="1558">B338+1</f>
        <v>28</v>
      </c>
      <c r="C350" t="s">
        <v>40</v>
      </c>
      <c r="D350" s="2">
        <f t="shared" ref="D350" si="1559">5.88%</f>
        <v>5.8799999999999998E-2</v>
      </c>
      <c r="E350">
        <f t="shared" ref="E350" si="1560">($B350*12)+1</f>
        <v>337</v>
      </c>
      <c r="F350">
        <f t="shared" ref="F350" si="1561">E350+1</f>
        <v>338</v>
      </c>
      <c r="G350">
        <f t="shared" ref="G350" si="1562">F350+1</f>
        <v>339</v>
      </c>
      <c r="H350">
        <f t="shared" ref="H350" si="1563">G350+1</f>
        <v>340</v>
      </c>
      <c r="I350">
        <f t="shared" ref="I350" si="1564">H350+1</f>
        <v>341</v>
      </c>
      <c r="J350">
        <f t="shared" ref="J350" si="1565">I350+1</f>
        <v>342</v>
      </c>
      <c r="K350">
        <f t="shared" ref="K350" si="1566">J350+1</f>
        <v>343</v>
      </c>
      <c r="L350">
        <f t="shared" ref="L350" si="1567">K350+1</f>
        <v>344</v>
      </c>
      <c r="M350">
        <f t="shared" ref="M350" si="1568">L350+1</f>
        <v>345</v>
      </c>
      <c r="N350">
        <f t="shared" ref="N350" si="1569">M350+1</f>
        <v>346</v>
      </c>
      <c r="O350">
        <f t="shared" ref="O350" si="1570">N350+1</f>
        <v>347</v>
      </c>
      <c r="P350">
        <f t="shared" ref="P350" si="1571">O350+1</f>
        <v>348</v>
      </c>
      <c r="Q350">
        <f t="shared" si="1496"/>
        <v>337</v>
      </c>
      <c r="R350" s="1">
        <f t="shared" ref="R350" si="1572">HLOOKUP(Q350,E350:P356,7)</f>
        <v>83666370.237730324</v>
      </c>
    </row>
    <row r="351" spans="2:18" x14ac:dyDescent="0.25">
      <c r="B351" s="16"/>
      <c r="C351" t="s">
        <v>41</v>
      </c>
      <c r="D351" s="3">
        <f t="shared" ref="D351" si="1573">(1+D350)^(1/12)-1</f>
        <v>4.7727025161425907E-3</v>
      </c>
      <c r="E351">
        <f t="shared" ref="E351:P351" si="1574">E350/12</f>
        <v>28.083333333333332</v>
      </c>
      <c r="F351">
        <f t="shared" si="1574"/>
        <v>28.166666666666668</v>
      </c>
      <c r="G351">
        <f t="shared" si="1574"/>
        <v>28.25</v>
      </c>
      <c r="H351">
        <f t="shared" si="1574"/>
        <v>28.333333333333332</v>
      </c>
      <c r="I351">
        <f t="shared" si="1574"/>
        <v>28.416666666666668</v>
      </c>
      <c r="J351">
        <f t="shared" si="1574"/>
        <v>28.5</v>
      </c>
      <c r="K351">
        <f t="shared" si="1574"/>
        <v>28.583333333333332</v>
      </c>
      <c r="L351">
        <f t="shared" si="1574"/>
        <v>28.666666666666668</v>
      </c>
      <c r="M351">
        <f t="shared" si="1574"/>
        <v>28.75</v>
      </c>
      <c r="N351">
        <f t="shared" si="1574"/>
        <v>28.833333333333332</v>
      </c>
      <c r="O351">
        <f t="shared" si="1574"/>
        <v>28.916666666666668</v>
      </c>
      <c r="P351">
        <f t="shared" si="1574"/>
        <v>29</v>
      </c>
      <c r="Q351">
        <f t="shared" si="1496"/>
        <v>338</v>
      </c>
      <c r="R351" s="1">
        <f t="shared" ref="R351" si="1575">HLOOKUP(Q351,E350:P356,7)</f>
        <v>85020219.000870794</v>
      </c>
    </row>
    <row r="352" spans="2:18" x14ac:dyDescent="0.25">
      <c r="B352" s="16"/>
      <c r="C352" t="s">
        <v>53</v>
      </c>
      <c r="D352" s="2">
        <f t="shared" ref="D352" si="1576">1.25%</f>
        <v>1.2500000000000001E-2</v>
      </c>
      <c r="E352" t="s">
        <v>59</v>
      </c>
      <c r="F352" t="s">
        <v>60</v>
      </c>
      <c r="G352" t="s">
        <v>61</v>
      </c>
      <c r="H352" t="s">
        <v>62</v>
      </c>
      <c r="I352" t="s">
        <v>63</v>
      </c>
      <c r="J352" t="s">
        <v>64</v>
      </c>
      <c r="K352" t="s">
        <v>65</v>
      </c>
      <c r="L352" t="s">
        <v>66</v>
      </c>
      <c r="M352" t="s">
        <v>67</v>
      </c>
      <c r="N352" t="s">
        <v>68</v>
      </c>
      <c r="O352" t="s">
        <v>69</v>
      </c>
      <c r="P352" t="s">
        <v>70</v>
      </c>
      <c r="Q352">
        <f t="shared" si="1496"/>
        <v>339</v>
      </c>
      <c r="R352" s="1">
        <f t="shared" ref="R352" si="1577">HLOOKUP(Q352,E350:P356,7)</f>
        <v>86380529.281409577</v>
      </c>
    </row>
    <row r="353" spans="2:18" x14ac:dyDescent="0.25">
      <c r="B353" s="16"/>
      <c r="C353" t="s">
        <v>54</v>
      </c>
      <c r="D353">
        <f>1</f>
        <v>1</v>
      </c>
      <c r="E353" s="2">
        <f t="shared" ref="E353:P353" si="1578">$D339</f>
        <v>4.7727025161425907E-3</v>
      </c>
      <c r="F353" s="2">
        <f t="shared" si="1578"/>
        <v>4.7727025161425907E-3</v>
      </c>
      <c r="G353" s="2">
        <f t="shared" si="1578"/>
        <v>4.7727025161425907E-3</v>
      </c>
      <c r="H353" s="2">
        <f t="shared" si="1578"/>
        <v>4.7727025161425907E-3</v>
      </c>
      <c r="I353" s="2">
        <f t="shared" si="1578"/>
        <v>4.7727025161425907E-3</v>
      </c>
      <c r="J353" s="2">
        <f t="shared" si="1578"/>
        <v>4.7727025161425907E-3</v>
      </c>
      <c r="K353" s="2">
        <f t="shared" si="1578"/>
        <v>4.7727025161425907E-3</v>
      </c>
      <c r="L353" s="2">
        <f t="shared" si="1578"/>
        <v>4.7727025161425907E-3</v>
      </c>
      <c r="M353" s="2">
        <f t="shared" si="1578"/>
        <v>4.7727025161425907E-3</v>
      </c>
      <c r="N353" s="2">
        <f t="shared" si="1578"/>
        <v>4.7727025161425907E-3</v>
      </c>
      <c r="O353" s="2">
        <f t="shared" si="1578"/>
        <v>4.7727025161425907E-3</v>
      </c>
      <c r="P353" s="2">
        <f t="shared" si="1578"/>
        <v>4.7727025161425907E-3</v>
      </c>
      <c r="Q353">
        <f t="shared" si="1496"/>
        <v>340</v>
      </c>
      <c r="R353" s="1">
        <f t="shared" ref="R353" si="1579">HLOOKUP(Q353,E350:P356,7)</f>
        <v>87747331.918247029</v>
      </c>
    </row>
    <row r="354" spans="2:18" x14ac:dyDescent="0.25">
      <c r="B354" s="16"/>
      <c r="C354" t="s">
        <v>55</v>
      </c>
      <c r="D354">
        <f t="shared" ref="D354" si="1580">D353*12</f>
        <v>12</v>
      </c>
      <c r="E354">
        <f>1</f>
        <v>1</v>
      </c>
      <c r="F354">
        <f>1</f>
        <v>1</v>
      </c>
      <c r="G354">
        <f>1</f>
        <v>1</v>
      </c>
      <c r="H354">
        <f>1</f>
        <v>1</v>
      </c>
      <c r="I354">
        <f>1</f>
        <v>1</v>
      </c>
      <c r="J354">
        <f>1</f>
        <v>1</v>
      </c>
      <c r="K354">
        <f>1</f>
        <v>1</v>
      </c>
      <c r="L354">
        <f>1</f>
        <v>1</v>
      </c>
      <c r="M354">
        <f>1</f>
        <v>1</v>
      </c>
      <c r="N354">
        <f>1</f>
        <v>1</v>
      </c>
      <c r="O354">
        <f>1</f>
        <v>1</v>
      </c>
      <c r="P354">
        <f>1</f>
        <v>1</v>
      </c>
      <c r="Q354">
        <f t="shared" si="1496"/>
        <v>341</v>
      </c>
      <c r="R354" s="1">
        <f t="shared" ref="R354" si="1581">HLOOKUP(Q354,E350:P356,7)</f>
        <v>89120657.897468388</v>
      </c>
    </row>
    <row r="355" spans="2:18" x14ac:dyDescent="0.25">
      <c r="B355" s="16"/>
      <c r="C355" t="s">
        <v>57</v>
      </c>
      <c r="D355" s="10">
        <f t="shared" ref="D355" si="1582">D343*(1+$D$2)</f>
        <v>1653.972995865232</v>
      </c>
      <c r="E355" s="1">
        <f t="shared" ref="E355:F355" si="1583">IF(E351&lt;6.5,$D356*1000,IF($D357=0,0,$D356*1000))</f>
        <v>0</v>
      </c>
      <c r="F355" s="1">
        <f t="shared" si="1583"/>
        <v>0</v>
      </c>
      <c r="G355" s="1">
        <f t="shared" ref="G355" si="1584">IF(G351&lt;6.5,$D356*1000,IF($D357=0,0,$D356*1000))</f>
        <v>0</v>
      </c>
      <c r="H355" s="1">
        <f t="shared" ref="H355" si="1585">IF(H351&lt;6.5,$D356*1000,IF($D357=0,0,$D356*1000))</f>
        <v>0</v>
      </c>
      <c r="I355" s="1">
        <f t="shared" ref="I355" si="1586">IF(I351&lt;6.5,$D356*1000,IF($D357=0,0,$D356*1000))</f>
        <v>0</v>
      </c>
      <c r="J355" s="1">
        <f t="shared" ref="J355:K355" si="1587">IF(J351&lt;6.5,$D356*1000,IF($D358=0,0,$D356*1000))</f>
        <v>0</v>
      </c>
      <c r="K355" s="1">
        <f t="shared" si="1587"/>
        <v>0</v>
      </c>
      <c r="L355" s="1">
        <f t="shared" ref="L355" si="1588">IF(L351&lt;6.5,$D356*1000,IF($D358=0,0,$D356*1000))</f>
        <v>0</v>
      </c>
      <c r="M355" s="1">
        <f t="shared" ref="M355" si="1589">IF(M351&lt;6.5,$D356*1000,IF($D358=0,0,$D356*1000))</f>
        <v>0</v>
      </c>
      <c r="N355" s="1">
        <f t="shared" ref="N355" si="1590">IF(N351&lt;6.5,$D356*1000,IF($D358=0,0,$D356*1000))</f>
        <v>0</v>
      </c>
      <c r="O355" s="1">
        <f t="shared" ref="O355" si="1591">IF(O351&lt;6.5,$D356*1000,IF($D358=0,0,$D356*1000))</f>
        <v>0</v>
      </c>
      <c r="P355" s="1">
        <f t="shared" ref="P355" si="1592">IF(P351&lt;6.5,$D356*1000,IF($D358=0,0,$D356*1000))</f>
        <v>0</v>
      </c>
      <c r="Q355">
        <f t="shared" si="1496"/>
        <v>342</v>
      </c>
      <c r="R355" s="1">
        <f t="shared" ref="R355" si="1593">HLOOKUP(Q355,E350:P356,7)</f>
        <v>90500538.353046253</v>
      </c>
    </row>
    <row r="356" spans="2:18" x14ac:dyDescent="0.25">
      <c r="B356" s="16"/>
      <c r="C356" t="s">
        <v>56</v>
      </c>
      <c r="D356" s="10">
        <f t="shared" ref="D356" si="1594">ROUND(D355,-1)</f>
        <v>1650</v>
      </c>
      <c r="E356" s="1">
        <f t="shared" ref="E356" si="1595">-FV($E$17,$E$18,$E$19,D348-E357,1)</f>
        <v>83666370.237730324</v>
      </c>
      <c r="F356" s="1">
        <f t="shared" ref="F356:I356" si="1596">-FV($E$17,$E$18,$E$19,E356,1)</f>
        <v>85020219.000870794</v>
      </c>
      <c r="G356" s="1">
        <f t="shared" si="1596"/>
        <v>86380529.281409577</v>
      </c>
      <c r="H356" s="1">
        <f t="shared" si="1596"/>
        <v>87747331.918247029</v>
      </c>
      <c r="I356" s="1">
        <f t="shared" si="1596"/>
        <v>89120657.897468388</v>
      </c>
      <c r="J356" s="1">
        <f t="shared" ref="J356" si="1597">-FV($E$17,$E$18,$E$19,I356-J357-J358,1)</f>
        <v>90500538.353046253</v>
      </c>
      <c r="K356" s="1">
        <f t="shared" ref="K356" si="1598">-FV($E$17,$E$18,$E$19,J356,1)</f>
        <v>91887004.567546427</v>
      </c>
      <c r="L356" s="1">
        <f t="shared" ref="L356" si="1599">-FV($E$17,$E$18,$E$19,K356,1)</f>
        <v>93280087.972837105</v>
      </c>
      <c r="M356" s="1">
        <f t="shared" ref="M356" si="1600">-FV($E$17,$E$18,$E$19,L356,1)</f>
        <v>94679820.150801405</v>
      </c>
      <c r="N356" s="1">
        <f t="shared" ref="N356" si="1601">-FV($E$17,$E$18,$E$19,M356,1)</f>
        <v>96086232.834053397</v>
      </c>
      <c r="O356" s="1">
        <f t="shared" ref="O356" si="1602">-FV($E$17,$E$18,$E$19,N356,1)</f>
        <v>97499357.906657487</v>
      </c>
      <c r="P356" s="1">
        <f t="shared" ref="P356" si="1603">-FV($E$17,$E$18,$E$19,O356,1)</f>
        <v>98919227.404851213</v>
      </c>
      <c r="Q356">
        <f t="shared" si="1496"/>
        <v>343</v>
      </c>
      <c r="R356" s="1">
        <f t="shared" ref="R356" si="1604">HLOOKUP(Q356,E350:P356,7)</f>
        <v>91887004.567546427</v>
      </c>
    </row>
    <row r="357" spans="2:18" x14ac:dyDescent="0.25">
      <c r="B357" s="16"/>
      <c r="C357" t="s">
        <v>71</v>
      </c>
      <c r="D357">
        <f t="shared" ref="D357" si="1605">$E357</f>
        <v>0</v>
      </c>
      <c r="E357" s="1">
        <f t="shared" ref="E357" si="1606">ROUNDUP(IF(E351&gt;=$E$13,$D$13,IF(E351&gt;=$E$12,$D$12,IF(E351&gt;=$E$10,$D$10,IF(E351&gt;=$E$8,$D$8,IF(E351&gt;=$E$6,$D$6,IF(E351&gt;=$E$4,$D$4,0))))))*1000*(1+$D$2)^$B350,-3)</f>
        <v>0</v>
      </c>
      <c r="J357" s="1">
        <f t="shared" ref="J357" si="1607">ROUNDUP(IF(J351&gt;=$E$13,$D$13,IF(J351&gt;=$E$12,$D$12,IF(J351&gt;=$E$10,$D$10,IF(J351&gt;=$E$8,$D$8,IF(J351&gt;=$E$6,$D$6,IF(J351&gt;=$E$4,$D$4,0))))))*1000*(1+$D$2)^$B350,-3)</f>
        <v>0</v>
      </c>
      <c r="Q357">
        <f t="shared" si="1496"/>
        <v>344</v>
      </c>
      <c r="R357" s="1">
        <f t="shared" ref="R357" si="1608">HLOOKUP(Q357,E350:P356,7)</f>
        <v>93280087.972837105</v>
      </c>
    </row>
    <row r="358" spans="2:18" x14ac:dyDescent="0.25">
      <c r="B358" s="16"/>
      <c r="C358" t="s">
        <v>72</v>
      </c>
      <c r="D358">
        <f t="shared" ref="D358" si="1609">$J357</f>
        <v>0</v>
      </c>
      <c r="J358" s="1">
        <f t="shared" ref="J358" si="1610">ROUND(IF(J351=$E$4,$D$5,IF(J351=$E$6,$D$7,IF(J351=$E$8,$D$9,IF(J351=$E$10,$D$11,0))))*1000*(1+$D$2)^$B350,-4)</f>
        <v>0</v>
      </c>
      <c r="Q358">
        <f t="shared" si="1496"/>
        <v>345</v>
      </c>
      <c r="R358" s="1">
        <f t="shared" ref="R358" si="1611">HLOOKUP(Q358,E350:P356,7)</f>
        <v>94679820.150801405</v>
      </c>
    </row>
    <row r="359" spans="2:18" x14ac:dyDescent="0.25">
      <c r="B359" s="16"/>
      <c r="C359" t="s">
        <v>58</v>
      </c>
      <c r="D359">
        <f t="shared" ref="D359" si="1612">D357+D358</f>
        <v>0</v>
      </c>
      <c r="Q359">
        <f t="shared" si="1496"/>
        <v>346</v>
      </c>
      <c r="R359" s="1">
        <f t="shared" ref="R359" si="1613">HLOOKUP(Q359,E350:P356,7)</f>
        <v>96086232.834053397</v>
      </c>
    </row>
    <row r="360" spans="2:18" x14ac:dyDescent="0.25">
      <c r="B360" s="16"/>
      <c r="C360" t="s">
        <v>42</v>
      </c>
      <c r="D360" s="4">
        <f t="shared" ref="D360" si="1614">P356*(1-D352)</f>
        <v>97682737.062290579</v>
      </c>
      <c r="Q360">
        <f t="shared" si="1496"/>
        <v>347</v>
      </c>
      <c r="R360" s="1">
        <f t="shared" ref="R360" si="1615">HLOOKUP(Q360,E350:P356,7)</f>
        <v>97499357.906657487</v>
      </c>
    </row>
    <row r="361" spans="2:18" x14ac:dyDescent="0.25">
      <c r="B361" s="16"/>
      <c r="Q361">
        <f t="shared" si="1496"/>
        <v>348</v>
      </c>
      <c r="R361" s="1">
        <f t="shared" ref="R361" si="1616">HLOOKUP(Q361,E350:P356,7)</f>
        <v>98919227.404851213</v>
      </c>
    </row>
    <row r="362" spans="2:18" x14ac:dyDescent="0.25">
      <c r="B362" s="16">
        <f t="shared" ref="B362" si="1617">B350+1</f>
        <v>29</v>
      </c>
      <c r="C362" t="s">
        <v>40</v>
      </c>
      <c r="D362" s="2">
        <f t="shared" ref="D362" si="1618">5.88%</f>
        <v>5.8799999999999998E-2</v>
      </c>
      <c r="E362">
        <f t="shared" ref="E362" si="1619">($B362*12)+1</f>
        <v>349</v>
      </c>
      <c r="F362">
        <f t="shared" ref="F362" si="1620">E362+1</f>
        <v>350</v>
      </c>
      <c r="G362">
        <f t="shared" ref="G362" si="1621">F362+1</f>
        <v>351</v>
      </c>
      <c r="H362">
        <f t="shared" ref="H362" si="1622">G362+1</f>
        <v>352</v>
      </c>
      <c r="I362">
        <f t="shared" ref="I362" si="1623">H362+1</f>
        <v>353</v>
      </c>
      <c r="J362">
        <f t="shared" ref="J362" si="1624">I362+1</f>
        <v>354</v>
      </c>
      <c r="K362">
        <f t="shared" ref="K362" si="1625">J362+1</f>
        <v>355</v>
      </c>
      <c r="L362">
        <f t="shared" ref="L362" si="1626">K362+1</f>
        <v>356</v>
      </c>
      <c r="M362">
        <f t="shared" ref="M362" si="1627">L362+1</f>
        <v>357</v>
      </c>
      <c r="N362">
        <f t="shared" ref="N362" si="1628">M362+1</f>
        <v>358</v>
      </c>
      <c r="O362">
        <f t="shared" ref="O362" si="1629">N362+1</f>
        <v>359</v>
      </c>
      <c r="P362">
        <f t="shared" ref="P362" si="1630">O362+1</f>
        <v>360</v>
      </c>
      <c r="Q362">
        <f t="shared" si="1496"/>
        <v>349</v>
      </c>
      <c r="R362" s="1">
        <f t="shared" ref="R362" si="1631">HLOOKUP(Q362,E362:P368,7)</f>
        <v>99103481.774641812</v>
      </c>
    </row>
    <row r="363" spans="2:18" x14ac:dyDescent="0.25">
      <c r="B363" s="16"/>
      <c r="C363" t="s">
        <v>41</v>
      </c>
      <c r="D363" s="3">
        <f t="shared" ref="D363" si="1632">(1+D362)^(1/12)-1</f>
        <v>4.7727025161425907E-3</v>
      </c>
      <c r="E363">
        <f t="shared" ref="E363:P363" si="1633">E362/12</f>
        <v>29.083333333333332</v>
      </c>
      <c r="F363">
        <f t="shared" si="1633"/>
        <v>29.166666666666668</v>
      </c>
      <c r="G363">
        <f t="shared" si="1633"/>
        <v>29.25</v>
      </c>
      <c r="H363">
        <f t="shared" si="1633"/>
        <v>29.333333333333332</v>
      </c>
      <c r="I363">
        <f t="shared" si="1633"/>
        <v>29.416666666666668</v>
      </c>
      <c r="J363">
        <f t="shared" si="1633"/>
        <v>29.5</v>
      </c>
      <c r="K363">
        <f t="shared" si="1633"/>
        <v>29.583333333333332</v>
      </c>
      <c r="L363">
        <f t="shared" si="1633"/>
        <v>29.666666666666668</v>
      </c>
      <c r="M363">
        <f t="shared" si="1633"/>
        <v>29.75</v>
      </c>
      <c r="N363">
        <f t="shared" si="1633"/>
        <v>29.833333333333332</v>
      </c>
      <c r="O363">
        <f t="shared" si="1633"/>
        <v>29.916666666666668</v>
      </c>
      <c r="P363">
        <f t="shared" si="1633"/>
        <v>30</v>
      </c>
      <c r="Q363">
        <f t="shared" si="1496"/>
        <v>350</v>
      </c>
      <c r="R363" s="1">
        <f t="shared" ref="R363" si="1634">HLOOKUP(Q363,E362:P368,7)</f>
        <v>100531007.27885647</v>
      </c>
    </row>
    <row r="364" spans="2:18" x14ac:dyDescent="0.25">
      <c r="B364" s="16"/>
      <c r="C364" t="s">
        <v>53</v>
      </c>
      <c r="D364" s="2">
        <f t="shared" ref="D364" si="1635">1.25%</f>
        <v>1.2500000000000001E-2</v>
      </c>
      <c r="E364" t="s">
        <v>59</v>
      </c>
      <c r="F364" t="s">
        <v>60</v>
      </c>
      <c r="G364" t="s">
        <v>61</v>
      </c>
      <c r="H364" t="s">
        <v>62</v>
      </c>
      <c r="I364" t="s">
        <v>63</v>
      </c>
      <c r="J364" t="s">
        <v>64</v>
      </c>
      <c r="K364" t="s">
        <v>65</v>
      </c>
      <c r="L364" t="s">
        <v>66</v>
      </c>
      <c r="M364" t="s">
        <v>67</v>
      </c>
      <c r="N364" t="s">
        <v>68</v>
      </c>
      <c r="O364" t="s">
        <v>69</v>
      </c>
      <c r="P364" t="s">
        <v>70</v>
      </c>
      <c r="Q364">
        <f t="shared" si="1496"/>
        <v>351</v>
      </c>
      <c r="R364" s="1">
        <f t="shared" ref="R364" si="1636">HLOOKUP(Q364,E362:P368,7)</f>
        <v>101965345.93763696</v>
      </c>
    </row>
    <row r="365" spans="2:18" x14ac:dyDescent="0.25">
      <c r="B365" s="16"/>
      <c r="C365" t="s">
        <v>54</v>
      </c>
      <c r="D365">
        <f>1</f>
        <v>1</v>
      </c>
      <c r="E365" s="2">
        <f t="shared" ref="E365:P365" si="1637">$D351</f>
        <v>4.7727025161425907E-3</v>
      </c>
      <c r="F365" s="2">
        <f t="shared" si="1637"/>
        <v>4.7727025161425907E-3</v>
      </c>
      <c r="G365" s="2">
        <f t="shared" si="1637"/>
        <v>4.7727025161425907E-3</v>
      </c>
      <c r="H365" s="2">
        <f t="shared" si="1637"/>
        <v>4.7727025161425907E-3</v>
      </c>
      <c r="I365" s="2">
        <f t="shared" si="1637"/>
        <v>4.7727025161425907E-3</v>
      </c>
      <c r="J365" s="2">
        <f t="shared" si="1637"/>
        <v>4.7727025161425907E-3</v>
      </c>
      <c r="K365" s="2">
        <f t="shared" si="1637"/>
        <v>4.7727025161425907E-3</v>
      </c>
      <c r="L365" s="2">
        <f t="shared" si="1637"/>
        <v>4.7727025161425907E-3</v>
      </c>
      <c r="M365" s="2">
        <f t="shared" si="1637"/>
        <v>4.7727025161425907E-3</v>
      </c>
      <c r="N365" s="2">
        <f t="shared" si="1637"/>
        <v>4.7727025161425907E-3</v>
      </c>
      <c r="O365" s="2">
        <f t="shared" si="1637"/>
        <v>4.7727025161425907E-3</v>
      </c>
      <c r="P365" s="2">
        <f t="shared" si="1637"/>
        <v>4.7727025161425907E-3</v>
      </c>
      <c r="Q365">
        <f t="shared" si="1496"/>
        <v>352</v>
      </c>
      <c r="R365" s="1">
        <f t="shared" ref="R365" si="1638">HLOOKUP(Q365,E362:P368,7)</f>
        <v>103406530.26814321</v>
      </c>
    </row>
    <row r="366" spans="2:18" x14ac:dyDescent="0.25">
      <c r="B366" s="16"/>
      <c r="C366" t="s">
        <v>55</v>
      </c>
      <c r="D366">
        <f t="shared" ref="D366" si="1639">D365*12</f>
        <v>12</v>
      </c>
      <c r="E366">
        <f>1</f>
        <v>1</v>
      </c>
      <c r="F366">
        <f>1</f>
        <v>1</v>
      </c>
      <c r="G366">
        <f>1</f>
        <v>1</v>
      </c>
      <c r="H366">
        <f>1</f>
        <v>1</v>
      </c>
      <c r="I366">
        <f>1</f>
        <v>1</v>
      </c>
      <c r="J366">
        <f>1</f>
        <v>1</v>
      </c>
      <c r="K366">
        <f>1</f>
        <v>1</v>
      </c>
      <c r="L366">
        <f>1</f>
        <v>1</v>
      </c>
      <c r="M366">
        <f>1</f>
        <v>1</v>
      </c>
      <c r="N366">
        <f>1</f>
        <v>1</v>
      </c>
      <c r="O366">
        <f>1</f>
        <v>1</v>
      </c>
      <c r="P366">
        <f>1</f>
        <v>1</v>
      </c>
      <c r="Q366">
        <f t="shared" si="1496"/>
        <v>353</v>
      </c>
      <c r="R366" s="1">
        <f t="shared" ref="R366" si="1640">HLOOKUP(Q366,E362:P368,7)</f>
        <v>104854592.94272989</v>
      </c>
    </row>
    <row r="367" spans="2:18" x14ac:dyDescent="0.25">
      <c r="B367" s="16"/>
      <c r="C367" t="s">
        <v>57</v>
      </c>
      <c r="D367" s="10">
        <f t="shared" ref="D367" si="1641">D355*(1+$D$2)</f>
        <v>1687.0524557825365</v>
      </c>
      <c r="E367" s="1">
        <f t="shared" ref="E367:F367" si="1642">IF(E363&lt;6.5,$D368*1000,IF($D369=0,0,$D368*1000))</f>
        <v>0</v>
      </c>
      <c r="F367" s="1">
        <f t="shared" si="1642"/>
        <v>0</v>
      </c>
      <c r="G367" s="1">
        <f t="shared" ref="G367" si="1643">IF(G363&lt;6.5,$D368*1000,IF($D369=0,0,$D368*1000))</f>
        <v>0</v>
      </c>
      <c r="H367" s="1">
        <f t="shared" ref="H367" si="1644">IF(H363&lt;6.5,$D368*1000,IF($D369=0,0,$D368*1000))</f>
        <v>0</v>
      </c>
      <c r="I367" s="1">
        <f t="shared" ref="I367" si="1645">IF(I363&lt;6.5,$D368*1000,IF($D369=0,0,$D368*1000))</f>
        <v>0</v>
      </c>
      <c r="J367" s="1">
        <f t="shared" ref="J367:K367" si="1646">IF(J363&lt;6.5,$D368*1000,IF($D370=0,0,$D368*1000))</f>
        <v>0</v>
      </c>
      <c r="K367" s="1">
        <f t="shared" si="1646"/>
        <v>0</v>
      </c>
      <c r="L367" s="1">
        <f t="shared" ref="L367" si="1647">IF(L363&lt;6.5,$D368*1000,IF($D370=0,0,$D368*1000))</f>
        <v>0</v>
      </c>
      <c r="M367" s="1">
        <f t="shared" ref="M367" si="1648">IF(M363&lt;6.5,$D368*1000,IF($D370=0,0,$D368*1000))</f>
        <v>0</v>
      </c>
      <c r="N367" s="1">
        <f t="shared" ref="N367" si="1649">IF(N363&lt;6.5,$D368*1000,IF($D370=0,0,$D368*1000))</f>
        <v>0</v>
      </c>
      <c r="O367" s="1">
        <f t="shared" ref="O367" si="1650">IF(O363&lt;6.5,$D368*1000,IF($D370=0,0,$D368*1000))</f>
        <v>0</v>
      </c>
      <c r="P367" s="1">
        <f t="shared" ref="P367" si="1651">IF(P363&lt;6.5,$D368*1000,IF($D370=0,0,$D368*1000))</f>
        <v>0</v>
      </c>
      <c r="Q367">
        <f t="shared" si="1496"/>
        <v>354</v>
      </c>
      <c r="R367" s="1">
        <f t="shared" ref="R367" si="1652">HLOOKUP(Q367,E362:P368,7)</f>
        <v>106309566.7896871</v>
      </c>
    </row>
    <row r="368" spans="2:18" x14ac:dyDescent="0.25">
      <c r="B368" s="16"/>
      <c r="C368" t="s">
        <v>56</v>
      </c>
      <c r="D368" s="10">
        <f t="shared" ref="D368" si="1653">ROUND(D367,-1)</f>
        <v>1690</v>
      </c>
      <c r="E368" s="1">
        <f t="shared" ref="E368" si="1654">-FV($E$17,$E$18,$E$19,D360-E369,1)</f>
        <v>99103481.774641812</v>
      </c>
      <c r="F368" s="1">
        <f t="shared" ref="F368:I368" si="1655">-FV($E$17,$E$18,$E$19,E368,1)</f>
        <v>100531007.27885647</v>
      </c>
      <c r="G368" s="1">
        <f t="shared" si="1655"/>
        <v>101965345.93763696</v>
      </c>
      <c r="H368" s="1">
        <f t="shared" si="1655"/>
        <v>103406530.26814321</v>
      </c>
      <c r="I368" s="1">
        <f t="shared" si="1655"/>
        <v>104854592.94272989</v>
      </c>
      <c r="J368" s="1">
        <f t="shared" ref="J368" si="1656">-FV($E$17,$E$18,$E$19,I368-J369-J370,1)</f>
        <v>106309566.7896871</v>
      </c>
      <c r="K368" s="1">
        <f t="shared" ref="K368" si="1657">-FV($E$17,$E$18,$E$19,J368,1)</f>
        <v>107771484.79398461</v>
      </c>
      <c r="L368" s="1">
        <f t="shared" ref="L368" si="1658">-FV($E$17,$E$18,$E$19,K368,1)</f>
        <v>109240380.09801961</v>
      </c>
      <c r="M368" s="1">
        <f t="shared" ref="M368" si="1659">-FV($E$17,$E$18,$E$19,L368,1)</f>
        <v>110716286.00236814</v>
      </c>
      <c r="N368" s="1">
        <f t="shared" ref="N368" si="1660">-FV($E$17,$E$18,$E$19,M368,1)</f>
        <v>112199235.96653993</v>
      </c>
      <c r="O368" s="1">
        <f t="shared" ref="O368" si="1661">-FV($E$17,$E$18,$E$19,N368,1)</f>
        <v>113689263.60973705</v>
      </c>
      <c r="P368" s="1">
        <f t="shared" ref="P368" si="1662">-FV($E$17,$E$18,$E$19,O368,1)</f>
        <v>115186402.71161598</v>
      </c>
      <c r="Q368">
        <f t="shared" si="1496"/>
        <v>355</v>
      </c>
      <c r="R368" s="1">
        <f t="shared" ref="R368" si="1663">HLOOKUP(Q368,E362:P368,7)</f>
        <v>107771484.79398461</v>
      </c>
    </row>
    <row r="369" spans="2:18" x14ac:dyDescent="0.25">
      <c r="B369" s="16"/>
      <c r="C369" t="s">
        <v>71</v>
      </c>
      <c r="D369">
        <f t="shared" ref="D369" si="1664">$E369</f>
        <v>0</v>
      </c>
      <c r="E369" s="1">
        <f t="shared" ref="E369" si="1665">ROUNDUP(IF(E363&gt;=$E$13,$D$13,IF(E363&gt;=$E$12,$D$12,IF(E363&gt;=$E$10,$D$10,IF(E363&gt;=$E$8,$D$8,IF(E363&gt;=$E$6,$D$6,IF(E363&gt;=$E$4,$D$4,0))))))*1000*(1+$D$2)^$B362,-3)</f>
        <v>0</v>
      </c>
      <c r="J369" s="1">
        <f t="shared" ref="J369" si="1666">ROUNDUP(IF(J363&gt;=$E$13,$D$13,IF(J363&gt;=$E$12,$D$12,IF(J363&gt;=$E$10,$D$10,IF(J363&gt;=$E$8,$D$8,IF(J363&gt;=$E$6,$D$6,IF(J363&gt;=$E$4,$D$4,0))))))*1000*(1+$D$2)^$B362,-3)</f>
        <v>0</v>
      </c>
      <c r="Q369">
        <f t="shared" si="1496"/>
        <v>356</v>
      </c>
      <c r="R369" s="1">
        <f t="shared" ref="R369" si="1667">HLOOKUP(Q369,E362:P368,7)</f>
        <v>109240380.09801961</v>
      </c>
    </row>
    <row r="370" spans="2:18" x14ac:dyDescent="0.25">
      <c r="B370" s="16"/>
      <c r="C370" t="s">
        <v>72</v>
      </c>
      <c r="D370">
        <f t="shared" ref="D370" si="1668">$J369</f>
        <v>0</v>
      </c>
      <c r="J370" s="1">
        <f t="shared" ref="J370" si="1669">ROUND(IF(J363=$E$4,$D$5,IF(J363=$E$6,$D$7,IF(J363=$E$8,$D$9,IF(J363=$E$10,$D$11,0))))*1000*(1+$D$2)^$B362,-4)</f>
        <v>0</v>
      </c>
      <c r="Q370">
        <f t="shared" si="1496"/>
        <v>357</v>
      </c>
      <c r="R370" s="1">
        <f t="shared" ref="R370" si="1670">HLOOKUP(Q370,E362:P368,7)</f>
        <v>110716286.00236814</v>
      </c>
    </row>
    <row r="371" spans="2:18" x14ac:dyDescent="0.25">
      <c r="B371" s="16"/>
      <c r="C371" t="s">
        <v>58</v>
      </c>
      <c r="D371">
        <f t="shared" ref="D371" si="1671">D369+D370</f>
        <v>0</v>
      </c>
      <c r="Q371">
        <f t="shared" si="1496"/>
        <v>358</v>
      </c>
      <c r="R371" s="1">
        <f t="shared" ref="R371" si="1672">HLOOKUP(Q371,E362:P368,7)</f>
        <v>112199235.96653993</v>
      </c>
    </row>
    <row r="372" spans="2:18" x14ac:dyDescent="0.25">
      <c r="B372" s="16"/>
      <c r="C372" t="s">
        <v>42</v>
      </c>
      <c r="D372" s="4">
        <f t="shared" ref="D372" si="1673">P368*(1-D364)</f>
        <v>113746572.67772079</v>
      </c>
      <c r="Q372">
        <f t="shared" si="1496"/>
        <v>359</v>
      </c>
      <c r="R372" s="1">
        <f t="shared" ref="R372" si="1674">HLOOKUP(Q372,E362:P368,7)</f>
        <v>113689263.60973705</v>
      </c>
    </row>
    <row r="373" spans="2:18" x14ac:dyDescent="0.25">
      <c r="B373" s="16"/>
      <c r="Q373">
        <f t="shared" si="1496"/>
        <v>360</v>
      </c>
      <c r="R373" s="1">
        <f t="shared" ref="R373" si="1675">HLOOKUP(Q373,E362:P368,7)</f>
        <v>115186402.71161598</v>
      </c>
    </row>
    <row r="374" spans="2:18" x14ac:dyDescent="0.25">
      <c r="B374" s="13"/>
      <c r="D374" s="2"/>
    </row>
    <row r="375" spans="2:18" x14ac:dyDescent="0.25">
      <c r="B375" s="13"/>
      <c r="D375" s="3"/>
    </row>
    <row r="376" spans="2:18" x14ac:dyDescent="0.25">
      <c r="B376" s="13"/>
      <c r="D376" s="2"/>
    </row>
    <row r="377" spans="2:18" x14ac:dyDescent="0.25">
      <c r="B377" s="1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2:18" x14ac:dyDescent="0.25">
      <c r="B378" s="13"/>
    </row>
    <row r="379" spans="2:18" x14ac:dyDescent="0.25">
      <c r="B379" s="13"/>
      <c r="D379" s="10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2:18" x14ac:dyDescent="0.25">
      <c r="B380" s="13"/>
      <c r="D380" s="1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2:18" x14ac:dyDescent="0.25">
      <c r="B381" s="13"/>
      <c r="E381" s="1"/>
      <c r="J381" s="1"/>
    </row>
    <row r="382" spans="2:18" x14ac:dyDescent="0.25">
      <c r="B382" s="13"/>
      <c r="J382" s="1"/>
    </row>
    <row r="383" spans="2:18" x14ac:dyDescent="0.25">
      <c r="B383" s="13"/>
    </row>
    <row r="384" spans="2:18" x14ac:dyDescent="0.25">
      <c r="B384" s="13"/>
      <c r="D384" s="4"/>
    </row>
    <row r="385" spans="2:2" x14ac:dyDescent="0.25">
      <c r="B385" s="13"/>
    </row>
  </sheetData>
  <mergeCells count="30">
    <mergeCell ref="B362:B373"/>
    <mergeCell ref="B230:B241"/>
    <mergeCell ref="B242:B253"/>
    <mergeCell ref="B254:B265"/>
    <mergeCell ref="B266:B277"/>
    <mergeCell ref="B278:B289"/>
    <mergeCell ref="B290:B301"/>
    <mergeCell ref="B302:B313"/>
    <mergeCell ref="B314:B325"/>
    <mergeCell ref="B326:B337"/>
    <mergeCell ref="B338:B349"/>
    <mergeCell ref="B350:B361"/>
    <mergeCell ref="B218:B229"/>
    <mergeCell ref="B86:B97"/>
    <mergeCell ref="B98:B109"/>
    <mergeCell ref="B110:B121"/>
    <mergeCell ref="B122:B133"/>
    <mergeCell ref="B134:B145"/>
    <mergeCell ref="B146:B157"/>
    <mergeCell ref="B158:B169"/>
    <mergeCell ref="B170:B181"/>
    <mergeCell ref="B182:B193"/>
    <mergeCell ref="B194:B205"/>
    <mergeCell ref="B206:B217"/>
    <mergeCell ref="B74:B85"/>
    <mergeCell ref="B14:B25"/>
    <mergeCell ref="B26:B37"/>
    <mergeCell ref="B38:B49"/>
    <mergeCell ref="B50:B61"/>
    <mergeCell ref="B62:B7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M. Baihaqi Aulia Asy'ari</cp:lastModifiedBy>
  <dcterms:created xsi:type="dcterms:W3CDTF">2023-04-06T22:07:33Z</dcterms:created>
  <dcterms:modified xsi:type="dcterms:W3CDTF">2023-05-12T12:37:30Z</dcterms:modified>
</cp:coreProperties>
</file>