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gabrielqaddaha/Documents/Cours-Hexagone/Bureautique/"/>
    </mc:Choice>
  </mc:AlternateContent>
  <xr:revisionPtr revIDLastSave="0" documentId="13_ncr:1_{4C7020AA-273A-1142-990F-9192BFC10248}" xr6:coauthVersionLast="47" xr6:coauthVersionMax="47" xr10:uidLastSave="{00000000-0000-0000-0000-000000000000}"/>
  <bookViews>
    <workbookView xWindow="-20" yWindow="500" windowWidth="28800" windowHeight="16280" xr2:uid="{00000000-000D-0000-FFFF-FFFF00000000}"/>
  </bookViews>
  <sheets>
    <sheet name="Frais commerciaux" sheetId="1" r:id="rId1"/>
    <sheet name="TDC" sheetId="2" r:id="rId2"/>
  </sheets>
  <definedNames>
    <definedName name="Commerciaux">'Frais commerciaux'!$A$4:$P$14</definedName>
    <definedName name="Tableau3">'Frais commerciaux'!$B$50:$E$51</definedName>
    <definedName name="Tableau4">'Frais commerciaux'!$F$48:$M$49</definedName>
    <definedName name="TarifKm">'Frais commerciaux'!$F$17:$H$19</definedName>
    <definedName name="Tauxtarif">'Frais commerciaux'!$C$17:$D$20</definedName>
  </definedNames>
  <calcPr calcId="191029"/>
  <pivotCaches>
    <pivotCache cacheId="36" r:id="rId3"/>
    <pivotCache cacheId="5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25" i="1"/>
  <c r="B51" i="1"/>
  <c r="D26" i="1"/>
  <c r="L6" i="1"/>
  <c r="L7" i="1"/>
  <c r="L8" i="1"/>
  <c r="L9" i="1"/>
  <c r="L10" i="1"/>
  <c r="L11" i="1"/>
  <c r="L12" i="1"/>
  <c r="L13" i="1"/>
  <c r="L14" i="1"/>
  <c r="L5" i="1"/>
  <c r="K6" i="1"/>
  <c r="K7" i="1"/>
  <c r="K8" i="1"/>
  <c r="K9" i="1"/>
  <c r="K10" i="1"/>
  <c r="K11" i="1"/>
  <c r="K12" i="1"/>
  <c r="K13" i="1"/>
  <c r="K14" i="1"/>
  <c r="K5" i="1"/>
  <c r="H5" i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E6" i="1"/>
  <c r="E7" i="1"/>
  <c r="E8" i="1"/>
  <c r="E9" i="1"/>
  <c r="E10" i="1"/>
  <c r="E11" i="1"/>
  <c r="E12" i="1"/>
  <c r="E13" i="1"/>
  <c r="E14" i="1"/>
  <c r="E5" i="1"/>
  <c r="J14" i="1" l="1"/>
  <c r="M14" i="1" s="1"/>
  <c r="J6" i="1"/>
  <c r="J9" i="1"/>
  <c r="M9" i="1" s="1"/>
  <c r="J7" i="1"/>
  <c r="M7" i="1" s="1"/>
  <c r="J13" i="1"/>
  <c r="M13" i="1" s="1"/>
  <c r="D41" i="1"/>
  <c r="P12" i="1" s="1"/>
  <c r="E51" i="1"/>
  <c r="J12" i="1"/>
  <c r="M12" i="1" s="1"/>
  <c r="D51" i="1"/>
  <c r="J8" i="1"/>
  <c r="M8" i="1" s="1"/>
  <c r="J11" i="1"/>
  <c r="M11" i="1" s="1"/>
  <c r="D40" i="1"/>
  <c r="O8" i="1" s="1"/>
  <c r="J10" i="1"/>
  <c r="M10" i="1" s="1"/>
  <c r="M6" i="1"/>
  <c r="D28" i="1"/>
  <c r="D29" i="1"/>
  <c r="D34" i="1"/>
  <c r="D33" i="1"/>
  <c r="J5" i="1"/>
  <c r="P14" i="1" l="1"/>
  <c r="P5" i="1"/>
  <c r="P7" i="1"/>
  <c r="P10" i="1"/>
  <c r="O12" i="1"/>
  <c r="O13" i="1"/>
  <c r="O6" i="1"/>
  <c r="O5" i="1"/>
  <c r="O9" i="1"/>
  <c r="O14" i="1"/>
  <c r="P9" i="1"/>
  <c r="P8" i="1"/>
  <c r="P13" i="1"/>
  <c r="P6" i="1"/>
  <c r="O7" i="1"/>
  <c r="O11" i="1"/>
  <c r="O10" i="1"/>
  <c r="P11" i="1"/>
  <c r="D27" i="1"/>
  <c r="M5" i="1"/>
  <c r="C51" i="1"/>
  <c r="D36" i="1"/>
  <c r="D39" i="1"/>
  <c r="N7" i="1" l="1"/>
  <c r="N14" i="1"/>
  <c r="N6" i="1"/>
  <c r="N10" i="1"/>
  <c r="N8" i="1"/>
  <c r="N13" i="1"/>
  <c r="N12" i="1"/>
  <c r="N9" i="1"/>
  <c r="N11" i="1"/>
  <c r="N5" i="1"/>
</calcChain>
</file>

<file path=xl/sharedStrings.xml><?xml version="1.0" encoding="utf-8"?>
<sst xmlns="http://schemas.openxmlformats.org/spreadsheetml/2006/main" count="126" uniqueCount="98">
  <si>
    <t>Bordereaux de remboursement des frais commerciaux</t>
  </si>
  <si>
    <t>Mois :</t>
  </si>
  <si>
    <t>Septembre</t>
  </si>
  <si>
    <t>N° Du Commercial</t>
  </si>
  <si>
    <t>Nom du commercial</t>
  </si>
  <si>
    <t>Taux tarif</t>
  </si>
  <si>
    <t>Nombre de KM</t>
  </si>
  <si>
    <t>Type de forfait KM</t>
  </si>
  <si>
    <t>Nombre de repas</t>
  </si>
  <si>
    <t>Nombre de nuits</t>
  </si>
  <si>
    <t>Frais fixes voiture</t>
  </si>
  <si>
    <t>Remboursement KM</t>
  </si>
  <si>
    <t>Remboursement voiture</t>
  </si>
  <si>
    <t>Remboursement repas</t>
  </si>
  <si>
    <t>Remboursement hotel</t>
  </si>
  <si>
    <t>Salarié Le + Cher en Voiture</t>
  </si>
  <si>
    <t>Salarié Le + Cher en Resto</t>
  </si>
  <si>
    <t>Salarié Le + Cher en Hôtel</t>
  </si>
  <si>
    <t>Dupont alain</t>
  </si>
  <si>
    <t>Durand Jean</t>
  </si>
  <si>
    <t>Armand derhy</t>
  </si>
  <si>
    <t>Cabot Pierre</t>
  </si>
  <si>
    <t>Déroulard maxime</t>
  </si>
  <si>
    <t>Garzon christophe</t>
  </si>
  <si>
    <t>Jackardi Anne</t>
  </si>
  <si>
    <t>Marquis Francoise</t>
  </si>
  <si>
    <t>Pradier Carole</t>
  </si>
  <si>
    <t>Rogers roger</t>
  </si>
  <si>
    <t>Tableau tarif</t>
  </si>
  <si>
    <t>T1 Cadre</t>
  </si>
  <si>
    <t>T2 Non Cadre</t>
  </si>
  <si>
    <t>Plafond KM</t>
  </si>
  <si>
    <t>Type forfait KM</t>
  </si>
  <si>
    <t>Taux forfait KM</t>
  </si>
  <si>
    <t xml:space="preserve">Frais Fixe voiture </t>
  </si>
  <si>
    <t>Forfait repas</t>
  </si>
  <si>
    <t>Forfait nuit</t>
  </si>
  <si>
    <t xml:space="preserve">Total Charges </t>
  </si>
  <si>
    <t>Nom Salarié</t>
  </si>
  <si>
    <t>REmbousement Voiture</t>
  </si>
  <si>
    <t>REmbousement Resto</t>
  </si>
  <si>
    <t>REmbousement Hotel</t>
  </si>
  <si>
    <t>Charges Globales</t>
  </si>
  <si>
    <t>Voiture</t>
  </si>
  <si>
    <t>Restaurant</t>
  </si>
  <si>
    <t>Hotel</t>
  </si>
  <si>
    <t>Charge la plus Grande</t>
  </si>
  <si>
    <t>Le salarié le Plus cher</t>
  </si>
  <si>
    <t>Repas</t>
  </si>
  <si>
    <t>TarifKm</t>
  </si>
  <si>
    <t>TauxTarif</t>
  </si>
  <si>
    <t>Les Règles de calcul</t>
  </si>
  <si>
    <t>1) Type de Forfait KM=rechercheV dans le tableau TarifKm</t>
  </si>
  <si>
    <t>2) Frais Fixe Voiture = rechercheH dans le tableau tauxtarif</t>
  </si>
  <si>
    <t>3) Remboursement KM = Taux Forfait KM * Nombre de KM</t>
  </si>
  <si>
    <t>4) Rembousement de la voiture = Frais fixes voiture + Remboursement KM</t>
  </si>
  <si>
    <t>5) Remboursement repas = Forfait repas * nombre de repas</t>
  </si>
  <si>
    <t>6) Remboursement Hotel = Forfait nuit * nombre de nuits</t>
  </si>
  <si>
    <t>7) Total Remboursement = Remboursement de la voiture + remboursement repas + Remboursement hôtel</t>
  </si>
  <si>
    <t>Total remboursement</t>
  </si>
  <si>
    <t>8) Salarié le + cher en voiture = le max de remboursement voiture ( il faut utiliser un SI)</t>
  </si>
  <si>
    <t>9) Salarié le + cher en repas = le max de remboursement repas ( il faut utiliser un SI)</t>
  </si>
  <si>
    <t>10) Salarié le + cher en hôtel = le max de remboursement hôtel ( il faut utiliser un SI)</t>
  </si>
  <si>
    <t>Commerciaux</t>
  </si>
  <si>
    <t>11) il faut nommer le grand tableau que nous venon de calculer sous le nom Commerciaux</t>
  </si>
  <si>
    <t>a) on doit saisir le n° du salarié (cette valeur est comprise entre 1 et 10</t>
  </si>
  <si>
    <t>c) les cellules des charges globales sont des somme,si, le critère c'est le N° du commercial</t>
  </si>
  <si>
    <t>d) Chage la plus grande = au maximum des trois chages que vous venez de calculer</t>
  </si>
  <si>
    <t>e) Les cellules du salarié le plus cher = au maximum de chaque colonne du tableau commerciaux</t>
  </si>
  <si>
    <t>Travail à Faire</t>
  </si>
  <si>
    <t>1) le calcul des colonnes du tableau commerciaux = 8 Points)</t>
  </si>
  <si>
    <t>2) le calcul du tableau des recherches à partir du N° Commercial = 2 points</t>
  </si>
  <si>
    <t>3) le calcul du tableau des charges à partir du N° Commercial = 2 points</t>
  </si>
  <si>
    <t>4) le calcul du salarié le plus cher = 1 point</t>
  </si>
  <si>
    <t>5) faites un graphe sectoriel, un courbe et un histogramme de votre choix = 2 points</t>
  </si>
  <si>
    <t>6) faites trois TCD comme c'est indiqué dans le sujet = 3 points</t>
  </si>
  <si>
    <t xml:space="preserve">7) deux points pour la mise en plage </t>
  </si>
  <si>
    <t>2eme tableau : il contient le nom du commercial, total des KM, le total des repas, total des nuits et le total du total des remboursements</t>
  </si>
  <si>
    <t>1er  TCD : il doit contenir les champs suivant (Nom du commercial, remboursement voiture, remboursement hôtel et remboursement repas</t>
  </si>
  <si>
    <t>3 eme tableau : il contient le nombre des commerciaux, le max de rembousement voiture, repas et hôtel</t>
  </si>
  <si>
    <t>b) toutes les cellules en dessous sont des recherchev dans le grand tableau appelé commerciaux, la recherche se fait sur N° du commercial</t>
  </si>
  <si>
    <t>Étiquettes de lignes</t>
  </si>
  <si>
    <t>Total général</t>
  </si>
  <si>
    <t>Somme de Remboursement voiture</t>
  </si>
  <si>
    <t>Somme de Remboursement hotel</t>
  </si>
  <si>
    <t>Somme de Remboursement repas</t>
  </si>
  <si>
    <t>Somme de Total remboursement</t>
  </si>
  <si>
    <t>Somme de Nombre de KM</t>
  </si>
  <si>
    <t>Somme de Nombre de repas</t>
  </si>
  <si>
    <t>Somme de Nombre de nuits</t>
  </si>
  <si>
    <t>Nombre des commerciaux</t>
  </si>
  <si>
    <t>Max remboursement voiture</t>
  </si>
  <si>
    <t>Max remboursement repas</t>
  </si>
  <si>
    <t>Max remboursement hôtel</t>
  </si>
  <si>
    <t>Somme de Max remboursement repas</t>
  </si>
  <si>
    <t>Somme de Max remboursement hôtel</t>
  </si>
  <si>
    <t>Somme de Max remboursement voiture</t>
  </si>
  <si>
    <t xml:space="preserve">Pour Tableau TCD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</si>
</sst>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6" formatCode="#,##0.00\ &quot;€&quot;"/>
  </numFmts>
  <fonts count="15" x14ac:knownFonts="1">
    <font>
      <sz val="10"/>
      <name val="Arial"/>
      <family val="2"/>
    </font>
    <font>
      <sz val="10"/>
      <name val="Arial"/>
      <family val="2"/>
    </font>
    <font>
      <b/>
      <i/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name val="Bauhaus 93"/>
      <family val="5"/>
    </font>
    <font>
      <sz val="18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Fill="1" applyBorder="1"/>
    <xf numFmtId="0" fontId="2" fillId="0" borderId="2" xfId="0" applyFont="1" applyBorder="1" applyAlignment="1">
      <alignment horizontal="center"/>
    </xf>
    <xf numFmtId="0" fontId="1" fillId="0" borderId="0" xfId="0" quotePrefix="1" applyFont="1"/>
    <xf numFmtId="0" fontId="5" fillId="0" borderId="0" xfId="0" applyFont="1"/>
    <xf numFmtId="0" fontId="0" fillId="3" borderId="4" xfId="0" applyFill="1" applyBorder="1"/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2" fillId="0" borderId="0" xfId="0" pivotButton="1" applyFont="1"/>
    <xf numFmtId="0" fontId="12" fillId="0" borderId="0" xfId="0" applyFont="1"/>
    <xf numFmtId="0" fontId="13" fillId="0" borderId="4" xfId="0" applyFont="1" applyBorder="1" applyAlignment="1">
      <alignment horizontal="left"/>
    </xf>
    <xf numFmtId="166" fontId="0" fillId="0" borderId="4" xfId="0" applyNumberFormat="1" applyBorder="1"/>
    <xf numFmtId="0" fontId="12" fillId="0" borderId="4" xfId="0" applyFont="1" applyBorder="1"/>
    <xf numFmtId="0" fontId="8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/>
    </xf>
    <xf numFmtId="164" fontId="3" fillId="5" borderId="4" xfId="1" applyFont="1" applyFill="1" applyBorder="1" applyAlignment="1">
      <alignment horizontal="center"/>
    </xf>
    <xf numFmtId="164" fontId="5" fillId="4" borderId="4" xfId="1" applyFont="1" applyFill="1" applyBorder="1" applyAlignment="1">
      <alignment horizontal="center"/>
    </xf>
    <xf numFmtId="164" fontId="5" fillId="4" borderId="1" xfId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12" fillId="0" borderId="14" xfId="0" applyFont="1" applyBorder="1"/>
    <xf numFmtId="0" fontId="0" fillId="7" borderId="4" xfId="0" applyFill="1" applyBorder="1"/>
    <xf numFmtId="0" fontId="9" fillId="7" borderId="4" xfId="0" applyFont="1" applyFill="1" applyBorder="1"/>
    <xf numFmtId="0" fontId="5" fillId="7" borderId="4" xfId="0" applyFont="1" applyFill="1" applyBorder="1"/>
    <xf numFmtId="0" fontId="10" fillId="7" borderId="4" xfId="0" applyFont="1" applyFill="1" applyBorder="1"/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vertical="center"/>
    </xf>
    <xf numFmtId="164" fontId="0" fillId="6" borderId="20" xfId="0" applyNumberFormat="1" applyFont="1" applyFill="1" applyBorder="1" applyAlignment="1">
      <alignment horizontal="center" vertical="center"/>
    </xf>
    <xf numFmtId="164" fontId="0" fillId="6" borderId="12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164" fontId="1" fillId="5" borderId="5" xfId="1" applyFont="1" applyFill="1" applyBorder="1"/>
    <xf numFmtId="164" fontId="1" fillId="5" borderId="5" xfId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/>
    </xf>
    <xf numFmtId="166" fontId="0" fillId="9" borderId="4" xfId="0" applyNumberFormat="1" applyFill="1" applyBorder="1"/>
    <xf numFmtId="0" fontId="12" fillId="0" borderId="21" xfId="0" applyNumberFormat="1" applyFont="1" applyBorder="1" applyAlignment="1"/>
    <xf numFmtId="0" fontId="12" fillId="0" borderId="16" xfId="0" applyFont="1" applyBorder="1"/>
    <xf numFmtId="0" fontId="0" fillId="9" borderId="6" xfId="0" applyFill="1" applyBorder="1" applyAlignment="1">
      <alignment horizontal="left"/>
    </xf>
    <xf numFmtId="166" fontId="0" fillId="9" borderId="6" xfId="0" applyNumberFormat="1" applyFill="1" applyBorder="1"/>
    <xf numFmtId="166" fontId="0" fillId="9" borderId="0" xfId="0" applyNumberFormat="1" applyFill="1" applyBorder="1"/>
    <xf numFmtId="166" fontId="0" fillId="9" borderId="13" xfId="0" applyNumberFormat="1" applyFill="1" applyBorder="1"/>
    <xf numFmtId="166" fontId="0" fillId="0" borderId="14" xfId="0" applyNumberFormat="1" applyBorder="1"/>
    <xf numFmtId="166" fontId="0" fillId="0" borderId="15" xfId="0" applyNumberFormat="1" applyBorder="1"/>
    <xf numFmtId="166" fontId="0" fillId="0" borderId="16" xfId="0" applyNumberFormat="1" applyBorder="1"/>
  </cellXfs>
  <cellStyles count="2">
    <cellStyle name="Monétaire" xfId="1" builtinId="4"/>
    <cellStyle name="Normal" xfId="0" builtinId="0"/>
  </cellStyles>
  <dxfs count="166">
    <dxf>
      <font>
        <sz val="14"/>
        <color rgb="FFFF0000"/>
      </font>
    </dxf>
    <dxf>
      <numFmt numFmtId="166" formatCode="#,##0.00\ &quot;€&quot;"/>
    </dxf>
    <dxf>
      <font>
        <sz val="14"/>
        <color rgb="FFFF0000"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sz val="14"/>
        <color rgb="FFFF0000"/>
      </font>
    </dxf>
    <dxf>
      <font>
        <sz val="14"/>
        <color rgb="FFFF0000"/>
      </font>
    </dxf>
    <dxf>
      <font>
        <sz val="14"/>
        <color rgb="FFFF0000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sz val="14"/>
        <color rgb="FFFF0000"/>
      </font>
    </dxf>
    <dxf>
      <font>
        <sz val="14"/>
        <color rgb="FFFF0000"/>
      </font>
    </dxf>
    <dxf>
      <font>
        <sz val="14"/>
        <color rgb="FFFF0000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color rgb="FFFF0000"/>
      </font>
    </dxf>
    <dxf>
      <numFmt numFmtId="166" formatCode="#,##0.00\ &quot;€&quot;"/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color rgb="FFFF0000"/>
      </font>
    </dxf>
    <dxf>
      <numFmt numFmtId="166" formatCode="#,##0.00\ &quot;€&quot;"/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color rgb="FFFF0000"/>
      </font>
    </dxf>
    <dxf>
      <numFmt numFmtId="166" formatCode="#,##0.00\ &quot;€&quot;"/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color rgb="FFFF0000"/>
      </font>
    </dxf>
    <dxf>
      <numFmt numFmtId="166" formatCode="#,##0.00\ &quot;€&quot;"/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color rgb="FFFF0000"/>
      </font>
    </dxf>
    <dxf>
      <numFmt numFmtId="166" formatCode="#,##0.00\ &quot;€&quot;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z val="14"/>
        <color rgb="FFFF0000"/>
      </font>
      <numFmt numFmtId="0" formatCode="General"/>
      <alignment horizontal="general" vertical="bottom" textRotation="0" wrapText="0" indent="0" justifyLastLine="0" shrinkToFit="0" readingOrder="0"/>
    </dxf>
    <dxf>
      <font>
        <sz val="14"/>
        <color rgb="FFFF0000"/>
      </font>
    </dxf>
    <dxf>
      <font>
        <sz val="14"/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  <color rgb="FFFF0000"/>
      </font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numFmt numFmtId="166" formatCode="#,##0.00\ &quot;€&quot;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  <color rgb="FFFF0000"/>
      </font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4"/>
        <color rgb="FFFF0000"/>
      </font>
      <alignment horizontal="general" vertical="bottom" textRotation="0" wrapText="0" indent="0" justifyLastLine="0" shrinkToFit="0" readingOrder="0"/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color rgb="FFFF0000"/>
      </font>
    </dxf>
    <dxf>
      <font>
        <color rgb="FFFF0000"/>
      </font>
    </dxf>
    <dxf>
      <font>
        <sz val="11"/>
      </font>
    </dxf>
    <dxf>
      <font>
        <sz val="1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  <color rgb="FFFF0000"/>
      </font>
      <alignment horizontal="general" vertical="bottom" textRotation="0" wrapText="0" indent="0" justifyLastLine="0" shrinkToFit="0" readingOrder="0"/>
    </dxf>
    <dxf>
      <font>
        <sz val="14"/>
        <color rgb="FFFF0000"/>
      </font>
    </dxf>
    <dxf>
      <font>
        <sz val="14"/>
        <color rgb="FFFF0000"/>
      </font>
    </dxf>
    <dxf>
      <numFmt numFmtId="166" formatCode="#,##0.00\ &quot;€&quot;"/>
    </dxf>
    <dxf>
      <font>
        <color rgb="FFFF0000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glow rad="228600">
                    <a:schemeClr val="bg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1"/>
                </a:solidFill>
                <a:effectLst>
                  <a:glow rad="228600">
                    <a:schemeClr val="bg1">
                      <a:alpha val="40000"/>
                    </a:schemeClr>
                  </a:glow>
                </a:effectLst>
              </a:rPr>
              <a:t>Taux remboursement repas</a:t>
            </a:r>
          </a:p>
        </c:rich>
      </c:tx>
      <c:layout>
        <c:manualLayout>
          <c:xMode val="edge"/>
          <c:yMode val="edge"/>
          <c:x val="0.2940901137357830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glow rad="228600">
                  <a:schemeClr val="bg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accent1"/>
                </a:solidFill>
              </a:ln>
              <a:effectLst/>
              <a:sp3d contourW="25400"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007-4648-9290-60FCCCCC46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'Frais commerciaux'!$F$5:$F$14</c:f>
              <c:numCache>
                <c:formatCode>General</c:formatCode>
                <c:ptCount val="10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13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7-4648-9290-60FCCCCC462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'Frais commerciaux'!$K$5:$K$14</c:f>
              <c:numCache>
                <c:formatCode>_-* #,##0.00\ "€"_-;\-* #,##0.00\ "€"_-;_-* "-"??\ "€"_-;_-@_-</c:formatCode>
                <c:ptCount val="10"/>
                <c:pt idx="0">
                  <c:v>2200</c:v>
                </c:pt>
                <c:pt idx="1">
                  <c:v>1870</c:v>
                </c:pt>
                <c:pt idx="2">
                  <c:v>1980</c:v>
                </c:pt>
                <c:pt idx="3">
                  <c:v>1170</c:v>
                </c:pt>
                <c:pt idx="4">
                  <c:v>1620</c:v>
                </c:pt>
                <c:pt idx="5">
                  <c:v>1710</c:v>
                </c:pt>
                <c:pt idx="6">
                  <c:v>1800</c:v>
                </c:pt>
                <c:pt idx="7">
                  <c:v>2420</c:v>
                </c:pt>
                <c:pt idx="8">
                  <c:v>1890</c:v>
                </c:pt>
                <c:pt idx="9">
                  <c:v>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7-4648-9290-60FCCCCC4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solidFill>
            <a:schemeClr val="accent1"/>
          </a:solidFill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2000">
          <a:srgbClr val="002060"/>
        </a:gs>
        <a:gs pos="45000">
          <a:srgbClr val="C00000"/>
        </a:gs>
        <a:gs pos="49000">
          <a:srgbClr val="C00000"/>
        </a:gs>
        <a:gs pos="84000">
          <a:srgbClr val="002060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gradFill flip="none" rotWithShape="1">
                  <a:gsLst>
                    <a:gs pos="0">
                      <a:schemeClr val="accent6">
                        <a:lumMod val="40000"/>
                        <a:lumOff val="60000"/>
                      </a:schemeClr>
                    </a:gs>
                    <a:gs pos="46000">
                      <a:schemeClr val="accent6">
                        <a:lumMod val="95000"/>
                        <a:lumOff val="5000"/>
                      </a:schemeClr>
                    </a:gs>
                    <a:gs pos="100000">
                      <a:schemeClr val="accent6">
                        <a:lumMod val="60000"/>
                      </a:schemeClr>
                    </a:gs>
                  </a:gsLst>
                  <a:path path="circle">
                    <a:fillToRect l="50000" t="130000" r="50000" b="-30000"/>
                  </a:path>
                  <a:tileRect/>
                </a:gradFill>
                <a:latin typeface="+mn-lt"/>
                <a:ea typeface="+mn-ea"/>
                <a:cs typeface="+mn-cs"/>
              </a:defRPr>
            </a:pPr>
            <a:r>
              <a:rPr lang="fr-FR">
                <a:gradFill flip="none" rotWithShape="1">
                  <a:gsLst>
                    <a:gs pos="0">
                      <a:schemeClr val="accent6">
                        <a:lumMod val="40000"/>
                        <a:lumOff val="60000"/>
                      </a:schemeClr>
                    </a:gs>
                    <a:gs pos="46000">
                      <a:schemeClr val="accent6">
                        <a:lumMod val="95000"/>
                        <a:lumOff val="5000"/>
                      </a:schemeClr>
                    </a:gs>
                    <a:gs pos="100000">
                      <a:schemeClr val="accent6">
                        <a:lumMod val="60000"/>
                      </a:schemeClr>
                    </a:gs>
                  </a:gsLst>
                  <a:path path="circle">
                    <a:fillToRect l="50000" t="130000" r="50000" b="-30000"/>
                  </a:path>
                  <a:tileRect/>
                </a:gradFill>
              </a:rPr>
              <a:t>Kilometrage et Remboursement</a:t>
            </a:r>
            <a:endParaRPr lang="fr-FR" baseline="0"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</a:endParaRPr>
          </a:p>
        </c:rich>
      </c:tx>
      <c:layout>
        <c:manualLayout>
          <c:xMode val="edge"/>
          <c:yMode val="edge"/>
          <c:x val="0.2399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rAngAx val="0"/>
    </c:view3D>
    <c:floor>
      <c:thickness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  <a:sp3d/>
      </c:spPr>
    </c:floor>
    <c:sideWall>
      <c:thickness val="0"/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  <a:sp3d/>
      </c:spPr>
    </c:sideWall>
    <c:backWall>
      <c:thickness val="0"/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Nombre KM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'Frais commerciaux'!$D$5:$D$14</c:f>
              <c:numCache>
                <c:formatCode>General</c:formatCode>
                <c:ptCount val="10"/>
                <c:pt idx="0">
                  <c:v>1940</c:v>
                </c:pt>
                <c:pt idx="1">
                  <c:v>1130</c:v>
                </c:pt>
                <c:pt idx="2">
                  <c:v>1960</c:v>
                </c:pt>
                <c:pt idx="3">
                  <c:v>1525</c:v>
                </c:pt>
                <c:pt idx="4">
                  <c:v>3870</c:v>
                </c:pt>
                <c:pt idx="5">
                  <c:v>415</c:v>
                </c:pt>
                <c:pt idx="6">
                  <c:v>1305</c:v>
                </c:pt>
                <c:pt idx="7">
                  <c:v>3350</c:v>
                </c:pt>
                <c:pt idx="8">
                  <c:v>830</c:v>
                </c:pt>
                <c:pt idx="9">
                  <c:v>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B-7242-92A2-9C1C77DEF24E}"/>
            </c:ext>
          </c:extLst>
        </c:ser>
        <c:ser>
          <c:idx val="1"/>
          <c:order val="1"/>
          <c:tx>
            <c:v>Remboursement KM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'Frais commerciaux'!$I$5:$I$14</c:f>
              <c:numCache>
                <c:formatCode>_-* #,##0.00\ "€"_-;\-* #,##0.00\ "€"_-;_-* "-"??\ "€"_-;_-@_-</c:formatCode>
                <c:ptCount val="10"/>
                <c:pt idx="0">
                  <c:v>6790</c:v>
                </c:pt>
                <c:pt idx="1">
                  <c:v>3955</c:v>
                </c:pt>
                <c:pt idx="2">
                  <c:v>6860</c:v>
                </c:pt>
                <c:pt idx="3">
                  <c:v>5337.5</c:v>
                </c:pt>
                <c:pt idx="4">
                  <c:v>14706</c:v>
                </c:pt>
                <c:pt idx="5">
                  <c:v>1286.5</c:v>
                </c:pt>
                <c:pt idx="6">
                  <c:v>4567.5</c:v>
                </c:pt>
                <c:pt idx="7">
                  <c:v>12730</c:v>
                </c:pt>
                <c:pt idx="8">
                  <c:v>2573</c:v>
                </c:pt>
                <c:pt idx="9">
                  <c:v>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B-7242-92A2-9C1C77DEF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612352"/>
        <c:axId val="1050578768"/>
        <c:axId val="1140134592"/>
      </c:line3DChart>
      <c:catAx>
        <c:axId val="1133612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0578768"/>
        <c:crosses val="autoZero"/>
        <c:auto val="1"/>
        <c:lblAlgn val="ctr"/>
        <c:lblOffset val="100"/>
        <c:noMultiLvlLbl val="0"/>
      </c:catAx>
      <c:valAx>
        <c:axId val="10505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3612352"/>
        <c:crosses val="autoZero"/>
        <c:crossBetween val="between"/>
      </c:valAx>
      <c:serAx>
        <c:axId val="1140134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05787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gradFill>
                  <a:gsLst>
                    <a:gs pos="0">
                      <a:schemeClr val="accent2">
                        <a:lumMod val="5000"/>
                        <a:lumOff val="95000"/>
                      </a:schemeClr>
                    </a:gs>
                    <a:gs pos="74000">
                      <a:schemeClr val="accent2">
                        <a:lumMod val="45000"/>
                        <a:lumOff val="55000"/>
                      </a:schemeClr>
                    </a:gs>
                    <a:gs pos="83000">
                      <a:schemeClr val="accent2">
                        <a:lumMod val="45000"/>
                        <a:lumOff val="55000"/>
                      </a:schemeClr>
                    </a:gs>
                    <a:gs pos="100000">
                      <a:schemeClr val="accent2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effectLst>
                  <a:glow rad="63500">
                    <a:schemeClr val="accent5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fr-FR" sz="2400">
                <a:gradFill>
                  <a:gsLst>
                    <a:gs pos="0">
                      <a:schemeClr val="accent2">
                        <a:lumMod val="5000"/>
                        <a:lumOff val="95000"/>
                      </a:schemeClr>
                    </a:gs>
                    <a:gs pos="74000">
                      <a:schemeClr val="accent2">
                        <a:lumMod val="45000"/>
                        <a:lumOff val="55000"/>
                      </a:schemeClr>
                    </a:gs>
                    <a:gs pos="83000">
                      <a:schemeClr val="accent2">
                        <a:lumMod val="45000"/>
                        <a:lumOff val="55000"/>
                      </a:schemeClr>
                    </a:gs>
                    <a:gs pos="100000">
                      <a:schemeClr val="accent2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effectLst>
                  <a:glow rad="63500">
                    <a:schemeClr val="accent5">
                      <a:satMod val="175000"/>
                      <a:alpha val="40000"/>
                    </a:schemeClr>
                  </a:glow>
                </a:effectLst>
              </a:rPr>
              <a:t>Remboursement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gradFill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KM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'Frais commerciaux'!$I$5:$I$14</c:f>
              <c:numCache>
                <c:formatCode>_-* #,##0.00\ "€"_-;\-* #,##0.00\ "€"_-;_-* "-"??\ "€"_-;_-@_-</c:formatCode>
                <c:ptCount val="10"/>
                <c:pt idx="0">
                  <c:v>6790</c:v>
                </c:pt>
                <c:pt idx="1">
                  <c:v>3955</c:v>
                </c:pt>
                <c:pt idx="2">
                  <c:v>6860</c:v>
                </c:pt>
                <c:pt idx="3">
                  <c:v>5337.5</c:v>
                </c:pt>
                <c:pt idx="4">
                  <c:v>14706</c:v>
                </c:pt>
                <c:pt idx="5">
                  <c:v>1286.5</c:v>
                </c:pt>
                <c:pt idx="6">
                  <c:v>4567.5</c:v>
                </c:pt>
                <c:pt idx="7">
                  <c:v>12730</c:v>
                </c:pt>
                <c:pt idx="8">
                  <c:v>2573</c:v>
                </c:pt>
                <c:pt idx="9">
                  <c:v>5810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D-B944-B7FF-23CEEECD7AF6}"/>
            </c:ext>
          </c:extLst>
        </c:ser>
        <c:ser>
          <c:idx val="1"/>
          <c:order val="1"/>
          <c:tx>
            <c:v>Voiture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'Frais commerciaux'!$J$5:$J$14</c:f>
              <c:numCache>
                <c:formatCode>_-* #,##0.00\ "€"_-;\-* #,##0.00\ "€"_-;_-* "-"??\ "€"_-;_-@_-</c:formatCode>
                <c:ptCount val="10"/>
                <c:pt idx="0">
                  <c:v>8790</c:v>
                </c:pt>
                <c:pt idx="1">
                  <c:v>5955</c:v>
                </c:pt>
                <c:pt idx="2">
                  <c:v>8460</c:v>
                </c:pt>
                <c:pt idx="3">
                  <c:v>6937.5</c:v>
                </c:pt>
                <c:pt idx="4">
                  <c:v>16306</c:v>
                </c:pt>
                <c:pt idx="5">
                  <c:v>2886.5</c:v>
                </c:pt>
                <c:pt idx="6">
                  <c:v>6167.5</c:v>
                </c:pt>
                <c:pt idx="7">
                  <c:v>14730</c:v>
                </c:pt>
                <c:pt idx="8">
                  <c:v>4173</c:v>
                </c:pt>
                <c:pt idx="9">
                  <c:v>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D-B944-B7FF-23CEEECD7AF6}"/>
            </c:ext>
          </c:extLst>
        </c:ser>
        <c:ser>
          <c:idx val="2"/>
          <c:order val="2"/>
          <c:tx>
            <c:v>Repas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'Frais commerciaux'!$K$5:$K$14</c:f>
              <c:numCache>
                <c:formatCode>_-* #,##0.00\ "€"_-;\-* #,##0.00\ "€"_-;_-* "-"??\ "€"_-;_-@_-</c:formatCode>
                <c:ptCount val="10"/>
                <c:pt idx="0">
                  <c:v>2200</c:v>
                </c:pt>
                <c:pt idx="1">
                  <c:v>1870</c:v>
                </c:pt>
                <c:pt idx="2">
                  <c:v>1980</c:v>
                </c:pt>
                <c:pt idx="3">
                  <c:v>1170</c:v>
                </c:pt>
                <c:pt idx="4">
                  <c:v>1620</c:v>
                </c:pt>
                <c:pt idx="5">
                  <c:v>1710</c:v>
                </c:pt>
                <c:pt idx="6">
                  <c:v>1800</c:v>
                </c:pt>
                <c:pt idx="7">
                  <c:v>2420</c:v>
                </c:pt>
                <c:pt idx="8">
                  <c:v>1890</c:v>
                </c:pt>
                <c:pt idx="9">
                  <c:v>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D-B944-B7FF-23CEEECD7AF6}"/>
            </c:ext>
          </c:extLst>
        </c:ser>
        <c:ser>
          <c:idx val="3"/>
          <c:order val="3"/>
          <c:tx>
            <c:v>Hotel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'Frais commerciaux'!$L$5:$L$14</c:f>
              <c:numCache>
                <c:formatCode>_-* #,##0.00\ "€"_-;\-* #,##0.00\ "€"_-;_-* "-"??\ "€"_-;_-@_-</c:formatCode>
                <c:ptCount val="10"/>
                <c:pt idx="0">
                  <c:v>3250</c:v>
                </c:pt>
                <c:pt idx="1">
                  <c:v>3500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0</c:v>
                </c:pt>
                <c:pt idx="6">
                  <c:v>2400</c:v>
                </c:pt>
                <c:pt idx="7">
                  <c:v>4500</c:v>
                </c:pt>
                <c:pt idx="8">
                  <c:v>800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D-B944-B7FF-23CEEECD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5432784"/>
        <c:axId val="1125436672"/>
        <c:axId val="0"/>
      </c:bar3DChart>
      <c:catAx>
        <c:axId val="112543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5436672"/>
        <c:crosses val="autoZero"/>
        <c:auto val="1"/>
        <c:lblAlgn val="ctr"/>
        <c:lblOffset val="100"/>
        <c:noMultiLvlLbl val="0"/>
      </c:catAx>
      <c:valAx>
        <c:axId val="11254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54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816929</xdr:colOff>
      <xdr:row>0</xdr:row>
      <xdr:rowOff>15427</xdr:rowOff>
    </xdr:from>
    <xdr:to>
      <xdr:col>22</xdr:col>
      <xdr:colOff>466274</xdr:colOff>
      <xdr:row>13</xdr:row>
      <xdr:rowOff>148874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A42C18C-0AFB-BF4C-A0C0-DFA4CDD81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5138</xdr:colOff>
      <xdr:row>14</xdr:row>
      <xdr:rowOff>176698</xdr:rowOff>
    </xdr:from>
    <xdr:to>
      <xdr:col>22</xdr:col>
      <xdr:colOff>474925</xdr:colOff>
      <xdr:row>29</xdr:row>
      <xdr:rowOff>117477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6D63F61-9659-1A4A-B5FD-56015300A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16017</xdr:colOff>
      <xdr:row>31</xdr:row>
      <xdr:rowOff>4188</xdr:rowOff>
    </xdr:from>
    <xdr:to>
      <xdr:col>24</xdr:col>
      <xdr:colOff>323966</xdr:colOff>
      <xdr:row>47</xdr:row>
      <xdr:rowOff>134510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99762B8-D2E4-D542-A798-A146F668B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7.618299652779" createdVersion="7" refreshedVersion="7" minRefreshableVersion="3" recordCount="10" xr:uid="{CB42946A-9D8A-AA49-A35D-7006DD6AE5E6}">
  <cacheSource type="worksheet">
    <worksheetSource name="commerciaux"/>
  </cacheSource>
  <cacheFields count="16">
    <cacheField name="N° Du Commercial" numFmtId="0">
      <sharedItems containsSemiMixedTypes="0" containsString="0" containsNumber="1" containsInteger="1" minValue="1" maxValue="10"/>
    </cacheField>
    <cacheField name="Nom du commercial" numFmtId="0">
      <sharedItems count="10">
        <s v="Dupont alain"/>
        <s v="Durand Jean"/>
        <s v="Armand derhy"/>
        <s v="Cabot Pierre"/>
        <s v="Déroulard maxime"/>
        <s v="Garzon christophe"/>
        <s v="Jackardi Anne"/>
        <s v="Marquis Francoise"/>
        <s v="Pradier Carole"/>
        <s v="Rogers roger"/>
      </sharedItems>
    </cacheField>
    <cacheField name="Taux tarif" numFmtId="0">
      <sharedItems containsSemiMixedTypes="0" containsString="0" containsNumber="1" containsInteger="1" minValue="1" maxValue="2"/>
    </cacheField>
    <cacheField name="Nombre de KM" numFmtId="0">
      <sharedItems containsSemiMixedTypes="0" containsString="0" containsNumber="1" containsInteger="1" minValue="415" maxValue="3870"/>
    </cacheField>
    <cacheField name="Type de forfait KM" numFmtId="0">
      <sharedItems containsSemiMixedTypes="0" containsString="0" containsNumber="1" containsInteger="1" minValue="1" maxValue="3"/>
    </cacheField>
    <cacheField name="Nombre de repas" numFmtId="0">
      <sharedItems containsSemiMixedTypes="0" containsString="0" containsNumber="1" containsInteger="1" minValue="13" maxValue="22"/>
    </cacheField>
    <cacheField name="Nombre de nuits" numFmtId="0">
      <sharedItems containsSemiMixedTypes="0" containsString="0" containsNumber="1" containsInteger="1" minValue="0" maxValue="18"/>
    </cacheField>
    <cacheField name="Frais fixes voiture" numFmtId="164">
      <sharedItems containsSemiMixedTypes="0" containsString="0" containsNumber="1" containsInteger="1" minValue="1600" maxValue="2000"/>
    </cacheField>
    <cacheField name="Remboursement KM" numFmtId="164">
      <sharedItems containsSemiMixedTypes="0" containsString="0" containsNumber="1" minValue="1286.5" maxValue="14706"/>
    </cacheField>
    <cacheField name="Remboursement voiture" numFmtId="164">
      <sharedItems containsSemiMixedTypes="0" containsString="0" containsNumber="1" minValue="2886.5" maxValue="16306" count="10">
        <n v="8790"/>
        <n v="5955"/>
        <n v="8460"/>
        <n v="6937.5"/>
        <n v="16306"/>
        <n v="2886.5"/>
        <n v="6167.5"/>
        <n v="14730"/>
        <n v="4173"/>
        <n v="7810"/>
      </sharedItems>
    </cacheField>
    <cacheField name="Remboursement repas" numFmtId="164">
      <sharedItems containsSemiMixedTypes="0" containsString="0" containsNumber="1" containsInteger="1" minValue="1170" maxValue="2420" count="10">
        <n v="2200"/>
        <n v="1870"/>
        <n v="1980"/>
        <n v="1170"/>
        <n v="1620"/>
        <n v="1710"/>
        <n v="1800"/>
        <n v="2420"/>
        <n v="1890"/>
        <n v="1540"/>
      </sharedItems>
    </cacheField>
    <cacheField name="Remboursement hotel" numFmtId="164">
      <sharedItems containsSemiMixedTypes="0" containsString="0" containsNumber="1" containsInteger="1" minValue="0" maxValue="4500" count="7">
        <n v="3250"/>
        <n v="3500"/>
        <n v="0"/>
        <n v="1000"/>
        <n v="2400"/>
        <n v="4500"/>
        <n v="800"/>
      </sharedItems>
    </cacheField>
    <cacheField name="Total remboursement" numFmtId="164">
      <sharedItems containsSemiMixedTypes="0" containsString="0" containsNumber="1" minValue="4596.5" maxValue="21650"/>
    </cacheField>
    <cacheField name="Salarié Le + Cher en Voiture" numFmtId="164">
      <sharedItems containsMixedTypes="1" containsNumber="1" containsInteger="1" minValue="16306" maxValue="16306"/>
    </cacheField>
    <cacheField name="Salarié Le + Cher en Resto" numFmtId="164">
      <sharedItems containsMixedTypes="1" containsNumber="1" containsInteger="1" minValue="2420" maxValue="2420"/>
    </cacheField>
    <cacheField name="Salarié Le + Cher en Hôtel" numFmtId="164">
      <sharedItems containsMixedTypes="1" containsNumber="1" containsInteger="1" minValue="45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7.650884490744" createdVersion="7" refreshedVersion="7" minRefreshableVersion="3" recordCount="1" xr:uid="{D0B7A2CE-BE59-ED4D-B997-593D2A2EBFB6}">
  <cacheSource type="worksheet">
    <worksheetSource name="Tableau3"/>
  </cacheSource>
  <cacheFields count="4">
    <cacheField name="Nombre des commerciaux" numFmtId="0">
      <sharedItems containsSemiMixedTypes="0" containsString="0" containsNumber="1" containsInteger="1" minValue="10" maxValue="10" count="1">
        <n v="10"/>
      </sharedItems>
    </cacheField>
    <cacheField name="Max remboursement voiture" numFmtId="164">
      <sharedItems containsSemiMixedTypes="0" containsString="0" containsNumber="1" containsInteger="1" minValue="16306" maxValue="16306" count="1">
        <n v="16306"/>
      </sharedItems>
    </cacheField>
    <cacheField name="Max remboursement repas" numFmtId="164">
      <sharedItems containsSemiMixedTypes="0" containsString="0" containsNumber="1" containsInteger="1" minValue="2420" maxValue="2420"/>
    </cacheField>
    <cacheField name="Max remboursement hôtel" numFmtId="164">
      <sharedItems containsSemiMixedTypes="0" containsString="0" containsNumber="1" containsInteger="1" minValue="45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n v="1"/>
    <n v="1940"/>
    <n v="2"/>
    <n v="20"/>
    <n v="13"/>
    <n v="2000"/>
    <n v="6790"/>
    <x v="0"/>
    <x v="0"/>
    <x v="0"/>
    <n v="14240"/>
    <s v=""/>
    <s v=""/>
    <s v=""/>
  </r>
  <r>
    <n v="2"/>
    <x v="1"/>
    <n v="1"/>
    <n v="1130"/>
    <n v="2"/>
    <n v="17"/>
    <n v="14"/>
    <n v="2000"/>
    <n v="3955"/>
    <x v="1"/>
    <x v="1"/>
    <x v="1"/>
    <n v="11325"/>
    <s v=""/>
    <s v=""/>
    <s v=""/>
  </r>
  <r>
    <n v="3"/>
    <x v="2"/>
    <n v="2"/>
    <n v="1960"/>
    <n v="2"/>
    <n v="22"/>
    <n v="0"/>
    <n v="1600"/>
    <n v="6860"/>
    <x v="2"/>
    <x v="2"/>
    <x v="2"/>
    <n v="10440"/>
    <s v=""/>
    <s v=""/>
    <s v=""/>
  </r>
  <r>
    <n v="4"/>
    <x v="3"/>
    <n v="2"/>
    <n v="1525"/>
    <n v="2"/>
    <n v="13"/>
    <n v="5"/>
    <n v="1600"/>
    <n v="5337.5"/>
    <x v="3"/>
    <x v="3"/>
    <x v="3"/>
    <n v="9107.5"/>
    <s v=""/>
    <s v=""/>
    <s v=""/>
  </r>
  <r>
    <n v="5"/>
    <x v="4"/>
    <n v="2"/>
    <n v="3870"/>
    <n v="3"/>
    <n v="18"/>
    <n v="5"/>
    <n v="1600"/>
    <n v="14706"/>
    <x v="4"/>
    <x v="4"/>
    <x v="3"/>
    <n v="18926"/>
    <n v="16306"/>
    <s v=""/>
    <s v=""/>
  </r>
  <r>
    <n v="6"/>
    <x v="5"/>
    <n v="2"/>
    <n v="415"/>
    <n v="1"/>
    <n v="19"/>
    <n v="0"/>
    <n v="1600"/>
    <n v="1286.5"/>
    <x v="5"/>
    <x v="5"/>
    <x v="2"/>
    <n v="4596.5"/>
    <s v=""/>
    <s v=""/>
    <s v=""/>
  </r>
  <r>
    <n v="7"/>
    <x v="6"/>
    <n v="2"/>
    <n v="1305"/>
    <n v="2"/>
    <n v="20"/>
    <n v="12"/>
    <n v="1600"/>
    <n v="4567.5"/>
    <x v="6"/>
    <x v="6"/>
    <x v="4"/>
    <n v="10367.5"/>
    <s v=""/>
    <s v=""/>
    <s v=""/>
  </r>
  <r>
    <n v="8"/>
    <x v="7"/>
    <n v="1"/>
    <n v="3350"/>
    <n v="3"/>
    <n v="22"/>
    <n v="18"/>
    <n v="2000"/>
    <n v="12730"/>
    <x v="7"/>
    <x v="7"/>
    <x v="5"/>
    <n v="21650"/>
    <s v=""/>
    <n v="2420"/>
    <n v="4500"/>
  </r>
  <r>
    <n v="9"/>
    <x v="8"/>
    <n v="2"/>
    <n v="830"/>
    <n v="1"/>
    <n v="21"/>
    <n v="4"/>
    <n v="1600"/>
    <n v="2573"/>
    <x v="8"/>
    <x v="8"/>
    <x v="6"/>
    <n v="6863"/>
    <s v=""/>
    <s v=""/>
    <s v=""/>
  </r>
  <r>
    <n v="10"/>
    <x v="9"/>
    <n v="1"/>
    <n v="1660"/>
    <n v="2"/>
    <n v="14"/>
    <n v="0"/>
    <n v="2000"/>
    <n v="5810"/>
    <x v="9"/>
    <x v="9"/>
    <x v="2"/>
    <n v="9350"/>
    <s v="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n v="2420"/>
    <n v="4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4E573-E512-174E-90B4-D51C8F3F7B60}" name="Tableau croisé dynamique18" cacheId="5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4:D36" firstHeaderRow="0" firstDataRow="1" firstDataCol="1"/>
  <pivotFields count="4">
    <pivotField axis="axisRow" showAll="0">
      <items count="2">
        <item x="0"/>
        <item t="default"/>
      </items>
    </pivotField>
    <pivotField dataField="1" numFmtId="164" showAll="0">
      <items count="2">
        <item x="0"/>
        <item t="default"/>
      </items>
    </pivotField>
    <pivotField dataField="1" numFmtId="164" showAll="0"/>
    <pivotField dataField="1" numFmtId="164"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Max remboursement repas" fld="2" baseField="0" baseItem="0"/>
    <dataField name="Somme de Max remboursement hôtel" fld="3" baseField="0" baseItem="0"/>
    <dataField name="Somme de Max remboursement voiture" fld="1" baseField="0" baseItem="0"/>
  </dataFields>
  <formats count="13">
    <format dxfId="90">
      <pivotArea field="1" type="button" dataOnly="0" labelOnly="1" outline="0"/>
    </format>
    <format dxfId="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8">
      <pivotArea dataOnly="0" labelOnly="1" grandRow="1" outline="0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1" type="button" dataOnly="0" labelOnly="1" outline="0"/>
    </format>
    <format dxfId="84">
      <pivotArea dataOnly="0" labelOnly="1" grandRow="1" outline="0" fieldPosition="0"/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collapsedLevelsAreSubtotals="1" fieldPosition="0">
        <references count="1">
          <reference field="0" count="0"/>
        </references>
      </pivotArea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/>
    </format>
    <format dxfId="0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4B6FC-4258-D543-9BA3-1AD21BDEA6DB}" name="Tableau croisé dynamique13" cacheId="3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5:E26" firstHeaderRow="0" firstDataRow="1" firstDataCol="1"/>
  <pivotFields count="16">
    <pivotField showAll="0"/>
    <pivotField axis="axisRow" showAll="0">
      <items count="11">
        <item x="2"/>
        <item x="3"/>
        <item x="4"/>
        <item x="0"/>
        <item x="1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dataFiel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e Nombre de KM" fld="3" baseField="0" baseItem="0"/>
    <dataField name="Somme de Nombre de repas" fld="5" baseField="0" baseItem="0"/>
    <dataField name="Somme de Nombre de nuits" fld="6" baseField="0" baseItem="0"/>
    <dataField name="Somme de Total remboursement" fld="12" baseField="0" baseItem="0"/>
  </dataFields>
  <formats count="9">
    <format dxfId="155">
      <pivotArea field="1" type="button" dataOnly="0" labelOnly="1" outline="0" axis="axisRow" fieldPosition="0"/>
    </format>
    <format dxfId="1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3">
      <pivotArea dataOnly="0" labelOnly="1" grandRow="1" outline="0" fieldPosition="0"/>
    </format>
    <format dxfId="152">
      <pivotArea outline="0" collapsedLevelsAreSubtotals="1" fieldPosition="0"/>
    </format>
    <format dxfId="151">
      <pivotArea dataOnly="0" labelOnly="1" fieldPosition="0">
        <references count="1">
          <reference field="1" count="0"/>
        </references>
      </pivotArea>
    </format>
    <format dxfId="150">
      <pivotArea dataOnly="0" labelOnly="1" grandRow="1" outline="0" fieldPosition="0"/>
    </format>
    <format dxfId="128">
      <pivotArea outline="0" collapsedLevelsAreSubtotals="1" fieldPosition="0"/>
    </format>
    <format dxfId="30">
      <pivotArea collapsedLevelsAreSubtotals="1" fieldPosition="0">
        <references count="1">
          <reference field="1" count="0"/>
        </references>
      </pivotArea>
    </format>
    <format dxfId="29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91229-4254-2849-8D12-C0EA418C3011}" name="Tableau croisé dynamique12" cacheId="3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:D12" firstHeaderRow="0" firstDataRow="1" firstDataCol="1"/>
  <pivotFields count="16">
    <pivotField showAll="0"/>
    <pivotField axis="axisRow" showAll="0">
      <items count="11">
        <item x="2"/>
        <item x="3"/>
        <item x="4"/>
        <item x="0"/>
        <item x="1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>
      <items count="11">
        <item x="5"/>
        <item x="8"/>
        <item x="1"/>
        <item x="6"/>
        <item x="3"/>
        <item x="9"/>
        <item x="2"/>
        <item x="0"/>
        <item x="7"/>
        <item x="4"/>
        <item t="default"/>
      </items>
    </pivotField>
    <pivotField dataField="1" numFmtId="164" showAll="0">
      <items count="11">
        <item x="3"/>
        <item x="9"/>
        <item x="4"/>
        <item x="5"/>
        <item x="6"/>
        <item x="1"/>
        <item x="8"/>
        <item x="2"/>
        <item x="0"/>
        <item x="7"/>
        <item t="default"/>
      </items>
    </pivotField>
    <pivotField dataField="1" numFmtId="164" showAll="0">
      <items count="8">
        <item x="2"/>
        <item x="6"/>
        <item x="3"/>
        <item x="4"/>
        <item x="0"/>
        <item x="1"/>
        <item x="5"/>
        <item t="default"/>
      </items>
    </pivotField>
    <pivotField numFmtId="164"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Remboursement voiture" fld="9" baseField="0" baseItem="0"/>
    <dataField name="Somme de Remboursement repas" fld="10" baseField="0" baseItem="0"/>
    <dataField name="Somme de Remboursement hotel" fld="11" baseField="0" baseItem="0"/>
  </dataFields>
  <formats count="14">
    <format dxfId="165">
      <pivotArea field="1" type="button" dataOnly="0" labelOnly="1" outline="0" axis="axisRow" fieldPosition="0"/>
    </format>
    <format dxfId="1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3">
      <pivotArea field="1" type="button" dataOnly="0" labelOnly="1" outline="0" axis="axisRow" fieldPosition="0"/>
    </format>
    <format dxfId="16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1">
      <pivotArea outline="0" collapsedLevelsAreSubtotals="1" fieldPosition="0"/>
    </format>
    <format dxfId="160">
      <pivotArea dataOnly="0" labelOnly="1" fieldPosition="0">
        <references count="1">
          <reference field="1" count="0"/>
        </references>
      </pivotArea>
    </format>
    <format dxfId="159">
      <pivotArea dataOnly="0" labelOnly="1" grandRow="1" outline="0" fieldPosition="0"/>
    </format>
    <format dxfId="158">
      <pivotArea dataOnly="0" labelOnly="1" grandRow="1" outline="0" fieldPosition="0"/>
    </format>
    <format dxfId="157">
      <pivotArea dataOnly="0" labelOnly="1" grandRow="1" outline="0" fieldPosition="0"/>
    </format>
    <format dxfId="156">
      <pivotArea outline="0" collapsedLevelsAreSubtotals="1" fieldPosition="0"/>
    </format>
    <format dxfId="32">
      <pivotArea collapsedLevelsAreSubtotals="1" fieldPosition="0">
        <references count="1">
          <reference field="1" count="0"/>
        </references>
      </pivotArea>
    </format>
    <format dxfId="31">
      <pivotArea dataOnly="0" labelOnly="1" fieldPosition="0">
        <references count="1">
          <reference field="1" count="0"/>
        </references>
      </pivotArea>
    </format>
    <format dxfId="28">
      <pivotArea collapsedLevelsAreSubtotals="1" fieldPosition="0">
        <references count="1">
          <reference field="1" count="0"/>
        </references>
      </pivotArea>
    </format>
    <format dxfId="27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zoomScale="58" zoomScaleNormal="160" workbookViewId="0">
      <selection activeCell="S53" sqref="S53"/>
    </sheetView>
  </sheetViews>
  <sheetFormatPr baseColWidth="10" defaultRowHeight="13" x14ac:dyDescent="0.15"/>
  <cols>
    <col min="1" max="1" width="8.1640625" customWidth="1"/>
    <col min="2" max="2" width="19.6640625" bestFit="1" customWidth="1"/>
    <col min="3" max="3" width="13" customWidth="1"/>
    <col min="4" max="5" width="12.6640625" customWidth="1"/>
    <col min="6" max="6" width="11.1640625" bestFit="1" customWidth="1"/>
    <col min="7" max="7" width="10.6640625" bestFit="1" customWidth="1"/>
    <col min="8" max="8" width="11.5" bestFit="1" customWidth="1"/>
    <col min="9" max="9" width="13.83203125" customWidth="1"/>
    <col min="10" max="10" width="11.83203125" customWidth="1"/>
    <col min="11" max="11" width="11.1640625" customWidth="1"/>
    <col min="12" max="12" width="10.83203125" customWidth="1"/>
    <col min="13" max="13" width="9.83203125" customWidth="1"/>
    <col min="14" max="14" width="10.83203125" customWidth="1"/>
    <col min="15" max="15" width="11" customWidth="1"/>
    <col min="16" max="16" width="10.83203125" customWidth="1"/>
  </cols>
  <sheetData>
    <row r="1" spans="1:16" ht="15" thickBot="1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17" thickBot="1" x14ac:dyDescent="0.25">
      <c r="B2" s="1" t="s">
        <v>1</v>
      </c>
      <c r="C2" s="2" t="s">
        <v>2</v>
      </c>
    </row>
    <row r="3" spans="1:16" ht="17" thickBot="1" x14ac:dyDescent="0.2">
      <c r="A3" s="8" t="s">
        <v>63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29" customHeight="1" thickBot="1" x14ac:dyDescent="0.2">
      <c r="A4" s="15" t="s">
        <v>3</v>
      </c>
      <c r="B4" s="15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15" t="s">
        <v>11</v>
      </c>
      <c r="J4" s="15" t="s">
        <v>12</v>
      </c>
      <c r="K4" s="15" t="s">
        <v>13</v>
      </c>
      <c r="L4" s="15" t="s">
        <v>14</v>
      </c>
      <c r="M4" s="15" t="s">
        <v>59</v>
      </c>
      <c r="N4" s="15" t="s">
        <v>15</v>
      </c>
      <c r="O4" s="15" t="s">
        <v>16</v>
      </c>
      <c r="P4" s="15" t="s">
        <v>17</v>
      </c>
    </row>
    <row r="5" spans="1:16" ht="14" thickBot="1" x14ac:dyDescent="0.2">
      <c r="A5" s="16">
        <v>1</v>
      </c>
      <c r="B5" s="16" t="s">
        <v>18</v>
      </c>
      <c r="C5" s="16">
        <v>1</v>
      </c>
      <c r="D5" s="16">
        <v>1940</v>
      </c>
      <c r="E5" s="17">
        <f>VLOOKUP(D5,TarifKm,2)</f>
        <v>2</v>
      </c>
      <c r="F5" s="16">
        <v>20</v>
      </c>
      <c r="G5" s="16">
        <v>13</v>
      </c>
      <c r="H5" s="18">
        <f>HLOOKUP(C5,Tauxtarif,2)</f>
        <v>2000</v>
      </c>
      <c r="I5" s="18">
        <f>VLOOKUP(D5,TarifKm,3)*D5</f>
        <v>6790</v>
      </c>
      <c r="J5" s="18">
        <f>H5+I5</f>
        <v>8790</v>
      </c>
      <c r="K5" s="18">
        <f>HLOOKUP(C5,Tauxtarif,3)*F5</f>
        <v>2200</v>
      </c>
      <c r="L5" s="18">
        <f>HLOOKUP(C5,Tauxtarif,4)*G5</f>
        <v>3250</v>
      </c>
      <c r="M5" s="18">
        <f>J5+K5+L5</f>
        <v>14240</v>
      </c>
      <c r="N5" s="18" t="str">
        <f>IF(J5=$D$39,J5,"")</f>
        <v/>
      </c>
      <c r="O5" s="18" t="str">
        <f>IF(K5=$D$40,K5,"")</f>
        <v/>
      </c>
      <c r="P5" s="18" t="str">
        <f>IF(L5=$D$41,L5,"")</f>
        <v/>
      </c>
    </row>
    <row r="6" spans="1:16" ht="14" thickBot="1" x14ac:dyDescent="0.2">
      <c r="A6" s="16">
        <v>2</v>
      </c>
      <c r="B6" s="16" t="s">
        <v>19</v>
      </c>
      <c r="C6" s="16">
        <v>1</v>
      </c>
      <c r="D6" s="16">
        <v>1130</v>
      </c>
      <c r="E6" s="17">
        <f>VLOOKUP(D6,TarifKm,2)</f>
        <v>2</v>
      </c>
      <c r="F6" s="16">
        <v>17</v>
      </c>
      <c r="G6" s="16">
        <v>14</v>
      </c>
      <c r="H6" s="18">
        <f>HLOOKUP(C6,Tauxtarif,2)</f>
        <v>2000</v>
      </c>
      <c r="I6" s="18">
        <f>VLOOKUP(D6,TarifKm,3)*D6</f>
        <v>3955</v>
      </c>
      <c r="J6" s="18">
        <f t="shared" ref="J6:J14" si="0">H6+I6</f>
        <v>5955</v>
      </c>
      <c r="K6" s="18">
        <f>HLOOKUP(C6,Tauxtarif,3)*F6</f>
        <v>1870</v>
      </c>
      <c r="L6" s="18">
        <f>HLOOKUP(C6,Tauxtarif,4)*G6</f>
        <v>3500</v>
      </c>
      <c r="M6" s="18">
        <f t="shared" ref="M6:M14" si="1">J6+K6+L6</f>
        <v>11325</v>
      </c>
      <c r="N6" s="18" t="str">
        <f t="shared" ref="N6:N14" si="2">IF(J6=$D$39,J6,"")</f>
        <v/>
      </c>
      <c r="O6" s="18" t="str">
        <f t="shared" ref="O6:O14" si="3">IF(K6=$D$40,K6,"")</f>
        <v/>
      </c>
      <c r="P6" s="18" t="str">
        <f t="shared" ref="P6:P14" si="4">IF(L6=$D$41,L6,"")</f>
        <v/>
      </c>
    </row>
    <row r="7" spans="1:16" ht="14" thickBot="1" x14ac:dyDescent="0.2">
      <c r="A7" s="16">
        <v>3</v>
      </c>
      <c r="B7" s="16" t="s">
        <v>20</v>
      </c>
      <c r="C7" s="16">
        <v>2</v>
      </c>
      <c r="D7" s="16">
        <v>1960</v>
      </c>
      <c r="E7" s="17">
        <f>VLOOKUP(D7,TarifKm,2)</f>
        <v>2</v>
      </c>
      <c r="F7" s="16">
        <v>22</v>
      </c>
      <c r="G7" s="16">
        <v>0</v>
      </c>
      <c r="H7" s="18">
        <f>HLOOKUP(C7,Tauxtarif,2)</f>
        <v>1600</v>
      </c>
      <c r="I7" s="18">
        <f>VLOOKUP(D7,TarifKm,3)*D7</f>
        <v>6860</v>
      </c>
      <c r="J7" s="18">
        <f t="shared" si="0"/>
        <v>8460</v>
      </c>
      <c r="K7" s="18">
        <f>HLOOKUP(C7,Tauxtarif,3)*F7</f>
        <v>1980</v>
      </c>
      <c r="L7" s="18">
        <f>HLOOKUP(C7,Tauxtarif,4)*G7</f>
        <v>0</v>
      </c>
      <c r="M7" s="18">
        <f t="shared" si="1"/>
        <v>10440</v>
      </c>
      <c r="N7" s="18" t="str">
        <f t="shared" si="2"/>
        <v/>
      </c>
      <c r="O7" s="18" t="str">
        <f t="shared" si="3"/>
        <v/>
      </c>
      <c r="P7" s="18" t="str">
        <f t="shared" si="4"/>
        <v/>
      </c>
    </row>
    <row r="8" spans="1:16" ht="14" thickBot="1" x14ac:dyDescent="0.2">
      <c r="A8" s="16">
        <v>4</v>
      </c>
      <c r="B8" s="16" t="s">
        <v>21</v>
      </c>
      <c r="C8" s="16">
        <v>2</v>
      </c>
      <c r="D8" s="16">
        <v>1525</v>
      </c>
      <c r="E8" s="17">
        <f>VLOOKUP(D8,TarifKm,2)</f>
        <v>2</v>
      </c>
      <c r="F8" s="16">
        <v>13</v>
      </c>
      <c r="G8" s="16">
        <v>5</v>
      </c>
      <c r="H8" s="18">
        <f>HLOOKUP(C8,Tauxtarif,2)</f>
        <v>1600</v>
      </c>
      <c r="I8" s="18">
        <f>VLOOKUP(D8,TarifKm,3)*D8</f>
        <v>5337.5</v>
      </c>
      <c r="J8" s="18">
        <f t="shared" si="0"/>
        <v>6937.5</v>
      </c>
      <c r="K8" s="18">
        <f>HLOOKUP(C8,Tauxtarif,3)*F8</f>
        <v>1170</v>
      </c>
      <c r="L8" s="18">
        <f>HLOOKUP(C8,Tauxtarif,4)*G8</f>
        <v>1000</v>
      </c>
      <c r="M8" s="18">
        <f t="shared" si="1"/>
        <v>9107.5</v>
      </c>
      <c r="N8" s="18" t="str">
        <f t="shared" si="2"/>
        <v/>
      </c>
      <c r="O8" s="18" t="str">
        <f t="shared" si="3"/>
        <v/>
      </c>
      <c r="P8" s="18" t="str">
        <f t="shared" si="4"/>
        <v/>
      </c>
    </row>
    <row r="9" spans="1:16" ht="14" thickBot="1" x14ac:dyDescent="0.2">
      <c r="A9" s="16">
        <v>5</v>
      </c>
      <c r="B9" s="16" t="s">
        <v>22</v>
      </c>
      <c r="C9" s="16">
        <v>2</v>
      </c>
      <c r="D9" s="16">
        <v>3870</v>
      </c>
      <c r="E9" s="17">
        <f>VLOOKUP(D9,TarifKm,2)</f>
        <v>3</v>
      </c>
      <c r="F9" s="16">
        <v>18</v>
      </c>
      <c r="G9" s="16">
        <v>5</v>
      </c>
      <c r="H9" s="18">
        <f>HLOOKUP(C9,Tauxtarif,2)</f>
        <v>1600</v>
      </c>
      <c r="I9" s="18">
        <f>VLOOKUP(D9,TarifKm,3)*D9</f>
        <v>14706</v>
      </c>
      <c r="J9" s="18">
        <f t="shared" si="0"/>
        <v>16306</v>
      </c>
      <c r="K9" s="18">
        <f>HLOOKUP(C9,Tauxtarif,3)*F9</f>
        <v>1620</v>
      </c>
      <c r="L9" s="18">
        <f>HLOOKUP(C9,Tauxtarif,4)*G9</f>
        <v>1000</v>
      </c>
      <c r="M9" s="18">
        <f t="shared" si="1"/>
        <v>18926</v>
      </c>
      <c r="N9" s="18">
        <f t="shared" si="2"/>
        <v>16306</v>
      </c>
      <c r="O9" s="18" t="str">
        <f t="shared" si="3"/>
        <v/>
      </c>
      <c r="P9" s="18" t="str">
        <f t="shared" si="4"/>
        <v/>
      </c>
    </row>
    <row r="10" spans="1:16" ht="14" thickBot="1" x14ac:dyDescent="0.2">
      <c r="A10" s="16">
        <v>6</v>
      </c>
      <c r="B10" s="16" t="s">
        <v>23</v>
      </c>
      <c r="C10" s="16">
        <v>2</v>
      </c>
      <c r="D10" s="16">
        <v>415</v>
      </c>
      <c r="E10" s="17">
        <f>VLOOKUP(D10,TarifKm,2)</f>
        <v>1</v>
      </c>
      <c r="F10" s="16">
        <v>19</v>
      </c>
      <c r="G10" s="16">
        <v>0</v>
      </c>
      <c r="H10" s="18">
        <f>HLOOKUP(C10,Tauxtarif,2)</f>
        <v>1600</v>
      </c>
      <c r="I10" s="18">
        <f>VLOOKUP(D10,TarifKm,3)*D10</f>
        <v>1286.5</v>
      </c>
      <c r="J10" s="18">
        <f t="shared" si="0"/>
        <v>2886.5</v>
      </c>
      <c r="K10" s="18">
        <f>HLOOKUP(C10,Tauxtarif,3)*F10</f>
        <v>1710</v>
      </c>
      <c r="L10" s="18">
        <f>HLOOKUP(C10,Tauxtarif,4)*G10</f>
        <v>0</v>
      </c>
      <c r="M10" s="18">
        <f t="shared" si="1"/>
        <v>4596.5</v>
      </c>
      <c r="N10" s="18" t="str">
        <f t="shared" si="2"/>
        <v/>
      </c>
      <c r="O10" s="18" t="str">
        <f t="shared" si="3"/>
        <v/>
      </c>
      <c r="P10" s="18" t="str">
        <f t="shared" si="4"/>
        <v/>
      </c>
    </row>
    <row r="11" spans="1:16" ht="14" thickBot="1" x14ac:dyDescent="0.2">
      <c r="A11" s="16">
        <v>7</v>
      </c>
      <c r="B11" s="16" t="s">
        <v>24</v>
      </c>
      <c r="C11" s="16">
        <v>2</v>
      </c>
      <c r="D11" s="16">
        <v>1305</v>
      </c>
      <c r="E11" s="17">
        <f>VLOOKUP(D11,TarifKm,2)</f>
        <v>2</v>
      </c>
      <c r="F11" s="16">
        <v>20</v>
      </c>
      <c r="G11" s="16">
        <v>12</v>
      </c>
      <c r="H11" s="18">
        <f>HLOOKUP(C11,Tauxtarif,2)</f>
        <v>1600</v>
      </c>
      <c r="I11" s="18">
        <f>VLOOKUP(D11,TarifKm,3)*D11</f>
        <v>4567.5</v>
      </c>
      <c r="J11" s="18">
        <f t="shared" si="0"/>
        <v>6167.5</v>
      </c>
      <c r="K11" s="18">
        <f>HLOOKUP(C11,Tauxtarif,3)*F11</f>
        <v>1800</v>
      </c>
      <c r="L11" s="18">
        <f>HLOOKUP(C11,Tauxtarif,4)*G11</f>
        <v>2400</v>
      </c>
      <c r="M11" s="18">
        <f t="shared" si="1"/>
        <v>10367.5</v>
      </c>
      <c r="N11" s="18" t="str">
        <f t="shared" si="2"/>
        <v/>
      </c>
      <c r="O11" s="18" t="str">
        <f t="shared" si="3"/>
        <v/>
      </c>
      <c r="P11" s="18" t="str">
        <f t="shared" si="4"/>
        <v/>
      </c>
    </row>
    <row r="12" spans="1:16" ht="14" thickBot="1" x14ac:dyDescent="0.2">
      <c r="A12" s="16">
        <v>8</v>
      </c>
      <c r="B12" s="16" t="s">
        <v>25</v>
      </c>
      <c r="C12" s="16">
        <v>1</v>
      </c>
      <c r="D12" s="16">
        <v>3350</v>
      </c>
      <c r="E12" s="17">
        <f>VLOOKUP(D12,TarifKm,2)</f>
        <v>3</v>
      </c>
      <c r="F12" s="16">
        <v>22</v>
      </c>
      <c r="G12" s="16">
        <v>18</v>
      </c>
      <c r="H12" s="18">
        <f>HLOOKUP(C12,Tauxtarif,2)</f>
        <v>2000</v>
      </c>
      <c r="I12" s="18">
        <f>VLOOKUP(D12,TarifKm,3)*D12</f>
        <v>12730</v>
      </c>
      <c r="J12" s="18">
        <f t="shared" si="0"/>
        <v>14730</v>
      </c>
      <c r="K12" s="18">
        <f>HLOOKUP(C12,Tauxtarif,3)*F12</f>
        <v>2420</v>
      </c>
      <c r="L12" s="18">
        <f>HLOOKUP(C12,Tauxtarif,4)*G12</f>
        <v>4500</v>
      </c>
      <c r="M12" s="18">
        <f t="shared" si="1"/>
        <v>21650</v>
      </c>
      <c r="N12" s="18" t="str">
        <f t="shared" si="2"/>
        <v/>
      </c>
      <c r="O12" s="18">
        <f t="shared" si="3"/>
        <v>2420</v>
      </c>
      <c r="P12" s="18">
        <f t="shared" si="4"/>
        <v>4500</v>
      </c>
    </row>
    <row r="13" spans="1:16" ht="14" thickBot="1" x14ac:dyDescent="0.2">
      <c r="A13" s="16">
        <v>9</v>
      </c>
      <c r="B13" s="16" t="s">
        <v>26</v>
      </c>
      <c r="C13" s="16">
        <v>2</v>
      </c>
      <c r="D13" s="16">
        <v>830</v>
      </c>
      <c r="E13" s="17">
        <f>VLOOKUP(D13,TarifKm,2)</f>
        <v>1</v>
      </c>
      <c r="F13" s="16">
        <v>21</v>
      </c>
      <c r="G13" s="16">
        <v>4</v>
      </c>
      <c r="H13" s="18">
        <f>HLOOKUP(C13,Tauxtarif,2)</f>
        <v>1600</v>
      </c>
      <c r="I13" s="18">
        <f>VLOOKUP(D13,TarifKm,3)*D13</f>
        <v>2573</v>
      </c>
      <c r="J13" s="18">
        <f t="shared" si="0"/>
        <v>4173</v>
      </c>
      <c r="K13" s="18">
        <f>HLOOKUP(C13,Tauxtarif,3)*F13</f>
        <v>1890</v>
      </c>
      <c r="L13" s="18">
        <f>HLOOKUP(C13,Tauxtarif,4)*G13</f>
        <v>800</v>
      </c>
      <c r="M13" s="18">
        <f t="shared" si="1"/>
        <v>6863</v>
      </c>
      <c r="N13" s="18" t="str">
        <f t="shared" si="2"/>
        <v/>
      </c>
      <c r="O13" s="18" t="str">
        <f t="shared" si="3"/>
        <v/>
      </c>
      <c r="P13" s="18" t="str">
        <f t="shared" si="4"/>
        <v/>
      </c>
    </row>
    <row r="14" spans="1:16" x14ac:dyDescent="0.15">
      <c r="A14" s="16">
        <v>10</v>
      </c>
      <c r="B14" s="16" t="s">
        <v>27</v>
      </c>
      <c r="C14" s="16">
        <v>1</v>
      </c>
      <c r="D14" s="16">
        <v>1660</v>
      </c>
      <c r="E14" s="17">
        <f>VLOOKUP(D14,TarifKm,2)</f>
        <v>2</v>
      </c>
      <c r="F14" s="16">
        <v>14</v>
      </c>
      <c r="G14" s="16">
        <v>0</v>
      </c>
      <c r="H14" s="18">
        <f>HLOOKUP(C14,Tauxtarif,2)</f>
        <v>2000</v>
      </c>
      <c r="I14" s="18">
        <f>VLOOKUP(D14,TarifKm,3)*D14</f>
        <v>5810</v>
      </c>
      <c r="J14" s="18">
        <f t="shared" si="0"/>
        <v>7810</v>
      </c>
      <c r="K14" s="18">
        <f>HLOOKUP(C14,Tauxtarif,3)*F14</f>
        <v>1540</v>
      </c>
      <c r="L14" s="18">
        <f>HLOOKUP(C14,Tauxtarif,4)*G14</f>
        <v>0</v>
      </c>
      <c r="M14" s="18">
        <f t="shared" si="1"/>
        <v>9350</v>
      </c>
      <c r="N14" s="18" t="str">
        <f t="shared" si="2"/>
        <v/>
      </c>
      <c r="O14" s="18" t="str">
        <f t="shared" si="3"/>
        <v/>
      </c>
      <c r="P14" s="18" t="str">
        <f t="shared" si="4"/>
        <v/>
      </c>
    </row>
    <row r="15" spans="1:16" ht="14" thickBot="1" x14ac:dyDescent="0.2">
      <c r="B15" s="9" t="s">
        <v>50</v>
      </c>
      <c r="C15" s="9"/>
      <c r="D15" s="9"/>
      <c r="F15" s="9" t="s">
        <v>49</v>
      </c>
      <c r="G15" s="9"/>
      <c r="H15" s="9"/>
    </row>
    <row r="16" spans="1:16" ht="24" thickBot="1" x14ac:dyDescent="0.2">
      <c r="A16" s="3"/>
      <c r="B16" s="16" t="s">
        <v>28</v>
      </c>
      <c r="C16" s="16" t="s">
        <v>29</v>
      </c>
      <c r="D16" s="16" t="s">
        <v>30</v>
      </c>
      <c r="E16" s="4"/>
      <c r="F16" s="15" t="s">
        <v>31</v>
      </c>
      <c r="G16" s="15" t="s">
        <v>32</v>
      </c>
      <c r="H16" s="15" t="s">
        <v>33</v>
      </c>
      <c r="I16" s="6" t="s">
        <v>51</v>
      </c>
      <c r="J16" s="7"/>
      <c r="K16" s="7"/>
      <c r="L16" s="7"/>
      <c r="M16" s="7"/>
      <c r="N16" s="7"/>
      <c r="O16" s="7"/>
    </row>
    <row r="17" spans="2:16" ht="14" thickBot="1" x14ac:dyDescent="0.2">
      <c r="B17" s="16" t="s">
        <v>5</v>
      </c>
      <c r="C17" s="16">
        <v>1</v>
      </c>
      <c r="D17" s="16">
        <v>2</v>
      </c>
      <c r="E17" s="4"/>
      <c r="F17" s="16">
        <v>1</v>
      </c>
      <c r="G17" s="16">
        <v>1</v>
      </c>
      <c r="H17" s="20">
        <v>3.1</v>
      </c>
      <c r="I17" s="24" t="s">
        <v>52</v>
      </c>
      <c r="J17" s="23"/>
      <c r="K17" s="23"/>
      <c r="L17" s="23"/>
      <c r="M17" s="23"/>
      <c r="N17" s="23"/>
      <c r="O17" s="23"/>
      <c r="P17" s="23"/>
    </row>
    <row r="18" spans="2:16" ht="14" thickBot="1" x14ac:dyDescent="0.2">
      <c r="B18" s="16" t="s">
        <v>34</v>
      </c>
      <c r="C18" s="19">
        <v>2000</v>
      </c>
      <c r="D18" s="19">
        <v>1600</v>
      </c>
      <c r="E18" s="4"/>
      <c r="F18" s="16">
        <v>1001</v>
      </c>
      <c r="G18" s="16">
        <v>2</v>
      </c>
      <c r="H18" s="20">
        <v>3.5</v>
      </c>
      <c r="I18" s="24" t="s">
        <v>53</v>
      </c>
      <c r="J18" s="23"/>
      <c r="K18" s="23"/>
      <c r="L18" s="23"/>
      <c r="M18" s="23"/>
      <c r="N18" s="23"/>
      <c r="O18" s="23"/>
      <c r="P18" s="23"/>
    </row>
    <row r="19" spans="2:16" ht="14" thickBot="1" x14ac:dyDescent="0.2">
      <c r="B19" s="16" t="s">
        <v>35</v>
      </c>
      <c r="C19" s="19">
        <v>110</v>
      </c>
      <c r="D19" s="19">
        <v>90</v>
      </c>
      <c r="E19" s="4"/>
      <c r="F19" s="16">
        <v>3001</v>
      </c>
      <c r="G19" s="16">
        <v>3</v>
      </c>
      <c r="H19" s="20">
        <v>3.8</v>
      </c>
      <c r="I19" s="24" t="s">
        <v>54</v>
      </c>
      <c r="J19" s="23"/>
      <c r="K19" s="23"/>
      <c r="L19" s="23"/>
      <c r="M19" s="23"/>
      <c r="N19" s="23"/>
      <c r="O19" s="23"/>
      <c r="P19" s="23"/>
    </row>
    <row r="20" spans="2:16" x14ac:dyDescent="0.15">
      <c r="B20" s="16" t="s">
        <v>36</v>
      </c>
      <c r="C20" s="19">
        <v>250</v>
      </c>
      <c r="D20" s="19">
        <v>200</v>
      </c>
      <c r="E20" s="4"/>
      <c r="I20" s="24" t="s">
        <v>55</v>
      </c>
      <c r="J20" s="23"/>
      <c r="K20" s="23"/>
      <c r="L20" s="23"/>
      <c r="M20" s="23"/>
      <c r="N20" s="23"/>
      <c r="O20" s="23"/>
      <c r="P20" s="23"/>
    </row>
    <row r="21" spans="2:16" x14ac:dyDescent="0.15">
      <c r="I21" s="24" t="s">
        <v>56</v>
      </c>
      <c r="J21" s="23"/>
      <c r="K21" s="23"/>
      <c r="L21" s="23"/>
      <c r="M21" s="23"/>
      <c r="N21" s="23"/>
      <c r="O21" s="23"/>
      <c r="P21" s="23"/>
    </row>
    <row r="22" spans="2:16" x14ac:dyDescent="0.15">
      <c r="I22" s="24" t="s">
        <v>57</v>
      </c>
      <c r="J22" s="23"/>
      <c r="K22" s="23"/>
      <c r="L22" s="23"/>
      <c r="M22" s="23"/>
      <c r="N22" s="23"/>
      <c r="O22" s="23"/>
      <c r="P22" s="23"/>
    </row>
    <row r="23" spans="2:16" x14ac:dyDescent="0.15">
      <c r="E23" s="4"/>
      <c r="I23" s="24" t="s">
        <v>58</v>
      </c>
      <c r="J23" s="23"/>
      <c r="K23" s="23"/>
      <c r="L23" s="23"/>
      <c r="M23" s="23"/>
      <c r="N23" s="23"/>
      <c r="O23" s="23"/>
      <c r="P23" s="23"/>
    </row>
    <row r="24" spans="2:16" ht="16" thickBot="1" x14ac:dyDescent="0.2">
      <c r="B24" s="21" t="s">
        <v>3</v>
      </c>
      <c r="D24" s="5">
        <v>1</v>
      </c>
      <c r="I24" s="24" t="s">
        <v>60</v>
      </c>
      <c r="J24" s="23"/>
      <c r="K24" s="23"/>
      <c r="L24" s="23"/>
      <c r="M24" s="23"/>
      <c r="N24" s="23"/>
      <c r="O24" s="23"/>
      <c r="P24" s="23"/>
    </row>
    <row r="25" spans="2:16" ht="14" thickBot="1" x14ac:dyDescent="0.2">
      <c r="B25" s="16" t="s">
        <v>37</v>
      </c>
      <c r="D25" s="36">
        <f>VLOOKUP($D$24,Commerciaux,13)</f>
        <v>14240</v>
      </c>
      <c r="I25" s="24" t="s">
        <v>61</v>
      </c>
      <c r="J25" s="23"/>
      <c r="K25" s="23"/>
      <c r="L25" s="23"/>
      <c r="M25" s="23"/>
      <c r="N25" s="23"/>
      <c r="O25" s="23"/>
      <c r="P25" s="23"/>
    </row>
    <row r="26" spans="2:16" ht="14" thickBot="1" x14ac:dyDescent="0.2">
      <c r="B26" s="16" t="s">
        <v>38</v>
      </c>
      <c r="D26" s="37" t="str">
        <f>VLOOKUP($D$24,Commerciaux,2)</f>
        <v>Dupont alain</v>
      </c>
      <c r="I26" s="24" t="s">
        <v>62</v>
      </c>
      <c r="J26" s="23"/>
      <c r="K26" s="23"/>
      <c r="L26" s="23"/>
      <c r="M26" s="23"/>
      <c r="N26" s="23"/>
      <c r="O26" s="23"/>
      <c r="P26" s="23"/>
    </row>
    <row r="27" spans="2:16" ht="14" thickBot="1" x14ac:dyDescent="0.2">
      <c r="B27" s="16" t="s">
        <v>39</v>
      </c>
      <c r="D27" s="36">
        <f>VLOOKUP($D$24,Commerciaux,10)</f>
        <v>8790</v>
      </c>
      <c r="I27" s="24" t="s">
        <v>64</v>
      </c>
      <c r="J27" s="23"/>
      <c r="K27" s="23"/>
      <c r="L27" s="23"/>
      <c r="M27" s="23"/>
      <c r="N27" s="23"/>
      <c r="O27" s="23"/>
      <c r="P27" s="23"/>
    </row>
    <row r="28" spans="2:16" ht="14" thickBot="1" x14ac:dyDescent="0.2">
      <c r="B28" s="16" t="s">
        <v>40</v>
      </c>
      <c r="D28" s="36">
        <f>VLOOKUP($D$24,Commerciaux,11)</f>
        <v>2200</v>
      </c>
      <c r="I28" s="25"/>
      <c r="J28" s="26" t="s">
        <v>65</v>
      </c>
      <c r="K28" s="23"/>
      <c r="L28" s="23"/>
      <c r="M28" s="23"/>
      <c r="N28" s="23"/>
      <c r="O28" s="23"/>
      <c r="P28" s="23"/>
    </row>
    <row r="29" spans="2:16" x14ac:dyDescent="0.15">
      <c r="B29" s="16" t="s">
        <v>41</v>
      </c>
      <c r="D29" s="36">
        <f>VLOOKUP($D$24,Commerciaux,12)</f>
        <v>3250</v>
      </c>
      <c r="I29" s="23"/>
      <c r="J29" s="26" t="s">
        <v>80</v>
      </c>
      <c r="K29" s="23"/>
      <c r="L29" s="23"/>
      <c r="M29" s="23"/>
      <c r="N29" s="23"/>
      <c r="O29" s="23"/>
      <c r="P29" s="23"/>
    </row>
    <row r="30" spans="2:16" x14ac:dyDescent="0.15">
      <c r="I30" s="23"/>
      <c r="J30" s="26" t="s">
        <v>66</v>
      </c>
      <c r="K30" s="23"/>
      <c r="L30" s="23"/>
      <c r="M30" s="23"/>
      <c r="N30" s="23"/>
      <c r="O30" s="23"/>
      <c r="P30" s="23"/>
    </row>
    <row r="31" spans="2:16" ht="16" thickBot="1" x14ac:dyDescent="0.2">
      <c r="B31" s="21" t="s">
        <v>42</v>
      </c>
      <c r="I31" s="23"/>
      <c r="J31" s="26" t="s">
        <v>67</v>
      </c>
      <c r="K31" s="23"/>
      <c r="L31" s="23"/>
      <c r="M31" s="23"/>
      <c r="N31" s="23"/>
      <c r="O31" s="23"/>
      <c r="P31" s="23"/>
    </row>
    <row r="32" spans="2:16" ht="14" thickBot="1" x14ac:dyDescent="0.2">
      <c r="B32" s="16" t="s">
        <v>43</v>
      </c>
      <c r="D32" s="36">
        <f>SUMIF($A$5:$A$14,$D$24,$J$5:$J$14)</f>
        <v>8790</v>
      </c>
      <c r="I32" s="23"/>
      <c r="J32" s="26" t="s">
        <v>68</v>
      </c>
      <c r="K32" s="23"/>
      <c r="L32" s="23"/>
      <c r="M32" s="23"/>
      <c r="N32" s="23"/>
      <c r="O32" s="23"/>
      <c r="P32" s="23"/>
    </row>
    <row r="33" spans="1:15" ht="14" thickBot="1" x14ac:dyDescent="0.2">
      <c r="B33" s="16" t="s">
        <v>44</v>
      </c>
      <c r="D33" s="36">
        <f>SUMIF($A$5:$A$14,$D$24,$K$5:$K$14)</f>
        <v>2200</v>
      </c>
    </row>
    <row r="34" spans="1:15" ht="23" x14ac:dyDescent="0.15">
      <c r="B34" s="16" t="s">
        <v>45</v>
      </c>
      <c r="D34" s="36">
        <f>SUMIF($A$5:$A$14,$D$24,$L$5:$L$14)</f>
        <v>3250</v>
      </c>
      <c r="I34" s="6" t="s">
        <v>69</v>
      </c>
      <c r="J34" s="7"/>
      <c r="K34" s="7"/>
      <c r="L34" s="7"/>
      <c r="M34" s="7"/>
      <c r="N34" s="7"/>
      <c r="O34" s="7"/>
    </row>
    <row r="35" spans="1:15" x14ac:dyDescent="0.15">
      <c r="I35" s="25" t="s">
        <v>70</v>
      </c>
      <c r="J35" s="23"/>
      <c r="K35" s="23"/>
      <c r="L35" s="23"/>
      <c r="M35" s="23"/>
      <c r="N35" s="23"/>
      <c r="O35" s="23"/>
    </row>
    <row r="36" spans="1:15" ht="15" x14ac:dyDescent="0.15">
      <c r="B36" s="21" t="s">
        <v>46</v>
      </c>
      <c r="D36" s="36">
        <f>MAX($D$32:$D$34)</f>
        <v>8790</v>
      </c>
      <c r="I36" s="25" t="s">
        <v>71</v>
      </c>
      <c r="J36" s="23"/>
      <c r="K36" s="23"/>
      <c r="L36" s="23"/>
      <c r="M36" s="23"/>
      <c r="N36" s="23"/>
      <c r="O36" s="23"/>
    </row>
    <row r="37" spans="1:15" x14ac:dyDescent="0.15">
      <c r="I37" s="25" t="s">
        <v>72</v>
      </c>
      <c r="J37" s="23"/>
      <c r="K37" s="23"/>
      <c r="L37" s="23"/>
      <c r="M37" s="23"/>
      <c r="N37" s="23"/>
      <c r="O37" s="23"/>
    </row>
    <row r="38" spans="1:15" ht="16" thickBot="1" x14ac:dyDescent="0.2">
      <c r="B38" s="21" t="s">
        <v>47</v>
      </c>
      <c r="I38" s="25" t="s">
        <v>73</v>
      </c>
      <c r="J38" s="23"/>
      <c r="K38" s="23"/>
      <c r="L38" s="23"/>
      <c r="M38" s="23"/>
      <c r="N38" s="23"/>
      <c r="O38" s="23"/>
    </row>
    <row r="39" spans="1:15" ht="14" thickBot="1" x14ac:dyDescent="0.2">
      <c r="B39" s="16" t="s">
        <v>43</v>
      </c>
      <c r="D39" s="36">
        <f>MAX($J$5:$J$14)</f>
        <v>16306</v>
      </c>
      <c r="I39" s="25" t="s">
        <v>74</v>
      </c>
      <c r="J39" s="23"/>
      <c r="K39" s="23"/>
      <c r="L39" s="23"/>
      <c r="M39" s="23"/>
      <c r="N39" s="23"/>
      <c r="O39" s="23"/>
    </row>
    <row r="40" spans="1:15" ht="14" thickBot="1" x14ac:dyDescent="0.2">
      <c r="B40" s="16" t="s">
        <v>48</v>
      </c>
      <c r="D40" s="36">
        <f>MAX($K$5:$K$14)</f>
        <v>2420</v>
      </c>
      <c r="I40" s="25" t="s">
        <v>75</v>
      </c>
      <c r="J40" s="23"/>
      <c r="K40" s="23"/>
      <c r="L40" s="23"/>
      <c r="M40" s="23"/>
      <c r="N40" s="23"/>
      <c r="O40" s="23"/>
    </row>
    <row r="41" spans="1:15" x14ac:dyDescent="0.15">
      <c r="B41" s="16" t="s">
        <v>45</v>
      </c>
      <c r="D41" s="36">
        <f>MAX($L$5:$L$14)</f>
        <v>4500</v>
      </c>
      <c r="I41" s="25" t="s">
        <v>76</v>
      </c>
      <c r="J41" s="23"/>
      <c r="K41" s="23"/>
      <c r="L41" s="23"/>
      <c r="M41" s="23"/>
      <c r="N41" s="23"/>
      <c r="O41" s="23"/>
    </row>
    <row r="44" spans="1:15" x14ac:dyDescent="0.15">
      <c r="A44" s="25" t="s">
        <v>78</v>
      </c>
      <c r="B44" s="23"/>
      <c r="C44" s="23"/>
      <c r="D44" s="23"/>
      <c r="E44" s="23"/>
      <c r="F44" s="23"/>
      <c r="G44" s="23"/>
      <c r="H44" s="23"/>
    </row>
    <row r="45" spans="1:15" x14ac:dyDescent="0.15">
      <c r="A45" s="25" t="s">
        <v>77</v>
      </c>
      <c r="B45" s="23"/>
      <c r="C45" s="23"/>
      <c r="D45" s="23"/>
      <c r="E45" s="23"/>
      <c r="F45" s="23"/>
      <c r="G45" s="23"/>
      <c r="H45" s="23"/>
    </row>
    <row r="46" spans="1:15" x14ac:dyDescent="0.15">
      <c r="A46" s="25" t="s">
        <v>79</v>
      </c>
      <c r="B46" s="23"/>
      <c r="C46" s="23"/>
      <c r="D46" s="23"/>
      <c r="E46" s="23"/>
      <c r="F46" s="23"/>
      <c r="G46" s="23"/>
      <c r="H46" s="23"/>
    </row>
    <row r="49" spans="2:5" ht="24" thickBot="1" x14ac:dyDescent="0.2">
      <c r="B49" s="6" t="s">
        <v>97</v>
      </c>
      <c r="C49" s="7"/>
      <c r="D49" s="7"/>
      <c r="E49" s="7"/>
    </row>
    <row r="50" spans="2:5" ht="42" x14ac:dyDescent="0.15">
      <c r="B50" s="27" t="s">
        <v>90</v>
      </c>
      <c r="C50" s="28" t="s">
        <v>91</v>
      </c>
      <c r="D50" s="29" t="s">
        <v>92</v>
      </c>
      <c r="E50" s="30" t="s">
        <v>93</v>
      </c>
    </row>
    <row r="51" spans="2:5" ht="14" thickBot="1" x14ac:dyDescent="0.2">
      <c r="B51" s="31">
        <f>COUNT(A5:A14)</f>
        <v>10</v>
      </c>
      <c r="C51" s="32">
        <f>MAX($J$5:$J$14)</f>
        <v>16306</v>
      </c>
      <c r="D51" s="32">
        <f>MAX($K$5:$K$14)</f>
        <v>2420</v>
      </c>
      <c r="E51" s="33">
        <f>MAX($L$5:$L$14)</f>
        <v>4500</v>
      </c>
    </row>
  </sheetData>
  <mergeCells count="7">
    <mergeCell ref="B49:E49"/>
    <mergeCell ref="I34:O34"/>
    <mergeCell ref="A1:P1"/>
    <mergeCell ref="I16:O16"/>
    <mergeCell ref="A3:P3"/>
    <mergeCell ref="B15:D15"/>
    <mergeCell ref="F15:H15"/>
  </mergeCells>
  <pageMargins left="0.25" right="0.25" top="0.75" bottom="0.75" header="0.3" footer="0.3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F24C-EF94-E045-A82E-719F60E8448B}">
  <dimension ref="A1:E37"/>
  <sheetViews>
    <sheetView zoomScale="88" zoomScaleNormal="88" workbookViewId="0">
      <selection activeCell="B36" sqref="B36"/>
    </sheetView>
  </sheetViews>
  <sheetFormatPr baseColWidth="10" defaultRowHeight="13" x14ac:dyDescent="0.15"/>
  <cols>
    <col min="1" max="1" width="20.5" bestFit="1" customWidth="1"/>
    <col min="2" max="2" width="44.83203125" bestFit="1" customWidth="1"/>
    <col min="3" max="3" width="43.6640625" bestFit="1" customWidth="1"/>
    <col min="4" max="4" width="46" customWidth="1"/>
    <col min="5" max="5" width="51.5" customWidth="1"/>
    <col min="6" max="6" width="29.33203125" bestFit="1" customWidth="1"/>
    <col min="7" max="7" width="28.6640625" bestFit="1" customWidth="1"/>
    <col min="8" max="8" width="29.33203125" bestFit="1" customWidth="1"/>
    <col min="9" max="9" width="28.6640625" bestFit="1" customWidth="1"/>
    <col min="10" max="10" width="29.33203125" bestFit="1" customWidth="1"/>
    <col min="11" max="11" width="28.6640625" bestFit="1" customWidth="1"/>
    <col min="12" max="12" width="29.33203125" bestFit="1" customWidth="1"/>
    <col min="13" max="13" width="28.6640625" bestFit="1" customWidth="1"/>
    <col min="14" max="14" width="29.33203125" bestFit="1" customWidth="1"/>
    <col min="15" max="15" width="28.6640625" bestFit="1" customWidth="1"/>
    <col min="16" max="16" width="29.33203125" bestFit="1" customWidth="1"/>
    <col min="17" max="17" width="28.6640625" bestFit="1" customWidth="1"/>
    <col min="18" max="18" width="29.33203125" bestFit="1" customWidth="1"/>
    <col min="19" max="19" width="28.6640625" bestFit="1" customWidth="1"/>
    <col min="20" max="20" width="29.33203125" bestFit="1" customWidth="1"/>
    <col min="21" max="21" width="28.6640625" bestFit="1" customWidth="1"/>
    <col min="22" max="22" width="35" bestFit="1" customWidth="1"/>
    <col min="23" max="23" width="34.33203125" bestFit="1" customWidth="1"/>
    <col min="24" max="25" width="15.33203125" bestFit="1" customWidth="1"/>
    <col min="26" max="26" width="11" bestFit="1" customWidth="1"/>
    <col min="27" max="27" width="15.33203125" bestFit="1" customWidth="1"/>
    <col min="28" max="28" width="16.5" bestFit="1" customWidth="1"/>
    <col min="29" max="29" width="11" bestFit="1" customWidth="1"/>
    <col min="30" max="30" width="15.33203125" bestFit="1" customWidth="1"/>
    <col min="31" max="31" width="16.5" bestFit="1" customWidth="1"/>
    <col min="32" max="32" width="12.6640625" bestFit="1" customWidth="1"/>
  </cols>
  <sheetData>
    <row r="1" spans="1:5" ht="18" x14ac:dyDescent="0.2">
      <c r="A1" s="10" t="s">
        <v>81</v>
      </c>
      <c r="B1" s="11" t="s">
        <v>83</v>
      </c>
      <c r="C1" s="11" t="s">
        <v>85</v>
      </c>
      <c r="D1" s="11" t="s">
        <v>84</v>
      </c>
    </row>
    <row r="2" spans="1:5" x14ac:dyDescent="0.15">
      <c r="A2" s="38" t="s">
        <v>20</v>
      </c>
      <c r="B2" s="39">
        <v>8460</v>
      </c>
      <c r="C2" s="39">
        <v>1980</v>
      </c>
      <c r="D2" s="39">
        <v>0</v>
      </c>
    </row>
    <row r="3" spans="1:5" x14ac:dyDescent="0.15">
      <c r="A3" s="38" t="s">
        <v>21</v>
      </c>
      <c r="B3" s="39">
        <v>6937.5</v>
      </c>
      <c r="C3" s="39">
        <v>1170</v>
      </c>
      <c r="D3" s="39">
        <v>1000</v>
      </c>
    </row>
    <row r="4" spans="1:5" x14ac:dyDescent="0.15">
      <c r="A4" s="38" t="s">
        <v>22</v>
      </c>
      <c r="B4" s="39">
        <v>16306</v>
      </c>
      <c r="C4" s="39">
        <v>1620</v>
      </c>
      <c r="D4" s="39">
        <v>1000</v>
      </c>
    </row>
    <row r="5" spans="1:5" x14ac:dyDescent="0.15">
      <c r="A5" s="38" t="s">
        <v>18</v>
      </c>
      <c r="B5" s="39">
        <v>8790</v>
      </c>
      <c r="C5" s="39">
        <v>2200</v>
      </c>
      <c r="D5" s="39">
        <v>3250</v>
      </c>
    </row>
    <row r="6" spans="1:5" x14ac:dyDescent="0.15">
      <c r="A6" s="38" t="s">
        <v>19</v>
      </c>
      <c r="B6" s="39">
        <v>5955</v>
      </c>
      <c r="C6" s="39">
        <v>1870</v>
      </c>
      <c r="D6" s="39">
        <v>3500</v>
      </c>
    </row>
    <row r="7" spans="1:5" x14ac:dyDescent="0.15">
      <c r="A7" s="38" t="s">
        <v>23</v>
      </c>
      <c r="B7" s="39">
        <v>2886.5</v>
      </c>
      <c r="C7" s="39">
        <v>1710</v>
      </c>
      <c r="D7" s="39">
        <v>0</v>
      </c>
    </row>
    <row r="8" spans="1:5" x14ac:dyDescent="0.15">
      <c r="A8" s="38" t="s">
        <v>24</v>
      </c>
      <c r="B8" s="39">
        <v>6167.5</v>
      </c>
      <c r="C8" s="39">
        <v>1800</v>
      </c>
      <c r="D8" s="39">
        <v>2400</v>
      </c>
    </row>
    <row r="9" spans="1:5" x14ac:dyDescent="0.15">
      <c r="A9" s="38" t="s">
        <v>25</v>
      </c>
      <c r="B9" s="39">
        <v>14730</v>
      </c>
      <c r="C9" s="39">
        <v>2420</v>
      </c>
      <c r="D9" s="39">
        <v>4500</v>
      </c>
    </row>
    <row r="10" spans="1:5" x14ac:dyDescent="0.15">
      <c r="A10" s="38" t="s">
        <v>26</v>
      </c>
      <c r="B10" s="39">
        <v>4173</v>
      </c>
      <c r="C10" s="39">
        <v>1890</v>
      </c>
      <c r="D10" s="39">
        <v>800</v>
      </c>
    </row>
    <row r="11" spans="1:5" x14ac:dyDescent="0.15">
      <c r="A11" s="38" t="s">
        <v>27</v>
      </c>
      <c r="B11" s="39">
        <v>7810</v>
      </c>
      <c r="C11" s="39">
        <v>1540</v>
      </c>
      <c r="D11" s="39">
        <v>0</v>
      </c>
    </row>
    <row r="12" spans="1:5" ht="16" x14ac:dyDescent="0.2">
      <c r="A12" s="12" t="s">
        <v>82</v>
      </c>
      <c r="B12" s="13">
        <v>82215.5</v>
      </c>
      <c r="C12" s="13">
        <v>18200</v>
      </c>
      <c r="D12" s="13">
        <v>16450</v>
      </c>
    </row>
    <row r="15" spans="1:5" ht="18" x14ac:dyDescent="0.2">
      <c r="A15" s="11" t="s">
        <v>81</v>
      </c>
      <c r="B15" s="11" t="s">
        <v>87</v>
      </c>
      <c r="C15" s="11" t="s">
        <v>88</v>
      </c>
      <c r="D15" s="11" t="s">
        <v>89</v>
      </c>
      <c r="E15" s="11" t="s">
        <v>86</v>
      </c>
    </row>
    <row r="16" spans="1:5" x14ac:dyDescent="0.15">
      <c r="A16" s="38" t="s">
        <v>20</v>
      </c>
      <c r="B16" s="39">
        <v>1960</v>
      </c>
      <c r="C16" s="39">
        <v>22</v>
      </c>
      <c r="D16" s="39">
        <v>0</v>
      </c>
      <c r="E16" s="39">
        <v>10440</v>
      </c>
    </row>
    <row r="17" spans="1:5" x14ac:dyDescent="0.15">
      <c r="A17" s="38" t="s">
        <v>21</v>
      </c>
      <c r="B17" s="39">
        <v>1525</v>
      </c>
      <c r="C17" s="39">
        <v>13</v>
      </c>
      <c r="D17" s="39">
        <v>5</v>
      </c>
      <c r="E17" s="39">
        <v>9107.5</v>
      </c>
    </row>
    <row r="18" spans="1:5" x14ac:dyDescent="0.15">
      <c r="A18" s="38" t="s">
        <v>22</v>
      </c>
      <c r="B18" s="39">
        <v>3870</v>
      </c>
      <c r="C18" s="39">
        <v>18</v>
      </c>
      <c r="D18" s="39">
        <v>5</v>
      </c>
      <c r="E18" s="39">
        <v>18926</v>
      </c>
    </row>
    <row r="19" spans="1:5" x14ac:dyDescent="0.15">
      <c r="A19" s="38" t="s">
        <v>18</v>
      </c>
      <c r="B19" s="39">
        <v>1940</v>
      </c>
      <c r="C19" s="39">
        <v>20</v>
      </c>
      <c r="D19" s="39">
        <v>13</v>
      </c>
      <c r="E19" s="39">
        <v>14240</v>
      </c>
    </row>
    <row r="20" spans="1:5" x14ac:dyDescent="0.15">
      <c r="A20" s="38" t="s">
        <v>19</v>
      </c>
      <c r="B20" s="39">
        <v>1130</v>
      </c>
      <c r="C20" s="39">
        <v>17</v>
      </c>
      <c r="D20" s="39">
        <v>14</v>
      </c>
      <c r="E20" s="39">
        <v>11325</v>
      </c>
    </row>
    <row r="21" spans="1:5" x14ac:dyDescent="0.15">
      <c r="A21" s="38" t="s">
        <v>23</v>
      </c>
      <c r="B21" s="39">
        <v>415</v>
      </c>
      <c r="C21" s="39">
        <v>19</v>
      </c>
      <c r="D21" s="39">
        <v>0</v>
      </c>
      <c r="E21" s="39">
        <v>4596.5</v>
      </c>
    </row>
    <row r="22" spans="1:5" x14ac:dyDescent="0.15">
      <c r="A22" s="38" t="s">
        <v>24</v>
      </c>
      <c r="B22" s="39">
        <v>1305</v>
      </c>
      <c r="C22" s="39">
        <v>20</v>
      </c>
      <c r="D22" s="39">
        <v>12</v>
      </c>
      <c r="E22" s="39">
        <v>10367.5</v>
      </c>
    </row>
    <row r="23" spans="1:5" x14ac:dyDescent="0.15">
      <c r="A23" s="38" t="s">
        <v>25</v>
      </c>
      <c r="B23" s="39">
        <v>3350</v>
      </c>
      <c r="C23" s="39">
        <v>22</v>
      </c>
      <c r="D23" s="39">
        <v>18</v>
      </c>
      <c r="E23" s="39">
        <v>21650</v>
      </c>
    </row>
    <row r="24" spans="1:5" x14ac:dyDescent="0.15">
      <c r="A24" s="38" t="s">
        <v>26</v>
      </c>
      <c r="B24" s="39">
        <v>830</v>
      </c>
      <c r="C24" s="39">
        <v>21</v>
      </c>
      <c r="D24" s="39">
        <v>4</v>
      </c>
      <c r="E24" s="39">
        <v>6863</v>
      </c>
    </row>
    <row r="25" spans="1:5" x14ac:dyDescent="0.15">
      <c r="A25" s="38" t="s">
        <v>27</v>
      </c>
      <c r="B25" s="39">
        <v>1660</v>
      </c>
      <c r="C25" s="39">
        <v>14</v>
      </c>
      <c r="D25" s="39">
        <v>0</v>
      </c>
      <c r="E25" s="39">
        <v>9350</v>
      </c>
    </row>
    <row r="26" spans="1:5" ht="18" x14ac:dyDescent="0.2">
      <c r="A26" s="14" t="s">
        <v>82</v>
      </c>
      <c r="B26" s="13">
        <v>17985</v>
      </c>
      <c r="C26" s="13">
        <v>186</v>
      </c>
      <c r="D26" s="13">
        <v>71</v>
      </c>
      <c r="E26" s="13">
        <v>116865.5</v>
      </c>
    </row>
    <row r="34" spans="1:4" ht="18" x14ac:dyDescent="0.2">
      <c r="A34" s="22" t="s">
        <v>81</v>
      </c>
      <c r="B34" s="22" t="s">
        <v>94</v>
      </c>
      <c r="C34" s="41" t="s">
        <v>95</v>
      </c>
      <c r="D34" s="41" t="s">
        <v>96</v>
      </c>
    </row>
    <row r="35" spans="1:4" x14ac:dyDescent="0.15">
      <c r="A35" s="42">
        <v>10</v>
      </c>
      <c r="B35" s="43">
        <v>2420</v>
      </c>
      <c r="C35" s="44">
        <v>4500</v>
      </c>
      <c r="D35" s="45">
        <v>16306</v>
      </c>
    </row>
    <row r="36" spans="1:4" ht="18" x14ac:dyDescent="0.2">
      <c r="A36" s="40" t="s">
        <v>82</v>
      </c>
      <c r="B36" s="46">
        <v>2420</v>
      </c>
      <c r="C36" s="47">
        <v>4500</v>
      </c>
      <c r="D36" s="48">
        <v>16306</v>
      </c>
    </row>
    <row r="37" spans="1:4" ht="18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267004A6361B4A92F3F35F959640F3" ma:contentTypeVersion="6" ma:contentTypeDescription="Crée un document." ma:contentTypeScope="" ma:versionID="68be2b542269d17a00a7cd23d647a6d9">
  <xsd:schema xmlns:xsd="http://www.w3.org/2001/XMLSchema" xmlns:xs="http://www.w3.org/2001/XMLSchema" xmlns:p="http://schemas.microsoft.com/office/2006/metadata/properties" xmlns:ns2="8309ef93-c169-4117-8fd8-06fba11917af" targetNamespace="http://schemas.microsoft.com/office/2006/metadata/properties" ma:root="true" ma:fieldsID="33a481d1e21e93cd8bee6a2d76c1d063" ns2:_="">
    <xsd:import namespace="8309ef93-c169-4117-8fd8-06fba11917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09ef93-c169-4117-8fd8-06fba11917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7DE016-58D1-4390-8E25-9A37DD1FE1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6055C5-C53C-446A-A0A9-5765216F39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4D1986-73E2-4093-B04C-395E8778D6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09ef93-c169-4117-8fd8-06fba11917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Frais commerciaux</vt:lpstr>
      <vt:lpstr>TDC</vt:lpstr>
      <vt:lpstr>Commerciaux</vt:lpstr>
      <vt:lpstr>Tableau3</vt:lpstr>
      <vt:lpstr>Tableau4</vt:lpstr>
      <vt:lpstr>TarifKm</vt:lpstr>
      <vt:lpstr>Tauxtarif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</dc:creator>
  <cp:lastModifiedBy>Microsoft Office User</cp:lastModifiedBy>
  <cp:lastPrinted>2021-10-16T15:19:21Z</cp:lastPrinted>
  <dcterms:created xsi:type="dcterms:W3CDTF">2021-10-16T14:04:01Z</dcterms:created>
  <dcterms:modified xsi:type="dcterms:W3CDTF">2021-10-19T06:50:12Z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0x01010079267004A6361B4A92F3F35F959640F3</vt:lpwstr>
  </property>
</Properties>
</file>