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qaddaha/Documents/Cours-Hexagone/Bureautique/"/>
    </mc:Choice>
  </mc:AlternateContent>
  <xr:revisionPtr revIDLastSave="0" documentId="13_ncr:1_{ED9C5E67-E023-524F-BDFA-0CCAAA3F75D0}" xr6:coauthVersionLast="47" xr6:coauthVersionMax="47" xr10:uidLastSave="{00000000-0000-0000-0000-000000000000}"/>
  <bookViews>
    <workbookView xWindow="200" yWindow="600" windowWidth="28040" windowHeight="16180" xr2:uid="{9CFDE344-F506-3D42-B910-6118BC4AFA43}"/>
  </bookViews>
  <sheets>
    <sheet name="Feuil1" sheetId="1" r:id="rId1"/>
    <sheet name="Feuil2" sheetId="2" r:id="rId2"/>
    <sheet name="Feuil3" sheetId="3" r:id="rId3"/>
    <sheet name="Feuil5" sheetId="5" r:id="rId4"/>
  </sheets>
  <definedNames>
    <definedName name="Activité">Feuil3!$A$15:$C$19</definedName>
    <definedName name="Auteur">Feuil2!$D$19:$E$23</definedName>
    <definedName name="Base">Feuil3!$A$2:$N$12</definedName>
    <definedName name="ComAut">Feuil2!$A$27:$F$31</definedName>
    <definedName name="Editeur">Feuil2!$G$19:$H$21</definedName>
    <definedName name="Exemple">Feuil5!$M$4:$Q$6</definedName>
    <definedName name="Pension">Feuil3!$A$22:$C$24</definedName>
    <definedName name="RemAct">Feuil3!$F$16:$K$18</definedName>
    <definedName name="TAUXPENSION">Feuil3!$M$16:$N$18</definedName>
    <definedName name="TTVA">Feuil2!$H$22</definedName>
    <definedName name="Type">Feuil2!$A$19:$B$23</definedName>
  </definedNames>
  <calcPr calcId="191029"/>
  <pivotCaches>
    <pivotCache cacheId="8" r:id="rId5"/>
    <pivotCache cacheId="2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2" l="1"/>
  <c r="I51" i="3"/>
  <c r="I47" i="3"/>
  <c r="I44" i="3"/>
  <c r="I43" i="3"/>
  <c r="L3" i="3" l="1"/>
  <c r="F37" i="3" l="1"/>
  <c r="L4" i="3"/>
  <c r="F36" i="3" s="1"/>
  <c r="L5" i="3"/>
  <c r="F35" i="3" s="1"/>
  <c r="L6" i="3"/>
  <c r="F30" i="3" s="1"/>
  <c r="L7" i="3"/>
  <c r="F32" i="3" s="1"/>
  <c r="L8" i="3"/>
  <c r="F31" i="3" s="1"/>
  <c r="L9" i="3"/>
  <c r="L10" i="3"/>
  <c r="F33" i="3" s="1"/>
  <c r="L11" i="3"/>
  <c r="F29" i="3" s="1"/>
  <c r="L12" i="3"/>
  <c r="F28" i="3" s="1"/>
  <c r="F34" i="3" l="1"/>
  <c r="F38" i="3" s="1"/>
  <c r="I53" i="3"/>
  <c r="C53" i="3"/>
  <c r="C31" i="1"/>
  <c r="C30" i="1"/>
  <c r="C29" i="1"/>
  <c r="K9" i="3"/>
  <c r="I52" i="3" s="1"/>
  <c r="K4" i="3"/>
  <c r="K5" i="3"/>
  <c r="K6" i="3"/>
  <c r="K7" i="3"/>
  <c r="K8" i="3"/>
  <c r="K10" i="3"/>
  <c r="K11" i="3"/>
  <c r="K12" i="3"/>
  <c r="K3" i="3"/>
  <c r="E4" i="3"/>
  <c r="E5" i="3"/>
  <c r="G5" i="3" s="1"/>
  <c r="E6" i="3"/>
  <c r="G6" i="3" s="1"/>
  <c r="E7" i="3"/>
  <c r="G7" i="3" s="1"/>
  <c r="E8" i="3"/>
  <c r="G8" i="3" s="1"/>
  <c r="E9" i="3"/>
  <c r="E10" i="3"/>
  <c r="G10" i="3" s="1"/>
  <c r="E11" i="3"/>
  <c r="G11" i="3" s="1"/>
  <c r="E12" i="3"/>
  <c r="E3" i="3"/>
  <c r="G3" i="3" s="1"/>
  <c r="M3" i="3" s="1"/>
  <c r="C37" i="3" s="1"/>
  <c r="D4" i="3"/>
  <c r="D5" i="3"/>
  <c r="D6" i="3"/>
  <c r="D7" i="3"/>
  <c r="D8" i="3"/>
  <c r="D9" i="3"/>
  <c r="I45" i="3" s="1"/>
  <c r="D10" i="3"/>
  <c r="D11" i="3"/>
  <c r="D12" i="3"/>
  <c r="D3" i="3"/>
  <c r="L28" i="2"/>
  <c r="M28" i="2"/>
  <c r="N28" i="2"/>
  <c r="O28" i="2"/>
  <c r="K28" i="2"/>
  <c r="L25" i="2"/>
  <c r="M25" i="2"/>
  <c r="N25" i="2"/>
  <c r="O25" i="2"/>
  <c r="K25" i="2"/>
  <c r="L21" i="2"/>
  <c r="M21" i="2"/>
  <c r="N21" i="2"/>
  <c r="O21" i="2"/>
  <c r="K21" i="2"/>
  <c r="M32" i="2"/>
  <c r="M31" i="2"/>
  <c r="N20" i="2"/>
  <c r="O20" i="2"/>
  <c r="N19" i="2"/>
  <c r="O19" i="2"/>
  <c r="I3" i="2"/>
  <c r="J16" i="2"/>
  <c r="J15" i="2"/>
  <c r="J14" i="2"/>
  <c r="J13" i="2"/>
  <c r="M3" i="2"/>
  <c r="M4" i="2"/>
  <c r="N4" i="2" s="1"/>
  <c r="M5" i="2"/>
  <c r="N5" i="2" s="1"/>
  <c r="M6" i="2"/>
  <c r="L23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L3" i="2"/>
  <c r="L4" i="2"/>
  <c r="L5" i="2"/>
  <c r="L6" i="2"/>
  <c r="L7" i="2"/>
  <c r="L8" i="2"/>
  <c r="L9" i="2"/>
  <c r="L10" i="2"/>
  <c r="L11" i="2"/>
  <c r="L12" i="2"/>
  <c r="K4" i="2"/>
  <c r="K5" i="2"/>
  <c r="K6" i="2"/>
  <c r="K7" i="2"/>
  <c r="K8" i="2"/>
  <c r="K9" i="2"/>
  <c r="K10" i="2"/>
  <c r="K11" i="2"/>
  <c r="K12" i="2"/>
  <c r="K3" i="2"/>
  <c r="I4" i="2"/>
  <c r="I5" i="2"/>
  <c r="I6" i="2"/>
  <c r="I7" i="2"/>
  <c r="I8" i="2"/>
  <c r="I9" i="2"/>
  <c r="I10" i="2"/>
  <c r="M30" i="2" s="1"/>
  <c r="I11" i="2"/>
  <c r="I12" i="2"/>
  <c r="G4" i="2"/>
  <c r="G5" i="2"/>
  <c r="G6" i="2"/>
  <c r="G7" i="2"/>
  <c r="G8" i="2"/>
  <c r="G9" i="2"/>
  <c r="G10" i="2"/>
  <c r="G11" i="2"/>
  <c r="G12" i="2"/>
  <c r="G3" i="2"/>
  <c r="E4" i="2"/>
  <c r="E5" i="2"/>
  <c r="E6" i="2"/>
  <c r="E7" i="2"/>
  <c r="E8" i="2"/>
  <c r="E9" i="2"/>
  <c r="E10" i="2"/>
  <c r="E11" i="2"/>
  <c r="E12" i="2"/>
  <c r="E3" i="2"/>
  <c r="D31" i="1"/>
  <c r="E31" i="1"/>
  <c r="F31" i="1"/>
  <c r="G31" i="1"/>
  <c r="H31" i="1"/>
  <c r="D30" i="1"/>
  <c r="E30" i="1"/>
  <c r="F30" i="1"/>
  <c r="G30" i="1"/>
  <c r="H30" i="1"/>
  <c r="D29" i="1"/>
  <c r="E29" i="1"/>
  <c r="F29" i="1"/>
  <c r="G29" i="1"/>
  <c r="H29" i="1"/>
  <c r="C26" i="1"/>
  <c r="D26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3" i="1"/>
  <c r="T33" i="1"/>
  <c r="E22" i="1"/>
  <c r="E21" i="1"/>
  <c r="E20" i="1"/>
  <c r="R11" i="1" s="1"/>
  <c r="G22" i="1"/>
  <c r="I22" i="1"/>
  <c r="G21" i="1"/>
  <c r="I21" i="1"/>
  <c r="G20" i="1"/>
  <c r="I20" i="1"/>
  <c r="G19" i="1"/>
  <c r="I19" i="1"/>
  <c r="D19" i="1"/>
  <c r="D20" i="1"/>
  <c r="D22" i="1"/>
  <c r="D21" i="1"/>
  <c r="P13" i="1"/>
  <c r="N13" i="1"/>
  <c r="O13" i="1" s="1"/>
  <c r="N14" i="1"/>
  <c r="P14" i="1" s="1"/>
  <c r="Q14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P9" i="1" s="1"/>
  <c r="Q9" i="1" s="1"/>
  <c r="M10" i="1"/>
  <c r="N10" i="1" s="1"/>
  <c r="M11" i="1"/>
  <c r="N11" i="1" s="1"/>
  <c r="M12" i="1"/>
  <c r="N12" i="1" s="1"/>
  <c r="M13" i="1"/>
  <c r="M14" i="1"/>
  <c r="M15" i="1"/>
  <c r="N15" i="1" s="1"/>
  <c r="O15" i="1" s="1"/>
  <c r="M16" i="1"/>
  <c r="N16" i="1" s="1"/>
  <c r="M17" i="1"/>
  <c r="N17" i="1" s="1"/>
  <c r="P17" i="1" s="1"/>
  <c r="Q17" i="1" s="1"/>
  <c r="M3" i="1"/>
  <c r="N3" i="1" s="1"/>
  <c r="N22" i="1" s="1"/>
  <c r="K3" i="1"/>
  <c r="K22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L22" i="1" s="1"/>
  <c r="K4" i="1"/>
  <c r="K5" i="1"/>
  <c r="K6" i="1"/>
  <c r="K7" i="1"/>
  <c r="K8" i="1"/>
  <c r="K9" i="1"/>
  <c r="K19" i="1" s="1"/>
  <c r="K10" i="1"/>
  <c r="K11" i="1"/>
  <c r="K12" i="1"/>
  <c r="K13" i="1"/>
  <c r="K14" i="1"/>
  <c r="K15" i="1"/>
  <c r="K16" i="1"/>
  <c r="K1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J22" i="1" s="1"/>
  <c r="N23" i="2" l="1"/>
  <c r="M19" i="2"/>
  <c r="O8" i="2"/>
  <c r="N6" i="2"/>
  <c r="L19" i="2" s="1"/>
  <c r="O23" i="2"/>
  <c r="M23" i="2"/>
  <c r="K23" i="2"/>
  <c r="O12" i="2"/>
  <c r="O24" i="2" s="1"/>
  <c r="G9" i="3"/>
  <c r="I48" i="3" s="1"/>
  <c r="I46" i="3"/>
  <c r="C44" i="3" a="1"/>
  <c r="C44" i="3" s="1"/>
  <c r="C49" i="3" s="1"/>
  <c r="H3" i="3"/>
  <c r="I3" i="3" s="1"/>
  <c r="G4" i="3"/>
  <c r="M4" i="3" s="1"/>
  <c r="C36" i="3" s="1"/>
  <c r="M7" i="3"/>
  <c r="C32" i="3" s="1"/>
  <c r="M8" i="3"/>
  <c r="C31" i="3" s="1"/>
  <c r="G12" i="3"/>
  <c r="M12" i="3" s="1"/>
  <c r="C28" i="3" s="1"/>
  <c r="M6" i="3"/>
  <c r="C30" i="3" s="1"/>
  <c r="M5" i="3"/>
  <c r="C35" i="3" s="1"/>
  <c r="H11" i="3"/>
  <c r="I11" i="3" s="1"/>
  <c r="N11" i="3" s="1"/>
  <c r="H10" i="3"/>
  <c r="I10" i="3" s="1"/>
  <c r="N10" i="3" s="1"/>
  <c r="H9" i="3"/>
  <c r="M11" i="3"/>
  <c r="C29" i="3" s="1"/>
  <c r="M10" i="3"/>
  <c r="C33" i="3" s="1"/>
  <c r="M9" i="3"/>
  <c r="H8" i="3"/>
  <c r="I8" i="3" s="1"/>
  <c r="N8" i="3" s="1"/>
  <c r="H7" i="3"/>
  <c r="I7" i="3" s="1"/>
  <c r="N7" i="3" s="1"/>
  <c r="H6" i="3"/>
  <c r="I6" i="3" s="1"/>
  <c r="N6" i="3" s="1"/>
  <c r="H5" i="3"/>
  <c r="I5" i="3" s="1"/>
  <c r="N5" i="3" s="1"/>
  <c r="H4" i="3"/>
  <c r="I4" i="3" s="1"/>
  <c r="N4" i="3" s="1"/>
  <c r="K14" i="2"/>
  <c r="O5" i="2"/>
  <c r="M13" i="2"/>
  <c r="O11" i="2"/>
  <c r="L13" i="2"/>
  <c r="O10" i="2"/>
  <c r="L14" i="2"/>
  <c r="O9" i="2"/>
  <c r="O7" i="2"/>
  <c r="L27" i="2" s="1"/>
  <c r="O4" i="2"/>
  <c r="K13" i="2"/>
  <c r="M15" i="2"/>
  <c r="K16" i="2"/>
  <c r="L16" i="2"/>
  <c r="L15" i="2"/>
  <c r="M14" i="2"/>
  <c r="K15" i="2"/>
  <c r="M16" i="2"/>
  <c r="N3" i="2"/>
  <c r="K19" i="2" s="1"/>
  <c r="M20" i="1"/>
  <c r="L19" i="1"/>
  <c r="L20" i="1"/>
  <c r="L21" i="1"/>
  <c r="R3" i="1"/>
  <c r="R10" i="1"/>
  <c r="K20" i="1"/>
  <c r="K21" i="1"/>
  <c r="R17" i="1"/>
  <c r="R9" i="1"/>
  <c r="M19" i="1"/>
  <c r="J19" i="1"/>
  <c r="J20" i="1"/>
  <c r="J21" i="1"/>
  <c r="R16" i="1"/>
  <c r="R8" i="1"/>
  <c r="R15" i="1"/>
  <c r="R7" i="1"/>
  <c r="R14" i="1"/>
  <c r="R6" i="1"/>
  <c r="R13" i="1"/>
  <c r="R5" i="1"/>
  <c r="O14" i="1"/>
  <c r="M21" i="1"/>
  <c r="M22" i="1"/>
  <c r="N19" i="1"/>
  <c r="N20" i="1"/>
  <c r="N21" i="1"/>
  <c r="R12" i="1"/>
  <c r="R4" i="1"/>
  <c r="O7" i="1"/>
  <c r="P7" i="1"/>
  <c r="Q7" i="1" s="1"/>
  <c r="O6" i="1"/>
  <c r="P6" i="1"/>
  <c r="O5" i="1"/>
  <c r="P5" i="1"/>
  <c r="Q5" i="1" s="1"/>
  <c r="P15" i="1"/>
  <c r="Q15" i="1" s="1"/>
  <c r="Q13" i="1"/>
  <c r="O3" i="1"/>
  <c r="P3" i="1"/>
  <c r="P8" i="1"/>
  <c r="O8" i="1"/>
  <c r="P12" i="1"/>
  <c r="Q12" i="1" s="1"/>
  <c r="O12" i="1"/>
  <c r="O4" i="1"/>
  <c r="P4" i="1"/>
  <c r="Q4" i="1" s="1"/>
  <c r="P10" i="1"/>
  <c r="Q10" i="1" s="1"/>
  <c r="O10" i="1"/>
  <c r="O16" i="1"/>
  <c r="P16" i="1"/>
  <c r="O11" i="1"/>
  <c r="P11" i="1"/>
  <c r="Q6" i="1"/>
  <c r="O9" i="1"/>
  <c r="O17" i="1"/>
  <c r="O6" i="2" l="1"/>
  <c r="O27" i="2"/>
  <c r="M24" i="2"/>
  <c r="L20" i="2"/>
  <c r="L24" i="2"/>
  <c r="N27" i="2"/>
  <c r="M20" i="2"/>
  <c r="M27" i="2"/>
  <c r="N24" i="2"/>
  <c r="C34" i="3"/>
  <c r="C38" i="3" s="1"/>
  <c r="I54" i="3"/>
  <c r="I9" i="3"/>
  <c r="I49" i="3"/>
  <c r="F46" i="3"/>
  <c r="F47" i="3"/>
  <c r="F48" i="3"/>
  <c r="F45" i="3"/>
  <c r="N3" i="3"/>
  <c r="H12" i="3"/>
  <c r="I12" i="3" s="1"/>
  <c r="O3" i="2"/>
  <c r="N16" i="2"/>
  <c r="N13" i="2"/>
  <c r="N15" i="2"/>
  <c r="N14" i="2"/>
  <c r="P22" i="1"/>
  <c r="P21" i="1"/>
  <c r="P20" i="1"/>
  <c r="P19" i="1"/>
  <c r="O22" i="1"/>
  <c r="O21" i="1"/>
  <c r="O20" i="1"/>
  <c r="O19" i="1"/>
  <c r="Q8" i="1"/>
  <c r="Q11" i="1"/>
  <c r="Q3" i="1"/>
  <c r="Q16" i="1"/>
  <c r="K31" i="2" l="1"/>
  <c r="K20" i="2"/>
  <c r="K30" i="2" s="1"/>
  <c r="K27" i="2"/>
  <c r="K32" i="2" s="1"/>
  <c r="N9" i="3"/>
  <c r="I55" i="3" s="1"/>
  <c r="I50" i="3"/>
  <c r="N12" i="3"/>
  <c r="F44" i="3"/>
  <c r="F49" i="3" s="1"/>
  <c r="C52" i="3"/>
  <c r="I29" i="3"/>
  <c r="I32" i="3"/>
  <c r="I30" i="3"/>
  <c r="O16" i="2"/>
  <c r="O13" i="2"/>
  <c r="O15" i="2"/>
  <c r="O14" i="2"/>
  <c r="Q22" i="1"/>
  <c r="Q21" i="1"/>
  <c r="Q20" i="1"/>
  <c r="Q19" i="1"/>
  <c r="I28" i="3" l="1"/>
  <c r="I33" i="3"/>
  <c r="I34" i="3"/>
  <c r="I37" i="3"/>
  <c r="I36" i="3"/>
  <c r="I31" i="3"/>
  <c r="I35" i="3"/>
  <c r="P5" i="2"/>
  <c r="P7" i="2"/>
  <c r="P6" i="2"/>
  <c r="P11" i="2"/>
  <c r="P9" i="2"/>
  <c r="P12" i="2"/>
  <c r="P10" i="2"/>
  <c r="P8" i="2"/>
  <c r="P4" i="2"/>
  <c r="P3" i="2"/>
  <c r="Q6" i="2"/>
  <c r="Q11" i="2"/>
  <c r="Q7" i="2"/>
  <c r="Q12" i="2"/>
  <c r="Q9" i="2"/>
  <c r="Q10" i="2"/>
  <c r="Q8" i="2"/>
  <c r="Q5" i="2"/>
  <c r="Q4" i="2"/>
  <c r="Q3" i="2"/>
  <c r="I3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<sst xmlns="http://schemas.openxmlformats.org/spreadsheetml/2006/main" count="327" uniqueCount="208">
  <si>
    <t xml:space="preserve">des tables </t>
  </si>
  <si>
    <t xml:space="preserve">des chaises </t>
  </si>
  <si>
    <t>des bureaux</t>
  </si>
  <si>
    <t>des armoires</t>
  </si>
  <si>
    <t>des ordinateurs</t>
  </si>
  <si>
    <t>des portes</t>
  </si>
  <si>
    <t>Min</t>
  </si>
  <si>
    <t>Max</t>
  </si>
  <si>
    <t xml:space="preserve">Taux TVA </t>
  </si>
  <si>
    <t>Nombre de commandes</t>
  </si>
  <si>
    <t>Lees produits</t>
  </si>
  <si>
    <t>Total des ventes TTC</t>
  </si>
  <si>
    <t xml:space="preserve">Nombre de Ventes </t>
  </si>
  <si>
    <t>NB</t>
  </si>
  <si>
    <t>NBVAL</t>
  </si>
  <si>
    <t xml:space="preserve">Date inventaire </t>
  </si>
  <si>
    <t>Dates des ventes</t>
  </si>
  <si>
    <t>Date entrée stock</t>
  </si>
  <si>
    <t>Entrées du stock</t>
  </si>
  <si>
    <t>Ventes du stock</t>
  </si>
  <si>
    <t xml:space="preserve">Intitulé du produit </t>
  </si>
  <si>
    <t>Quantité du stock</t>
  </si>
  <si>
    <t>Prix unitaire HT</t>
  </si>
  <si>
    <t>Nouveau stock</t>
  </si>
  <si>
    <t>Valeur du stock initial HT</t>
  </si>
  <si>
    <t>Montants des entrées HT</t>
  </si>
  <si>
    <t>PV HT</t>
  </si>
  <si>
    <t>Marge HT</t>
  </si>
  <si>
    <t>Montant TVA</t>
  </si>
  <si>
    <t>Ecart PU HT/PM</t>
  </si>
  <si>
    <t>Commande la plus importante</t>
  </si>
  <si>
    <t xml:space="preserve">commande la moins interessante </t>
  </si>
  <si>
    <t xml:space="preserve">Client le moins important </t>
  </si>
  <si>
    <t>Client le plus important</t>
  </si>
  <si>
    <t xml:space="preserve">Produit le plus demandé  </t>
  </si>
  <si>
    <t xml:space="preserve">Produit le moins vendu </t>
  </si>
  <si>
    <t>Le prix moyen</t>
  </si>
  <si>
    <t>Code produit</t>
  </si>
  <si>
    <t>Gestion du stock</t>
  </si>
  <si>
    <t>Total</t>
  </si>
  <si>
    <t>Somme</t>
  </si>
  <si>
    <t>Moyenne</t>
  </si>
  <si>
    <t>Marge sur prix</t>
  </si>
  <si>
    <t>Montant des ventes HT</t>
  </si>
  <si>
    <t>Mininmum</t>
  </si>
  <si>
    <t>Maximum</t>
  </si>
  <si>
    <t xml:space="preserve">faire les courses </t>
  </si>
  <si>
    <t xml:space="preserve">allé se promener </t>
  </si>
  <si>
    <t>pas beau</t>
  </si>
  <si>
    <t xml:space="preserve">allé au cinéma </t>
  </si>
  <si>
    <t>reste  chez moi</t>
  </si>
  <si>
    <t>beau</t>
  </si>
  <si>
    <t>argent</t>
  </si>
  <si>
    <t>utilisation des  SI imbriqué</t>
  </si>
  <si>
    <t>Action</t>
  </si>
  <si>
    <t>Condition</t>
  </si>
  <si>
    <t xml:space="preserve">Mes conditions </t>
  </si>
  <si>
    <t>mes Actions</t>
  </si>
  <si>
    <t>pas argent</t>
  </si>
  <si>
    <t>Montant des ventes TTC</t>
  </si>
  <si>
    <t>Gestion d'une librairie</t>
  </si>
  <si>
    <t>code livre</t>
  </si>
  <si>
    <t xml:space="preserve">titre livre </t>
  </si>
  <si>
    <t>Mr labbé</t>
  </si>
  <si>
    <t>L'homme humain</t>
  </si>
  <si>
    <t>En marge de la société</t>
  </si>
  <si>
    <t xml:space="preserve">ne respecte plus rien </t>
  </si>
  <si>
    <t>il se  révolte contre tous</t>
  </si>
  <si>
    <t>il provoque</t>
  </si>
  <si>
    <t>il a esayé d'aimer</t>
  </si>
  <si>
    <t>il pense aux autres</t>
  </si>
  <si>
    <t>l'avocat des pauvres</t>
  </si>
  <si>
    <t>il est concret</t>
  </si>
  <si>
    <t>date édition</t>
  </si>
  <si>
    <t xml:space="preserve">code typee </t>
  </si>
  <si>
    <t>type livre</t>
  </si>
  <si>
    <t xml:space="preserve">code auteur </t>
  </si>
  <si>
    <t>Auteur</t>
  </si>
  <si>
    <t>code editeur</t>
  </si>
  <si>
    <t>editeur</t>
  </si>
  <si>
    <t>Nombre de cmd</t>
  </si>
  <si>
    <t>Fonction NB</t>
  </si>
  <si>
    <t>Fonction NBVAL</t>
  </si>
  <si>
    <t>Minimum</t>
  </si>
  <si>
    <t>fonction somme</t>
  </si>
  <si>
    <t>fonction Min</t>
  </si>
  <si>
    <t>Fonction Max</t>
  </si>
  <si>
    <t>Fonction moyenne</t>
  </si>
  <si>
    <t>type</t>
  </si>
  <si>
    <t>code type</t>
  </si>
  <si>
    <t>code Auteur</t>
  </si>
  <si>
    <t>Société</t>
  </si>
  <si>
    <t>Humanitaire</t>
  </si>
  <si>
    <t>Histoire</t>
  </si>
  <si>
    <t>Amour</t>
  </si>
  <si>
    <t>Engagé</t>
  </si>
  <si>
    <t>PPDA</t>
  </si>
  <si>
    <t>FOG</t>
  </si>
  <si>
    <t>JPE</t>
  </si>
  <si>
    <t>Lpierre</t>
  </si>
  <si>
    <t>ALKA</t>
  </si>
  <si>
    <t>Editeur</t>
  </si>
  <si>
    <t>Code Editeur</t>
  </si>
  <si>
    <t>Nom</t>
  </si>
  <si>
    <t>Edition du midi</t>
  </si>
  <si>
    <t>La société ecrivains</t>
  </si>
  <si>
    <t>TAUX TVA</t>
  </si>
  <si>
    <t>Commediteur = Commauteur</t>
  </si>
  <si>
    <t>ComAut</t>
  </si>
  <si>
    <t>Code Auteur</t>
  </si>
  <si>
    <t>Type</t>
  </si>
  <si>
    <t>Col1</t>
  </si>
  <si>
    <t>Col2</t>
  </si>
  <si>
    <t>Col3</t>
  </si>
  <si>
    <t>Col4</t>
  </si>
  <si>
    <t>Col5</t>
  </si>
  <si>
    <t>Col6</t>
  </si>
  <si>
    <t>Taux Comission</t>
  </si>
  <si>
    <t>Type de ref</t>
  </si>
  <si>
    <t>Les Calculs</t>
  </si>
  <si>
    <t>L'independant</t>
  </si>
  <si>
    <t>PX UHT</t>
  </si>
  <si>
    <t>PX TTC</t>
  </si>
  <si>
    <t>TVA</t>
  </si>
  <si>
    <t>Com auteur</t>
  </si>
  <si>
    <t>Com editeur</t>
  </si>
  <si>
    <t>revenue libraire</t>
  </si>
  <si>
    <t>Livre le plus rentable</t>
  </si>
  <si>
    <t>livre le plus vendu</t>
  </si>
  <si>
    <t>comission editeur</t>
  </si>
  <si>
    <t>Revenu libraire</t>
  </si>
  <si>
    <t>Comission Auteur</t>
  </si>
  <si>
    <t>Le Meilleur</t>
  </si>
  <si>
    <t>Nombre de livre</t>
  </si>
  <si>
    <t xml:space="preserve">nombre de livre </t>
  </si>
  <si>
    <t>nombre de livre</t>
  </si>
  <si>
    <t>Gestion d'un centre de loisirs</t>
  </si>
  <si>
    <t>N'Adherent</t>
  </si>
  <si>
    <t>NOM</t>
  </si>
  <si>
    <t>toto</t>
  </si>
  <si>
    <t>titi</t>
  </si>
  <si>
    <t>tata</t>
  </si>
  <si>
    <t>dupond</t>
  </si>
  <si>
    <t>durand</t>
  </si>
  <si>
    <t>dupont</t>
  </si>
  <si>
    <t>momo</t>
  </si>
  <si>
    <t>kiri</t>
  </si>
  <si>
    <t>coucou</t>
  </si>
  <si>
    <t>clara</t>
  </si>
  <si>
    <t>Code activité</t>
  </si>
  <si>
    <t>intitulé</t>
  </si>
  <si>
    <t>Prix individuel</t>
  </si>
  <si>
    <t>nb de personnes</t>
  </si>
  <si>
    <t xml:space="preserve">montant brut activité </t>
  </si>
  <si>
    <t>Montant net Activité</t>
  </si>
  <si>
    <t>code activité</t>
  </si>
  <si>
    <t xml:space="preserve">intitulé </t>
  </si>
  <si>
    <t>Tarif/personne</t>
  </si>
  <si>
    <t>Gym</t>
  </si>
  <si>
    <t>taux remise</t>
  </si>
  <si>
    <t>activité</t>
  </si>
  <si>
    <t>nb pers</t>
  </si>
  <si>
    <t>natation</t>
  </si>
  <si>
    <t>boxe</t>
  </si>
  <si>
    <t>tennis</t>
  </si>
  <si>
    <t>foot</t>
  </si>
  <si>
    <t>type pension</t>
  </si>
  <si>
    <t>intitule</t>
  </si>
  <si>
    <t>tarif individuel</t>
  </si>
  <si>
    <t>1/2 pension midi</t>
  </si>
  <si>
    <t>pension soir</t>
  </si>
  <si>
    <t>pension complète</t>
  </si>
  <si>
    <t>Somme de montant net global</t>
  </si>
  <si>
    <t>Type pension</t>
  </si>
  <si>
    <t>Montant brut global</t>
  </si>
  <si>
    <t>Remise activité</t>
  </si>
  <si>
    <t>intitulé pension</t>
  </si>
  <si>
    <t>montant net global</t>
  </si>
  <si>
    <t>Montant net Pension</t>
  </si>
  <si>
    <t>Taux  remise  pension</t>
  </si>
  <si>
    <t>Nb personne</t>
  </si>
  <si>
    <t>Taux</t>
  </si>
  <si>
    <t>somme montant brut</t>
  </si>
  <si>
    <t>Somme montant net pension</t>
  </si>
  <si>
    <t>somme</t>
  </si>
  <si>
    <t xml:space="preserve">abonné le plus intéressant </t>
  </si>
  <si>
    <t>Activité</t>
  </si>
  <si>
    <t>Pension</t>
  </si>
  <si>
    <t>Nombre de nom</t>
  </si>
  <si>
    <t>gym</t>
  </si>
  <si>
    <t>total général</t>
  </si>
  <si>
    <t>Étiquettes de lignes</t>
  </si>
  <si>
    <t>Total général</t>
  </si>
  <si>
    <t>Étiquettes de colonnes</t>
  </si>
  <si>
    <t>Somme de nb de personnes</t>
  </si>
  <si>
    <t>Somme de Montant net Activité</t>
  </si>
  <si>
    <t>Somme de Remise activité</t>
  </si>
  <si>
    <t>N°Adhérent</t>
  </si>
  <si>
    <t>prix individuel</t>
  </si>
  <si>
    <t>Mt Brut act</t>
  </si>
  <si>
    <t>Rem act</t>
  </si>
  <si>
    <t>Mt net act</t>
  </si>
  <si>
    <t>Mt net pension</t>
  </si>
  <si>
    <t>Mt global brut</t>
  </si>
  <si>
    <t>Mt global net</t>
  </si>
  <si>
    <t>Int pension</t>
  </si>
  <si>
    <t>Somme de Montant net Pension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</si>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</sst>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* #,##0.00_)\ &quot;€&quot;_ ;_ * \(#,##0.00\)\ &quot;€&quot;_ ;_ * &quot;-&quot;??_)\ &quot;€&quot;_ ;_ @_ "/>
    <numFmt numFmtId="43" formatCode="_ * #,##0.00_)_ ;_ * \(#,##0.00\)_ ;_ * &quot;-&quot;??_)_ ;_ @_ "/>
    <numFmt numFmtId="164" formatCode="[$-40C]d\-mmm\-yy;@"/>
    <numFmt numFmtId="165" formatCode="[$-F800]dddd\,\ mmmm\ dd\,\ yyyy"/>
    <numFmt numFmtId="166" formatCode="[$-40C]d\ mmmm\ yyyy;@"/>
    <numFmt numFmtId="167" formatCode="#,##0.00\ &quot;€&quot;"/>
    <numFmt numFmtId="168" formatCode="_ * #,##0_)_ ;_ * \(#,##0\)_ ;_ * &quot;-&quot;??_)_ ;_ @_ 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Algerian"/>
    </font>
    <font>
      <sz val="20"/>
      <color rgb="FFFF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 (Corps)"/>
    </font>
    <font>
      <sz val="16"/>
      <color rgb="FFFF0000"/>
      <name val="Calibri"/>
      <family val="2"/>
      <scheme val="minor"/>
    </font>
    <font>
      <sz val="18"/>
      <color theme="9"/>
      <name val="Calibri"/>
      <family val="2"/>
      <scheme val="minor"/>
    </font>
    <font>
      <sz val="18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1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64" fontId="0" fillId="4" borderId="1" xfId="0" applyNumberFormat="1" applyFill="1" applyBorder="1"/>
    <xf numFmtId="167" fontId="0" fillId="4" borderId="1" xfId="0" applyNumberFormat="1" applyFill="1" applyBorder="1"/>
    <xf numFmtId="165" fontId="0" fillId="4" borderId="1" xfId="0" applyNumberFormat="1" applyFill="1" applyBorder="1"/>
    <xf numFmtId="166" fontId="0" fillId="4" borderId="1" xfId="0" applyNumberFormat="1" applyFill="1" applyBorder="1"/>
    <xf numFmtId="0" fontId="0" fillId="5" borderId="1" xfId="0" applyFill="1" applyBorder="1"/>
    <xf numFmtId="167" fontId="0" fillId="5" borderId="1" xfId="0" applyNumberFormat="1" applyFill="1" applyBorder="1"/>
    <xf numFmtId="167" fontId="2" fillId="5" borderId="1" xfId="0" applyNumberFormat="1" applyFont="1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5" borderId="4" xfId="0" applyFill="1" applyBorder="1" applyAlignment="1"/>
    <xf numFmtId="0" fontId="0" fillId="5" borderId="11" xfId="0" applyFill="1" applyBorder="1" applyAlignment="1"/>
    <xf numFmtId="0" fontId="0" fillId="5" borderId="2" xfId="0" applyFill="1" applyBorder="1" applyAlignment="1"/>
    <xf numFmtId="0" fontId="0" fillId="4" borderId="12" xfId="0" applyFill="1" applyBorder="1"/>
    <xf numFmtId="0" fontId="0" fillId="4" borderId="12" xfId="0" applyFill="1" applyBorder="1" applyAlignment="1">
      <alignment horizontal="left"/>
    </xf>
    <xf numFmtId="0" fontId="0" fillId="5" borderId="14" xfId="0" applyFill="1" applyBorder="1" applyAlignment="1"/>
    <xf numFmtId="0" fontId="0" fillId="7" borderId="15" xfId="0" applyFill="1" applyBorder="1" applyAlignment="1"/>
    <xf numFmtId="167" fontId="0" fillId="5" borderId="14" xfId="0" applyNumberFormat="1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4" borderId="14" xfId="0" applyFill="1" applyBorder="1"/>
    <xf numFmtId="10" fontId="0" fillId="5" borderId="1" xfId="1" applyNumberFormat="1" applyFont="1" applyFill="1" applyBorder="1"/>
    <xf numFmtId="10" fontId="0" fillId="5" borderId="12" xfId="1" applyNumberFormat="1" applyFont="1" applyFill="1" applyBorder="1"/>
    <xf numFmtId="167" fontId="0" fillId="5" borderId="12" xfId="0" applyNumberFormat="1" applyFill="1" applyBorder="1"/>
    <xf numFmtId="0" fontId="0" fillId="0" borderId="18" xfId="0" applyBorder="1"/>
    <xf numFmtId="0" fontId="0" fillId="0" borderId="17" xfId="0" applyBorder="1"/>
    <xf numFmtId="0" fontId="0" fillId="2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0" xfId="0" applyBorder="1"/>
    <xf numFmtId="0" fontId="0" fillId="5" borderId="22" xfId="0" applyFill="1" applyBorder="1" applyAlignment="1"/>
    <xf numFmtId="0" fontId="0" fillId="5" borderId="8" xfId="0" applyFill="1" applyBorder="1" applyAlignment="1"/>
    <xf numFmtId="164" fontId="0" fillId="4" borderId="5" xfId="0" applyNumberFormat="1" applyFill="1" applyBorder="1"/>
    <xf numFmtId="167" fontId="0" fillId="4" borderId="3" xfId="0" applyNumberFormat="1" applyFill="1" applyBorder="1"/>
    <xf numFmtId="167" fontId="0" fillId="5" borderId="4" xfId="0" applyNumberFormat="1" applyFill="1" applyBorder="1"/>
    <xf numFmtId="167" fontId="0" fillId="5" borderId="14" xfId="0" applyNumberFormat="1" applyFill="1" applyBorder="1"/>
    <xf numFmtId="10" fontId="0" fillId="5" borderId="14" xfId="1" applyNumberFormat="1" applyFont="1" applyFill="1" applyBorder="1"/>
    <xf numFmtId="0" fontId="0" fillId="5" borderId="14" xfId="0" applyFill="1" applyBorder="1"/>
    <xf numFmtId="0" fontId="0" fillId="0" borderId="6" xfId="0" applyBorder="1"/>
    <xf numFmtId="0" fontId="0" fillId="0" borderId="23" xfId="0" applyBorder="1"/>
    <xf numFmtId="0" fontId="0" fillId="3" borderId="24" xfId="0" applyFill="1" applyBorder="1" applyAlignment="1">
      <alignment horizontal="center" vertical="center"/>
    </xf>
    <xf numFmtId="0" fontId="0" fillId="0" borderId="26" xfId="0" applyBorder="1"/>
    <xf numFmtId="0" fontId="0" fillId="0" borderId="26" xfId="0" applyFill="1" applyBorder="1"/>
    <xf numFmtId="0" fontId="0" fillId="0" borderId="27" xfId="0" applyFill="1" applyBorder="1"/>
    <xf numFmtId="0" fontId="0" fillId="0" borderId="27" xfId="0" applyBorder="1"/>
    <xf numFmtId="0" fontId="0" fillId="0" borderId="29" xfId="0" applyBorder="1"/>
    <xf numFmtId="0" fontId="0" fillId="0" borderId="28" xfId="0" applyBorder="1"/>
    <xf numFmtId="0" fontId="0" fillId="0" borderId="32" xfId="0" applyBorder="1"/>
    <xf numFmtId="44" fontId="0" fillId="5" borderId="1" xfId="3" applyFont="1" applyFill="1" applyBorder="1"/>
    <xf numFmtId="0" fontId="0" fillId="0" borderId="14" xfId="0" applyBorder="1"/>
    <xf numFmtId="0" fontId="0" fillId="0" borderId="34" xfId="0" applyBorder="1" applyAlignment="1">
      <alignment vertical="center"/>
    </xf>
    <xf numFmtId="0" fontId="0" fillId="0" borderId="25" xfId="0" applyBorder="1" applyAlignment="1">
      <alignment vertical="center"/>
    </xf>
    <xf numFmtId="0" fontId="6" fillId="0" borderId="31" xfId="0" applyFont="1" applyBorder="1"/>
    <xf numFmtId="0" fontId="6" fillId="0" borderId="35" xfId="0" applyFont="1" applyBorder="1"/>
    <xf numFmtId="44" fontId="6" fillId="0" borderId="14" xfId="0" applyNumberFormat="1" applyFont="1" applyBorder="1"/>
    <xf numFmtId="0" fontId="6" fillId="0" borderId="14" xfId="0" applyFont="1" applyFill="1" applyBorder="1"/>
    <xf numFmtId="0" fontId="0" fillId="3" borderId="0" xfId="0" applyFill="1"/>
    <xf numFmtId="0" fontId="0" fillId="3" borderId="14" xfId="0" applyFill="1" applyBorder="1"/>
    <xf numFmtId="44" fontId="0" fillId="5" borderId="14" xfId="0" applyNumberFormat="1" applyFill="1" applyBorder="1"/>
    <xf numFmtId="44" fontId="0" fillId="5" borderId="22" xfId="0" applyNumberFormat="1" applyFill="1" applyBorder="1"/>
    <xf numFmtId="44" fontId="0" fillId="8" borderId="36" xfId="3" applyNumberFormat="1" applyFont="1" applyFill="1" applyBorder="1"/>
    <xf numFmtId="44" fontId="0" fillId="8" borderId="37" xfId="0" applyNumberFormat="1" applyFont="1" applyFill="1" applyBorder="1"/>
    <xf numFmtId="44" fontId="0" fillId="8" borderId="14" xfId="0" applyNumberFormat="1" applyFont="1" applyFill="1" applyBorder="1"/>
    <xf numFmtId="44" fontId="0" fillId="5" borderId="38" xfId="3" applyNumberFormat="1" applyFont="1" applyFill="1" applyBorder="1"/>
    <xf numFmtId="44" fontId="0" fillId="5" borderId="38" xfId="0" applyNumberFormat="1" applyFont="1" applyFill="1" applyBorder="1"/>
    <xf numFmtId="44" fontId="0" fillId="8" borderId="38" xfId="3" applyNumberFormat="1" applyFont="1" applyFill="1" applyBorder="1"/>
    <xf numFmtId="44" fontId="0" fillId="8" borderId="38" xfId="0" applyNumberFormat="1" applyFont="1" applyFill="1" applyBorder="1"/>
    <xf numFmtId="44" fontId="0" fillId="5" borderId="39" xfId="3" applyNumberFormat="1" applyFont="1" applyFill="1" applyBorder="1"/>
    <xf numFmtId="44" fontId="0" fillId="5" borderId="39" xfId="0" applyNumberFormat="1" applyFont="1" applyFill="1" applyBorder="1"/>
    <xf numFmtId="44" fontId="0" fillId="5" borderId="0" xfId="0" applyNumberFormat="1" applyFill="1"/>
    <xf numFmtId="0" fontId="0" fillId="8" borderId="36" xfId="0" applyFont="1" applyFill="1" applyBorder="1"/>
    <xf numFmtId="0" fontId="0" fillId="5" borderId="38" xfId="0" applyFont="1" applyFill="1" applyBorder="1"/>
    <xf numFmtId="0" fontId="0" fillId="8" borderId="38" xfId="0" applyFont="1" applyFill="1" applyBorder="1"/>
    <xf numFmtId="0" fontId="0" fillId="5" borderId="39" xfId="0" applyFont="1" applyFill="1" applyBorder="1"/>
    <xf numFmtId="14" fontId="0" fillId="9" borderId="36" xfId="0" applyNumberFormat="1" applyFont="1" applyFill="1" applyBorder="1"/>
    <xf numFmtId="14" fontId="0" fillId="3" borderId="38" xfId="0" applyNumberFormat="1" applyFont="1" applyFill="1" applyBorder="1"/>
    <xf numFmtId="14" fontId="0" fillId="9" borderId="38" xfId="0" applyNumberFormat="1" applyFont="1" applyFill="1" applyBorder="1"/>
    <xf numFmtId="14" fontId="0" fillId="3" borderId="39" xfId="0" applyNumberFormat="1" applyFont="1" applyFill="1" applyBorder="1"/>
    <xf numFmtId="0" fontId="0" fillId="9" borderId="36" xfId="0" applyFont="1" applyFill="1" applyBorder="1"/>
    <xf numFmtId="0" fontId="0" fillId="3" borderId="38" xfId="0" applyFont="1" applyFill="1" applyBorder="1"/>
    <xf numFmtId="0" fontId="0" fillId="9" borderId="38" xfId="0" applyFont="1" applyFill="1" applyBorder="1"/>
    <xf numFmtId="0" fontId="0" fillId="3" borderId="39" xfId="0" applyFont="1" applyFill="1" applyBorder="1"/>
    <xf numFmtId="0" fontId="0" fillId="9" borderId="36" xfId="0" applyFont="1" applyFill="1" applyBorder="1" applyAlignment="1">
      <alignment horizontal="left"/>
    </xf>
    <xf numFmtId="0" fontId="0" fillId="3" borderId="38" xfId="0" applyFont="1" applyFill="1" applyBorder="1" applyAlignment="1">
      <alignment horizontal="left"/>
    </xf>
    <xf numFmtId="0" fontId="0" fillId="9" borderId="38" xfId="0" applyFont="1" applyFill="1" applyBorder="1" applyAlignment="1">
      <alignment horizontal="left"/>
    </xf>
    <xf numFmtId="0" fontId="0" fillId="3" borderId="39" xfId="0" applyFont="1" applyFill="1" applyBorder="1" applyAlignment="1">
      <alignment horizontal="left"/>
    </xf>
    <xf numFmtId="0" fontId="8" fillId="3" borderId="0" xfId="0" applyFont="1" applyFill="1"/>
    <xf numFmtId="0" fontId="6" fillId="3" borderId="0" xfId="0" applyFont="1" applyFill="1"/>
    <xf numFmtId="9" fontId="0" fillId="3" borderId="14" xfId="0" applyNumberFormat="1" applyFill="1" applyBorder="1"/>
    <xf numFmtId="9" fontId="0" fillId="3" borderId="17" xfId="0" applyNumberFormat="1" applyFill="1" applyBorder="1"/>
    <xf numFmtId="0" fontId="0" fillId="3" borderId="17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0" xfId="0" applyFill="1" applyBorder="1"/>
    <xf numFmtId="0" fontId="0" fillId="3" borderId="31" xfId="0" applyFill="1" applyBorder="1"/>
    <xf numFmtId="0" fontId="0" fillId="3" borderId="41" xfId="0" applyFill="1" applyBorder="1"/>
    <xf numFmtId="9" fontId="0" fillId="3" borderId="42" xfId="0" applyNumberFormat="1" applyFill="1" applyBorder="1"/>
    <xf numFmtId="0" fontId="0" fillId="3" borderId="43" xfId="0" applyFill="1" applyBorder="1"/>
    <xf numFmtId="9" fontId="0" fillId="3" borderId="44" xfId="0" applyNumberFormat="1" applyFill="1" applyBorder="1"/>
    <xf numFmtId="0" fontId="0" fillId="3" borderId="22" xfId="0" applyFill="1" applyBorder="1"/>
    <xf numFmtId="0" fontId="0" fillId="0" borderId="45" xfId="0" applyBorder="1"/>
    <xf numFmtId="0" fontId="0" fillId="0" borderId="46" xfId="0" applyBorder="1"/>
    <xf numFmtId="0" fontId="0" fillId="3" borderId="22" xfId="0" applyFill="1" applyBorder="1" applyAlignment="1">
      <alignment horizontal="center" vertical="center"/>
    </xf>
    <xf numFmtId="0" fontId="0" fillId="0" borderId="40" xfId="0" applyBorder="1"/>
    <xf numFmtId="0" fontId="0" fillId="0" borderId="47" xfId="0" applyBorder="1"/>
    <xf numFmtId="0" fontId="0" fillId="3" borderId="20" xfId="0" applyFill="1" applyBorder="1"/>
    <xf numFmtId="0" fontId="2" fillId="0" borderId="14" xfId="0" applyFont="1" applyBorder="1"/>
    <xf numFmtId="0" fontId="10" fillId="0" borderId="14" xfId="0" applyFont="1" applyBorder="1"/>
    <xf numFmtId="0" fontId="11" fillId="0" borderId="14" xfId="0" applyFont="1" applyBorder="1"/>
    <xf numFmtId="0" fontId="12" fillId="0" borderId="14" xfId="0" applyFont="1" applyBorder="1"/>
    <xf numFmtId="0" fontId="13" fillId="0" borderId="14" xfId="0" applyFont="1" applyBorder="1"/>
    <xf numFmtId="0" fontId="14" fillId="0" borderId="14" xfId="0" applyFont="1" applyBorder="1"/>
    <xf numFmtId="0" fontId="0" fillId="2" borderId="14" xfId="0" applyFill="1" applyBorder="1"/>
    <xf numFmtId="0" fontId="0" fillId="2" borderId="18" xfId="0" applyFill="1" applyBorder="1"/>
    <xf numFmtId="0" fontId="0" fillId="2" borderId="0" xfId="0" applyFill="1"/>
    <xf numFmtId="0" fontId="0" fillId="10" borderId="48" xfId="0" applyFill="1" applyBorder="1"/>
    <xf numFmtId="0" fontId="0" fillId="10" borderId="49" xfId="0" applyFill="1" applyBorder="1"/>
    <xf numFmtId="0" fontId="0" fillId="10" borderId="42" xfId="0" applyFill="1" applyBorder="1"/>
    <xf numFmtId="0" fontId="0" fillId="10" borderId="50" xfId="0" applyFill="1" applyBorder="1"/>
    <xf numFmtId="0" fontId="0" fillId="10" borderId="14" xfId="0" applyFill="1" applyBorder="1"/>
    <xf numFmtId="0" fontId="0" fillId="10" borderId="52" xfId="0" applyFill="1" applyBorder="1"/>
    <xf numFmtId="0" fontId="0" fillId="10" borderId="53" xfId="0" applyFill="1" applyBorder="1"/>
    <xf numFmtId="0" fontId="0" fillId="10" borderId="54" xfId="0" applyFill="1" applyBorder="1"/>
    <xf numFmtId="0" fontId="0" fillId="10" borderId="55" xfId="0" applyFill="1" applyBorder="1"/>
    <xf numFmtId="0" fontId="0" fillId="10" borderId="56" xfId="0" applyFill="1" applyBorder="1"/>
    <xf numFmtId="9" fontId="0" fillId="10" borderId="14" xfId="1" applyFont="1" applyFill="1" applyBorder="1"/>
    <xf numFmtId="9" fontId="0" fillId="10" borderId="14" xfId="1" quotePrefix="1" applyNumberFormat="1" applyFont="1" applyFill="1" applyBorder="1"/>
    <xf numFmtId="168" fontId="0" fillId="10" borderId="52" xfId="2" applyNumberFormat="1" applyFont="1" applyFill="1" applyBorder="1"/>
    <xf numFmtId="9" fontId="0" fillId="10" borderId="57" xfId="1" applyFont="1" applyFill="1" applyBorder="1"/>
    <xf numFmtId="168" fontId="0" fillId="10" borderId="43" xfId="2" applyNumberFormat="1" applyFont="1" applyFill="1" applyBorder="1"/>
    <xf numFmtId="9" fontId="0" fillId="10" borderId="58" xfId="1" applyFont="1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10" fontId="0" fillId="4" borderId="7" xfId="1" applyNumberFormat="1" applyFont="1" applyFill="1" applyBorder="1" applyAlignment="1">
      <alignment horizontal="center"/>
    </xf>
    <xf numFmtId="10" fontId="0" fillId="4" borderId="3" xfId="1" applyNumberFormat="1" applyFont="1" applyFill="1" applyBorder="1" applyAlignment="1">
      <alignment horizontal="center"/>
    </xf>
    <xf numFmtId="10" fontId="0" fillId="4" borderId="4" xfId="1" applyNumberFormat="1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7" fontId="0" fillId="10" borderId="51" xfId="3" applyNumberFormat="1" applyFont="1" applyFill="1" applyBorder="1"/>
    <xf numFmtId="167" fontId="0" fillId="10" borderId="44" xfId="3" applyNumberFormat="1" applyFont="1" applyFill="1" applyBorder="1"/>
    <xf numFmtId="0" fontId="0" fillId="0" borderId="1" xfId="0" applyBorder="1"/>
    <xf numFmtId="0" fontId="0" fillId="12" borderId="22" xfId="0" applyFill="1" applyBorder="1"/>
    <xf numFmtId="0" fontId="0" fillId="12" borderId="14" xfId="0" applyFill="1" applyBorder="1"/>
    <xf numFmtId="0" fontId="0" fillId="13" borderId="22" xfId="0" applyFill="1" applyBorder="1"/>
    <xf numFmtId="0" fontId="0" fillId="13" borderId="14" xfId="0" applyFill="1" applyBorder="1"/>
    <xf numFmtId="167" fontId="0" fillId="13" borderId="14" xfId="0" applyNumberFormat="1" applyFill="1" applyBorder="1"/>
    <xf numFmtId="167" fontId="0" fillId="13" borderId="14" xfId="3" applyNumberFormat="1" applyFont="1" applyFill="1" applyBorder="1"/>
    <xf numFmtId="44" fontId="0" fillId="13" borderId="14" xfId="3" applyFont="1" applyFill="1" applyBorder="1"/>
    <xf numFmtId="44" fontId="0" fillId="13" borderId="14" xfId="0" applyNumberFormat="1" applyFill="1" applyBorder="1"/>
    <xf numFmtId="0" fontId="0" fillId="10" borderId="65" xfId="0" applyFill="1" applyBorder="1" applyAlignment="1">
      <alignment horizontal="center"/>
    </xf>
    <xf numFmtId="0" fontId="0" fillId="10" borderId="60" xfId="0" applyFill="1" applyBorder="1" applyAlignment="1">
      <alignment horizontal="center"/>
    </xf>
    <xf numFmtId="0" fontId="0" fillId="10" borderId="66" xfId="0" applyFill="1" applyBorder="1"/>
    <xf numFmtId="0" fontId="0" fillId="10" borderId="62" xfId="0" applyFill="1" applyBorder="1"/>
    <xf numFmtId="0" fontId="0" fillId="10" borderId="67" xfId="0" applyFill="1" applyBorder="1"/>
    <xf numFmtId="0" fontId="0" fillId="10" borderId="68" xfId="0" applyFill="1" applyBorder="1"/>
    <xf numFmtId="0" fontId="0" fillId="10" borderId="69" xfId="0" applyFill="1" applyBorder="1"/>
    <xf numFmtId="0" fontId="0" fillId="10" borderId="70" xfId="0" applyFill="1" applyBorder="1"/>
    <xf numFmtId="0" fontId="0" fillId="10" borderId="71" xfId="0" applyFill="1" applyBorder="1"/>
    <xf numFmtId="9" fontId="0" fillId="10" borderId="71" xfId="1" applyFont="1" applyFill="1" applyBorder="1"/>
    <xf numFmtId="0" fontId="0" fillId="10" borderId="72" xfId="0" applyFill="1" applyBorder="1"/>
    <xf numFmtId="9" fontId="0" fillId="10" borderId="73" xfId="1" applyFont="1" applyFill="1" applyBorder="1"/>
    <xf numFmtId="9" fontId="0" fillId="10" borderId="74" xfId="1" applyFont="1" applyFill="1" applyBorder="1"/>
    <xf numFmtId="0" fontId="0" fillId="10" borderId="75" xfId="0" applyFill="1" applyBorder="1"/>
    <xf numFmtId="0" fontId="0" fillId="10" borderId="76" xfId="0" applyFill="1" applyBorder="1"/>
    <xf numFmtId="0" fontId="15" fillId="2" borderId="52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2" borderId="77" xfId="0" applyFill="1" applyBorder="1" applyAlignment="1">
      <alignment horizontal="center"/>
    </xf>
    <xf numFmtId="167" fontId="0" fillId="13" borderId="22" xfId="0" applyNumberFormat="1" applyFill="1" applyBorder="1"/>
    <xf numFmtId="167" fontId="0" fillId="13" borderId="22" xfId="3" applyNumberFormat="1" applyFont="1" applyFill="1" applyBorder="1"/>
    <xf numFmtId="44" fontId="0" fillId="13" borderId="22" xfId="3" applyFont="1" applyFill="1" applyBorder="1"/>
    <xf numFmtId="0" fontId="0" fillId="12" borderId="78" xfId="0" applyFill="1" applyBorder="1"/>
    <xf numFmtId="0" fontId="0" fillId="12" borderId="79" xfId="0" applyFill="1" applyBorder="1"/>
    <xf numFmtId="0" fontId="0" fillId="13" borderId="79" xfId="0" applyFill="1" applyBorder="1"/>
    <xf numFmtId="0" fontId="0" fillId="13" borderId="80" xfId="0" applyFill="1" applyBorder="1"/>
    <xf numFmtId="167" fontId="0" fillId="0" borderId="61" xfId="0" applyNumberFormat="1" applyBorder="1" applyAlignment="1">
      <alignment horizontal="center" vertical="center"/>
    </xf>
    <xf numFmtId="167" fontId="0" fillId="0" borderId="62" xfId="0" applyNumberFormat="1" applyBorder="1" applyAlignment="1">
      <alignment horizontal="center" vertical="center"/>
    </xf>
    <xf numFmtId="0" fontId="0" fillId="12" borderId="1" xfId="0" applyFill="1" applyBorder="1"/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12" borderId="81" xfId="0" applyFill="1" applyBorder="1"/>
    <xf numFmtId="0" fontId="0" fillId="12" borderId="83" xfId="0" applyFill="1" applyBorder="1"/>
    <xf numFmtId="0" fontId="0" fillId="12" borderId="70" xfId="0" applyFill="1" applyBorder="1"/>
    <xf numFmtId="0" fontId="0" fillId="12" borderId="72" xfId="0" applyFill="1" applyBorder="1"/>
    <xf numFmtId="0" fontId="16" fillId="0" borderId="63" xfId="0" applyFont="1" applyBorder="1" applyAlignment="1">
      <alignment horizontal="center"/>
    </xf>
    <xf numFmtId="0" fontId="16" fillId="0" borderId="64" xfId="0" applyFont="1" applyBorder="1" applyAlignment="1">
      <alignment horizontal="center"/>
    </xf>
    <xf numFmtId="0" fontId="0" fillId="0" borderId="0" xfId="0" applyAlignment="1"/>
    <xf numFmtId="0" fontId="16" fillId="14" borderId="85" xfId="0" applyFont="1" applyFill="1" applyBorder="1"/>
    <xf numFmtId="0" fontId="0" fillId="0" borderId="64" xfId="0" applyBorder="1"/>
    <xf numFmtId="0" fontId="0" fillId="0" borderId="0" xfId="0" applyBorder="1"/>
    <xf numFmtId="167" fontId="0" fillId="0" borderId="1" xfId="0" applyNumberFormat="1" applyBorder="1"/>
    <xf numFmtId="0" fontId="0" fillId="0" borderId="1" xfId="0" applyNumberFormat="1" applyBorder="1"/>
    <xf numFmtId="167" fontId="0" fillId="0" borderId="1" xfId="0" applyNumberForma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7" fontId="0" fillId="15" borderId="82" xfId="0" applyNumberFormat="1" applyFill="1" applyBorder="1"/>
    <xf numFmtId="167" fontId="0" fillId="15" borderId="84" xfId="0" applyNumberFormat="1" applyFill="1" applyBorder="1"/>
    <xf numFmtId="9" fontId="16" fillId="15" borderId="82" xfId="1" applyFont="1" applyFill="1" applyBorder="1"/>
    <xf numFmtId="9" fontId="0" fillId="15" borderId="84" xfId="1" applyFont="1" applyFill="1" applyBorder="1"/>
    <xf numFmtId="0" fontId="0" fillId="11" borderId="1" xfId="0" applyFill="1" applyBorder="1"/>
    <xf numFmtId="0" fontId="0" fillId="15" borderId="1" xfId="0" applyFill="1" applyBorder="1"/>
    <xf numFmtId="167" fontId="0" fillId="15" borderId="1" xfId="0" applyNumberFormat="1" applyFill="1" applyBorder="1"/>
    <xf numFmtId="0" fontId="18" fillId="12" borderId="1" xfId="0" applyFont="1" applyFill="1" applyBorder="1" applyAlignment="1">
      <alignment horizontal="center" vertical="center"/>
    </xf>
    <xf numFmtId="0" fontId="0" fillId="12" borderId="86" xfId="0" applyFill="1" applyBorder="1"/>
    <xf numFmtId="0" fontId="10" fillId="15" borderId="1" xfId="0" applyFont="1" applyFill="1" applyBorder="1" applyAlignment="1">
      <alignment horizontal="center" vertical="center"/>
    </xf>
    <xf numFmtId="167" fontId="10" fillId="15" borderId="1" xfId="0" applyNumberFormat="1" applyFont="1" applyFill="1" applyBorder="1" applyAlignment="1">
      <alignment horizontal="center" vertical="center"/>
    </xf>
    <xf numFmtId="167" fontId="0" fillId="0" borderId="87" xfId="0" applyNumberFormat="1" applyBorder="1"/>
    <xf numFmtId="167" fontId="0" fillId="0" borderId="62" xfId="0" applyNumberFormat="1" applyBorder="1"/>
    <xf numFmtId="0" fontId="0" fillId="12" borderId="65" xfId="0" applyFill="1" applyBorder="1" applyAlignment="1">
      <alignment horizontal="center"/>
    </xf>
    <xf numFmtId="0" fontId="0" fillId="12" borderId="60" xfId="0" applyFill="1" applyBorder="1" applyAlignment="1">
      <alignment horizontal="center"/>
    </xf>
    <xf numFmtId="0" fontId="0" fillId="12" borderId="66" xfId="0" applyFill="1" applyBorder="1"/>
    <xf numFmtId="167" fontId="0" fillId="15" borderId="87" xfId="0" applyNumberFormat="1" applyFill="1" applyBorder="1"/>
    <xf numFmtId="167" fontId="0" fillId="15" borderId="62" xfId="0" applyNumberFormat="1" applyFill="1" applyBorder="1"/>
    <xf numFmtId="0" fontId="2" fillId="0" borderId="65" xfId="0" pivotButton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81" xfId="0" applyBorder="1" applyAlignment="1">
      <alignment horizontal="left"/>
    </xf>
    <xf numFmtId="0" fontId="0" fillId="0" borderId="87" xfId="0" applyNumberFormat="1" applyBorder="1"/>
    <xf numFmtId="0" fontId="2" fillId="0" borderId="66" xfId="0" applyFont="1" applyBorder="1" applyAlignment="1">
      <alignment horizontal="left"/>
    </xf>
    <xf numFmtId="0" fontId="0" fillId="0" borderId="61" xfId="0" applyNumberFormat="1" applyBorder="1"/>
    <xf numFmtId="0" fontId="0" fillId="0" borderId="62" xfId="0" applyNumberFormat="1" applyBorder="1"/>
    <xf numFmtId="0" fontId="0" fillId="0" borderId="63" xfId="0" pivotButton="1" applyBorder="1"/>
    <xf numFmtId="0" fontId="2" fillId="0" borderId="88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7" fillId="0" borderId="66" xfId="0" applyFont="1" applyBorder="1" applyAlignment="1">
      <alignment horizontal="left"/>
    </xf>
    <xf numFmtId="167" fontId="0" fillId="0" borderId="61" xfId="0" applyNumberFormat="1" applyBorder="1"/>
    <xf numFmtId="0" fontId="2" fillId="0" borderId="63" xfId="0" pivotButton="1" applyFont="1" applyBorder="1"/>
    <xf numFmtId="0" fontId="2" fillId="0" borderId="88" xfId="0" pivotButton="1" applyFont="1" applyBorder="1"/>
    <xf numFmtId="0" fontId="0" fillId="0" borderId="88" xfId="0" applyBorder="1"/>
    <xf numFmtId="167" fontId="0" fillId="0" borderId="87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89" xfId="0" applyNumberFormat="1" applyBorder="1" applyAlignment="1">
      <alignment horizontal="center" vertical="center"/>
    </xf>
    <xf numFmtId="0" fontId="17" fillId="0" borderId="1" xfId="0" pivotButton="1" applyFont="1" applyBorder="1"/>
    <xf numFmtId="0" fontId="17" fillId="0" borderId="1" xfId="0" applyFont="1" applyBorder="1"/>
    <xf numFmtId="0" fontId="9" fillId="6" borderId="16" xfId="0" applyFont="1" applyFill="1" applyBorder="1" applyAlignment="1">
      <alignment horizontal="center" vertical="center" textRotation="90"/>
    </xf>
    <xf numFmtId="0" fontId="9" fillId="6" borderId="32" xfId="0" applyFont="1" applyFill="1" applyBorder="1" applyAlignment="1">
      <alignment horizontal="center" vertical="center" textRotation="90"/>
    </xf>
    <xf numFmtId="0" fontId="9" fillId="6" borderId="33" xfId="0" applyFont="1" applyFill="1" applyBorder="1" applyAlignment="1">
      <alignment horizontal="center" vertical="center" textRotation="90"/>
    </xf>
  </cellXfs>
  <cellStyles count="4">
    <cellStyle name="Milliers" xfId="2" builtinId="3"/>
    <cellStyle name="Monétaire" xfId="3" builtinId="4"/>
    <cellStyle name="Normal" xfId="0" builtinId="0"/>
    <cellStyle name="Pourcentage" xfId="1" builtinId="5"/>
  </cellStyles>
  <dxfs count="57">
    <dxf>
      <font>
        <color rgb="FFFF0000"/>
      </font>
    </dxf>
    <dxf>
      <font>
        <color rgb="FFFF000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color rgb="FFFF000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numFmt numFmtId="0" formatCode="General"/>
    </dxf>
    <dxf>
      <font>
        <sz val="14"/>
      </font>
    </dxf>
    <dxf>
      <font>
        <color rgb="FFFF0000"/>
      </font>
    </dxf>
    <dxf>
      <font>
        <sz val="12"/>
      </font>
    </dxf>
    <dxf>
      <font>
        <color rgb="FFFF0000"/>
      </font>
    </dxf>
    <dxf>
      <alignment horizont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#,##0.00\ &quot;€&quot;"/>
    </dxf>
    <dxf>
      <alignment vertical="center"/>
    </dxf>
    <dxf>
      <alignment horizontal="center"/>
    </dxf>
    <dxf>
      <alignment vertical="center"/>
    </dxf>
    <dxf>
      <alignment horizontal="center"/>
    </dxf>
    <dxf>
      <numFmt numFmtId="167" formatCode="#,##0.00\ &quot;€&quot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Feuil1!$I$2</c:f>
              <c:strCache>
                <c:ptCount val="1"/>
                <c:pt idx="0">
                  <c:v>Ventes du stock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4EB-3840-BD2D-0B96E236DD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4EB-3840-BD2D-0B96E236DD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4EB-3840-BD2D-0B96E236DD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4EB-3840-BD2D-0B96E236DD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4EB-3840-BD2D-0B96E236DD0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4EB-3840-BD2D-0B96E236DD0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4EB-3840-BD2D-0B96E236DD0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D4EB-3840-BD2D-0B96E236DD0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D4EB-3840-BD2D-0B96E236DD0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D4EB-3840-BD2D-0B96E236DD0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D4EB-3840-BD2D-0B96E236DD0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D4EB-3840-BD2D-0B96E236DD0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D4EB-3840-BD2D-0B96E236DD0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D4EB-3840-BD2D-0B96E236DD0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4EB-3840-BD2D-0B96E236DD0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Feuil1!$B$3:$B$17</c:f>
              <c:strCache>
                <c:ptCount val="15"/>
                <c:pt idx="0">
                  <c:v>des tables </c:v>
                </c:pt>
                <c:pt idx="1">
                  <c:v>des tables </c:v>
                </c:pt>
                <c:pt idx="2">
                  <c:v>des tables </c:v>
                </c:pt>
                <c:pt idx="3">
                  <c:v>des chaises </c:v>
                </c:pt>
                <c:pt idx="4">
                  <c:v>des chaises </c:v>
                </c:pt>
                <c:pt idx="5">
                  <c:v>des bureaux</c:v>
                </c:pt>
                <c:pt idx="6">
                  <c:v>des bureaux</c:v>
                </c:pt>
                <c:pt idx="7">
                  <c:v>des bureaux</c:v>
                </c:pt>
                <c:pt idx="8">
                  <c:v>des armoires</c:v>
                </c:pt>
                <c:pt idx="9">
                  <c:v>des armoires</c:v>
                </c:pt>
                <c:pt idx="10">
                  <c:v>des ordinateurs</c:v>
                </c:pt>
                <c:pt idx="11">
                  <c:v>des ordinateurs</c:v>
                </c:pt>
                <c:pt idx="12">
                  <c:v>des ordinateurs</c:v>
                </c:pt>
                <c:pt idx="13">
                  <c:v>des portes</c:v>
                </c:pt>
                <c:pt idx="14">
                  <c:v>des portes</c:v>
                </c:pt>
              </c:strCache>
            </c:strRef>
          </c:cat>
          <c:val>
            <c:numRef>
              <c:f>Feuil1!$I$3:$I$17</c:f>
              <c:numCache>
                <c:formatCode>General</c:formatCode>
                <c:ptCount val="15"/>
                <c:pt idx="0">
                  <c:v>240</c:v>
                </c:pt>
                <c:pt idx="1">
                  <c:v>200</c:v>
                </c:pt>
                <c:pt idx="2">
                  <c:v>650</c:v>
                </c:pt>
                <c:pt idx="3">
                  <c:v>260</c:v>
                </c:pt>
                <c:pt idx="4">
                  <c:v>1300</c:v>
                </c:pt>
                <c:pt idx="5">
                  <c:v>302</c:v>
                </c:pt>
                <c:pt idx="6">
                  <c:v>350</c:v>
                </c:pt>
                <c:pt idx="7">
                  <c:v>1021</c:v>
                </c:pt>
                <c:pt idx="8">
                  <c:v>310</c:v>
                </c:pt>
                <c:pt idx="9">
                  <c:v>470</c:v>
                </c:pt>
                <c:pt idx="10">
                  <c:v>201</c:v>
                </c:pt>
                <c:pt idx="11">
                  <c:v>350</c:v>
                </c:pt>
                <c:pt idx="12">
                  <c:v>890</c:v>
                </c:pt>
                <c:pt idx="13">
                  <c:v>310</c:v>
                </c:pt>
                <c:pt idx="14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5-7A4C-B7B9-07324FF0581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6600" b="1">
                <a:solidFill>
                  <a:srgbClr val="FF0000"/>
                </a:solidFill>
              </a:rPr>
              <a:t>PA-PV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Prix unitaire 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Feuil1!$E$3:$E$17</c:f>
              <c:numCache>
                <c:formatCode>#,##0.00\ "€"</c:formatCode>
                <c:ptCount val="15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140</c:v>
                </c:pt>
                <c:pt idx="4">
                  <c:v>140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540</c:v>
                </c:pt>
                <c:pt idx="9">
                  <c:v>540</c:v>
                </c:pt>
                <c:pt idx="10">
                  <c:v>950</c:v>
                </c:pt>
                <c:pt idx="11">
                  <c:v>950</c:v>
                </c:pt>
                <c:pt idx="12">
                  <c:v>950</c:v>
                </c:pt>
                <c:pt idx="13">
                  <c:v>450</c:v>
                </c:pt>
                <c:pt idx="14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C-0E4B-8A6A-3FDD692B131C}"/>
            </c:ext>
          </c:extLst>
        </c:ser>
        <c:ser>
          <c:idx val="1"/>
          <c:order val="1"/>
          <c:tx>
            <c:strRef>
              <c:f>Feuil1!$M$2</c:f>
              <c:strCache>
                <c:ptCount val="1"/>
                <c:pt idx="0">
                  <c:v>PV 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Feuil1!$M$3:$M$17</c:f>
              <c:numCache>
                <c:formatCode>#,##0.00\ "€"</c:formatCode>
                <c:ptCount val="15"/>
                <c:pt idx="0">
                  <c:v>172.5</c:v>
                </c:pt>
                <c:pt idx="1">
                  <c:v>172.5</c:v>
                </c:pt>
                <c:pt idx="2">
                  <c:v>172.5</c:v>
                </c:pt>
                <c:pt idx="3">
                  <c:v>161</c:v>
                </c:pt>
                <c:pt idx="4">
                  <c:v>161</c:v>
                </c:pt>
                <c:pt idx="5">
                  <c:v>253</c:v>
                </c:pt>
                <c:pt idx="6">
                  <c:v>253</c:v>
                </c:pt>
                <c:pt idx="7">
                  <c:v>253</c:v>
                </c:pt>
                <c:pt idx="8">
                  <c:v>621</c:v>
                </c:pt>
                <c:pt idx="9">
                  <c:v>621</c:v>
                </c:pt>
                <c:pt idx="10">
                  <c:v>1092.5</c:v>
                </c:pt>
                <c:pt idx="11">
                  <c:v>1092.5</c:v>
                </c:pt>
                <c:pt idx="12">
                  <c:v>1092.5</c:v>
                </c:pt>
                <c:pt idx="13">
                  <c:v>517.5</c:v>
                </c:pt>
                <c:pt idx="14">
                  <c:v>517.5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C-0E4B-8A6A-3FDD692B1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535632"/>
        <c:axId val="1831537280"/>
        <c:axId val="1830578864"/>
      </c:line3DChart>
      <c:catAx>
        <c:axId val="1831535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1537280"/>
        <c:crosses val="autoZero"/>
        <c:auto val="1"/>
        <c:lblAlgn val="ctr"/>
        <c:lblOffset val="100"/>
        <c:noMultiLvlLbl val="0"/>
      </c:catAx>
      <c:valAx>
        <c:axId val="18315372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FF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1535632"/>
        <c:crosses val="autoZero"/>
        <c:crossBetween val="between"/>
        <c:majorUnit val="200"/>
      </c:valAx>
      <c:serAx>
        <c:axId val="1830578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15372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 i="1"/>
              <a:t>Nombre de personnes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Feuil3!$D$3:$D$12</c:f>
              <c:strCache>
                <c:ptCount val="10"/>
                <c:pt idx="0">
                  <c:v>Gym</c:v>
                </c:pt>
                <c:pt idx="1">
                  <c:v>natation</c:v>
                </c:pt>
                <c:pt idx="2">
                  <c:v>tennis</c:v>
                </c:pt>
                <c:pt idx="3">
                  <c:v>Gym</c:v>
                </c:pt>
                <c:pt idx="4">
                  <c:v>tennis</c:v>
                </c:pt>
                <c:pt idx="5">
                  <c:v>Gym</c:v>
                </c:pt>
                <c:pt idx="6">
                  <c:v>tennis</c:v>
                </c:pt>
                <c:pt idx="7">
                  <c:v>Gym</c:v>
                </c:pt>
                <c:pt idx="8">
                  <c:v>foot</c:v>
                </c:pt>
                <c:pt idx="9">
                  <c:v>boxe</c:v>
                </c:pt>
              </c:strCache>
            </c:strRef>
          </c:cat>
          <c:val>
            <c:numRef>
              <c:f>Feuil3!$F$3:$F$12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9-4748-90D8-C70212AF63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rgbClr val="00B0F0"/>
        </a:gs>
        <a:gs pos="45000">
          <a:srgbClr val="C00000"/>
        </a:gs>
        <a:gs pos="49000">
          <a:srgbClr val="C00000"/>
        </a:gs>
        <a:gs pos="100000">
          <a:srgbClr val="0070C0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Revenu par</a:t>
            </a:r>
            <a:r>
              <a:rPr lang="fr-FR" baseline="0"/>
              <a:t> pension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Montant brut global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Feuil3!$K$3:$K$12</c:f>
              <c:strCache>
                <c:ptCount val="10"/>
                <c:pt idx="0">
                  <c:v>1/2 pension midi</c:v>
                </c:pt>
                <c:pt idx="1">
                  <c:v>pension complète</c:v>
                </c:pt>
                <c:pt idx="2">
                  <c:v>pension soir</c:v>
                </c:pt>
                <c:pt idx="3">
                  <c:v>1/2 pension midi</c:v>
                </c:pt>
                <c:pt idx="4">
                  <c:v>pension complète</c:v>
                </c:pt>
                <c:pt idx="5">
                  <c:v>pension soir</c:v>
                </c:pt>
                <c:pt idx="6">
                  <c:v>1/2 pension midi</c:v>
                </c:pt>
                <c:pt idx="7">
                  <c:v>pension complète</c:v>
                </c:pt>
                <c:pt idx="8">
                  <c:v>pension soir</c:v>
                </c:pt>
                <c:pt idx="9">
                  <c:v>pension soir</c:v>
                </c:pt>
              </c:strCache>
            </c:strRef>
          </c:cat>
          <c:val>
            <c:numRef>
              <c:f>Feuil3!$M$3:$M$12</c:f>
              <c:numCache>
                <c:formatCode>#,##0.00\ "€"</c:formatCode>
                <c:ptCount val="10"/>
                <c:pt idx="0">
                  <c:v>7200</c:v>
                </c:pt>
                <c:pt idx="1">
                  <c:v>4200</c:v>
                </c:pt>
                <c:pt idx="2">
                  <c:v>3200</c:v>
                </c:pt>
                <c:pt idx="3">
                  <c:v>5400</c:v>
                </c:pt>
                <c:pt idx="4">
                  <c:v>7600</c:v>
                </c:pt>
                <c:pt idx="5">
                  <c:v>12600</c:v>
                </c:pt>
                <c:pt idx="6">
                  <c:v>8700</c:v>
                </c:pt>
                <c:pt idx="7">
                  <c:v>5400</c:v>
                </c:pt>
                <c:pt idx="8">
                  <c:v>5600</c:v>
                </c:pt>
                <c:pt idx="9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354C-8254-A83FFE7676A5}"/>
            </c:ext>
          </c:extLst>
        </c:ser>
        <c:ser>
          <c:idx val="1"/>
          <c:order val="1"/>
          <c:tx>
            <c:v>Montant net global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Feuil3!$K$3:$K$12</c:f>
              <c:strCache>
                <c:ptCount val="10"/>
                <c:pt idx="0">
                  <c:v>1/2 pension midi</c:v>
                </c:pt>
                <c:pt idx="1">
                  <c:v>pension complète</c:v>
                </c:pt>
                <c:pt idx="2">
                  <c:v>pension soir</c:v>
                </c:pt>
                <c:pt idx="3">
                  <c:v>1/2 pension midi</c:v>
                </c:pt>
                <c:pt idx="4">
                  <c:v>pension complète</c:v>
                </c:pt>
                <c:pt idx="5">
                  <c:v>pension soir</c:v>
                </c:pt>
                <c:pt idx="6">
                  <c:v>1/2 pension midi</c:v>
                </c:pt>
                <c:pt idx="7">
                  <c:v>pension complète</c:v>
                </c:pt>
                <c:pt idx="8">
                  <c:v>pension soir</c:v>
                </c:pt>
                <c:pt idx="9">
                  <c:v>pension soir</c:v>
                </c:pt>
              </c:strCache>
            </c:strRef>
          </c:cat>
          <c:val>
            <c:numRef>
              <c:f>Feuil3!$N$3:$N$12</c:f>
              <c:numCache>
                <c:formatCode>#,##0.00\ "€"</c:formatCode>
                <c:ptCount val="10"/>
                <c:pt idx="0">
                  <c:v>6840</c:v>
                </c:pt>
                <c:pt idx="1">
                  <c:v>4032</c:v>
                </c:pt>
                <c:pt idx="2">
                  <c:v>2934</c:v>
                </c:pt>
                <c:pt idx="3">
                  <c:v>5130</c:v>
                </c:pt>
                <c:pt idx="4">
                  <c:v>7020</c:v>
                </c:pt>
                <c:pt idx="5">
                  <c:v>11700</c:v>
                </c:pt>
                <c:pt idx="6">
                  <c:v>7539</c:v>
                </c:pt>
                <c:pt idx="7">
                  <c:v>5208</c:v>
                </c:pt>
                <c:pt idx="8">
                  <c:v>4948</c:v>
                </c:pt>
                <c:pt idx="9">
                  <c:v>4388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4-354C-8254-A83FFE767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1336368"/>
        <c:axId val="1041307440"/>
        <c:axId val="0"/>
      </c:bar3DChart>
      <c:catAx>
        <c:axId val="104133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307440"/>
        <c:crosses val="autoZero"/>
        <c:auto val="1"/>
        <c:lblAlgn val="ctr"/>
        <c:lblOffset val="100"/>
        <c:noMultiLvlLbl val="0"/>
      </c:catAx>
      <c:valAx>
        <c:axId val="10413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33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2">
            <a:lumMod val="20000"/>
            <a:lumOff val="80000"/>
          </a:schemeClr>
        </a:gs>
        <a:gs pos="45000">
          <a:schemeClr val="bg1">
            <a:lumMod val="95000"/>
          </a:schemeClr>
        </a:gs>
        <a:gs pos="49000">
          <a:schemeClr val="bg1"/>
        </a:gs>
        <a:gs pos="100000">
          <a:schemeClr val="accent2">
            <a:lumMod val="20000"/>
            <a:lumOff val="80000"/>
          </a:schemeClr>
        </a:gs>
      </a:gsLst>
      <a:lin ang="27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gradFill flip="none" rotWithShape="1">
                  <a:gsLst>
                    <a:gs pos="19000">
                      <a:schemeClr val="bg1">
                        <a:lumMod val="95000"/>
                      </a:schemeClr>
                    </a:gs>
                    <a:gs pos="45000">
                      <a:srgbClr val="C00000"/>
                    </a:gs>
                    <a:gs pos="48000">
                      <a:srgbClr val="C00000"/>
                    </a:gs>
                    <a:gs pos="84000">
                      <a:schemeClr val="bg1"/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  <a:latin typeface="+mn-lt"/>
                <a:ea typeface="+mn-ea"/>
                <a:cs typeface="+mn-cs"/>
              </a:defRPr>
            </a:pPr>
            <a:r>
              <a:rPr lang="fr-FR" sz="1800" b="1">
                <a:gradFill flip="none" rotWithShape="1">
                  <a:gsLst>
                    <a:gs pos="19000">
                      <a:schemeClr val="bg1">
                        <a:lumMod val="95000"/>
                      </a:schemeClr>
                    </a:gs>
                    <a:gs pos="45000">
                      <a:srgbClr val="C00000"/>
                    </a:gs>
                    <a:gs pos="48000">
                      <a:srgbClr val="C00000"/>
                    </a:gs>
                    <a:gs pos="84000">
                      <a:schemeClr val="bg1"/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rPr>
              <a:t>Revenue</a:t>
            </a:r>
            <a:r>
              <a:rPr lang="fr-FR" sz="1800" b="1" baseline="0">
                <a:gradFill flip="none" rotWithShape="1">
                  <a:gsLst>
                    <a:gs pos="19000">
                      <a:schemeClr val="bg1">
                        <a:lumMod val="95000"/>
                      </a:schemeClr>
                    </a:gs>
                    <a:gs pos="45000">
                      <a:srgbClr val="C00000"/>
                    </a:gs>
                    <a:gs pos="48000">
                      <a:srgbClr val="C00000"/>
                    </a:gs>
                    <a:gs pos="84000">
                      <a:schemeClr val="bg1"/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rPr>
              <a:t> par activité </a:t>
            </a:r>
            <a:endParaRPr lang="fr-FR" sz="1800" b="1">
              <a:gradFill flip="none" rotWithShape="1">
                <a:gsLst>
                  <a:gs pos="19000">
                    <a:schemeClr val="bg1">
                      <a:lumMod val="95000"/>
                    </a:schemeClr>
                  </a:gs>
                  <a:gs pos="45000">
                    <a:srgbClr val="C00000"/>
                  </a:gs>
                  <a:gs pos="48000">
                    <a:srgbClr val="C00000"/>
                  </a:gs>
                  <a:gs pos="84000">
                    <a:schemeClr val="bg1"/>
                  </a:gs>
                </a:gsLst>
                <a:path path="circle">
                  <a:fillToRect l="100000" t="100000"/>
                </a:path>
                <a:tileRect r="-100000" b="-100000"/>
              </a:gra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gradFill flip="none" rotWithShape="1">
                <a:gsLst>
                  <a:gs pos="19000">
                    <a:schemeClr val="bg1">
                      <a:lumMod val="95000"/>
                    </a:schemeClr>
                  </a:gs>
                  <a:gs pos="45000">
                    <a:srgbClr val="C00000"/>
                  </a:gs>
                  <a:gs pos="48000">
                    <a:srgbClr val="C00000"/>
                  </a:gs>
                  <a:gs pos="84000">
                    <a:schemeClr val="bg1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gradFill>
          <a:gsLst>
            <a:gs pos="0">
              <a:schemeClr val="bg1">
                <a:lumMod val="95000"/>
              </a:schemeClr>
            </a:gs>
            <a:gs pos="45000">
              <a:schemeClr val="accent1">
                <a:lumMod val="20000"/>
                <a:lumOff val="80000"/>
              </a:schemeClr>
            </a:gs>
            <a:gs pos="48000">
              <a:schemeClr val="accent1">
                <a:lumMod val="20000"/>
                <a:lumOff val="80000"/>
              </a:schemeClr>
            </a:gs>
            <a:gs pos="100000">
              <a:schemeClr val="bg1"/>
            </a:gs>
          </a:gsLst>
          <a:lin ang="2700000" scaled="1"/>
        </a:gradFill>
        <a:ln>
          <a:noFill/>
        </a:ln>
        <a:effectLst/>
        <a:sp3d/>
      </c:spPr>
    </c:floor>
    <c:sideWall>
      <c:thickness val="0"/>
      <c:spPr>
        <a:gradFill>
          <a:gsLst>
            <a:gs pos="0">
              <a:schemeClr val="bg1">
                <a:lumMod val="95000"/>
              </a:schemeClr>
            </a:gs>
            <a:gs pos="45000">
              <a:schemeClr val="accent1">
                <a:lumMod val="20000"/>
                <a:lumOff val="80000"/>
              </a:schemeClr>
            </a:gs>
            <a:gs pos="48000">
              <a:schemeClr val="accent1">
                <a:lumMod val="20000"/>
                <a:lumOff val="80000"/>
              </a:schemeClr>
            </a:gs>
            <a:gs pos="100000">
              <a:schemeClr val="bg1"/>
            </a:gs>
          </a:gsLst>
          <a:lin ang="27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0">
              <a:schemeClr val="bg1">
                <a:lumMod val="95000"/>
              </a:schemeClr>
            </a:gs>
            <a:gs pos="45000">
              <a:schemeClr val="accent1">
                <a:lumMod val="20000"/>
                <a:lumOff val="80000"/>
              </a:schemeClr>
            </a:gs>
            <a:gs pos="48000">
              <a:schemeClr val="accent1">
                <a:lumMod val="20000"/>
                <a:lumOff val="80000"/>
              </a:schemeClr>
            </a:gs>
            <a:gs pos="100000">
              <a:schemeClr val="bg1"/>
            </a:gs>
          </a:gsLst>
          <a:lin ang="2700000" scaled="1"/>
        </a:gradFill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v>montant brut global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Feuil3!$D$3:$D$12</c:f>
              <c:strCache>
                <c:ptCount val="10"/>
                <c:pt idx="0">
                  <c:v>Gym</c:v>
                </c:pt>
                <c:pt idx="1">
                  <c:v>natation</c:v>
                </c:pt>
                <c:pt idx="2">
                  <c:v>tennis</c:v>
                </c:pt>
                <c:pt idx="3">
                  <c:v>Gym</c:v>
                </c:pt>
                <c:pt idx="4">
                  <c:v>tennis</c:v>
                </c:pt>
                <c:pt idx="5">
                  <c:v>Gym</c:v>
                </c:pt>
                <c:pt idx="6">
                  <c:v>tennis</c:v>
                </c:pt>
                <c:pt idx="7">
                  <c:v>Gym</c:v>
                </c:pt>
                <c:pt idx="8">
                  <c:v>foot</c:v>
                </c:pt>
                <c:pt idx="9">
                  <c:v>boxe</c:v>
                </c:pt>
              </c:strCache>
            </c:strRef>
          </c:cat>
          <c:val>
            <c:numRef>
              <c:f>Feuil3!$M$3:$M$12</c:f>
              <c:numCache>
                <c:formatCode>#,##0.00\ "€"</c:formatCode>
                <c:ptCount val="10"/>
                <c:pt idx="0">
                  <c:v>7200</c:v>
                </c:pt>
                <c:pt idx="1">
                  <c:v>4200</c:v>
                </c:pt>
                <c:pt idx="2">
                  <c:v>3200</c:v>
                </c:pt>
                <c:pt idx="3">
                  <c:v>5400</c:v>
                </c:pt>
                <c:pt idx="4">
                  <c:v>7600</c:v>
                </c:pt>
                <c:pt idx="5">
                  <c:v>12600</c:v>
                </c:pt>
                <c:pt idx="6">
                  <c:v>8700</c:v>
                </c:pt>
                <c:pt idx="7">
                  <c:v>5400</c:v>
                </c:pt>
                <c:pt idx="8">
                  <c:v>5600</c:v>
                </c:pt>
                <c:pt idx="9">
                  <c:v>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0-6240-B6B3-EA84E7BEC1B5}"/>
            </c:ext>
          </c:extLst>
        </c:ser>
        <c:ser>
          <c:idx val="1"/>
          <c:order val="1"/>
          <c:tx>
            <c:v>montant net global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Feuil3!$D$3:$D$12</c:f>
              <c:strCache>
                <c:ptCount val="10"/>
                <c:pt idx="0">
                  <c:v>Gym</c:v>
                </c:pt>
                <c:pt idx="1">
                  <c:v>natation</c:v>
                </c:pt>
                <c:pt idx="2">
                  <c:v>tennis</c:v>
                </c:pt>
                <c:pt idx="3">
                  <c:v>Gym</c:v>
                </c:pt>
                <c:pt idx="4">
                  <c:v>tennis</c:v>
                </c:pt>
                <c:pt idx="5">
                  <c:v>Gym</c:v>
                </c:pt>
                <c:pt idx="6">
                  <c:v>tennis</c:v>
                </c:pt>
                <c:pt idx="7">
                  <c:v>Gym</c:v>
                </c:pt>
                <c:pt idx="8">
                  <c:v>foot</c:v>
                </c:pt>
                <c:pt idx="9">
                  <c:v>boxe</c:v>
                </c:pt>
              </c:strCache>
            </c:strRef>
          </c:cat>
          <c:val>
            <c:numRef>
              <c:f>Feuil3!$N$3:$N$12</c:f>
              <c:numCache>
                <c:formatCode>#,##0.00\ "€"</c:formatCode>
                <c:ptCount val="10"/>
                <c:pt idx="0">
                  <c:v>6840</c:v>
                </c:pt>
                <c:pt idx="1">
                  <c:v>4032</c:v>
                </c:pt>
                <c:pt idx="2">
                  <c:v>2934</c:v>
                </c:pt>
                <c:pt idx="3">
                  <c:v>5130</c:v>
                </c:pt>
                <c:pt idx="4">
                  <c:v>7020</c:v>
                </c:pt>
                <c:pt idx="5">
                  <c:v>11700</c:v>
                </c:pt>
                <c:pt idx="6">
                  <c:v>7539</c:v>
                </c:pt>
                <c:pt idx="7">
                  <c:v>5208</c:v>
                </c:pt>
                <c:pt idx="8">
                  <c:v>4948</c:v>
                </c:pt>
                <c:pt idx="9">
                  <c:v>4388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0-6240-B6B3-EA84E7BEC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606032"/>
        <c:axId val="1041408224"/>
        <c:axId val="1047804640"/>
      </c:line3DChart>
      <c:catAx>
        <c:axId val="104160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408224"/>
        <c:crosses val="autoZero"/>
        <c:auto val="1"/>
        <c:lblAlgn val="ctr"/>
        <c:lblOffset val="100"/>
        <c:noMultiLvlLbl val="0"/>
      </c:catAx>
      <c:valAx>
        <c:axId val="10414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606032"/>
        <c:crosses val="autoZero"/>
        <c:crossBetween val="between"/>
      </c:valAx>
      <c:serAx>
        <c:axId val="1047804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408224"/>
        <c:crosses val="autoZero"/>
      </c:ser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698500</xdr:colOff>
      <xdr:row>26</xdr:row>
      <xdr:rowOff>11289</xdr:rowOff>
    </xdr:from>
    <xdr:to>
      <xdr:col>13</xdr:col>
      <xdr:colOff>705555</xdr:colOff>
      <xdr:row>45</xdr:row>
      <xdr:rowOff>14112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F00B42-033A-D041-9BAA-3F496FA28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994833</xdr:colOff>
      <xdr:row>32</xdr:row>
      <xdr:rowOff>211667</xdr:rowOff>
    </xdr:from>
    <xdr:to>
      <xdr:col>7</xdr:col>
      <xdr:colOff>903111</xdr:colOff>
      <xdr:row>56</xdr:row>
      <xdr:rowOff>129823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06A5B81-2AF2-D645-AB63-90D16794A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650913</xdr:colOff>
      <xdr:row>20</xdr:row>
      <xdr:rowOff>25400</xdr:rowOff>
    </xdr:from>
    <xdr:to>
      <xdr:col>12</xdr:col>
      <xdr:colOff>1039870</xdr:colOff>
      <xdr:row>36</xdr:row>
      <xdr:rowOff>437309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6C6E47D-9F9C-7744-8356-1DB53C6C7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1000596</xdr:colOff>
      <xdr:row>38</xdr:row>
      <xdr:rowOff>152400</xdr:rowOff>
    </xdr:from>
    <xdr:to>
      <xdr:col>17</xdr:col>
      <xdr:colOff>355599</xdr:colOff>
      <xdr:row>56</xdr:row>
      <xdr:rowOff>26481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7383F10-AAE9-C743-B92C-9A6BCDD90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1757167</xdr:colOff>
      <xdr:row>20</xdr:row>
      <xdr:rowOff>0</xdr:rowOff>
    </xdr:from>
    <xdr:to>
      <xdr:col>17</xdr:col>
      <xdr:colOff>965200</xdr:colOff>
      <xdr:row>37</xdr:row>
      <xdr:rowOff>57078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6BA9A23-087D-AA43-8696-7FE847F96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87.446180324077" createdVersion="7" refreshedVersion="7" minRefreshableVersion="3" recordCount="10" xr:uid="{8B26FD02-EC98-8F46-B51A-39089FE8E115}">
  <cacheSource type="worksheet">
    <worksheetSource ref="A2:N12" sheet="Feuil3"/>
  </cacheSource>
  <cacheFields count="14">
    <cacheField name="N'Adherent" numFmtId="0">
      <sharedItems containsSemiMixedTypes="0" containsString="0" containsNumber="1" containsInteger="1" minValue="1" maxValue="10"/>
    </cacheField>
    <cacheField name="NOM" numFmtId="0">
      <sharedItems count="10">
        <s v="toto"/>
        <s v="titi"/>
        <s v="tata"/>
        <s v="dupond"/>
        <s v="durand"/>
        <s v="dupont"/>
        <s v="momo"/>
        <s v="kiri"/>
        <s v="coucou"/>
        <s v="clara"/>
      </sharedItems>
    </cacheField>
    <cacheField name="Code activité" numFmtId="0">
      <sharedItems containsSemiMixedTypes="0" containsString="0" containsNumber="1" containsInteger="1" minValue="1" maxValue="5"/>
    </cacheField>
    <cacheField name="intitulé" numFmtId="0">
      <sharedItems count="5">
        <s v="Gym"/>
        <s v="natation"/>
        <s v="tennis"/>
        <s v="foot"/>
        <s v="boxe"/>
      </sharedItems>
    </cacheField>
    <cacheField name="Prix individuel" numFmtId="167">
      <sharedItems containsSemiMixedTypes="0" containsString="0" containsNumber="1" containsInteger="1" minValue="500" maxValue="2300"/>
    </cacheField>
    <cacheField name="nb de personnes" numFmtId="0">
      <sharedItems containsSemiMixedTypes="0" containsString="0" containsNumber="1" containsInteger="1" minValue="1" maxValue="6"/>
    </cacheField>
    <cacheField name="montant brut activité " numFmtId="167">
      <sharedItems containsSemiMixedTypes="0" containsString="0" containsNumber="1" containsInteger="1" minValue="1200" maxValue="7200"/>
    </cacheField>
    <cacheField name="Remise activité" numFmtId="44">
      <sharedItems containsSemiMixedTypes="0" containsString="0" containsNumber="1" containsInteger="1" minValue="48" maxValue="1035"/>
    </cacheField>
    <cacheField name="Montant net Activité" numFmtId="0">
      <sharedItems containsSemiMixedTypes="0" containsString="0" containsNumber="1" containsInteger="1" minValue="1152" maxValue="6840"/>
    </cacheField>
    <cacheField name="Type pension" numFmtId="0">
      <sharedItems containsSemiMixedTypes="0" containsString="0" containsNumber="1" containsInteger="1" minValue="1" maxValue="3" count="3">
        <n v="1"/>
        <n v="3"/>
        <n v="2"/>
      </sharedItems>
    </cacheField>
    <cacheField name="intitulé pension" numFmtId="0">
      <sharedItems count="3">
        <s v="1/2 pension midi"/>
        <s v="pension complète"/>
        <s v="pension soir"/>
      </sharedItems>
    </cacheField>
    <cacheField name="Montant net Pension" numFmtId="167">
      <sharedItems containsSemiMixedTypes="0" containsString="0" containsNumber="1" containsInteger="1" minValue="864" maxValue="4860"/>
    </cacheField>
    <cacheField name="Montant brut global" numFmtId="167">
      <sharedItems containsSemiMixedTypes="0" containsString="0" containsNumber="1" containsInteger="1" minValue="3200" maxValue="12600"/>
    </cacheField>
    <cacheField name="montant net global" numFmtId="167">
      <sharedItems containsSemiMixedTypes="0" containsString="0" containsNumber="1" containsInteger="1" minValue="2934" maxValue="11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87.538352546297" createdVersion="7" refreshedVersion="7" minRefreshableVersion="3" recordCount="10" xr:uid="{D5DFCD0F-6FDD-4140-B0C3-3E4E441755D2}">
  <cacheSource type="worksheet">
    <worksheetSource name="Base"/>
  </cacheSource>
  <cacheFields count="14">
    <cacheField name="N'Adherent" numFmtId="0">
      <sharedItems containsSemiMixedTypes="0" containsString="0" containsNumber="1" containsInteger="1" minValue="1" maxValue="10"/>
    </cacheField>
    <cacheField name="NOM" numFmtId="0">
      <sharedItems count="10">
        <s v="toto"/>
        <s v="titi"/>
        <s v="tata"/>
        <s v="dupond"/>
        <s v="durand"/>
        <s v="dupont"/>
        <s v="momo"/>
        <s v="kiri"/>
        <s v="coucou"/>
        <s v="clara"/>
      </sharedItems>
    </cacheField>
    <cacheField name="Code activité" numFmtId="0">
      <sharedItems containsSemiMixedTypes="0" containsString="0" containsNumber="1" containsInteger="1" minValue="1" maxValue="5"/>
    </cacheField>
    <cacheField name="intitulé" numFmtId="0">
      <sharedItems count="5">
        <s v="Gym"/>
        <s v="natation"/>
        <s v="tennis"/>
        <s v="foot"/>
        <s v="boxe"/>
      </sharedItems>
    </cacheField>
    <cacheField name="Prix individuel" numFmtId="167">
      <sharedItems containsSemiMixedTypes="0" containsString="0" containsNumber="1" containsInteger="1" minValue="500" maxValue="2300"/>
    </cacheField>
    <cacheField name="nb de personnes" numFmtId="0">
      <sharedItems containsSemiMixedTypes="0" containsString="0" containsNumber="1" containsInteger="1" minValue="1" maxValue="6" count="5">
        <n v="4"/>
        <n v="2"/>
        <n v="1"/>
        <n v="3"/>
        <n v="6"/>
      </sharedItems>
    </cacheField>
    <cacheField name="montant brut activité " numFmtId="167">
      <sharedItems containsSemiMixedTypes="0" containsString="0" containsNumber="1" containsInteger="1" minValue="1200" maxValue="7200"/>
    </cacheField>
    <cacheField name="Remise activité" numFmtId="44">
      <sharedItems containsSemiMixedTypes="0" containsString="0" containsNumber="1" containsInteger="1" minValue="48" maxValue="1035"/>
    </cacheField>
    <cacheField name="Montant net Activité" numFmtId="0">
      <sharedItems containsSemiMixedTypes="0" containsString="0" containsNumber="1" containsInteger="1" minValue="1152" maxValue="6840"/>
    </cacheField>
    <cacheField name="Type pension" numFmtId="0">
      <sharedItems containsSemiMixedTypes="0" containsString="0" containsNumber="1" containsInteger="1" minValue="1" maxValue="3"/>
    </cacheField>
    <cacheField name="intitulé pension" numFmtId="0">
      <sharedItems/>
    </cacheField>
    <cacheField name="Montant net Pension" numFmtId="167">
      <sharedItems containsSemiMixedTypes="0" containsString="0" containsNumber="1" containsInteger="1" minValue="864" maxValue="4860"/>
    </cacheField>
    <cacheField name="Montant brut global" numFmtId="167">
      <sharedItems containsSemiMixedTypes="0" containsString="0" containsNumber="1" containsInteger="1" minValue="3200" maxValue="12600"/>
    </cacheField>
    <cacheField name="montant net global" numFmtId="167">
      <sharedItems containsSemiMixedTypes="0" containsString="0" containsNumber="1" containsInteger="1" minValue="2934" maxValue="11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1"/>
    <x v="0"/>
    <n v="1200"/>
    <n v="4"/>
    <n v="4800"/>
    <n v="192"/>
    <n v="4608"/>
    <x v="0"/>
    <x v="0"/>
    <n v="2232"/>
    <n v="7200"/>
    <n v="6840"/>
  </r>
  <r>
    <n v="2"/>
    <x v="1"/>
    <n v="2"/>
    <x v="1"/>
    <n v="600"/>
    <n v="2"/>
    <n v="1200"/>
    <n v="48"/>
    <n v="1152"/>
    <x v="1"/>
    <x v="1"/>
    <n v="2880"/>
    <n v="4200"/>
    <n v="4032"/>
  </r>
  <r>
    <n v="3"/>
    <x v="2"/>
    <n v="4"/>
    <x v="2"/>
    <n v="2300"/>
    <n v="1"/>
    <n v="2300"/>
    <n v="230"/>
    <n v="2070"/>
    <x v="2"/>
    <x v="2"/>
    <n v="864"/>
    <n v="3200"/>
    <n v="2934"/>
  </r>
  <r>
    <n v="4"/>
    <x v="3"/>
    <n v="1"/>
    <x v="0"/>
    <n v="1200"/>
    <n v="3"/>
    <n v="3600"/>
    <n v="144"/>
    <n v="3456"/>
    <x v="0"/>
    <x v="0"/>
    <n v="1674"/>
    <n v="5400"/>
    <n v="5130"/>
  </r>
  <r>
    <n v="5"/>
    <x v="4"/>
    <n v="4"/>
    <x v="2"/>
    <n v="2300"/>
    <n v="2"/>
    <n v="4600"/>
    <n v="460"/>
    <n v="4140"/>
    <x v="1"/>
    <x v="1"/>
    <n v="2880"/>
    <n v="7600"/>
    <n v="7020"/>
  </r>
  <r>
    <n v="6"/>
    <x v="5"/>
    <n v="1"/>
    <x v="0"/>
    <n v="1200"/>
    <n v="6"/>
    <n v="7200"/>
    <n v="360"/>
    <n v="6840"/>
    <x v="2"/>
    <x v="2"/>
    <n v="4860"/>
    <n v="12600"/>
    <n v="11700"/>
  </r>
  <r>
    <n v="7"/>
    <x v="6"/>
    <n v="4"/>
    <x v="2"/>
    <n v="2300"/>
    <n v="3"/>
    <n v="6900"/>
    <n v="1035"/>
    <n v="5865"/>
    <x v="0"/>
    <x v="0"/>
    <n v="1674"/>
    <n v="8700"/>
    <n v="7539"/>
  </r>
  <r>
    <n v="8"/>
    <x v="7"/>
    <n v="1"/>
    <x v="0"/>
    <n v="1200"/>
    <n v="2"/>
    <n v="2400"/>
    <n v="72"/>
    <n v="2328"/>
    <x v="1"/>
    <x v="1"/>
    <n v="2880"/>
    <n v="5400"/>
    <n v="5208"/>
  </r>
  <r>
    <n v="9"/>
    <x v="8"/>
    <n v="5"/>
    <x v="3"/>
    <n v="500"/>
    <n v="4"/>
    <n v="2000"/>
    <n v="400"/>
    <n v="1600"/>
    <x v="2"/>
    <x v="2"/>
    <n v="3348"/>
    <n v="5600"/>
    <n v="4948"/>
  </r>
  <r>
    <n v="10"/>
    <x v="9"/>
    <n v="3"/>
    <x v="4"/>
    <n v="1400"/>
    <n v="2"/>
    <n v="2800"/>
    <n v="140"/>
    <n v="2660"/>
    <x v="2"/>
    <x v="2"/>
    <n v="1728"/>
    <n v="4600"/>
    <n v="438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1"/>
    <x v="0"/>
    <n v="1200"/>
    <x v="0"/>
    <n v="4800"/>
    <n v="192"/>
    <n v="4608"/>
    <n v="1"/>
    <s v="1/2 pension midi"/>
    <n v="2232"/>
    <n v="7200"/>
    <n v="6840"/>
  </r>
  <r>
    <n v="2"/>
    <x v="1"/>
    <n v="2"/>
    <x v="1"/>
    <n v="600"/>
    <x v="1"/>
    <n v="1200"/>
    <n v="48"/>
    <n v="1152"/>
    <n v="3"/>
    <s v="pension complète"/>
    <n v="2880"/>
    <n v="4200"/>
    <n v="4032"/>
  </r>
  <r>
    <n v="3"/>
    <x v="2"/>
    <n v="4"/>
    <x v="2"/>
    <n v="2300"/>
    <x v="2"/>
    <n v="2300"/>
    <n v="230"/>
    <n v="2070"/>
    <n v="2"/>
    <s v="pension soir"/>
    <n v="864"/>
    <n v="3200"/>
    <n v="2934"/>
  </r>
  <r>
    <n v="4"/>
    <x v="3"/>
    <n v="1"/>
    <x v="0"/>
    <n v="1200"/>
    <x v="3"/>
    <n v="3600"/>
    <n v="144"/>
    <n v="3456"/>
    <n v="1"/>
    <s v="1/2 pension midi"/>
    <n v="1674"/>
    <n v="5400"/>
    <n v="5130"/>
  </r>
  <r>
    <n v="5"/>
    <x v="4"/>
    <n v="4"/>
    <x v="2"/>
    <n v="2300"/>
    <x v="1"/>
    <n v="4600"/>
    <n v="460"/>
    <n v="4140"/>
    <n v="3"/>
    <s v="pension complète"/>
    <n v="2880"/>
    <n v="7600"/>
    <n v="7020"/>
  </r>
  <r>
    <n v="6"/>
    <x v="5"/>
    <n v="1"/>
    <x v="0"/>
    <n v="1200"/>
    <x v="4"/>
    <n v="7200"/>
    <n v="360"/>
    <n v="6840"/>
    <n v="2"/>
    <s v="pension soir"/>
    <n v="4860"/>
    <n v="12600"/>
    <n v="11700"/>
  </r>
  <r>
    <n v="7"/>
    <x v="6"/>
    <n v="4"/>
    <x v="2"/>
    <n v="2300"/>
    <x v="3"/>
    <n v="6900"/>
    <n v="1035"/>
    <n v="5865"/>
    <n v="1"/>
    <s v="1/2 pension midi"/>
    <n v="1674"/>
    <n v="8700"/>
    <n v="7539"/>
  </r>
  <r>
    <n v="8"/>
    <x v="7"/>
    <n v="1"/>
    <x v="0"/>
    <n v="1200"/>
    <x v="1"/>
    <n v="2400"/>
    <n v="72"/>
    <n v="2328"/>
    <n v="3"/>
    <s v="pension complète"/>
    <n v="2880"/>
    <n v="5400"/>
    <n v="5208"/>
  </r>
  <r>
    <n v="9"/>
    <x v="8"/>
    <n v="5"/>
    <x v="3"/>
    <n v="500"/>
    <x v="0"/>
    <n v="2000"/>
    <n v="400"/>
    <n v="1600"/>
    <n v="2"/>
    <s v="pension soir"/>
    <n v="3348"/>
    <n v="5600"/>
    <n v="4948"/>
  </r>
  <r>
    <n v="10"/>
    <x v="9"/>
    <n v="3"/>
    <x v="4"/>
    <n v="1400"/>
    <x v="1"/>
    <n v="2800"/>
    <n v="140"/>
    <n v="2660"/>
    <n v="2"/>
    <s v="pension soir"/>
    <n v="1728"/>
    <n v="4600"/>
    <n v="43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9EC7E2-3E23-B742-8BBF-CFCFF42FA860}" name="Tableau croisé dynamique11" cacheId="28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G3:J9" firstHeaderRow="0" firstDataRow="1" firstDataCol="1"/>
  <pivotFields count="14">
    <pivotField showAll="0"/>
    <pivotField showAll="0">
      <items count="11">
        <item x="9"/>
        <item x="8"/>
        <item x="3"/>
        <item x="5"/>
        <item x="4"/>
        <item x="7"/>
        <item x="6"/>
        <item x="2"/>
        <item x="1"/>
        <item x="0"/>
        <item t="default"/>
      </items>
    </pivotField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numFmtId="167" showAll="0"/>
    <pivotField dataField="1" showAll="0">
      <items count="6">
        <item x="2"/>
        <item x="1"/>
        <item x="3"/>
        <item x="0"/>
        <item x="4"/>
        <item t="default"/>
      </items>
    </pivotField>
    <pivotField numFmtId="167" showAll="0"/>
    <pivotField dataField="1" numFmtId="44" showAll="0"/>
    <pivotField showAll="0"/>
    <pivotField showAll="0"/>
    <pivotField showAll="0"/>
    <pivotField dataField="1" numFmtId="167" showAll="0"/>
    <pivotField numFmtId="167" showAll="0"/>
    <pivotField numFmtId="167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nb de personnes" fld="5" baseField="0" baseItem="0"/>
    <dataField name="Somme de Remise activité" fld="7" baseField="0" baseItem="0"/>
    <dataField name="Somme de Montant net Pension" fld="11" baseField="0" baseItem="0"/>
  </dataFields>
  <formats count="13">
    <format dxfId="0">
      <pivotArea field="3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">
      <pivotArea field="3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field="3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dataOnly="0" labelOnly="1" grandRow="1" outline="0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11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5F653-04E8-364F-A1FE-890ED720939E}" name="Tableau croisé dynamique3" cacheId="8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19:D30" firstHeaderRow="0" firstDataRow="1" firstDataCol="1"/>
  <pivotFields count="14">
    <pivotField showAll="0"/>
    <pivotField axis="axisRow" showAll="0">
      <items count="11">
        <item x="9"/>
        <item x="8"/>
        <item x="3"/>
        <item x="5"/>
        <item x="4"/>
        <item x="7"/>
        <item x="6"/>
        <item x="2"/>
        <item x="1"/>
        <item x="0"/>
        <item t="default"/>
      </items>
    </pivotField>
    <pivotField showAll="0"/>
    <pivotField showAll="0">
      <items count="6">
        <item x="4"/>
        <item x="3"/>
        <item x="0"/>
        <item x="1"/>
        <item x="2"/>
        <item t="default"/>
      </items>
    </pivotField>
    <pivotField numFmtId="167" showAll="0"/>
    <pivotField dataField="1" showAll="0"/>
    <pivotField numFmtId="167" showAll="0"/>
    <pivotField numFmtId="44" showAll="0"/>
    <pivotField dataField="1" showAll="0"/>
    <pivotField showAll="0"/>
    <pivotField showAll="0"/>
    <pivotField dataField="1" numFmtId="167" showAll="0"/>
    <pivotField numFmtId="167" showAll="0"/>
    <pivotField numFmtId="167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nb de personnes" fld="5" baseField="0" baseItem="0"/>
    <dataField name="Somme de Montant net Activité" fld="8" baseField="0" baseItem="0"/>
    <dataField name="Somme de Montant net Pension" fld="11" baseField="0" baseItem="0"/>
  </dataFields>
  <formats count="17">
    <format dxfId="56">
      <pivotArea outline="0" collapsedLevelsAreSubtotals="1" fieldPosition="0"/>
    </format>
    <format dxfId="55">
      <pivotArea dataOnly="0" labelOnly="1" grandRow="1" outline="0" fieldPosition="0"/>
    </format>
    <format dxfId="54">
      <pivotArea outline="0" collapsedLevelsAreSubtotals="1" fieldPosition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">
      <pivotArea dataOnly="0" labelOnly="1" grandRow="1" outline="0" fieldPosition="0"/>
    </format>
    <format dxfId="41">
      <pivotArea dataOnly="0" labelOnly="1" grandRow="1" outline="0" fieldPosition="0"/>
    </format>
    <format dxfId="40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39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44D715-3355-F44D-8FCE-0284E7FB5229}" name="Tableau croisé dynamique1" cacheId="8" applyNumberFormats="0" applyBorderFormats="0" applyFontFormats="0" applyPatternFormats="0" applyAlignmentFormats="0" applyWidthHeightFormats="1" dataCaption="Valeurs" missingCaption="---" updatedVersion="7" minRefreshableVersion="3" useAutoFormatting="1" itemPrintTitles="1" createdVersion="7" indent="0" outline="1" outlineData="1" multipleFieldFilters="0">
  <location ref="A3:E10" firstHeaderRow="1" firstDataRow="2" firstDataCol="1"/>
  <pivotFields count="14">
    <pivotField showAll="0"/>
    <pivotField showAll="0">
      <items count="11">
        <item x="9"/>
        <item x="8"/>
        <item x="3"/>
        <item x="5"/>
        <item x="4"/>
        <item x="7"/>
        <item x="6"/>
        <item x="2"/>
        <item x="1"/>
        <item x="0"/>
        <item t="default"/>
      </items>
    </pivotField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numFmtId="167" showAll="0"/>
    <pivotField showAll="0"/>
    <pivotField numFmtId="167" showAll="0"/>
    <pivotField numFmtId="44" showAll="0"/>
    <pivotField showAll="0"/>
    <pivotField showAll="0">
      <items count="4">
        <item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67" showAll="0"/>
    <pivotField numFmtId="167" showAll="0"/>
    <pivotField dataField="1" numFmtId="167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omme de montant net global" fld="13" baseField="0" baseItem="0"/>
  </dataFields>
  <formats count="27">
    <format dxfId="47">
      <pivotArea outline="0" collapsedLevelsAreSubtotals="1" fieldPosition="0"/>
    </format>
    <format dxfId="48">
      <pivotArea dataOnly="0" labelOnly="1" grandRow="1" outline="0" fieldPosition="0"/>
    </format>
    <format dxfId="49">
      <pivotArea outline="0" collapsedLevelsAreSubtotals="1" fieldPosition="0"/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dataOnly="0" labelOnly="1" grandCol="1" outline="0" fieldPosition="0"/>
    </format>
    <format dxfId="53">
      <pivotArea dataOnly="0" labelOnly="1" grandCol="1" outline="0" fieldPosition="0"/>
    </format>
    <format dxfId="38">
      <pivotArea field="3" type="button" dataOnly="0" labelOnly="1" outline="0" axis="axisRow" fieldPosition="0"/>
    </format>
    <format dxfId="37">
      <pivotArea dataOnly="0" labelOnly="1" fieldPosition="0">
        <references count="1">
          <reference field="10" count="0"/>
        </references>
      </pivotArea>
    </format>
    <format dxfId="36">
      <pivotArea dataOnly="0" labelOnly="1" grandCol="1" outline="0" fieldPosition="0"/>
    </format>
    <format dxfId="35">
      <pivotArea field="3" type="button" dataOnly="0" labelOnly="1" outline="0" axis="axisRow" fieldPosition="0"/>
    </format>
    <format dxfId="34">
      <pivotArea dataOnly="0" labelOnly="1" fieldPosition="0">
        <references count="1">
          <reference field="10" count="0"/>
        </references>
      </pivotArea>
    </format>
    <format dxfId="33">
      <pivotArea dataOnly="0" labelOnly="1" grandCol="1" outline="0" fieldPosition="0"/>
    </format>
    <format dxfId="32">
      <pivotArea dataOnly="0" labelOnly="1" grandRow="1" outline="0" fieldPosition="0"/>
    </format>
    <format dxfId="31">
      <pivotArea dataOnly="0" labelOnly="1" grandRow="1" outline="0" fieldPosition="0"/>
    </format>
    <format dxfId="30">
      <pivotArea type="origin" dataOnly="0" labelOnly="1" outline="0" fieldPosition="0"/>
    </format>
    <format dxfId="29">
      <pivotArea field="10" type="button" dataOnly="0" labelOnly="1" outline="0" axis="axisCol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field="10" type="button" dataOnly="0" labelOnly="1" outline="0" axis="axisCol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field="3" type="button" dataOnly="0" labelOnly="1" outline="0" axis="axisRow" fieldPosition="0"/>
    </format>
    <format dxfId="14">
      <pivotArea dataOnly="0" labelOnly="1" fieldPosition="0">
        <references count="1">
          <reference field="10" count="0"/>
        </references>
      </pivotArea>
    </format>
    <format dxfId="1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8486-4539-9B4C-84E5-387DDC046ACC}">
  <dimension ref="A1:Y39"/>
  <sheetViews>
    <sheetView tabSelected="1" zoomScale="75" workbookViewId="0">
      <selection activeCell="C26" sqref="C26"/>
    </sheetView>
  </sheetViews>
  <sheetFormatPr baseColWidth="10" defaultRowHeight="16" x14ac:dyDescent="0.2"/>
  <cols>
    <col min="1" max="1" width="14.6640625" customWidth="1"/>
    <col min="2" max="2" width="16.6640625" customWidth="1"/>
    <col min="3" max="3" width="12.6640625" customWidth="1"/>
    <col min="4" max="4" width="14.1640625" customWidth="1"/>
    <col min="5" max="5" width="13.33203125" customWidth="1"/>
    <col min="6" max="6" width="23.33203125" customWidth="1"/>
    <col min="7" max="7" width="15.83203125" customWidth="1"/>
    <col min="8" max="8" width="18" customWidth="1"/>
    <col min="9" max="9" width="15.33203125" customWidth="1"/>
    <col min="10" max="10" width="14.83203125" customWidth="1"/>
    <col min="11" max="11" width="16.5" customWidth="1"/>
    <col min="12" max="12" width="15.5" customWidth="1"/>
    <col min="13" max="13" width="15.33203125" customWidth="1"/>
    <col min="14" max="14" width="16" customWidth="1"/>
    <col min="15" max="15" width="14.33203125" customWidth="1"/>
    <col min="16" max="16" width="16.5" customWidth="1"/>
    <col min="17" max="17" width="16.33203125" customWidth="1"/>
    <col min="18" max="18" width="12.6640625" customWidth="1"/>
    <col min="19" max="19" width="26.5" customWidth="1"/>
    <col min="20" max="20" width="28.83203125" customWidth="1"/>
    <col min="21" max="21" width="28" customWidth="1"/>
    <col min="22" max="22" width="26.33203125" customWidth="1"/>
    <col min="23" max="23" width="25.6640625" customWidth="1"/>
    <col min="24" max="24" width="26" customWidth="1"/>
  </cols>
  <sheetData>
    <row r="1" spans="1:24" ht="52" customHeight="1" x14ac:dyDescent="0.2">
      <c r="A1" s="135" t="s">
        <v>38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7"/>
    </row>
    <row r="2" spans="1:24" ht="48" customHeight="1" x14ac:dyDescent="0.2">
      <c r="A2" s="44" t="s">
        <v>37</v>
      </c>
      <c r="B2" s="1" t="s">
        <v>20</v>
      </c>
      <c r="C2" s="13" t="s">
        <v>15</v>
      </c>
      <c r="D2" s="13" t="s">
        <v>21</v>
      </c>
      <c r="E2" s="1" t="s">
        <v>22</v>
      </c>
      <c r="F2" s="1" t="s">
        <v>17</v>
      </c>
      <c r="G2" s="13" t="s">
        <v>18</v>
      </c>
      <c r="H2" s="1" t="s">
        <v>16</v>
      </c>
      <c r="I2" s="1" t="s">
        <v>19</v>
      </c>
      <c r="J2" s="1" t="s">
        <v>23</v>
      </c>
      <c r="K2" s="13" t="s">
        <v>24</v>
      </c>
      <c r="L2" s="13" t="s">
        <v>25</v>
      </c>
      <c r="M2" s="1" t="s">
        <v>26</v>
      </c>
      <c r="N2" s="13" t="s">
        <v>43</v>
      </c>
      <c r="O2" s="1" t="s">
        <v>27</v>
      </c>
      <c r="P2" s="13" t="s">
        <v>59</v>
      </c>
      <c r="Q2" s="1" t="s">
        <v>28</v>
      </c>
      <c r="R2" s="13" t="s">
        <v>29</v>
      </c>
      <c r="S2" s="1" t="s">
        <v>30</v>
      </c>
      <c r="T2" s="1" t="s">
        <v>31</v>
      </c>
      <c r="U2" s="1" t="s">
        <v>33</v>
      </c>
      <c r="V2" s="1" t="s">
        <v>32</v>
      </c>
      <c r="W2" s="1" t="s">
        <v>34</v>
      </c>
      <c r="X2" s="1" t="s">
        <v>35</v>
      </c>
    </row>
    <row r="3" spans="1:24" x14ac:dyDescent="0.2">
      <c r="A3" s="2">
        <v>1</v>
      </c>
      <c r="B3" s="3" t="s">
        <v>0</v>
      </c>
      <c r="C3" s="4">
        <v>43900</v>
      </c>
      <c r="D3" s="3">
        <v>120</v>
      </c>
      <c r="E3" s="5">
        <v>150</v>
      </c>
      <c r="F3" s="6">
        <v>43907</v>
      </c>
      <c r="G3" s="3">
        <v>140</v>
      </c>
      <c r="H3" s="7">
        <v>43924</v>
      </c>
      <c r="I3" s="3">
        <v>240</v>
      </c>
      <c r="J3" s="8">
        <f>(D3+G3)-I3</f>
        <v>20</v>
      </c>
      <c r="K3" s="9">
        <f>D3*E3</f>
        <v>18000</v>
      </c>
      <c r="L3" s="9">
        <f>G3*E3</f>
        <v>21000</v>
      </c>
      <c r="M3" s="9">
        <f t="shared" ref="M3:M17" si="0">E3+(E3*C$23)</f>
        <v>172.5</v>
      </c>
      <c r="N3" s="9">
        <f>M3*I3</f>
        <v>41400</v>
      </c>
      <c r="O3" s="9">
        <f>N3-(K3+L3)</f>
        <v>2400</v>
      </c>
      <c r="P3" s="9">
        <f t="shared" ref="P3:P17" si="1">N3+(N3*C$24)</f>
        <v>49680</v>
      </c>
      <c r="Q3" s="9">
        <f>P3-N3</f>
        <v>8280</v>
      </c>
      <c r="R3" s="25">
        <f>E3/E$20</f>
        <v>0.36173633440514469</v>
      </c>
      <c r="S3" s="8" t="str">
        <f>IF(I3=I$22,I3,"")</f>
        <v/>
      </c>
      <c r="T3" s="8" t="str">
        <f>IF(I3=I$21,I3,"")</f>
        <v/>
      </c>
      <c r="U3" s="8" t="str">
        <f>IF(P3=P$22,P3,"")</f>
        <v/>
      </c>
      <c r="V3" s="8" t="str">
        <f>IF(P3=P$21,P3,"")</f>
        <v/>
      </c>
      <c r="W3" s="8" t="str">
        <f>IF(M3=M$21,M3,"")</f>
        <v/>
      </c>
      <c r="X3" s="8" t="str">
        <f>IF(M3=M$22,M3,"")</f>
        <v/>
      </c>
    </row>
    <row r="4" spans="1:24" x14ac:dyDescent="0.2">
      <c r="A4" s="2">
        <v>1</v>
      </c>
      <c r="B4" s="3" t="s">
        <v>0</v>
      </c>
      <c r="C4" s="4">
        <v>43906</v>
      </c>
      <c r="D4" s="3">
        <v>123</v>
      </c>
      <c r="E4" s="5">
        <v>150</v>
      </c>
      <c r="F4" s="6">
        <v>43913</v>
      </c>
      <c r="G4" s="3">
        <v>102</v>
      </c>
      <c r="H4" s="7">
        <v>43930</v>
      </c>
      <c r="I4" s="3">
        <v>200</v>
      </c>
      <c r="J4" s="8">
        <f t="shared" ref="J4:J17" si="2">(D4+G4)-I4</f>
        <v>25</v>
      </c>
      <c r="K4" s="9">
        <f t="shared" ref="K4:K17" si="3">D4*E4</f>
        <v>18450</v>
      </c>
      <c r="L4" s="9">
        <f t="shared" ref="L4:L17" si="4">G4*E4</f>
        <v>15300</v>
      </c>
      <c r="M4" s="9">
        <f t="shared" si="0"/>
        <v>172.5</v>
      </c>
      <c r="N4" s="9">
        <f t="shared" ref="N4:N17" si="5">M4*I4</f>
        <v>34500</v>
      </c>
      <c r="O4" s="9">
        <f t="shared" ref="O4:O17" si="6">N4-(K4+L4)</f>
        <v>750</v>
      </c>
      <c r="P4" s="9">
        <f t="shared" si="1"/>
        <v>41400</v>
      </c>
      <c r="Q4" s="9">
        <f t="shared" ref="Q4:Q17" si="7">P4-N4</f>
        <v>6900</v>
      </c>
      <c r="R4" s="25">
        <f t="shared" ref="R4:R17" si="8">E4/E$20</f>
        <v>0.36173633440514469</v>
      </c>
      <c r="S4" s="8" t="str">
        <f t="shared" ref="S4:S17" si="9">IF(I4=I$22,I4,"")</f>
        <v/>
      </c>
      <c r="T4" s="8">
        <f t="shared" ref="T4:T17" si="10">IF(I4=I$21,I4,"")</f>
        <v>200</v>
      </c>
      <c r="U4" s="8" t="str">
        <f t="shared" ref="U4:U17" si="11">IF(P4=P$22,P4,"")</f>
        <v/>
      </c>
      <c r="V4" s="52">
        <f t="shared" ref="V4:V17" si="12">IF(P4=P$21,P4,"")</f>
        <v>41400</v>
      </c>
      <c r="W4" s="8" t="str">
        <f t="shared" ref="W4:W17" si="13">IF(M4=M$21,M4,"")</f>
        <v/>
      </c>
      <c r="X4" s="8" t="str">
        <f t="shared" ref="X4:X17" si="14">IF(M4=M$22,M4,"")</f>
        <v/>
      </c>
    </row>
    <row r="5" spans="1:24" x14ac:dyDescent="0.2">
      <c r="A5" s="2">
        <v>1</v>
      </c>
      <c r="B5" s="3" t="s">
        <v>0</v>
      </c>
      <c r="C5" s="4">
        <v>43910</v>
      </c>
      <c r="D5" s="3">
        <v>369</v>
      </c>
      <c r="E5" s="5">
        <v>150</v>
      </c>
      <c r="F5" s="6">
        <v>43917</v>
      </c>
      <c r="G5" s="3">
        <v>320</v>
      </c>
      <c r="H5" s="7">
        <v>43934</v>
      </c>
      <c r="I5" s="3">
        <v>650</v>
      </c>
      <c r="J5" s="8">
        <f t="shared" si="2"/>
        <v>39</v>
      </c>
      <c r="K5" s="9">
        <f t="shared" si="3"/>
        <v>55350</v>
      </c>
      <c r="L5" s="9">
        <f t="shared" si="4"/>
        <v>48000</v>
      </c>
      <c r="M5" s="9">
        <f t="shared" si="0"/>
        <v>172.5</v>
      </c>
      <c r="N5" s="9">
        <f t="shared" si="5"/>
        <v>112125</v>
      </c>
      <c r="O5" s="9">
        <f t="shared" si="6"/>
        <v>8775</v>
      </c>
      <c r="P5" s="9">
        <f t="shared" si="1"/>
        <v>134550</v>
      </c>
      <c r="Q5" s="9">
        <f t="shared" si="7"/>
        <v>22425</v>
      </c>
      <c r="R5" s="25">
        <f t="shared" si="8"/>
        <v>0.36173633440514469</v>
      </c>
      <c r="S5" s="8" t="str">
        <f t="shared" si="9"/>
        <v/>
      </c>
      <c r="T5" s="8" t="str">
        <f t="shared" si="10"/>
        <v/>
      </c>
      <c r="U5" s="8" t="str">
        <f t="shared" si="11"/>
        <v/>
      </c>
      <c r="V5" s="8" t="str">
        <f t="shared" si="12"/>
        <v/>
      </c>
      <c r="W5" s="8" t="str">
        <f t="shared" si="13"/>
        <v/>
      </c>
      <c r="X5" s="8" t="str">
        <f t="shared" si="14"/>
        <v/>
      </c>
    </row>
    <row r="6" spans="1:24" x14ac:dyDescent="0.2">
      <c r="A6" s="2">
        <v>2</v>
      </c>
      <c r="B6" s="3" t="s">
        <v>1</v>
      </c>
      <c r="C6" s="4">
        <v>43901</v>
      </c>
      <c r="D6" s="3">
        <v>140</v>
      </c>
      <c r="E6" s="5">
        <v>140</v>
      </c>
      <c r="F6" s="6">
        <v>43908</v>
      </c>
      <c r="G6" s="3">
        <v>120</v>
      </c>
      <c r="H6" s="7">
        <v>43925</v>
      </c>
      <c r="I6" s="3">
        <v>260</v>
      </c>
      <c r="J6" s="8">
        <f t="shared" si="2"/>
        <v>0</v>
      </c>
      <c r="K6" s="9">
        <f t="shared" si="3"/>
        <v>19600</v>
      </c>
      <c r="L6" s="9">
        <f t="shared" si="4"/>
        <v>16800</v>
      </c>
      <c r="M6" s="9">
        <f t="shared" si="0"/>
        <v>161</v>
      </c>
      <c r="N6" s="9">
        <f t="shared" si="5"/>
        <v>41860</v>
      </c>
      <c r="O6" s="9">
        <f t="shared" si="6"/>
        <v>5460</v>
      </c>
      <c r="P6" s="9">
        <f t="shared" si="1"/>
        <v>50232</v>
      </c>
      <c r="Q6" s="9">
        <f t="shared" si="7"/>
        <v>8372</v>
      </c>
      <c r="R6" s="25">
        <f t="shared" si="8"/>
        <v>0.33762057877813501</v>
      </c>
      <c r="S6" s="8" t="str">
        <f t="shared" si="9"/>
        <v/>
      </c>
      <c r="T6" s="8" t="str">
        <f t="shared" si="10"/>
        <v/>
      </c>
      <c r="U6" s="8" t="str">
        <f t="shared" si="11"/>
        <v/>
      </c>
      <c r="V6" s="8" t="str">
        <f t="shared" si="12"/>
        <v/>
      </c>
      <c r="W6" s="8">
        <f t="shared" si="13"/>
        <v>161</v>
      </c>
      <c r="X6" s="8" t="str">
        <f t="shared" si="14"/>
        <v/>
      </c>
    </row>
    <row r="7" spans="1:24" x14ac:dyDescent="0.2">
      <c r="A7" s="2">
        <v>2</v>
      </c>
      <c r="B7" s="3" t="s">
        <v>1</v>
      </c>
      <c r="C7" s="4">
        <v>43911</v>
      </c>
      <c r="D7" s="3">
        <v>753</v>
      </c>
      <c r="E7" s="5">
        <v>140</v>
      </c>
      <c r="F7" s="6">
        <v>43918</v>
      </c>
      <c r="G7" s="3">
        <v>562</v>
      </c>
      <c r="H7" s="7">
        <v>43935</v>
      </c>
      <c r="I7" s="3">
        <v>1300</v>
      </c>
      <c r="J7" s="8">
        <f t="shared" si="2"/>
        <v>15</v>
      </c>
      <c r="K7" s="9">
        <f t="shared" si="3"/>
        <v>105420</v>
      </c>
      <c r="L7" s="9">
        <f t="shared" si="4"/>
        <v>78680</v>
      </c>
      <c r="M7" s="9">
        <f t="shared" si="0"/>
        <v>161</v>
      </c>
      <c r="N7" s="9">
        <f t="shared" si="5"/>
        <v>209300</v>
      </c>
      <c r="O7" s="9">
        <f t="shared" si="6"/>
        <v>25200</v>
      </c>
      <c r="P7" s="9">
        <f t="shared" si="1"/>
        <v>251160</v>
      </c>
      <c r="Q7" s="9">
        <f t="shared" si="7"/>
        <v>41860</v>
      </c>
      <c r="R7" s="25">
        <f t="shared" si="8"/>
        <v>0.33762057877813501</v>
      </c>
      <c r="S7" s="8">
        <f t="shared" si="9"/>
        <v>1300</v>
      </c>
      <c r="T7" s="8" t="str">
        <f t="shared" si="10"/>
        <v/>
      </c>
      <c r="U7" s="8" t="str">
        <f t="shared" si="11"/>
        <v/>
      </c>
      <c r="V7" s="8" t="str">
        <f t="shared" si="12"/>
        <v/>
      </c>
      <c r="W7" s="8">
        <f t="shared" si="13"/>
        <v>161</v>
      </c>
      <c r="X7" s="8" t="str">
        <f t="shared" si="14"/>
        <v/>
      </c>
    </row>
    <row r="8" spans="1:24" x14ac:dyDescent="0.2">
      <c r="A8" s="2">
        <v>3</v>
      </c>
      <c r="B8" s="3" t="s">
        <v>2</v>
      </c>
      <c r="C8" s="4">
        <v>43902</v>
      </c>
      <c r="D8" s="3">
        <v>150</v>
      </c>
      <c r="E8" s="5">
        <v>220</v>
      </c>
      <c r="F8" s="6">
        <v>43909</v>
      </c>
      <c r="G8" s="3">
        <v>155</v>
      </c>
      <c r="H8" s="7">
        <v>43926</v>
      </c>
      <c r="I8" s="3">
        <v>302</v>
      </c>
      <c r="J8" s="8">
        <f t="shared" si="2"/>
        <v>3</v>
      </c>
      <c r="K8" s="9">
        <f t="shared" si="3"/>
        <v>33000</v>
      </c>
      <c r="L8" s="9">
        <f t="shared" si="4"/>
        <v>34100</v>
      </c>
      <c r="M8" s="9">
        <f t="shared" si="0"/>
        <v>253</v>
      </c>
      <c r="N8" s="9">
        <f t="shared" si="5"/>
        <v>76406</v>
      </c>
      <c r="O8" s="9">
        <f t="shared" si="6"/>
        <v>9306</v>
      </c>
      <c r="P8" s="9">
        <f t="shared" si="1"/>
        <v>91687.2</v>
      </c>
      <c r="Q8" s="9">
        <f t="shared" si="7"/>
        <v>15281.199999999997</v>
      </c>
      <c r="R8" s="25">
        <f t="shared" si="8"/>
        <v>0.53054662379421225</v>
      </c>
      <c r="S8" s="8" t="str">
        <f t="shared" si="9"/>
        <v/>
      </c>
      <c r="T8" s="8" t="str">
        <f t="shared" si="10"/>
        <v/>
      </c>
      <c r="U8" s="8" t="str">
        <f t="shared" si="11"/>
        <v/>
      </c>
      <c r="V8" s="8" t="str">
        <f t="shared" si="12"/>
        <v/>
      </c>
      <c r="W8" s="8" t="str">
        <f t="shared" si="13"/>
        <v/>
      </c>
      <c r="X8" s="8" t="str">
        <f t="shared" si="14"/>
        <v/>
      </c>
    </row>
    <row r="9" spans="1:24" x14ac:dyDescent="0.2">
      <c r="A9" s="2">
        <v>3</v>
      </c>
      <c r="B9" s="3" t="s">
        <v>2</v>
      </c>
      <c r="C9" s="4">
        <v>43907</v>
      </c>
      <c r="D9" s="3">
        <v>321</v>
      </c>
      <c r="E9" s="5">
        <v>220</v>
      </c>
      <c r="F9" s="6">
        <v>43914</v>
      </c>
      <c r="G9" s="3">
        <v>114</v>
      </c>
      <c r="H9" s="7">
        <v>43931</v>
      </c>
      <c r="I9" s="3">
        <v>350</v>
      </c>
      <c r="J9" s="8">
        <f t="shared" si="2"/>
        <v>85</v>
      </c>
      <c r="K9" s="9">
        <f t="shared" si="3"/>
        <v>70620</v>
      </c>
      <c r="L9" s="9">
        <f t="shared" si="4"/>
        <v>25080</v>
      </c>
      <c r="M9" s="9">
        <f t="shared" si="0"/>
        <v>253</v>
      </c>
      <c r="N9" s="9">
        <f t="shared" si="5"/>
        <v>88550</v>
      </c>
      <c r="O9" s="10">
        <f t="shared" si="6"/>
        <v>-7150</v>
      </c>
      <c r="P9" s="9">
        <f t="shared" si="1"/>
        <v>106260</v>
      </c>
      <c r="Q9" s="9">
        <f t="shared" si="7"/>
        <v>17710</v>
      </c>
      <c r="R9" s="25">
        <f t="shared" si="8"/>
        <v>0.53054662379421225</v>
      </c>
      <c r="S9" s="8" t="str">
        <f t="shared" si="9"/>
        <v/>
      </c>
      <c r="T9" s="8" t="str">
        <f t="shared" si="10"/>
        <v/>
      </c>
      <c r="U9" s="8" t="str">
        <f t="shared" si="11"/>
        <v/>
      </c>
      <c r="V9" s="8" t="str">
        <f t="shared" si="12"/>
        <v/>
      </c>
      <c r="W9" s="8" t="str">
        <f t="shared" si="13"/>
        <v/>
      </c>
      <c r="X9" s="8" t="str">
        <f t="shared" si="14"/>
        <v/>
      </c>
    </row>
    <row r="10" spans="1:24" x14ac:dyDescent="0.2">
      <c r="A10" s="2">
        <v>3</v>
      </c>
      <c r="B10" s="3" t="s">
        <v>2</v>
      </c>
      <c r="C10" s="4">
        <v>43912</v>
      </c>
      <c r="D10" s="3">
        <v>951</v>
      </c>
      <c r="E10" s="5">
        <v>220</v>
      </c>
      <c r="F10" s="6">
        <v>43919</v>
      </c>
      <c r="G10" s="3">
        <v>125</v>
      </c>
      <c r="H10" s="7">
        <v>43936</v>
      </c>
      <c r="I10" s="3">
        <v>1021</v>
      </c>
      <c r="J10" s="8">
        <f t="shared" si="2"/>
        <v>55</v>
      </c>
      <c r="K10" s="9">
        <f t="shared" si="3"/>
        <v>209220</v>
      </c>
      <c r="L10" s="9">
        <f t="shared" si="4"/>
        <v>27500</v>
      </c>
      <c r="M10" s="9">
        <f t="shared" si="0"/>
        <v>253</v>
      </c>
      <c r="N10" s="9">
        <f t="shared" si="5"/>
        <v>258313</v>
      </c>
      <c r="O10" s="9">
        <f t="shared" si="6"/>
        <v>21593</v>
      </c>
      <c r="P10" s="9">
        <f t="shared" si="1"/>
        <v>309975.59999999998</v>
      </c>
      <c r="Q10" s="9">
        <f t="shared" si="7"/>
        <v>51662.599999999977</v>
      </c>
      <c r="R10" s="25">
        <f t="shared" si="8"/>
        <v>0.53054662379421225</v>
      </c>
      <c r="S10" s="8" t="str">
        <f t="shared" si="9"/>
        <v/>
      </c>
      <c r="T10" s="8" t="str">
        <f t="shared" si="10"/>
        <v/>
      </c>
      <c r="U10" s="8" t="str">
        <f t="shared" si="11"/>
        <v/>
      </c>
      <c r="V10" s="8" t="str">
        <f t="shared" si="12"/>
        <v/>
      </c>
      <c r="W10" s="8" t="str">
        <f t="shared" si="13"/>
        <v/>
      </c>
      <c r="X10" s="8" t="str">
        <f t="shared" si="14"/>
        <v/>
      </c>
    </row>
    <row r="11" spans="1:24" x14ac:dyDescent="0.2">
      <c r="A11" s="2">
        <v>4</v>
      </c>
      <c r="B11" s="3" t="s">
        <v>3</v>
      </c>
      <c r="C11" s="4">
        <v>43903</v>
      </c>
      <c r="D11" s="3">
        <v>170</v>
      </c>
      <c r="E11" s="5">
        <v>540</v>
      </c>
      <c r="F11" s="6">
        <v>43910</v>
      </c>
      <c r="G11" s="3">
        <v>145</v>
      </c>
      <c r="H11" s="7">
        <v>43927</v>
      </c>
      <c r="I11" s="3">
        <v>310</v>
      </c>
      <c r="J11" s="8">
        <f t="shared" si="2"/>
        <v>5</v>
      </c>
      <c r="K11" s="9">
        <f t="shared" si="3"/>
        <v>91800</v>
      </c>
      <c r="L11" s="9">
        <f t="shared" si="4"/>
        <v>78300</v>
      </c>
      <c r="M11" s="9">
        <f t="shared" si="0"/>
        <v>621</v>
      </c>
      <c r="N11" s="9">
        <f t="shared" si="5"/>
        <v>192510</v>
      </c>
      <c r="O11" s="9">
        <f t="shared" si="6"/>
        <v>22410</v>
      </c>
      <c r="P11" s="9">
        <f t="shared" si="1"/>
        <v>231012</v>
      </c>
      <c r="Q11" s="9">
        <f t="shared" si="7"/>
        <v>38502</v>
      </c>
      <c r="R11" s="25">
        <f t="shared" si="8"/>
        <v>1.3022508038585208</v>
      </c>
      <c r="S11" s="8" t="str">
        <f t="shared" si="9"/>
        <v/>
      </c>
      <c r="T11" s="8" t="str">
        <f t="shared" si="10"/>
        <v/>
      </c>
      <c r="U11" s="8" t="str">
        <f t="shared" si="11"/>
        <v/>
      </c>
      <c r="V11" s="8" t="str">
        <f t="shared" si="12"/>
        <v/>
      </c>
      <c r="W11" s="8" t="str">
        <f t="shared" si="13"/>
        <v/>
      </c>
      <c r="X11" s="8" t="str">
        <f t="shared" si="14"/>
        <v/>
      </c>
    </row>
    <row r="12" spans="1:24" x14ac:dyDescent="0.2">
      <c r="A12" s="2">
        <v>4</v>
      </c>
      <c r="B12" s="3" t="s">
        <v>3</v>
      </c>
      <c r="C12" s="4">
        <v>43908</v>
      </c>
      <c r="D12" s="3">
        <v>258</v>
      </c>
      <c r="E12" s="5">
        <v>540</v>
      </c>
      <c r="F12" s="6">
        <v>43915</v>
      </c>
      <c r="G12" s="3">
        <v>220</v>
      </c>
      <c r="H12" s="7">
        <v>43932</v>
      </c>
      <c r="I12" s="3">
        <v>470</v>
      </c>
      <c r="J12" s="8">
        <f t="shared" si="2"/>
        <v>8</v>
      </c>
      <c r="K12" s="9">
        <f t="shared" si="3"/>
        <v>139320</v>
      </c>
      <c r="L12" s="9">
        <f t="shared" si="4"/>
        <v>118800</v>
      </c>
      <c r="M12" s="9">
        <f t="shared" si="0"/>
        <v>621</v>
      </c>
      <c r="N12" s="9">
        <f t="shared" si="5"/>
        <v>291870</v>
      </c>
      <c r="O12" s="9">
        <f t="shared" si="6"/>
        <v>33750</v>
      </c>
      <c r="P12" s="9">
        <f t="shared" si="1"/>
        <v>350244</v>
      </c>
      <c r="Q12" s="9">
        <f t="shared" si="7"/>
        <v>58374</v>
      </c>
      <c r="R12" s="25">
        <f t="shared" si="8"/>
        <v>1.3022508038585208</v>
      </c>
      <c r="S12" s="8" t="str">
        <f t="shared" si="9"/>
        <v/>
      </c>
      <c r="T12" s="8" t="str">
        <f t="shared" si="10"/>
        <v/>
      </c>
      <c r="U12" s="8" t="str">
        <f t="shared" si="11"/>
        <v/>
      </c>
      <c r="V12" s="8" t="str">
        <f t="shared" si="12"/>
        <v/>
      </c>
      <c r="W12" s="8" t="str">
        <f t="shared" si="13"/>
        <v/>
      </c>
      <c r="X12" s="8" t="str">
        <f t="shared" si="14"/>
        <v/>
      </c>
    </row>
    <row r="13" spans="1:24" x14ac:dyDescent="0.2">
      <c r="A13" s="2">
        <v>5</v>
      </c>
      <c r="B13" s="3" t="s">
        <v>4</v>
      </c>
      <c r="C13" s="4">
        <v>43904</v>
      </c>
      <c r="D13" s="3">
        <v>160</v>
      </c>
      <c r="E13" s="5">
        <v>950</v>
      </c>
      <c r="F13" s="6">
        <v>43911</v>
      </c>
      <c r="G13" s="3">
        <v>45</v>
      </c>
      <c r="H13" s="7">
        <v>43928</v>
      </c>
      <c r="I13" s="3">
        <v>201</v>
      </c>
      <c r="J13" s="8">
        <f t="shared" si="2"/>
        <v>4</v>
      </c>
      <c r="K13" s="9">
        <f t="shared" si="3"/>
        <v>152000</v>
      </c>
      <c r="L13" s="9">
        <f t="shared" si="4"/>
        <v>42750</v>
      </c>
      <c r="M13" s="9">
        <f t="shared" si="0"/>
        <v>1092.5</v>
      </c>
      <c r="N13" s="9">
        <f t="shared" si="5"/>
        <v>219592.5</v>
      </c>
      <c r="O13" s="9">
        <f t="shared" si="6"/>
        <v>24842.5</v>
      </c>
      <c r="P13" s="9">
        <f t="shared" si="1"/>
        <v>263511</v>
      </c>
      <c r="Q13" s="9">
        <f t="shared" si="7"/>
        <v>43918.5</v>
      </c>
      <c r="R13" s="25">
        <f t="shared" si="8"/>
        <v>2.2909967845659165</v>
      </c>
      <c r="S13" s="8" t="str">
        <f t="shared" si="9"/>
        <v/>
      </c>
      <c r="T13" s="8" t="str">
        <f t="shared" si="10"/>
        <v/>
      </c>
      <c r="U13" s="8" t="str">
        <f t="shared" si="11"/>
        <v/>
      </c>
      <c r="V13" s="8" t="str">
        <f t="shared" si="12"/>
        <v/>
      </c>
      <c r="W13" s="8" t="str">
        <f t="shared" si="13"/>
        <v/>
      </c>
      <c r="X13" s="8">
        <f t="shared" si="14"/>
        <v>1092.5</v>
      </c>
    </row>
    <row r="14" spans="1:24" x14ac:dyDescent="0.2">
      <c r="A14" s="2">
        <v>5</v>
      </c>
      <c r="B14" s="3" t="s">
        <v>4</v>
      </c>
      <c r="C14" s="4">
        <v>43909</v>
      </c>
      <c r="D14" s="3">
        <v>147</v>
      </c>
      <c r="E14" s="5">
        <v>950</v>
      </c>
      <c r="F14" s="6">
        <v>43916</v>
      </c>
      <c r="G14" s="3">
        <v>230</v>
      </c>
      <c r="H14" s="7">
        <v>43933</v>
      </c>
      <c r="I14" s="3">
        <v>350</v>
      </c>
      <c r="J14" s="8">
        <f t="shared" si="2"/>
        <v>27</v>
      </c>
      <c r="K14" s="9">
        <f t="shared" si="3"/>
        <v>139650</v>
      </c>
      <c r="L14" s="9">
        <f t="shared" si="4"/>
        <v>218500</v>
      </c>
      <c r="M14" s="9">
        <f t="shared" si="0"/>
        <v>1092.5</v>
      </c>
      <c r="N14" s="9">
        <f t="shared" si="5"/>
        <v>382375</v>
      </c>
      <c r="O14" s="9">
        <f t="shared" si="6"/>
        <v>24225</v>
      </c>
      <c r="P14" s="9">
        <f t="shared" si="1"/>
        <v>458850</v>
      </c>
      <c r="Q14" s="9">
        <f t="shared" si="7"/>
        <v>76475</v>
      </c>
      <c r="R14" s="25">
        <f t="shared" si="8"/>
        <v>2.2909967845659165</v>
      </c>
      <c r="S14" s="8" t="str">
        <f t="shared" si="9"/>
        <v/>
      </c>
      <c r="T14" s="8" t="str">
        <f t="shared" si="10"/>
        <v/>
      </c>
      <c r="U14" s="8" t="str">
        <f t="shared" si="11"/>
        <v/>
      </c>
      <c r="V14" s="8" t="str">
        <f t="shared" si="12"/>
        <v/>
      </c>
      <c r="W14" s="8" t="str">
        <f t="shared" si="13"/>
        <v/>
      </c>
      <c r="X14" s="8">
        <f t="shared" si="14"/>
        <v>1092.5</v>
      </c>
    </row>
    <row r="15" spans="1:24" x14ac:dyDescent="0.2">
      <c r="A15" s="2">
        <v>5</v>
      </c>
      <c r="B15" s="3" t="s">
        <v>4</v>
      </c>
      <c r="C15" s="4">
        <v>43913</v>
      </c>
      <c r="D15" s="3">
        <v>963</v>
      </c>
      <c r="E15" s="5">
        <v>950</v>
      </c>
      <c r="F15" s="6">
        <v>43920</v>
      </c>
      <c r="G15" s="3">
        <v>44</v>
      </c>
      <c r="H15" s="7">
        <v>43937</v>
      </c>
      <c r="I15" s="3">
        <v>890</v>
      </c>
      <c r="J15" s="8">
        <f t="shared" si="2"/>
        <v>117</v>
      </c>
      <c r="K15" s="9">
        <f t="shared" si="3"/>
        <v>914850</v>
      </c>
      <c r="L15" s="9">
        <f t="shared" si="4"/>
        <v>41800</v>
      </c>
      <c r="M15" s="9">
        <f t="shared" si="0"/>
        <v>1092.5</v>
      </c>
      <c r="N15" s="9">
        <f t="shared" si="5"/>
        <v>972325</v>
      </c>
      <c r="O15" s="9">
        <f t="shared" si="6"/>
        <v>15675</v>
      </c>
      <c r="P15" s="9">
        <f t="shared" si="1"/>
        <v>1166790</v>
      </c>
      <c r="Q15" s="9">
        <f t="shared" si="7"/>
        <v>194465</v>
      </c>
      <c r="R15" s="25">
        <f t="shared" si="8"/>
        <v>2.2909967845659165</v>
      </c>
      <c r="S15" s="8" t="str">
        <f t="shared" si="9"/>
        <v/>
      </c>
      <c r="T15" s="8" t="str">
        <f t="shared" si="10"/>
        <v/>
      </c>
      <c r="U15" s="52">
        <f t="shared" si="11"/>
        <v>1166790</v>
      </c>
      <c r="V15" s="8" t="str">
        <f t="shared" si="12"/>
        <v/>
      </c>
      <c r="W15" s="8" t="str">
        <f t="shared" si="13"/>
        <v/>
      </c>
      <c r="X15" s="8">
        <f t="shared" si="14"/>
        <v>1092.5</v>
      </c>
    </row>
    <row r="16" spans="1:24" x14ac:dyDescent="0.2">
      <c r="A16" s="2">
        <v>6</v>
      </c>
      <c r="B16" s="3" t="s">
        <v>5</v>
      </c>
      <c r="C16" s="4">
        <v>43905</v>
      </c>
      <c r="D16" s="17">
        <v>145</v>
      </c>
      <c r="E16" s="5">
        <v>450</v>
      </c>
      <c r="F16" s="6">
        <v>43912</v>
      </c>
      <c r="G16" s="3">
        <v>170</v>
      </c>
      <c r="H16" s="7">
        <v>43929</v>
      </c>
      <c r="I16" s="3">
        <v>310</v>
      </c>
      <c r="J16" s="8">
        <f t="shared" si="2"/>
        <v>5</v>
      </c>
      <c r="K16" s="9">
        <f t="shared" si="3"/>
        <v>65250</v>
      </c>
      <c r="L16" s="9">
        <f t="shared" si="4"/>
        <v>76500</v>
      </c>
      <c r="M16" s="9">
        <f t="shared" si="0"/>
        <v>517.5</v>
      </c>
      <c r="N16" s="9">
        <f t="shared" si="5"/>
        <v>160425</v>
      </c>
      <c r="O16" s="9">
        <f t="shared" si="6"/>
        <v>18675</v>
      </c>
      <c r="P16" s="9">
        <f t="shared" si="1"/>
        <v>192510</v>
      </c>
      <c r="Q16" s="27">
        <f t="shared" si="7"/>
        <v>32085</v>
      </c>
      <c r="R16" s="26">
        <f t="shared" si="8"/>
        <v>1.085209003215434</v>
      </c>
      <c r="S16" s="8" t="str">
        <f t="shared" si="9"/>
        <v/>
      </c>
      <c r="T16" s="8" t="str">
        <f t="shared" si="10"/>
        <v/>
      </c>
      <c r="U16" s="8" t="str">
        <f t="shared" si="11"/>
        <v/>
      </c>
      <c r="V16" s="8" t="str">
        <f t="shared" si="12"/>
        <v/>
      </c>
      <c r="W16" s="8" t="str">
        <f t="shared" si="13"/>
        <v/>
      </c>
      <c r="X16" s="8" t="str">
        <f t="shared" si="14"/>
        <v/>
      </c>
    </row>
    <row r="17" spans="1:25" x14ac:dyDescent="0.2">
      <c r="A17" s="18">
        <v>6</v>
      </c>
      <c r="B17" s="17" t="s">
        <v>5</v>
      </c>
      <c r="C17" s="36">
        <v>43914</v>
      </c>
      <c r="D17" s="24">
        <v>789</v>
      </c>
      <c r="E17" s="37">
        <v>450</v>
      </c>
      <c r="F17" s="6">
        <v>43921</v>
      </c>
      <c r="G17" s="3">
        <v>78</v>
      </c>
      <c r="H17" s="7">
        <v>43938</v>
      </c>
      <c r="I17" s="3">
        <v>810</v>
      </c>
      <c r="J17" s="8">
        <f t="shared" si="2"/>
        <v>57</v>
      </c>
      <c r="K17" s="9">
        <f t="shared" si="3"/>
        <v>355050</v>
      </c>
      <c r="L17" s="9">
        <f t="shared" si="4"/>
        <v>35100</v>
      </c>
      <c r="M17" s="9">
        <f t="shared" si="0"/>
        <v>517.5</v>
      </c>
      <c r="N17" s="9">
        <f t="shared" si="5"/>
        <v>419175</v>
      </c>
      <c r="O17" s="9">
        <f t="shared" si="6"/>
        <v>29025</v>
      </c>
      <c r="P17" s="38">
        <f t="shared" si="1"/>
        <v>503010</v>
      </c>
      <c r="Q17" s="39">
        <f t="shared" si="7"/>
        <v>83835</v>
      </c>
      <c r="R17" s="40">
        <f t="shared" si="8"/>
        <v>1.085209003215434</v>
      </c>
      <c r="S17" s="8" t="str">
        <f t="shared" si="9"/>
        <v/>
      </c>
      <c r="T17" s="8" t="str">
        <f t="shared" si="10"/>
        <v/>
      </c>
      <c r="U17" s="8" t="str">
        <f t="shared" si="11"/>
        <v/>
      </c>
      <c r="V17" s="8" t="str">
        <f t="shared" si="12"/>
        <v/>
      </c>
      <c r="W17" s="8" t="str">
        <f t="shared" si="13"/>
        <v/>
      </c>
      <c r="X17" s="8" t="str">
        <f t="shared" si="14"/>
        <v/>
      </c>
    </row>
    <row r="18" spans="1:25" x14ac:dyDescent="0.2">
      <c r="A18" s="30"/>
      <c r="B18" s="31"/>
      <c r="C18" s="32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43"/>
    </row>
    <row r="19" spans="1:25" x14ac:dyDescent="0.2">
      <c r="A19" s="140" t="s">
        <v>39</v>
      </c>
      <c r="B19" s="141"/>
      <c r="C19" s="24" t="s">
        <v>40</v>
      </c>
      <c r="D19" s="23">
        <f>SUM(D3:D17)</f>
        <v>5559</v>
      </c>
      <c r="E19" s="33"/>
      <c r="G19" s="34">
        <f t="shared" ref="G19:Q19" si="15">SUM(G3:G17)</f>
        <v>2570</v>
      </c>
      <c r="I19" s="34">
        <f t="shared" si="15"/>
        <v>7664</v>
      </c>
      <c r="J19" s="35">
        <f t="shared" si="15"/>
        <v>465</v>
      </c>
      <c r="K19" s="16">
        <f t="shared" si="15"/>
        <v>2387580</v>
      </c>
      <c r="L19" s="16">
        <f t="shared" si="15"/>
        <v>878210</v>
      </c>
      <c r="M19" s="16">
        <f t="shared" si="15"/>
        <v>7153</v>
      </c>
      <c r="N19" s="16">
        <f t="shared" si="15"/>
        <v>3500726.5</v>
      </c>
      <c r="O19" s="16">
        <f t="shared" si="15"/>
        <v>234936.5</v>
      </c>
      <c r="P19" s="22">
        <f t="shared" si="15"/>
        <v>4200871.8</v>
      </c>
      <c r="Q19" s="19">
        <f t="shared" si="15"/>
        <v>700145.3</v>
      </c>
      <c r="R19" s="42"/>
    </row>
    <row r="20" spans="1:25" x14ac:dyDescent="0.2">
      <c r="A20" s="140" t="s">
        <v>41</v>
      </c>
      <c r="B20" s="141"/>
      <c r="C20" s="24" t="s">
        <v>41</v>
      </c>
      <c r="D20" s="15">
        <f>AVERAGE(D3:D17)</f>
        <v>370.6</v>
      </c>
      <c r="E20" s="21">
        <f>AVERAGE(E3:E17)</f>
        <v>414.66666666666669</v>
      </c>
      <c r="G20" s="19">
        <f t="shared" ref="G20:Q20" si="16">AVERAGE(G3:G17)</f>
        <v>171.33333333333334</v>
      </c>
      <c r="H20" s="20"/>
      <c r="I20" s="19">
        <f t="shared" si="16"/>
        <v>510.93333333333334</v>
      </c>
      <c r="J20" s="15">
        <f t="shared" si="16"/>
        <v>31</v>
      </c>
      <c r="K20" s="14">
        <f t="shared" si="16"/>
        <v>159172</v>
      </c>
      <c r="L20" s="14">
        <f t="shared" si="16"/>
        <v>58547.333333333336</v>
      </c>
      <c r="M20" s="14">
        <f t="shared" si="16"/>
        <v>476.86666666666667</v>
      </c>
      <c r="N20" s="14">
        <f t="shared" si="16"/>
        <v>233381.76666666666</v>
      </c>
      <c r="O20" s="14">
        <f t="shared" si="16"/>
        <v>15662.433333333332</v>
      </c>
      <c r="P20" s="14">
        <f t="shared" si="16"/>
        <v>280058.12</v>
      </c>
      <c r="Q20" s="19">
        <f t="shared" si="16"/>
        <v>46676.35333333334</v>
      </c>
    </row>
    <row r="21" spans="1:25" x14ac:dyDescent="0.2">
      <c r="A21" s="140" t="s">
        <v>44</v>
      </c>
      <c r="B21" s="141"/>
      <c r="C21" s="24" t="s">
        <v>6</v>
      </c>
      <c r="D21" s="15">
        <f>MIN(D3:D17)</f>
        <v>120</v>
      </c>
      <c r="E21" s="21">
        <f>MIN(E3:E17)</f>
        <v>140</v>
      </c>
      <c r="F21" s="20"/>
      <c r="G21" s="19">
        <f t="shared" ref="G21:Q21" si="17">MIN(G3:G17)</f>
        <v>44</v>
      </c>
      <c r="H21" s="20"/>
      <c r="I21" s="19">
        <f t="shared" si="17"/>
        <v>200</v>
      </c>
      <c r="J21" s="15">
        <f t="shared" si="17"/>
        <v>0</v>
      </c>
      <c r="K21" s="14">
        <f t="shared" si="17"/>
        <v>18000</v>
      </c>
      <c r="L21" s="14">
        <f t="shared" si="17"/>
        <v>15300</v>
      </c>
      <c r="M21" s="14">
        <f t="shared" si="17"/>
        <v>161</v>
      </c>
      <c r="N21" s="14">
        <f t="shared" si="17"/>
        <v>34500</v>
      </c>
      <c r="O21" s="14">
        <f t="shared" si="17"/>
        <v>-7150</v>
      </c>
      <c r="P21" s="14">
        <f t="shared" si="17"/>
        <v>41400</v>
      </c>
      <c r="Q21" s="19">
        <f t="shared" si="17"/>
        <v>6900</v>
      </c>
    </row>
    <row r="22" spans="1:25" x14ac:dyDescent="0.2">
      <c r="A22" s="140" t="s">
        <v>45</v>
      </c>
      <c r="B22" s="141"/>
      <c r="C22" s="24" t="s">
        <v>7</v>
      </c>
      <c r="D22" s="15">
        <f>MAX(D3:D17)</f>
        <v>963</v>
      </c>
      <c r="E22" s="21">
        <f>MAX(E3:E17)</f>
        <v>950</v>
      </c>
      <c r="F22" s="20"/>
      <c r="G22" s="19">
        <f t="shared" ref="G22:Q22" si="18">MAX(G3:G17)</f>
        <v>562</v>
      </c>
      <c r="H22" s="20"/>
      <c r="I22" s="19">
        <f t="shared" si="18"/>
        <v>1300</v>
      </c>
      <c r="J22" s="15">
        <f t="shared" si="18"/>
        <v>117</v>
      </c>
      <c r="K22" s="14">
        <f t="shared" si="18"/>
        <v>914850</v>
      </c>
      <c r="L22" s="14">
        <f t="shared" si="18"/>
        <v>218500</v>
      </c>
      <c r="M22" s="14">
        <f t="shared" si="18"/>
        <v>1092.5</v>
      </c>
      <c r="N22" s="14">
        <f t="shared" si="18"/>
        <v>972325</v>
      </c>
      <c r="O22" s="14">
        <f t="shared" si="18"/>
        <v>33750</v>
      </c>
      <c r="P22" s="14">
        <f t="shared" si="18"/>
        <v>1166790</v>
      </c>
      <c r="Q22" s="19">
        <f t="shared" si="18"/>
        <v>194465</v>
      </c>
    </row>
    <row r="23" spans="1:25" x14ac:dyDescent="0.2">
      <c r="A23" s="140" t="s">
        <v>42</v>
      </c>
      <c r="B23" s="142"/>
      <c r="C23" s="160">
        <v>0.15</v>
      </c>
      <c r="D23" s="161"/>
    </row>
    <row r="24" spans="1:25" x14ac:dyDescent="0.2">
      <c r="A24" s="140" t="s">
        <v>8</v>
      </c>
      <c r="B24" s="142"/>
      <c r="C24" s="162">
        <v>0.2</v>
      </c>
      <c r="D24" s="161"/>
    </row>
    <row r="25" spans="1:25" x14ac:dyDescent="0.2">
      <c r="A25" s="143"/>
      <c r="B25" s="144"/>
      <c r="C25" s="11" t="s">
        <v>13</v>
      </c>
      <c r="D25" s="11" t="s">
        <v>14</v>
      </c>
    </row>
    <row r="26" spans="1:25" x14ac:dyDescent="0.2">
      <c r="A26" s="147" t="s">
        <v>9</v>
      </c>
      <c r="B26" s="148"/>
      <c r="C26" s="8">
        <f>COUNT(A3:A17)</f>
        <v>15</v>
      </c>
      <c r="D26" s="8">
        <f>COUNTA(A3:A17)</f>
        <v>15</v>
      </c>
    </row>
    <row r="27" spans="1:25" x14ac:dyDescent="0.2">
      <c r="A27" s="145"/>
      <c r="B27" s="146"/>
      <c r="C27" s="146"/>
      <c r="D27" s="146"/>
      <c r="E27" s="146"/>
      <c r="F27" s="146"/>
      <c r="G27" s="146"/>
      <c r="H27" s="146"/>
    </row>
    <row r="28" spans="1:25" x14ac:dyDescent="0.2">
      <c r="A28" s="138" t="s">
        <v>10</v>
      </c>
      <c r="B28" s="139"/>
      <c r="C28" s="12">
        <v>1</v>
      </c>
      <c r="D28" s="12">
        <v>2</v>
      </c>
      <c r="E28" s="12">
        <v>3</v>
      </c>
      <c r="F28" s="12">
        <v>4</v>
      </c>
      <c r="G28" s="12">
        <v>5</v>
      </c>
      <c r="H28" s="12">
        <v>6</v>
      </c>
      <c r="O28" s="158" t="s">
        <v>53</v>
      </c>
      <c r="P28" s="159"/>
    </row>
    <row r="29" spans="1:25" x14ac:dyDescent="0.2">
      <c r="A29" s="138" t="s">
        <v>11</v>
      </c>
      <c r="B29" s="139"/>
      <c r="C29" s="9">
        <f>SUMIF($A$3:$A$17,C28,$P$3:$P$17)</f>
        <v>225630</v>
      </c>
      <c r="D29" s="9">
        <f t="shared" ref="D29:H29" si="19">SUMIF($A$3:$A$17,D28,$P$3:$P$17)</f>
        <v>301392</v>
      </c>
      <c r="E29" s="9">
        <f t="shared" si="19"/>
        <v>507922.8</v>
      </c>
      <c r="F29" s="9">
        <f t="shared" si="19"/>
        <v>581256</v>
      </c>
      <c r="G29" s="9">
        <f t="shared" si="19"/>
        <v>1889151</v>
      </c>
      <c r="H29" s="9">
        <f t="shared" si="19"/>
        <v>695520</v>
      </c>
    </row>
    <row r="30" spans="1:25" ht="17" thickBot="1" x14ac:dyDescent="0.25">
      <c r="A30" s="138" t="s">
        <v>12</v>
      </c>
      <c r="B30" s="139"/>
      <c r="C30" s="8">
        <f>COUNTIF($A$3:$A$17,C28)</f>
        <v>3</v>
      </c>
      <c r="D30" s="8">
        <f t="shared" ref="D30:H30" si="20">COUNTIF($A$3:$A$17,D28)</f>
        <v>2</v>
      </c>
      <c r="E30" s="8">
        <f t="shared" si="20"/>
        <v>3</v>
      </c>
      <c r="F30" s="8">
        <f t="shared" si="20"/>
        <v>2</v>
      </c>
      <c r="G30" s="8">
        <f t="shared" si="20"/>
        <v>3</v>
      </c>
      <c r="H30" s="8">
        <f t="shared" si="20"/>
        <v>2</v>
      </c>
    </row>
    <row r="31" spans="1:25" ht="17" thickBot="1" x14ac:dyDescent="0.25">
      <c r="A31" s="138" t="s">
        <v>36</v>
      </c>
      <c r="B31" s="139"/>
      <c r="C31" s="9">
        <f>AVERAGEIF($A$3:$A$17,C28,$M$3:$M$17)</f>
        <v>172.5</v>
      </c>
      <c r="D31" s="9">
        <f t="shared" ref="D31:H31" si="21">AVERAGEIF($A$3:$A$17,D28,$M$3:$M$17)</f>
        <v>161</v>
      </c>
      <c r="E31" s="9">
        <f t="shared" si="21"/>
        <v>253</v>
      </c>
      <c r="F31" s="9">
        <f t="shared" si="21"/>
        <v>621</v>
      </c>
      <c r="G31" s="9">
        <f t="shared" si="21"/>
        <v>1092.5</v>
      </c>
      <c r="H31" s="9">
        <f t="shared" si="21"/>
        <v>517.5</v>
      </c>
      <c r="O31" s="50" t="s">
        <v>55</v>
      </c>
      <c r="P31" s="50" t="s">
        <v>54</v>
      </c>
      <c r="R31" s="149" t="s">
        <v>56</v>
      </c>
      <c r="S31" s="150"/>
      <c r="T31" s="29" t="s">
        <v>57</v>
      </c>
    </row>
    <row r="32" spans="1:25" ht="17" thickTop="1" x14ac:dyDescent="0.2">
      <c r="O32" s="49" t="s">
        <v>51</v>
      </c>
      <c r="P32" s="49" t="s">
        <v>46</v>
      </c>
      <c r="R32" s="43"/>
      <c r="S32" s="51"/>
      <c r="T32" s="28"/>
    </row>
    <row r="33" spans="15:20" ht="26" x14ac:dyDescent="0.3">
      <c r="O33" s="45" t="s">
        <v>52</v>
      </c>
      <c r="P33" s="45"/>
      <c r="R33" s="153" t="s">
        <v>48</v>
      </c>
      <c r="S33" s="154"/>
      <c r="T33" s="151" t="str">
        <f>IF(R33="beau",IF(R34="argent",P32,P34),IF(R34="argent",P36,P38))</f>
        <v xml:space="preserve">allé au cinéma </v>
      </c>
    </row>
    <row r="34" spans="15:20" ht="26" x14ac:dyDescent="0.3">
      <c r="O34" s="46" t="s">
        <v>51</v>
      </c>
      <c r="P34" s="45" t="s">
        <v>47</v>
      </c>
      <c r="R34" s="155" t="s">
        <v>52</v>
      </c>
      <c r="S34" s="156"/>
      <c r="T34" s="152"/>
    </row>
    <row r="35" spans="15:20" x14ac:dyDescent="0.2">
      <c r="O35" s="46" t="s">
        <v>58</v>
      </c>
      <c r="P35" s="45"/>
    </row>
    <row r="36" spans="15:20" x14ac:dyDescent="0.2">
      <c r="O36" s="46" t="s">
        <v>48</v>
      </c>
      <c r="P36" s="46" t="s">
        <v>49</v>
      </c>
    </row>
    <row r="37" spans="15:20" x14ac:dyDescent="0.2">
      <c r="O37" s="46" t="s">
        <v>52</v>
      </c>
      <c r="P37" s="45"/>
    </row>
    <row r="38" spans="15:20" x14ac:dyDescent="0.2">
      <c r="O38" s="46" t="s">
        <v>48</v>
      </c>
      <c r="P38" s="45" t="s">
        <v>50</v>
      </c>
    </row>
    <row r="39" spans="15:20" ht="17" thickBot="1" x14ac:dyDescent="0.25">
      <c r="O39" s="47" t="s">
        <v>58</v>
      </c>
      <c r="P39" s="48"/>
    </row>
  </sheetData>
  <mergeCells count="22">
    <mergeCell ref="T33:T34"/>
    <mergeCell ref="R33:S33"/>
    <mergeCell ref="R34:S34"/>
    <mergeCell ref="D18:X18"/>
    <mergeCell ref="O28:P28"/>
    <mergeCell ref="C23:D23"/>
    <mergeCell ref="C24:D24"/>
    <mergeCell ref="A1:X1"/>
    <mergeCell ref="A28:B28"/>
    <mergeCell ref="A29:B29"/>
    <mergeCell ref="A30:B30"/>
    <mergeCell ref="A31:B31"/>
    <mergeCell ref="A19:B19"/>
    <mergeCell ref="A20:B20"/>
    <mergeCell ref="A21:B21"/>
    <mergeCell ref="A22:B22"/>
    <mergeCell ref="A23:B23"/>
    <mergeCell ref="A24:B24"/>
    <mergeCell ref="A25:B25"/>
    <mergeCell ref="A27:H27"/>
    <mergeCell ref="A26:B26"/>
    <mergeCell ref="R31:S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0AAE-2D93-AD4C-B77F-1963BAB42C88}">
  <dimension ref="A1:Q32"/>
  <sheetViews>
    <sheetView zoomScale="50" workbookViewId="0">
      <selection activeCell="K24" sqref="K24"/>
    </sheetView>
  </sheetViews>
  <sheetFormatPr baseColWidth="10" defaultRowHeight="16" x14ac:dyDescent="0.2"/>
  <cols>
    <col min="1" max="1" width="41" customWidth="1"/>
    <col min="2" max="2" width="30" customWidth="1"/>
    <col min="3" max="3" width="13.33203125" customWidth="1"/>
    <col min="4" max="4" width="13" customWidth="1"/>
    <col min="5" max="5" width="18.5" customWidth="1"/>
    <col min="6" max="6" width="13.6640625" customWidth="1"/>
    <col min="7" max="7" width="50.83203125" customWidth="1"/>
    <col min="8" max="8" width="29.83203125" customWidth="1"/>
    <col min="9" max="9" width="20" customWidth="1"/>
    <col min="10" max="10" width="31.1640625" customWidth="1"/>
    <col min="13" max="13" width="25" customWidth="1"/>
    <col min="15" max="15" width="20.33203125" customWidth="1"/>
    <col min="16" max="16" width="25.33203125" customWidth="1"/>
    <col min="17" max="17" width="21.6640625" customWidth="1"/>
  </cols>
  <sheetData>
    <row r="1" spans="1:17" x14ac:dyDescent="0.2">
      <c r="A1" t="s">
        <v>60</v>
      </c>
    </row>
    <row r="2" spans="1:17" ht="17" thickBot="1" x14ac:dyDescent="0.25">
      <c r="A2" s="56" t="s">
        <v>61</v>
      </c>
      <c r="B2" s="56" t="s">
        <v>62</v>
      </c>
      <c r="C2" s="56" t="s">
        <v>73</v>
      </c>
      <c r="D2" s="56" t="s">
        <v>74</v>
      </c>
      <c r="E2" s="56" t="s">
        <v>75</v>
      </c>
      <c r="F2" s="56" t="s">
        <v>76</v>
      </c>
      <c r="G2" s="56" t="s">
        <v>77</v>
      </c>
      <c r="H2" s="56" t="s">
        <v>78</v>
      </c>
      <c r="I2" s="56" t="s">
        <v>79</v>
      </c>
      <c r="J2" s="56" t="s">
        <v>121</v>
      </c>
      <c r="K2" s="57" t="s">
        <v>122</v>
      </c>
      <c r="L2" s="57" t="s">
        <v>123</v>
      </c>
      <c r="M2" s="57" t="s">
        <v>124</v>
      </c>
      <c r="N2" s="57" t="s">
        <v>125</v>
      </c>
      <c r="O2" s="58" t="s">
        <v>126</v>
      </c>
      <c r="P2" s="59" t="s">
        <v>127</v>
      </c>
      <c r="Q2" s="59" t="s">
        <v>128</v>
      </c>
    </row>
    <row r="3" spans="1:17" ht="17" thickBot="1" x14ac:dyDescent="0.25">
      <c r="A3" s="86">
        <v>1</v>
      </c>
      <c r="B3" s="82" t="s">
        <v>63</v>
      </c>
      <c r="C3" s="78">
        <v>43748</v>
      </c>
      <c r="D3" s="82">
        <v>1</v>
      </c>
      <c r="E3" s="74" t="str">
        <f t="shared" ref="E3:E12" si="0">VLOOKUP(D3,Type,2)</f>
        <v>Société</v>
      </c>
      <c r="F3" s="82">
        <v>1</v>
      </c>
      <c r="G3" s="74" t="str">
        <f t="shared" ref="G3:G12" si="1">VLOOKUP(F3,Auteur,2)</f>
        <v>PPDA</v>
      </c>
      <c r="H3" s="74">
        <v>1</v>
      </c>
      <c r="I3" s="74" t="str">
        <f t="shared" ref="I3:I12" si="2">VLOOKUP(H3,Editeur,2)</f>
        <v>Edition du midi</v>
      </c>
      <c r="J3" s="64">
        <v>50</v>
      </c>
      <c r="K3" s="65">
        <f t="shared" ref="K3:K12" si="3">(J3*TTVA)+J3</f>
        <v>60</v>
      </c>
      <c r="L3" s="65">
        <f>Feuil2!$J3*TTVA</f>
        <v>10</v>
      </c>
      <c r="M3" s="65">
        <f t="shared" ref="M3:M12" si="4">VLOOKUP(D3,ComAut,F3+1)*J3</f>
        <v>6</v>
      </c>
      <c r="N3" s="65">
        <f>M3*(1+$H$23)</f>
        <v>6.66</v>
      </c>
      <c r="O3" s="66">
        <f>K3-(M3+N3+L3)</f>
        <v>37.340000000000003</v>
      </c>
      <c r="P3" s="41" t="str">
        <f>IF(O3=$O$15,O3,"")</f>
        <v/>
      </c>
      <c r="Q3" s="41" t="str">
        <f>IF(O3=$O$14,O3,"")</f>
        <v/>
      </c>
    </row>
    <row r="4" spans="1:17" ht="17" thickBot="1" x14ac:dyDescent="0.25">
      <c r="A4" s="87">
        <v>2</v>
      </c>
      <c r="B4" s="83" t="s">
        <v>64</v>
      </c>
      <c r="C4" s="79">
        <v>43784</v>
      </c>
      <c r="D4" s="83">
        <v>4</v>
      </c>
      <c r="E4" s="75" t="str">
        <f t="shared" si="0"/>
        <v>Amour</v>
      </c>
      <c r="F4" s="83">
        <v>1</v>
      </c>
      <c r="G4" s="75" t="str">
        <f t="shared" si="1"/>
        <v>PPDA</v>
      </c>
      <c r="H4" s="75">
        <v>3</v>
      </c>
      <c r="I4" s="75" t="str">
        <f t="shared" si="2"/>
        <v>L'independant</v>
      </c>
      <c r="J4" s="67">
        <v>40</v>
      </c>
      <c r="K4" s="68">
        <f t="shared" si="3"/>
        <v>48</v>
      </c>
      <c r="L4" s="68">
        <f>Feuil2!$J4*TTVA</f>
        <v>8</v>
      </c>
      <c r="M4" s="65">
        <f t="shared" si="4"/>
        <v>4.4000000000000004</v>
      </c>
      <c r="N4" s="65">
        <f t="shared" ref="N4:N12" si="5">M4*(1+$H$23)</f>
        <v>4.8840000000000012</v>
      </c>
      <c r="O4" s="66">
        <f t="shared" ref="O4:O12" si="6">K4-(M4+N4+L4)</f>
        <v>30.715999999999998</v>
      </c>
      <c r="P4" s="41" t="str">
        <f t="shared" ref="P4:P12" si="7">IF(O4=$O$15,O4,"")</f>
        <v/>
      </c>
      <c r="Q4" s="41">
        <f t="shared" ref="Q4:Q12" si="8">IF(O4=$O$14,O4,"")</f>
        <v>30.715999999999998</v>
      </c>
    </row>
    <row r="5" spans="1:17" ht="17" thickBot="1" x14ac:dyDescent="0.25">
      <c r="A5" s="88">
        <v>3</v>
      </c>
      <c r="B5" s="84" t="s">
        <v>65</v>
      </c>
      <c r="C5" s="80">
        <v>43820</v>
      </c>
      <c r="D5" s="84">
        <v>5</v>
      </c>
      <c r="E5" s="76" t="str">
        <f t="shared" si="0"/>
        <v>Engagé</v>
      </c>
      <c r="F5" s="84">
        <v>3</v>
      </c>
      <c r="G5" s="76" t="str">
        <f t="shared" si="1"/>
        <v>JPE</v>
      </c>
      <c r="H5" s="76">
        <v>3</v>
      </c>
      <c r="I5" s="76" t="str">
        <f t="shared" si="2"/>
        <v>L'independant</v>
      </c>
      <c r="J5" s="69">
        <v>55</v>
      </c>
      <c r="K5" s="70">
        <f t="shared" si="3"/>
        <v>66</v>
      </c>
      <c r="L5" s="70">
        <f>Feuil2!$J5*TTVA</f>
        <v>11</v>
      </c>
      <c r="M5" s="65">
        <f t="shared" si="4"/>
        <v>6.6</v>
      </c>
      <c r="N5" s="65">
        <f t="shared" si="5"/>
        <v>7.3260000000000005</v>
      </c>
      <c r="O5" s="66">
        <f t="shared" si="6"/>
        <v>41.073999999999998</v>
      </c>
      <c r="P5" s="41" t="str">
        <f t="shared" si="7"/>
        <v/>
      </c>
      <c r="Q5" s="41" t="str">
        <f t="shared" si="8"/>
        <v/>
      </c>
    </row>
    <row r="6" spans="1:17" ht="17" thickBot="1" x14ac:dyDescent="0.25">
      <c r="A6" s="87">
        <v>4</v>
      </c>
      <c r="B6" s="83" t="s">
        <v>66</v>
      </c>
      <c r="C6" s="79">
        <v>43856</v>
      </c>
      <c r="D6" s="83">
        <v>5</v>
      </c>
      <c r="E6" s="75" t="str">
        <f t="shared" si="0"/>
        <v>Engagé</v>
      </c>
      <c r="F6" s="83">
        <v>2</v>
      </c>
      <c r="G6" s="75" t="str">
        <f t="shared" si="1"/>
        <v>FOG</v>
      </c>
      <c r="H6" s="75">
        <v>2</v>
      </c>
      <c r="I6" s="75" t="str">
        <f t="shared" si="2"/>
        <v>La société ecrivains</v>
      </c>
      <c r="J6" s="67">
        <v>70</v>
      </c>
      <c r="K6" s="68">
        <f t="shared" si="3"/>
        <v>84</v>
      </c>
      <c r="L6" s="68">
        <f>Feuil2!$J6*TTVA</f>
        <v>14</v>
      </c>
      <c r="M6" s="65">
        <f t="shared" si="4"/>
        <v>11.9</v>
      </c>
      <c r="N6" s="65">
        <f t="shared" si="5"/>
        <v>13.209000000000001</v>
      </c>
      <c r="O6" s="66">
        <f t="shared" si="6"/>
        <v>44.890999999999998</v>
      </c>
      <c r="P6" s="41" t="str">
        <f t="shared" si="7"/>
        <v/>
      </c>
      <c r="Q6" s="41" t="str">
        <f t="shared" si="8"/>
        <v/>
      </c>
    </row>
    <row r="7" spans="1:17" ht="17" thickBot="1" x14ac:dyDescent="0.25">
      <c r="A7" s="88">
        <v>5</v>
      </c>
      <c r="B7" s="84" t="s">
        <v>67</v>
      </c>
      <c r="C7" s="80">
        <v>43892</v>
      </c>
      <c r="D7" s="84">
        <v>2</v>
      </c>
      <c r="E7" s="76" t="str">
        <f t="shared" si="0"/>
        <v>Humanitaire</v>
      </c>
      <c r="F7" s="84">
        <v>1</v>
      </c>
      <c r="G7" s="76" t="str">
        <f t="shared" si="1"/>
        <v>PPDA</v>
      </c>
      <c r="H7" s="76">
        <v>1</v>
      </c>
      <c r="I7" s="76" t="str">
        <f t="shared" si="2"/>
        <v>Edition du midi</v>
      </c>
      <c r="J7" s="69">
        <v>80</v>
      </c>
      <c r="K7" s="70">
        <f t="shared" si="3"/>
        <v>96</v>
      </c>
      <c r="L7" s="70">
        <f>Feuil2!$J7*TTVA</f>
        <v>16</v>
      </c>
      <c r="M7" s="65">
        <f t="shared" si="4"/>
        <v>10.4</v>
      </c>
      <c r="N7" s="65">
        <f t="shared" si="5"/>
        <v>11.544000000000002</v>
      </c>
      <c r="O7" s="66">
        <f t="shared" si="6"/>
        <v>58.055999999999997</v>
      </c>
      <c r="P7" s="41">
        <f t="shared" si="7"/>
        <v>58.055999999999997</v>
      </c>
      <c r="Q7" s="41" t="str">
        <f t="shared" si="8"/>
        <v/>
      </c>
    </row>
    <row r="8" spans="1:17" ht="17" thickBot="1" x14ac:dyDescent="0.25">
      <c r="A8" s="87">
        <v>6</v>
      </c>
      <c r="B8" s="83" t="s">
        <v>68</v>
      </c>
      <c r="C8" s="79">
        <v>43928</v>
      </c>
      <c r="D8" s="83">
        <v>3</v>
      </c>
      <c r="E8" s="75" t="str">
        <f t="shared" si="0"/>
        <v>Histoire</v>
      </c>
      <c r="F8" s="83">
        <v>4</v>
      </c>
      <c r="G8" s="75" t="str">
        <f t="shared" si="1"/>
        <v>Lpierre</v>
      </c>
      <c r="H8" s="75">
        <v>1</v>
      </c>
      <c r="I8" s="75" t="str">
        <f t="shared" si="2"/>
        <v>Edition du midi</v>
      </c>
      <c r="J8" s="67">
        <v>55</v>
      </c>
      <c r="K8" s="68">
        <f t="shared" si="3"/>
        <v>66</v>
      </c>
      <c r="L8" s="68">
        <f>Feuil2!$J8*TTVA</f>
        <v>11</v>
      </c>
      <c r="M8" s="65">
        <f t="shared" si="4"/>
        <v>8.8000000000000007</v>
      </c>
      <c r="N8" s="65">
        <f t="shared" si="5"/>
        <v>9.7680000000000025</v>
      </c>
      <c r="O8" s="66">
        <f t="shared" si="6"/>
        <v>36.431999999999995</v>
      </c>
      <c r="P8" s="41" t="str">
        <f t="shared" si="7"/>
        <v/>
      </c>
      <c r="Q8" s="41" t="str">
        <f t="shared" si="8"/>
        <v/>
      </c>
    </row>
    <row r="9" spans="1:17" ht="17" thickBot="1" x14ac:dyDescent="0.25">
      <c r="A9" s="88">
        <v>7</v>
      </c>
      <c r="B9" s="84" t="s">
        <v>69</v>
      </c>
      <c r="C9" s="80">
        <v>43964</v>
      </c>
      <c r="D9" s="84">
        <v>2</v>
      </c>
      <c r="E9" s="76" t="str">
        <f t="shared" si="0"/>
        <v>Humanitaire</v>
      </c>
      <c r="F9" s="84">
        <v>1</v>
      </c>
      <c r="G9" s="76" t="str">
        <f t="shared" si="1"/>
        <v>PPDA</v>
      </c>
      <c r="H9" s="76">
        <v>2</v>
      </c>
      <c r="I9" s="76" t="str">
        <f t="shared" si="2"/>
        <v>La société ecrivains</v>
      </c>
      <c r="J9" s="69">
        <v>66</v>
      </c>
      <c r="K9" s="70">
        <f t="shared" si="3"/>
        <v>79.2</v>
      </c>
      <c r="L9" s="70">
        <f>Feuil2!$J9*TTVA</f>
        <v>13.200000000000001</v>
      </c>
      <c r="M9" s="65">
        <f t="shared" si="4"/>
        <v>8.58</v>
      </c>
      <c r="N9" s="65">
        <f t="shared" si="5"/>
        <v>9.5238000000000014</v>
      </c>
      <c r="O9" s="66">
        <f t="shared" si="6"/>
        <v>47.8962</v>
      </c>
      <c r="P9" s="41" t="str">
        <f t="shared" si="7"/>
        <v/>
      </c>
      <c r="Q9" s="41" t="str">
        <f t="shared" si="8"/>
        <v/>
      </c>
    </row>
    <row r="10" spans="1:17" ht="17" thickBot="1" x14ac:dyDescent="0.25">
      <c r="A10" s="87">
        <v>8</v>
      </c>
      <c r="B10" s="83" t="s">
        <v>70</v>
      </c>
      <c r="C10" s="79">
        <v>44000</v>
      </c>
      <c r="D10" s="83">
        <v>4</v>
      </c>
      <c r="E10" s="75" t="str">
        <f t="shared" si="0"/>
        <v>Amour</v>
      </c>
      <c r="F10" s="83">
        <v>1</v>
      </c>
      <c r="G10" s="75" t="str">
        <f t="shared" si="1"/>
        <v>PPDA</v>
      </c>
      <c r="H10" s="75">
        <v>3</v>
      </c>
      <c r="I10" s="75" t="str">
        <f t="shared" si="2"/>
        <v>L'independant</v>
      </c>
      <c r="J10" s="67">
        <v>40</v>
      </c>
      <c r="K10" s="68">
        <f t="shared" si="3"/>
        <v>48</v>
      </c>
      <c r="L10" s="68">
        <f>Feuil2!$J10*TTVA</f>
        <v>8</v>
      </c>
      <c r="M10" s="65">
        <f t="shared" si="4"/>
        <v>4.4000000000000004</v>
      </c>
      <c r="N10" s="65">
        <f t="shared" si="5"/>
        <v>4.8840000000000012</v>
      </c>
      <c r="O10" s="66">
        <f t="shared" si="6"/>
        <v>30.715999999999998</v>
      </c>
      <c r="P10" s="41" t="str">
        <f t="shared" si="7"/>
        <v/>
      </c>
      <c r="Q10" s="41">
        <f t="shared" si="8"/>
        <v>30.715999999999998</v>
      </c>
    </row>
    <row r="11" spans="1:17" ht="17" thickBot="1" x14ac:dyDescent="0.25">
      <c r="A11" s="88">
        <v>9</v>
      </c>
      <c r="B11" s="84" t="s">
        <v>71</v>
      </c>
      <c r="C11" s="80">
        <v>44036</v>
      </c>
      <c r="D11" s="84">
        <v>1</v>
      </c>
      <c r="E11" s="76" t="str">
        <f t="shared" si="0"/>
        <v>Société</v>
      </c>
      <c r="F11" s="84">
        <v>3</v>
      </c>
      <c r="G11" s="76" t="str">
        <f t="shared" si="1"/>
        <v>JPE</v>
      </c>
      <c r="H11" s="76">
        <v>2</v>
      </c>
      <c r="I11" s="76" t="str">
        <f t="shared" si="2"/>
        <v>La société ecrivains</v>
      </c>
      <c r="J11" s="69">
        <v>50</v>
      </c>
      <c r="K11" s="70">
        <f t="shared" si="3"/>
        <v>60</v>
      </c>
      <c r="L11" s="70">
        <f>Feuil2!$J11*TTVA</f>
        <v>10</v>
      </c>
      <c r="M11" s="65">
        <f t="shared" si="4"/>
        <v>7.5</v>
      </c>
      <c r="N11" s="65">
        <f t="shared" si="5"/>
        <v>8.3250000000000011</v>
      </c>
      <c r="O11" s="66">
        <f t="shared" si="6"/>
        <v>34.174999999999997</v>
      </c>
      <c r="P11" s="41" t="str">
        <f t="shared" si="7"/>
        <v/>
      </c>
      <c r="Q11" s="41" t="str">
        <f t="shared" si="8"/>
        <v/>
      </c>
    </row>
    <row r="12" spans="1:17" x14ac:dyDescent="0.2">
      <c r="A12" s="89">
        <v>10</v>
      </c>
      <c r="B12" s="85" t="s">
        <v>72</v>
      </c>
      <c r="C12" s="81">
        <v>44072</v>
      </c>
      <c r="D12" s="85">
        <v>1</v>
      </c>
      <c r="E12" s="77" t="str">
        <f t="shared" si="0"/>
        <v>Société</v>
      </c>
      <c r="F12" s="85">
        <v>5</v>
      </c>
      <c r="G12" s="77" t="str">
        <f t="shared" si="1"/>
        <v>ALKA</v>
      </c>
      <c r="H12" s="77">
        <v>3</v>
      </c>
      <c r="I12" s="77" t="str">
        <f t="shared" si="2"/>
        <v>L'independant</v>
      </c>
      <c r="J12" s="71">
        <v>60</v>
      </c>
      <c r="K12" s="72">
        <f t="shared" si="3"/>
        <v>72</v>
      </c>
      <c r="L12" s="72">
        <f>Feuil2!$J12*TTVA</f>
        <v>12</v>
      </c>
      <c r="M12" s="65">
        <f t="shared" si="4"/>
        <v>9</v>
      </c>
      <c r="N12" s="65">
        <f t="shared" si="5"/>
        <v>9.99</v>
      </c>
      <c r="O12" s="66">
        <f t="shared" si="6"/>
        <v>41.01</v>
      </c>
      <c r="P12" s="41" t="str">
        <f t="shared" si="7"/>
        <v/>
      </c>
      <c r="Q12" s="41" t="str">
        <f t="shared" si="8"/>
        <v/>
      </c>
    </row>
    <row r="13" spans="1:17" x14ac:dyDescent="0.2">
      <c r="H13" s="60" t="s">
        <v>39</v>
      </c>
      <c r="I13" s="60" t="s">
        <v>84</v>
      </c>
      <c r="J13" s="73">
        <f>SUM(J3:J12)</f>
        <v>566</v>
      </c>
      <c r="K13" s="73">
        <f t="shared" ref="K13:O13" si="9">SUM(K3:K12)</f>
        <v>679.2</v>
      </c>
      <c r="L13" s="73">
        <f t="shared" si="9"/>
        <v>113.2</v>
      </c>
      <c r="M13" s="73">
        <f t="shared" si="9"/>
        <v>77.579999999999984</v>
      </c>
      <c r="N13" s="73">
        <f t="shared" si="9"/>
        <v>86.113800000000012</v>
      </c>
      <c r="O13" s="62">
        <f t="shared" si="9"/>
        <v>402.30619999999999</v>
      </c>
      <c r="P13" s="41"/>
      <c r="Q13" s="41"/>
    </row>
    <row r="14" spans="1:17" ht="29" customHeight="1" x14ac:dyDescent="0.2">
      <c r="A14" t="s">
        <v>80</v>
      </c>
      <c r="C14" t="s">
        <v>81</v>
      </c>
      <c r="E14" t="s">
        <v>82</v>
      </c>
      <c r="H14" s="61" t="s">
        <v>83</v>
      </c>
      <c r="I14" s="61" t="s">
        <v>85</v>
      </c>
      <c r="J14" s="62">
        <f>MIN(J3:J12)</f>
        <v>40</v>
      </c>
      <c r="K14" s="62">
        <f t="shared" ref="K14:O14" si="10">MIN(K3:K12)</f>
        <v>48</v>
      </c>
      <c r="L14" s="62">
        <f t="shared" si="10"/>
        <v>8</v>
      </c>
      <c r="M14" s="62">
        <f t="shared" si="10"/>
        <v>4.4000000000000004</v>
      </c>
      <c r="N14" s="62">
        <f t="shared" si="10"/>
        <v>4.8840000000000012</v>
      </c>
      <c r="O14" s="63">
        <f t="shared" si="10"/>
        <v>30.715999999999998</v>
      </c>
    </row>
    <row r="15" spans="1:17" ht="28" customHeight="1" x14ac:dyDescent="0.2">
      <c r="H15" s="61" t="s">
        <v>7</v>
      </c>
      <c r="I15" s="61" t="s">
        <v>86</v>
      </c>
      <c r="J15" s="62">
        <f>MAX(J3:J12)</f>
        <v>80</v>
      </c>
      <c r="K15" s="62">
        <f t="shared" ref="K15:O15" si="11">MAX(K3:K12)</f>
        <v>96</v>
      </c>
      <c r="L15" s="62">
        <f t="shared" si="11"/>
        <v>16</v>
      </c>
      <c r="M15" s="62">
        <f t="shared" si="11"/>
        <v>11.9</v>
      </c>
      <c r="N15" s="62">
        <f t="shared" si="11"/>
        <v>13.209000000000001</v>
      </c>
      <c r="O15" s="62">
        <f t="shared" si="11"/>
        <v>58.055999999999997</v>
      </c>
    </row>
    <row r="16" spans="1:17" ht="24" customHeight="1" thickBot="1" x14ac:dyDescent="0.25">
      <c r="A16" t="s">
        <v>118</v>
      </c>
      <c r="H16" s="61" t="s">
        <v>41</v>
      </c>
      <c r="I16" s="61" t="s">
        <v>87</v>
      </c>
      <c r="J16" s="62">
        <f>AVERAGE(J3:J12)</f>
        <v>56.6</v>
      </c>
      <c r="K16" s="62">
        <f t="shared" ref="K16:O16" si="12">AVERAGE(K3:K12)</f>
        <v>67.92</v>
      </c>
      <c r="L16" s="62">
        <f t="shared" si="12"/>
        <v>11.32</v>
      </c>
      <c r="M16" s="62">
        <f t="shared" si="12"/>
        <v>7.7579999999999982</v>
      </c>
      <c r="N16" s="62">
        <f t="shared" si="12"/>
        <v>8.6113800000000005</v>
      </c>
      <c r="O16" s="62">
        <f t="shared" si="12"/>
        <v>40.230620000000002</v>
      </c>
    </row>
    <row r="17" spans="1:15" ht="40" customHeight="1" thickBot="1" x14ac:dyDescent="0.25">
      <c r="A17" s="107" t="s">
        <v>88</v>
      </c>
      <c r="D17" s="107" t="s">
        <v>77</v>
      </c>
      <c r="G17" s="108" t="s">
        <v>101</v>
      </c>
    </row>
    <row r="18" spans="1:15" ht="52" customHeight="1" thickBot="1" x14ac:dyDescent="0.25">
      <c r="A18" s="104" t="s">
        <v>89</v>
      </c>
      <c r="B18" s="105" t="s">
        <v>88</v>
      </c>
      <c r="D18" s="104" t="s">
        <v>90</v>
      </c>
      <c r="E18" s="105" t="s">
        <v>77</v>
      </c>
      <c r="G18" s="104" t="s">
        <v>102</v>
      </c>
      <c r="H18" s="105" t="s">
        <v>103</v>
      </c>
      <c r="I18" s="260" t="s">
        <v>119</v>
      </c>
      <c r="J18" s="53" t="s">
        <v>101</v>
      </c>
      <c r="K18" s="53">
        <v>1</v>
      </c>
      <c r="L18" s="53">
        <v>2</v>
      </c>
      <c r="M18" s="53">
        <v>3</v>
      </c>
      <c r="N18" s="53">
        <v>4</v>
      </c>
      <c r="O18" s="53">
        <v>5</v>
      </c>
    </row>
    <row r="19" spans="1:15" ht="35" customHeight="1" x14ac:dyDescent="0.2">
      <c r="A19" s="103">
        <v>1</v>
      </c>
      <c r="B19" s="103" t="s">
        <v>91</v>
      </c>
      <c r="D19" s="106">
        <v>1</v>
      </c>
      <c r="E19" s="106" t="s">
        <v>96</v>
      </c>
      <c r="G19" s="103">
        <v>1</v>
      </c>
      <c r="H19" s="109" t="s">
        <v>104</v>
      </c>
      <c r="I19" s="261"/>
      <c r="J19" s="53" t="s">
        <v>129</v>
      </c>
      <c r="K19" s="53">
        <f>SUMIF($H$3:$H$12,K18,$N$3:$N$12)</f>
        <v>27.972000000000001</v>
      </c>
      <c r="L19" s="53">
        <f t="shared" ref="L19:O19" si="13">SUMIF($H$3:$H$12,L18,$N$3:$N$12)</f>
        <v>31.057800000000007</v>
      </c>
      <c r="M19" s="53">
        <f t="shared" si="13"/>
        <v>27.084000000000003</v>
      </c>
      <c r="N19" s="53">
        <f t="shared" si="13"/>
        <v>0</v>
      </c>
      <c r="O19" s="53">
        <f t="shared" si="13"/>
        <v>0</v>
      </c>
    </row>
    <row r="20" spans="1:15" ht="24" x14ac:dyDescent="0.3">
      <c r="A20" s="61">
        <v>2</v>
      </c>
      <c r="B20" s="61" t="s">
        <v>92</v>
      </c>
      <c r="D20" s="95">
        <v>2</v>
      </c>
      <c r="E20" s="95" t="s">
        <v>97</v>
      </c>
      <c r="G20" s="61">
        <v>2</v>
      </c>
      <c r="H20" s="97" t="s">
        <v>105</v>
      </c>
      <c r="I20" s="261"/>
      <c r="J20" s="113" t="s">
        <v>130</v>
      </c>
      <c r="K20" s="113">
        <f ca="1">SUMIF($H$3:$H$12,K18,$O$3:$O$11)</f>
        <v>131.828</v>
      </c>
      <c r="L20" s="113">
        <f t="shared" ref="L20:O20" ca="1" si="14">SUMIF($H$3:$H$12,L18,$O$3:$O$11)</f>
        <v>126.9622</v>
      </c>
      <c r="M20" s="113">
        <f t="shared" ca="1" si="14"/>
        <v>143.51599999999999</v>
      </c>
      <c r="N20" s="53">
        <f t="shared" ca="1" si="14"/>
        <v>0</v>
      </c>
      <c r="O20" s="53">
        <f t="shared" ca="1" si="14"/>
        <v>0</v>
      </c>
    </row>
    <row r="21" spans="1:15" ht="17" thickBot="1" x14ac:dyDescent="0.25">
      <c r="A21" s="61">
        <v>3</v>
      </c>
      <c r="B21" s="61" t="s">
        <v>93</v>
      </c>
      <c r="D21" s="95">
        <v>3</v>
      </c>
      <c r="E21" s="95" t="s">
        <v>98</v>
      </c>
      <c r="G21" s="98">
        <v>3</v>
      </c>
      <c r="H21" s="98" t="s">
        <v>120</v>
      </c>
      <c r="I21" s="261"/>
      <c r="J21" s="116" t="s">
        <v>133</v>
      </c>
      <c r="K21" s="116">
        <f>COUNTIF($H$3:$H$12,K18)</f>
        <v>3</v>
      </c>
      <c r="L21" s="116">
        <f t="shared" ref="L21:O21" si="15">COUNTIF($H$3:$H$12,L18)</f>
        <v>3</v>
      </c>
      <c r="M21" s="116">
        <f t="shared" si="15"/>
        <v>4</v>
      </c>
      <c r="N21" s="116">
        <f t="shared" si="15"/>
        <v>0</v>
      </c>
      <c r="O21" s="116">
        <f t="shared" si="15"/>
        <v>0</v>
      </c>
    </row>
    <row r="22" spans="1:15" x14ac:dyDescent="0.2">
      <c r="A22" s="61">
        <v>4</v>
      </c>
      <c r="B22" s="61" t="s">
        <v>94</v>
      </c>
      <c r="D22" s="95">
        <v>4</v>
      </c>
      <c r="E22" s="95" t="s">
        <v>99</v>
      </c>
      <c r="G22" s="99" t="s">
        <v>106</v>
      </c>
      <c r="H22" s="100">
        <v>0.2</v>
      </c>
      <c r="I22" s="261"/>
      <c r="J22" s="53" t="s">
        <v>77</v>
      </c>
      <c r="K22" s="53">
        <v>1</v>
      </c>
      <c r="L22" s="53">
        <v>2</v>
      </c>
      <c r="M22" s="53">
        <v>3</v>
      </c>
      <c r="N22" s="53">
        <v>4</v>
      </c>
      <c r="O22" s="53">
        <v>5</v>
      </c>
    </row>
    <row r="23" spans="1:15" ht="17" thickBot="1" x14ac:dyDescent="0.25">
      <c r="A23" s="94">
        <v>5</v>
      </c>
      <c r="B23" s="94" t="s">
        <v>95</v>
      </c>
      <c r="D23" s="96">
        <v>5</v>
      </c>
      <c r="E23" s="96" t="s">
        <v>100</v>
      </c>
      <c r="G23" s="101" t="s">
        <v>107</v>
      </c>
      <c r="H23" s="102">
        <v>0.11</v>
      </c>
      <c r="I23" s="261"/>
      <c r="J23" s="53" t="s">
        <v>131</v>
      </c>
      <c r="K23" s="53">
        <f>SUMIF($F$3:$F$12,K22,$M$3:$M$12)</f>
        <v>33.78</v>
      </c>
      <c r="L23" s="53">
        <f t="shared" ref="L23:O23" si="16">SUMIF($F$3:$F$12,L22,$M$3:$M$12)</f>
        <v>11.9</v>
      </c>
      <c r="M23" s="53">
        <f t="shared" si="16"/>
        <v>14.1</v>
      </c>
      <c r="N23" s="53">
        <f t="shared" si="16"/>
        <v>8.8000000000000007</v>
      </c>
      <c r="O23" s="53">
        <f t="shared" si="16"/>
        <v>9</v>
      </c>
    </row>
    <row r="24" spans="1:15" ht="24" x14ac:dyDescent="0.3">
      <c r="A24" s="163" t="s">
        <v>117</v>
      </c>
      <c r="B24" s="164"/>
      <c r="C24" s="164"/>
      <c r="D24" s="54"/>
      <c r="E24" s="54"/>
      <c r="F24" s="55"/>
      <c r="I24" s="261"/>
      <c r="J24" s="112" t="s">
        <v>130</v>
      </c>
      <c r="K24" s="112">
        <f>SUMIF($F$3:$F$12,K22,$O$3:$O$12)</f>
        <v>204.7242</v>
      </c>
      <c r="L24" s="112">
        <f t="shared" ref="L24:O24" si="17">SUMIF($F$3:$F$12,L22,$O$3:$O$12)</f>
        <v>44.890999999999998</v>
      </c>
      <c r="M24" s="112">
        <f t="shared" si="17"/>
        <v>75.248999999999995</v>
      </c>
      <c r="N24" s="112">
        <f t="shared" si="17"/>
        <v>36.431999999999995</v>
      </c>
      <c r="O24" s="112">
        <f t="shared" si="17"/>
        <v>41.01</v>
      </c>
    </row>
    <row r="25" spans="1:15" x14ac:dyDescent="0.2">
      <c r="A25" t="s">
        <v>108</v>
      </c>
      <c r="B25" t="s">
        <v>109</v>
      </c>
      <c r="I25" s="261"/>
      <c r="J25" s="116" t="s">
        <v>134</v>
      </c>
      <c r="K25" s="116">
        <f>COUNTIF($F$3:$F$12,K18)</f>
        <v>5</v>
      </c>
      <c r="L25" s="116">
        <f t="shared" ref="L25:O25" si="18">COUNTIF($F$3:$F$12,L18)</f>
        <v>1</v>
      </c>
      <c r="M25" s="116">
        <f t="shared" si="18"/>
        <v>2</v>
      </c>
      <c r="N25" s="116">
        <f t="shared" si="18"/>
        <v>1</v>
      </c>
      <c r="O25" s="116">
        <f t="shared" si="18"/>
        <v>1</v>
      </c>
    </row>
    <row r="26" spans="1:15" ht="25" customHeight="1" x14ac:dyDescent="0.25">
      <c r="A26" s="90" t="s">
        <v>110</v>
      </c>
      <c r="B26" s="91">
        <v>1</v>
      </c>
      <c r="C26" s="91">
        <v>2</v>
      </c>
      <c r="D26" s="91">
        <v>3</v>
      </c>
      <c r="E26" s="91">
        <v>4</v>
      </c>
      <c r="F26" s="91">
        <v>5</v>
      </c>
      <c r="I26" s="261"/>
      <c r="J26" s="53" t="s">
        <v>110</v>
      </c>
      <c r="K26" s="53">
        <v>1</v>
      </c>
      <c r="L26" s="53">
        <v>2</v>
      </c>
      <c r="M26" s="53">
        <v>3</v>
      </c>
      <c r="N26" s="53">
        <v>4</v>
      </c>
      <c r="O26" s="53">
        <v>5</v>
      </c>
    </row>
    <row r="27" spans="1:15" ht="21" x14ac:dyDescent="0.25">
      <c r="A27" s="91">
        <v>1</v>
      </c>
      <c r="B27" s="92">
        <v>0.12</v>
      </c>
      <c r="C27" s="92">
        <v>0.13</v>
      </c>
      <c r="D27" s="92">
        <v>0.15</v>
      </c>
      <c r="E27" s="92">
        <v>0.13</v>
      </c>
      <c r="F27" s="92">
        <v>0.15</v>
      </c>
      <c r="I27" s="261"/>
      <c r="J27" s="111" t="s">
        <v>130</v>
      </c>
      <c r="K27" s="111">
        <f>SUMIF($D$3:$D$12,K26,$O$3:$O$12)</f>
        <v>112.52500000000001</v>
      </c>
      <c r="L27" s="111">
        <f t="shared" ref="L27:O27" si="19">SUMIF($D$3:$D$12,L26,$O$3:$O$12)</f>
        <v>105.9522</v>
      </c>
      <c r="M27" s="111">
        <f t="shared" si="19"/>
        <v>36.431999999999995</v>
      </c>
      <c r="N27" s="111">
        <f t="shared" si="19"/>
        <v>61.431999999999995</v>
      </c>
      <c r="O27" s="111">
        <f t="shared" si="19"/>
        <v>85.965000000000003</v>
      </c>
    </row>
    <row r="28" spans="1:15" x14ac:dyDescent="0.2">
      <c r="A28" s="91">
        <v>2</v>
      </c>
      <c r="B28" s="92">
        <v>0.13</v>
      </c>
      <c r="C28" s="92">
        <v>0.18</v>
      </c>
      <c r="D28" s="92">
        <v>0.13</v>
      </c>
      <c r="E28" s="92">
        <v>0.18</v>
      </c>
      <c r="F28" s="92">
        <v>0.15</v>
      </c>
      <c r="I28" s="261"/>
      <c r="J28" s="117" t="s">
        <v>135</v>
      </c>
      <c r="K28" s="118">
        <f>COUNTIF($D$3:$D$12,K18)</f>
        <v>3</v>
      </c>
      <c r="L28" s="118">
        <f t="shared" ref="L28:O28" si="20">COUNTIF($D$3:$D$12,L18)</f>
        <v>2</v>
      </c>
      <c r="M28" s="118">
        <f t="shared" si="20"/>
        <v>1</v>
      </c>
      <c r="N28" s="118">
        <f t="shared" si="20"/>
        <v>2</v>
      </c>
      <c r="O28" s="118">
        <f t="shared" si="20"/>
        <v>2</v>
      </c>
    </row>
    <row r="29" spans="1:15" x14ac:dyDescent="0.2">
      <c r="A29" s="91">
        <v>3</v>
      </c>
      <c r="B29" s="92">
        <v>0.15</v>
      </c>
      <c r="C29" s="92">
        <v>0.13</v>
      </c>
      <c r="D29" s="92">
        <v>0.12</v>
      </c>
      <c r="E29" s="92">
        <v>0.16</v>
      </c>
      <c r="F29" s="92">
        <v>0.12</v>
      </c>
      <c r="I29" s="261"/>
      <c r="K29" s="53" t="s">
        <v>132</v>
      </c>
    </row>
    <row r="30" spans="1:15" x14ac:dyDescent="0.2">
      <c r="A30" s="91">
        <v>4</v>
      </c>
      <c r="B30" s="92">
        <v>0.11</v>
      </c>
      <c r="C30" s="92">
        <v>0.15</v>
      </c>
      <c r="D30" s="92">
        <v>0.11</v>
      </c>
      <c r="E30" s="92">
        <v>0.15</v>
      </c>
      <c r="F30" s="92">
        <v>0.11</v>
      </c>
      <c r="I30" s="261"/>
      <c r="J30" s="114" t="s">
        <v>101</v>
      </c>
      <c r="K30" s="114">
        <f ca="1">MAX(K20:M20)</f>
        <v>143.51599999999999</v>
      </c>
      <c r="L30" s="53"/>
      <c r="M30" s="53" t="str">
        <f>LOOKUP(M18,$H$3:$H$12,$I$3:$I$12)</f>
        <v>L'independant</v>
      </c>
    </row>
    <row r="31" spans="1:15" x14ac:dyDescent="0.2">
      <c r="A31" s="91">
        <v>5</v>
      </c>
      <c r="B31" s="93">
        <v>0.14000000000000001</v>
      </c>
      <c r="C31" s="93">
        <v>0.17</v>
      </c>
      <c r="D31" s="93">
        <v>0.12</v>
      </c>
      <c r="E31" s="93">
        <v>0.14000000000000001</v>
      </c>
      <c r="F31" s="93">
        <v>0.12</v>
      </c>
      <c r="I31" s="261"/>
      <c r="J31" s="115" t="s">
        <v>77</v>
      </c>
      <c r="K31" s="115">
        <f>MAX(K24:O24)</f>
        <v>204.7242</v>
      </c>
      <c r="L31" s="53"/>
      <c r="M31" s="53" t="str">
        <f>LOOKUP(K22,$F$3:$F$12,$G$3:$G$12)</f>
        <v>PPDA</v>
      </c>
    </row>
    <row r="32" spans="1:15" ht="33" customHeight="1" x14ac:dyDescent="0.2">
      <c r="A32" s="61" t="s">
        <v>111</v>
      </c>
      <c r="B32" s="61" t="s">
        <v>112</v>
      </c>
      <c r="C32" s="61" t="s">
        <v>113</v>
      </c>
      <c r="D32" s="61" t="s">
        <v>114</v>
      </c>
      <c r="E32" s="61" t="s">
        <v>115</v>
      </c>
      <c r="F32" s="61" t="s">
        <v>116</v>
      </c>
      <c r="I32" s="262"/>
      <c r="J32" s="110" t="s">
        <v>110</v>
      </c>
      <c r="K32" s="110">
        <f>MAX(K27:O27)</f>
        <v>112.52500000000001</v>
      </c>
      <c r="L32" s="53"/>
      <c r="M32" s="53" t="str">
        <f>LOOKUP(K26,$D$3:$D$12,$E$3:$E$12)</f>
        <v>Société</v>
      </c>
    </row>
  </sheetData>
  <mergeCells count="2">
    <mergeCell ref="A24:C24"/>
    <mergeCell ref="I18:I3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B0E2-DA3F-034F-95B9-E551D0645BBE}">
  <dimension ref="A1:N55"/>
  <sheetViews>
    <sheetView zoomScale="75" workbookViewId="0">
      <selection activeCell="H19" sqref="H19"/>
    </sheetView>
  </sheetViews>
  <sheetFormatPr baseColWidth="10" defaultRowHeight="16" x14ac:dyDescent="0.2"/>
  <cols>
    <col min="1" max="1" width="13" customWidth="1"/>
    <col min="2" max="2" width="19.6640625" customWidth="1"/>
    <col min="3" max="3" width="16.83203125" customWidth="1"/>
    <col min="4" max="4" width="15.1640625" customWidth="1"/>
    <col min="5" max="5" width="16.5" customWidth="1"/>
    <col min="6" max="6" width="19.5" customWidth="1"/>
    <col min="7" max="7" width="23.5" customWidth="1"/>
    <col min="8" max="8" width="19.33203125" customWidth="1"/>
    <col min="9" max="9" width="18.33203125" customWidth="1"/>
    <col min="10" max="10" width="22" customWidth="1"/>
    <col min="11" max="11" width="25" customWidth="1"/>
    <col min="12" max="12" width="27.33203125" customWidth="1"/>
    <col min="13" max="13" width="24.1640625" customWidth="1"/>
    <col min="14" max="14" width="18" customWidth="1"/>
    <col min="15" max="15" width="27.6640625" customWidth="1"/>
    <col min="16" max="16" width="21.6640625" customWidth="1"/>
    <col min="17" max="17" width="21" customWidth="1"/>
    <col min="18" max="18" width="18.83203125" customWidth="1"/>
    <col min="19" max="19" width="24" customWidth="1"/>
    <col min="20" max="20" width="19.6640625" customWidth="1"/>
    <col min="21" max="21" width="16" customWidth="1"/>
    <col min="22" max="23" width="17.6640625" customWidth="1"/>
    <col min="24" max="24" width="19.5" customWidth="1"/>
  </cols>
  <sheetData>
    <row r="1" spans="1:14" ht="22" thickBot="1" x14ac:dyDescent="0.25">
      <c r="A1" s="191" t="s">
        <v>136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</row>
    <row r="2" spans="1:14" ht="17" thickBot="1" x14ac:dyDescent="0.25">
      <c r="A2" s="197" t="s">
        <v>137</v>
      </c>
      <c r="B2" s="198" t="s">
        <v>138</v>
      </c>
      <c r="C2" s="198" t="s">
        <v>149</v>
      </c>
      <c r="D2" s="199" t="s">
        <v>150</v>
      </c>
      <c r="E2" s="199" t="s">
        <v>151</v>
      </c>
      <c r="F2" s="198" t="s">
        <v>152</v>
      </c>
      <c r="G2" s="199" t="s">
        <v>153</v>
      </c>
      <c r="H2" s="199" t="s">
        <v>175</v>
      </c>
      <c r="I2" s="199" t="s">
        <v>154</v>
      </c>
      <c r="J2" s="198" t="s">
        <v>173</v>
      </c>
      <c r="K2" s="199" t="s">
        <v>176</v>
      </c>
      <c r="L2" s="199" t="s">
        <v>178</v>
      </c>
      <c r="M2" s="199" t="s">
        <v>174</v>
      </c>
      <c r="N2" s="200" t="s">
        <v>177</v>
      </c>
    </row>
    <row r="3" spans="1:14" x14ac:dyDescent="0.2">
      <c r="A3" s="168">
        <v>1</v>
      </c>
      <c r="B3" s="168" t="s">
        <v>139</v>
      </c>
      <c r="C3" s="168">
        <v>1</v>
      </c>
      <c r="D3" s="170" t="str">
        <f t="shared" ref="D3:D12" si="0">VLOOKUP(C3,Activité,2)</f>
        <v>Gym</v>
      </c>
      <c r="E3" s="194">
        <f t="shared" ref="E3:E12" si="1">VLOOKUP(C3,Activité,3)</f>
        <v>1200</v>
      </c>
      <c r="F3" s="168">
        <v>4</v>
      </c>
      <c r="G3" s="195">
        <f>E3*F3</f>
        <v>4800</v>
      </c>
      <c r="H3" s="196">
        <f>VLOOKUP(F3,RemAct,C3+1)*G3</f>
        <v>192</v>
      </c>
      <c r="I3" s="194">
        <f>G3-H3</f>
        <v>4608</v>
      </c>
      <c r="J3" s="168">
        <v>1</v>
      </c>
      <c r="K3" s="170" t="str">
        <f t="shared" ref="K3:K12" si="2">VLOOKUP(J3,Pension,2)</f>
        <v>1/2 pension midi</v>
      </c>
      <c r="L3" s="195">
        <f>(VLOOKUP(J3,Pension,3)-(VLOOKUP(F3,TAUXPENSION,2)*(VLOOKUP(J3,Pension,3))))*F3</f>
        <v>2232</v>
      </c>
      <c r="M3" s="195">
        <f>SUM(G3,(VLOOKUP(J3,Pension,3))*F3)</f>
        <v>7200</v>
      </c>
      <c r="N3" s="194">
        <f>SUM(I3,L3)</f>
        <v>6840</v>
      </c>
    </row>
    <row r="4" spans="1:14" x14ac:dyDescent="0.2">
      <c r="A4" s="169">
        <v>2</v>
      </c>
      <c r="B4" s="169" t="s">
        <v>140</v>
      </c>
      <c r="C4" s="169">
        <v>2</v>
      </c>
      <c r="D4" s="171" t="str">
        <f t="shared" si="0"/>
        <v>natation</v>
      </c>
      <c r="E4" s="172">
        <f t="shared" si="1"/>
        <v>600</v>
      </c>
      <c r="F4" s="169">
        <v>2</v>
      </c>
      <c r="G4" s="173">
        <f t="shared" ref="G4:G12" si="3">E4*F4</f>
        <v>1200</v>
      </c>
      <c r="H4" s="174">
        <f t="shared" ref="H4:H12" si="4">VLOOKUP(F4,RemAct,C4+1)*G4</f>
        <v>48</v>
      </c>
      <c r="I4" s="175">
        <f t="shared" ref="I4:I12" si="5">G4-H4</f>
        <v>1152</v>
      </c>
      <c r="J4" s="169">
        <v>3</v>
      </c>
      <c r="K4" s="171" t="str">
        <f t="shared" si="2"/>
        <v>pension complète</v>
      </c>
      <c r="L4" s="195">
        <f>(VLOOKUP(J4,Pension,3)-(VLOOKUP(F4,TAUXPENSION,2)*(VLOOKUP(J4,Pension,3))))*F4</f>
        <v>2880</v>
      </c>
      <c r="M4" s="173">
        <f>SUM(G4,(VLOOKUP(J4,Pension,3))*F4)</f>
        <v>4200</v>
      </c>
      <c r="N4" s="172">
        <f t="shared" ref="N4:N12" si="6">SUM(I4,L4)</f>
        <v>4032</v>
      </c>
    </row>
    <row r="5" spans="1:14" x14ac:dyDescent="0.2">
      <c r="A5" s="169">
        <v>3</v>
      </c>
      <c r="B5" s="169" t="s">
        <v>141</v>
      </c>
      <c r="C5" s="169">
        <v>4</v>
      </c>
      <c r="D5" s="171" t="str">
        <f t="shared" si="0"/>
        <v>tennis</v>
      </c>
      <c r="E5" s="172">
        <f t="shared" si="1"/>
        <v>2300</v>
      </c>
      <c r="F5" s="169">
        <v>1</v>
      </c>
      <c r="G5" s="173">
        <f t="shared" si="3"/>
        <v>2300</v>
      </c>
      <c r="H5" s="174">
        <f t="shared" si="4"/>
        <v>230</v>
      </c>
      <c r="I5" s="175">
        <f t="shared" si="5"/>
        <v>2070</v>
      </c>
      <c r="J5" s="169">
        <v>2</v>
      </c>
      <c r="K5" s="171" t="str">
        <f t="shared" si="2"/>
        <v>pension soir</v>
      </c>
      <c r="L5" s="195">
        <f>(VLOOKUP(J5,Pension,3)-(VLOOKUP(F5,TAUXPENSION,2)*(VLOOKUP(J5,Pension,3))))*F5</f>
        <v>864</v>
      </c>
      <c r="M5" s="173">
        <f>SUM(G5,(VLOOKUP(J5,Pension,3))*F5)</f>
        <v>3200</v>
      </c>
      <c r="N5" s="172">
        <f t="shared" si="6"/>
        <v>2934</v>
      </c>
    </row>
    <row r="6" spans="1:14" x14ac:dyDescent="0.2">
      <c r="A6" s="169">
        <v>4</v>
      </c>
      <c r="B6" s="169" t="s">
        <v>142</v>
      </c>
      <c r="C6" s="169">
        <v>1</v>
      </c>
      <c r="D6" s="171" t="str">
        <f t="shared" si="0"/>
        <v>Gym</v>
      </c>
      <c r="E6" s="172">
        <f t="shared" si="1"/>
        <v>1200</v>
      </c>
      <c r="F6" s="169">
        <v>3</v>
      </c>
      <c r="G6" s="173">
        <f t="shared" si="3"/>
        <v>3600</v>
      </c>
      <c r="H6" s="174">
        <f t="shared" si="4"/>
        <v>144</v>
      </c>
      <c r="I6" s="175">
        <f t="shared" si="5"/>
        <v>3456</v>
      </c>
      <c r="J6" s="169">
        <v>1</v>
      </c>
      <c r="K6" s="171" t="str">
        <f t="shared" si="2"/>
        <v>1/2 pension midi</v>
      </c>
      <c r="L6" s="195">
        <f>(VLOOKUP(J6,Pension,3)-(VLOOKUP(F6,TAUXPENSION,2)*(VLOOKUP(J6,Pension,3))))*F6</f>
        <v>1674</v>
      </c>
      <c r="M6" s="173">
        <f>SUM(G6,(VLOOKUP(J6,Pension,3))*F6)</f>
        <v>5400</v>
      </c>
      <c r="N6" s="172">
        <f t="shared" si="6"/>
        <v>5130</v>
      </c>
    </row>
    <row r="7" spans="1:14" x14ac:dyDescent="0.2">
      <c r="A7" s="169">
        <v>5</v>
      </c>
      <c r="B7" s="169" t="s">
        <v>143</v>
      </c>
      <c r="C7" s="169">
        <v>4</v>
      </c>
      <c r="D7" s="171" t="str">
        <f t="shared" si="0"/>
        <v>tennis</v>
      </c>
      <c r="E7" s="172">
        <f t="shared" si="1"/>
        <v>2300</v>
      </c>
      <c r="F7" s="169">
        <v>2</v>
      </c>
      <c r="G7" s="173">
        <f t="shared" si="3"/>
        <v>4600</v>
      </c>
      <c r="H7" s="174">
        <f t="shared" si="4"/>
        <v>460</v>
      </c>
      <c r="I7" s="175">
        <f t="shared" si="5"/>
        <v>4140</v>
      </c>
      <c r="J7" s="169">
        <v>3</v>
      </c>
      <c r="K7" s="171" t="str">
        <f t="shared" si="2"/>
        <v>pension complète</v>
      </c>
      <c r="L7" s="195">
        <f>(VLOOKUP(J7,Pension,3)-(VLOOKUP(F7,TAUXPENSION,2)*(VLOOKUP(J7,Pension,3))))*F7</f>
        <v>2880</v>
      </c>
      <c r="M7" s="173">
        <f>SUM(G7,(VLOOKUP(J7,Pension,3))*F7)</f>
        <v>7600</v>
      </c>
      <c r="N7" s="172">
        <f>SUM(I7,L7)</f>
        <v>7020</v>
      </c>
    </row>
    <row r="8" spans="1:14" x14ac:dyDescent="0.2">
      <c r="A8" s="169">
        <v>6</v>
      </c>
      <c r="B8" s="169" t="s">
        <v>144</v>
      </c>
      <c r="C8" s="169">
        <v>1</v>
      </c>
      <c r="D8" s="171" t="str">
        <f t="shared" si="0"/>
        <v>Gym</v>
      </c>
      <c r="E8" s="172">
        <f t="shared" si="1"/>
        <v>1200</v>
      </c>
      <c r="F8" s="169">
        <v>6</v>
      </c>
      <c r="G8" s="173">
        <f t="shared" si="3"/>
        <v>7200</v>
      </c>
      <c r="H8" s="174">
        <f t="shared" si="4"/>
        <v>360</v>
      </c>
      <c r="I8" s="175">
        <f t="shared" si="5"/>
        <v>6840</v>
      </c>
      <c r="J8" s="169">
        <v>2</v>
      </c>
      <c r="K8" s="171" t="str">
        <f t="shared" si="2"/>
        <v>pension soir</v>
      </c>
      <c r="L8" s="195">
        <f>(VLOOKUP(J8,Pension,3)-(VLOOKUP(F8,TAUXPENSION,2)*(VLOOKUP(J8,Pension,3))))*F8</f>
        <v>4860</v>
      </c>
      <c r="M8" s="173">
        <f>SUM(G8,(VLOOKUP(J8,Pension,3))*F8)</f>
        <v>12600</v>
      </c>
      <c r="N8" s="172">
        <f t="shared" si="6"/>
        <v>11700</v>
      </c>
    </row>
    <row r="9" spans="1:14" x14ac:dyDescent="0.2">
      <c r="A9" s="169">
        <v>7</v>
      </c>
      <c r="B9" s="169" t="s">
        <v>145</v>
      </c>
      <c r="C9" s="169">
        <v>4</v>
      </c>
      <c r="D9" s="171" t="str">
        <f t="shared" si="0"/>
        <v>tennis</v>
      </c>
      <c r="E9" s="172">
        <f t="shared" si="1"/>
        <v>2300</v>
      </c>
      <c r="F9" s="169">
        <v>3</v>
      </c>
      <c r="G9" s="173">
        <f t="shared" si="3"/>
        <v>6900</v>
      </c>
      <c r="H9" s="174">
        <f t="shared" si="4"/>
        <v>1035</v>
      </c>
      <c r="I9" s="175">
        <f t="shared" si="5"/>
        <v>5865</v>
      </c>
      <c r="J9" s="169">
        <v>1</v>
      </c>
      <c r="K9" s="171" t="str">
        <f>VLOOKUP(J9,Pension,2)</f>
        <v>1/2 pension midi</v>
      </c>
      <c r="L9" s="195">
        <f>(VLOOKUP(J9,Pension,3)-(VLOOKUP(F9,TAUXPENSION,2)*(VLOOKUP(J9,Pension,3))))*F9</f>
        <v>1674</v>
      </c>
      <c r="M9" s="173">
        <f>SUM(G9,(VLOOKUP(J9,Pension,3))*F9)</f>
        <v>8700</v>
      </c>
      <c r="N9" s="172">
        <f t="shared" si="6"/>
        <v>7539</v>
      </c>
    </row>
    <row r="10" spans="1:14" x14ac:dyDescent="0.2">
      <c r="A10" s="169">
        <v>8</v>
      </c>
      <c r="B10" s="169" t="s">
        <v>146</v>
      </c>
      <c r="C10" s="169">
        <v>1</v>
      </c>
      <c r="D10" s="171" t="str">
        <f t="shared" si="0"/>
        <v>Gym</v>
      </c>
      <c r="E10" s="172">
        <f t="shared" si="1"/>
        <v>1200</v>
      </c>
      <c r="F10" s="169">
        <v>2</v>
      </c>
      <c r="G10" s="173">
        <f t="shared" si="3"/>
        <v>2400</v>
      </c>
      <c r="H10" s="174">
        <f t="shared" si="4"/>
        <v>72</v>
      </c>
      <c r="I10" s="175">
        <f t="shared" si="5"/>
        <v>2328</v>
      </c>
      <c r="J10" s="169">
        <v>3</v>
      </c>
      <c r="K10" s="171" t="str">
        <f t="shared" si="2"/>
        <v>pension complète</v>
      </c>
      <c r="L10" s="195">
        <f>(VLOOKUP(J10,Pension,3)-(VLOOKUP(F10,TAUXPENSION,2)*(VLOOKUP(J10,Pension,3))))*F10</f>
        <v>2880</v>
      </c>
      <c r="M10" s="173">
        <f>SUM(G10,(VLOOKUP(J10,Pension,3))*F10)</f>
        <v>5400</v>
      </c>
      <c r="N10" s="172">
        <f t="shared" si="6"/>
        <v>5208</v>
      </c>
    </row>
    <row r="11" spans="1:14" x14ac:dyDescent="0.2">
      <c r="A11" s="169">
        <v>9</v>
      </c>
      <c r="B11" s="169" t="s">
        <v>147</v>
      </c>
      <c r="C11" s="169">
        <v>5</v>
      </c>
      <c r="D11" s="171" t="str">
        <f t="shared" si="0"/>
        <v>foot</v>
      </c>
      <c r="E11" s="172">
        <f t="shared" si="1"/>
        <v>500</v>
      </c>
      <c r="F11" s="169">
        <v>4</v>
      </c>
      <c r="G11" s="173">
        <f t="shared" si="3"/>
        <v>2000</v>
      </c>
      <c r="H11" s="174">
        <f t="shared" si="4"/>
        <v>400</v>
      </c>
      <c r="I11" s="175">
        <f t="shared" si="5"/>
        <v>1600</v>
      </c>
      <c r="J11" s="169">
        <v>2</v>
      </c>
      <c r="K11" s="171" t="str">
        <f t="shared" si="2"/>
        <v>pension soir</v>
      </c>
      <c r="L11" s="195">
        <f>(VLOOKUP(J11,Pension,3)-(VLOOKUP(F11,TAUXPENSION,2)*(VLOOKUP(J11,Pension,3))))*F11</f>
        <v>3348</v>
      </c>
      <c r="M11" s="173">
        <f>SUM(G11,(VLOOKUP(J11,Pension,3))*F11)</f>
        <v>5600</v>
      </c>
      <c r="N11" s="172">
        <f t="shared" si="6"/>
        <v>4948</v>
      </c>
    </row>
    <row r="12" spans="1:14" x14ac:dyDescent="0.2">
      <c r="A12" s="169">
        <v>10</v>
      </c>
      <c r="B12" s="169" t="s">
        <v>148</v>
      </c>
      <c r="C12" s="169">
        <v>3</v>
      </c>
      <c r="D12" s="171" t="str">
        <f t="shared" si="0"/>
        <v>boxe</v>
      </c>
      <c r="E12" s="172">
        <f t="shared" si="1"/>
        <v>1400</v>
      </c>
      <c r="F12" s="169">
        <v>2</v>
      </c>
      <c r="G12" s="173">
        <f t="shared" si="3"/>
        <v>2800</v>
      </c>
      <c r="H12" s="174">
        <f t="shared" si="4"/>
        <v>140</v>
      </c>
      <c r="I12" s="175">
        <f t="shared" si="5"/>
        <v>2660</v>
      </c>
      <c r="J12" s="169">
        <v>2</v>
      </c>
      <c r="K12" s="171" t="str">
        <f t="shared" si="2"/>
        <v>pension soir</v>
      </c>
      <c r="L12" s="195">
        <f>(VLOOKUP(J12,Pension,3)-(VLOOKUP(F12,TAUXPENSION,2)*(VLOOKUP(J12,Pension,3))))*F12</f>
        <v>1728</v>
      </c>
      <c r="M12" s="173">
        <f>SUM(G12,(VLOOKUP(J12,Pension,3))*F12)</f>
        <v>4600</v>
      </c>
      <c r="N12" s="172">
        <f t="shared" si="6"/>
        <v>4388</v>
      </c>
    </row>
    <row r="13" spans="1:14" ht="17" thickBot="1" x14ac:dyDescent="0.25">
      <c r="A13" s="193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</row>
    <row r="14" spans="1:14" x14ac:dyDescent="0.2">
      <c r="A14" s="119" t="s">
        <v>155</v>
      </c>
      <c r="B14" s="120" t="s">
        <v>156</v>
      </c>
      <c r="C14" s="121" t="s">
        <v>157</v>
      </c>
      <c r="E14" s="189" t="s">
        <v>159</v>
      </c>
      <c r="F14" s="180" t="s">
        <v>160</v>
      </c>
      <c r="G14" s="181">
        <v>1</v>
      </c>
      <c r="H14" s="181">
        <v>2</v>
      </c>
      <c r="I14" s="181">
        <v>3</v>
      </c>
      <c r="J14" s="181">
        <v>4</v>
      </c>
      <c r="K14" s="182">
        <v>5</v>
      </c>
      <c r="M14" s="176" t="s">
        <v>179</v>
      </c>
      <c r="N14" s="177"/>
    </row>
    <row r="15" spans="1:14" ht="17" thickBot="1" x14ac:dyDescent="0.25">
      <c r="A15" s="122">
        <v>1</v>
      </c>
      <c r="B15" s="123" t="s">
        <v>158</v>
      </c>
      <c r="C15" s="165">
        <v>1200</v>
      </c>
      <c r="E15" s="190"/>
      <c r="F15" s="183" t="s">
        <v>161</v>
      </c>
      <c r="G15" s="123"/>
      <c r="H15" s="123"/>
      <c r="I15" s="123"/>
      <c r="J15" s="123"/>
      <c r="K15" s="184"/>
      <c r="M15" s="178" t="s">
        <v>180</v>
      </c>
      <c r="N15" s="179" t="s">
        <v>181</v>
      </c>
    </row>
    <row r="16" spans="1:14" x14ac:dyDescent="0.2">
      <c r="A16" s="124">
        <v>2</v>
      </c>
      <c r="B16" s="123" t="s">
        <v>162</v>
      </c>
      <c r="C16" s="165">
        <v>600</v>
      </c>
      <c r="F16" s="183">
        <v>1</v>
      </c>
      <c r="G16" s="129">
        <v>0.03</v>
      </c>
      <c r="H16" s="129">
        <v>0.04</v>
      </c>
      <c r="I16" s="129">
        <v>0.05</v>
      </c>
      <c r="J16" s="129">
        <v>0.1</v>
      </c>
      <c r="K16" s="185">
        <v>0.15</v>
      </c>
      <c r="M16" s="131">
        <v>1</v>
      </c>
      <c r="N16" s="132">
        <v>0.04</v>
      </c>
    </row>
    <row r="17" spans="1:14" x14ac:dyDescent="0.2">
      <c r="A17" s="125">
        <v>3</v>
      </c>
      <c r="B17" s="123" t="s">
        <v>163</v>
      </c>
      <c r="C17" s="165">
        <v>1400</v>
      </c>
      <c r="F17" s="183">
        <v>3</v>
      </c>
      <c r="G17" s="130">
        <v>0.04</v>
      </c>
      <c r="H17" s="129">
        <v>0.05</v>
      </c>
      <c r="I17" s="129">
        <v>0.1</v>
      </c>
      <c r="J17" s="129">
        <v>0.15</v>
      </c>
      <c r="K17" s="185">
        <v>0.2</v>
      </c>
      <c r="M17" s="131">
        <v>3</v>
      </c>
      <c r="N17" s="132">
        <v>7.0000000000000007E-2</v>
      </c>
    </row>
    <row r="18" spans="1:14" ht="17" thickBot="1" x14ac:dyDescent="0.25">
      <c r="A18" s="124">
        <v>4</v>
      </c>
      <c r="B18" s="123" t="s">
        <v>164</v>
      </c>
      <c r="C18" s="165">
        <v>2300</v>
      </c>
      <c r="F18" s="186">
        <v>6</v>
      </c>
      <c r="G18" s="187">
        <v>0.05</v>
      </c>
      <c r="H18" s="187">
        <v>0.1</v>
      </c>
      <c r="I18" s="187">
        <v>0.15</v>
      </c>
      <c r="J18" s="187">
        <v>0.2</v>
      </c>
      <c r="K18" s="188">
        <v>0.25</v>
      </c>
      <c r="M18" s="133">
        <v>6</v>
      </c>
      <c r="N18" s="134">
        <v>0.1</v>
      </c>
    </row>
    <row r="19" spans="1:14" ht="17" thickBot="1" x14ac:dyDescent="0.25">
      <c r="A19" s="126">
        <v>5</v>
      </c>
      <c r="B19" s="127" t="s">
        <v>165</v>
      </c>
      <c r="C19" s="166">
        <v>500</v>
      </c>
    </row>
    <row r="20" spans="1:14" ht="17" thickBot="1" x14ac:dyDescent="0.25"/>
    <row r="21" spans="1:14" x14ac:dyDescent="0.2">
      <c r="A21" s="119" t="s">
        <v>166</v>
      </c>
      <c r="B21" s="120" t="s">
        <v>167</v>
      </c>
      <c r="C21" s="121" t="s">
        <v>168</v>
      </c>
    </row>
    <row r="22" spans="1:14" x14ac:dyDescent="0.2">
      <c r="A22" s="122">
        <v>1</v>
      </c>
      <c r="B22" s="123" t="s">
        <v>169</v>
      </c>
      <c r="C22" s="165">
        <v>600</v>
      </c>
    </row>
    <row r="23" spans="1:14" x14ac:dyDescent="0.2">
      <c r="A23" s="122">
        <v>2</v>
      </c>
      <c r="B23" s="123" t="s">
        <v>170</v>
      </c>
      <c r="C23" s="165">
        <v>900</v>
      </c>
    </row>
    <row r="24" spans="1:14" ht="17" thickBot="1" x14ac:dyDescent="0.25">
      <c r="A24" s="128">
        <v>3</v>
      </c>
      <c r="B24" s="127" t="s">
        <v>171</v>
      </c>
      <c r="C24" s="166">
        <v>1500</v>
      </c>
    </row>
    <row r="26" spans="1:14" ht="47" customHeight="1" thickBot="1" x14ac:dyDescent="0.25"/>
    <row r="27" spans="1:14" x14ac:dyDescent="0.2">
      <c r="B27" s="204" t="s">
        <v>182</v>
      </c>
      <c r="C27" s="205"/>
      <c r="D27" s="212"/>
      <c r="E27" s="204" t="s">
        <v>183</v>
      </c>
      <c r="F27" s="205"/>
      <c r="H27" s="210" t="s">
        <v>172</v>
      </c>
      <c r="I27" s="211"/>
    </row>
    <row r="28" spans="1:14" x14ac:dyDescent="0.2">
      <c r="B28" s="206" t="s">
        <v>148</v>
      </c>
      <c r="C28" s="220">
        <f>SUMIF($B$3:$B$12,B28,$M$3:$M$12)</f>
        <v>4600</v>
      </c>
      <c r="E28" s="206" t="s">
        <v>148</v>
      </c>
      <c r="F28" s="220">
        <f>SUMIF($B$3:$B$12,E28,$L$3:$L$12)</f>
        <v>1728</v>
      </c>
      <c r="H28" s="206" t="s">
        <v>148</v>
      </c>
      <c r="I28" s="222">
        <f>SUMIF($B$3:$B$12,H28,$N$3:$N$12)/SUM($N$3:$N$12)</f>
        <v>7.3452853244948865E-2</v>
      </c>
    </row>
    <row r="29" spans="1:14" x14ac:dyDescent="0.2">
      <c r="B29" s="207" t="s">
        <v>147</v>
      </c>
      <c r="C29" s="220">
        <f t="shared" ref="C29:C37" si="7">SUMIF($B$3:$B$12,B29,$M$3:$M$12)</f>
        <v>5600</v>
      </c>
      <c r="E29" s="207" t="s">
        <v>147</v>
      </c>
      <c r="F29" s="220">
        <f>SUMIF($B$3:$B$12,E29,$L$3:$L$12)</f>
        <v>3348</v>
      </c>
      <c r="H29" s="207" t="s">
        <v>147</v>
      </c>
      <c r="I29" s="222">
        <f t="shared" ref="I29:I37" si="8">SUMIF($B$3:$B$12,H29,$N$3:$N$12)/SUM($N$3:$N$12)</f>
        <v>8.2826963959892197E-2</v>
      </c>
    </row>
    <row r="30" spans="1:14" x14ac:dyDescent="0.2">
      <c r="B30" s="208" t="s">
        <v>142</v>
      </c>
      <c r="C30" s="220">
        <f t="shared" si="7"/>
        <v>5400</v>
      </c>
      <c r="E30" s="208" t="s">
        <v>142</v>
      </c>
      <c r="F30" s="220">
        <f t="shared" ref="F30:F37" si="9">SUMIF($B$3:$B$12,E30,$L$3:$L$12)</f>
        <v>1674</v>
      </c>
      <c r="H30" s="208" t="s">
        <v>142</v>
      </c>
      <c r="I30" s="222">
        <f t="shared" si="8"/>
        <v>8.5873549942248786E-2</v>
      </c>
    </row>
    <row r="31" spans="1:14" x14ac:dyDescent="0.2">
      <c r="B31" s="208" t="s">
        <v>144</v>
      </c>
      <c r="C31" s="220">
        <f t="shared" si="7"/>
        <v>12600</v>
      </c>
      <c r="E31" s="208" t="s">
        <v>144</v>
      </c>
      <c r="F31" s="220">
        <f t="shared" si="9"/>
        <v>4860</v>
      </c>
      <c r="H31" s="208" t="s">
        <v>144</v>
      </c>
      <c r="I31" s="222">
        <f t="shared" si="8"/>
        <v>0.19585195600863758</v>
      </c>
    </row>
    <row r="32" spans="1:14" x14ac:dyDescent="0.2">
      <c r="B32" s="208" t="s">
        <v>143</v>
      </c>
      <c r="C32" s="220">
        <f t="shared" si="7"/>
        <v>7600</v>
      </c>
      <c r="E32" s="208" t="s">
        <v>143</v>
      </c>
      <c r="F32" s="220">
        <f t="shared" si="9"/>
        <v>2880</v>
      </c>
      <c r="H32" s="208" t="s">
        <v>143</v>
      </c>
      <c r="I32" s="222">
        <f t="shared" si="8"/>
        <v>0.11751117360518254</v>
      </c>
    </row>
    <row r="33" spans="2:9" x14ac:dyDescent="0.2">
      <c r="B33" s="208" t="s">
        <v>146</v>
      </c>
      <c r="C33" s="220">
        <f t="shared" si="7"/>
        <v>5400</v>
      </c>
      <c r="E33" s="208" t="s">
        <v>146</v>
      </c>
      <c r="F33" s="220">
        <f t="shared" si="9"/>
        <v>2880</v>
      </c>
      <c r="H33" s="208" t="s">
        <v>146</v>
      </c>
      <c r="I33" s="222">
        <f t="shared" si="8"/>
        <v>8.7179229648973039E-2</v>
      </c>
    </row>
    <row r="34" spans="2:9" x14ac:dyDescent="0.2">
      <c r="B34" s="208" t="s">
        <v>145</v>
      </c>
      <c r="C34" s="220">
        <f t="shared" si="7"/>
        <v>8700</v>
      </c>
      <c r="E34" s="208" t="s">
        <v>145</v>
      </c>
      <c r="F34" s="220">
        <f t="shared" si="9"/>
        <v>1674</v>
      </c>
      <c r="H34" s="208" t="s">
        <v>145</v>
      </c>
      <c r="I34" s="222">
        <f t="shared" si="8"/>
        <v>0.12619896549992468</v>
      </c>
    </row>
    <row r="35" spans="2:9" x14ac:dyDescent="0.2">
      <c r="B35" s="208" t="s">
        <v>141</v>
      </c>
      <c r="C35" s="220">
        <f t="shared" si="7"/>
        <v>3200</v>
      </c>
      <c r="E35" s="208" t="s">
        <v>141</v>
      </c>
      <c r="F35" s="220">
        <f t="shared" si="9"/>
        <v>864</v>
      </c>
      <c r="H35" s="208" t="s">
        <v>141</v>
      </c>
      <c r="I35" s="222">
        <f t="shared" si="8"/>
        <v>4.9113644352935269E-2</v>
      </c>
    </row>
    <row r="36" spans="2:9" x14ac:dyDescent="0.2">
      <c r="B36" s="208" t="s">
        <v>140</v>
      </c>
      <c r="C36" s="220">
        <f t="shared" si="7"/>
        <v>4200</v>
      </c>
      <c r="E36" s="208" t="s">
        <v>140</v>
      </c>
      <c r="F36" s="220">
        <f t="shared" si="9"/>
        <v>2880</v>
      </c>
      <c r="H36" s="208" t="s">
        <v>140</v>
      </c>
      <c r="I36" s="222">
        <f t="shared" si="8"/>
        <v>6.7493597147592024E-2</v>
      </c>
    </row>
    <row r="37" spans="2:9" ht="43" customHeight="1" thickBot="1" x14ac:dyDescent="0.25">
      <c r="B37" s="209" t="s">
        <v>139</v>
      </c>
      <c r="C37" s="220">
        <f t="shared" si="7"/>
        <v>7200</v>
      </c>
      <c r="E37" s="209" t="s">
        <v>139</v>
      </c>
      <c r="F37" s="220">
        <f t="shared" si="9"/>
        <v>2232</v>
      </c>
      <c r="H37" s="209" t="s">
        <v>139</v>
      </c>
      <c r="I37" s="222">
        <f t="shared" si="8"/>
        <v>0.11449806658966505</v>
      </c>
    </row>
    <row r="38" spans="2:9" ht="17" thickBot="1" x14ac:dyDescent="0.25">
      <c r="B38" s="197" t="s">
        <v>184</v>
      </c>
      <c r="C38" s="221">
        <f>SUM(C28:C37)</f>
        <v>64500</v>
      </c>
      <c r="E38" s="197" t="s">
        <v>184</v>
      </c>
      <c r="F38" s="221">
        <f>SUM(F28:F37)</f>
        <v>25020</v>
      </c>
      <c r="H38" s="213" t="s">
        <v>184</v>
      </c>
      <c r="I38" s="223">
        <f>SUM(I28:I37)</f>
        <v>1.0000000000000002</v>
      </c>
    </row>
    <row r="42" spans="2:9" ht="21" x14ac:dyDescent="0.2">
      <c r="B42" s="224" t="s">
        <v>188</v>
      </c>
      <c r="C42" s="167"/>
      <c r="E42" s="224" t="s">
        <v>188</v>
      </c>
      <c r="F42" s="167" t="s">
        <v>177</v>
      </c>
      <c r="H42" s="227" t="s">
        <v>197</v>
      </c>
      <c r="I42" s="229">
        <v>7</v>
      </c>
    </row>
    <row r="43" spans="2:9" ht="21" x14ac:dyDescent="0.2">
      <c r="B43" s="224" t="s">
        <v>150</v>
      </c>
      <c r="C43" s="225" t="s">
        <v>39</v>
      </c>
      <c r="E43" s="224" t="s">
        <v>150</v>
      </c>
      <c r="F43" s="167" t="s">
        <v>39</v>
      </c>
      <c r="H43" s="203" t="s">
        <v>103</v>
      </c>
      <c r="I43" s="229" t="str">
        <f>VLOOKUP(I42,Base,2)</f>
        <v>momo</v>
      </c>
    </row>
    <row r="44" spans="2:9" ht="21" x14ac:dyDescent="0.2">
      <c r="B44" s="224" t="s">
        <v>163</v>
      </c>
      <c r="C44" s="225" cm="1">
        <f t="array" ref="C44:C48">COUNTIF($D$3:$D$12,$B$44:$B$48)</f>
        <v>1</v>
      </c>
      <c r="E44" s="224" t="s">
        <v>163</v>
      </c>
      <c r="F44" s="226">
        <f>SUMIF($D$3:$D$12,E44,$I$3:$I$12)</f>
        <v>2660</v>
      </c>
      <c r="H44" s="203" t="s">
        <v>149</v>
      </c>
      <c r="I44" s="229">
        <f>VLOOKUP(I42,Base,3)</f>
        <v>4</v>
      </c>
    </row>
    <row r="45" spans="2:9" ht="21" x14ac:dyDescent="0.2">
      <c r="B45" s="224" t="s">
        <v>165</v>
      </c>
      <c r="C45" s="225">
        <v>1</v>
      </c>
      <c r="E45" s="224" t="s">
        <v>165</v>
      </c>
      <c r="F45" s="226">
        <f t="shared" ref="F45:F48" si="10">SUMIF($D$3:$D$12,E45,$I$3:$I$12)</f>
        <v>1600</v>
      </c>
      <c r="H45" s="203" t="s">
        <v>150</v>
      </c>
      <c r="I45" s="229" t="str">
        <f>VLOOKUP(I42,Base,4)</f>
        <v>tennis</v>
      </c>
    </row>
    <row r="46" spans="2:9" ht="21" x14ac:dyDescent="0.2">
      <c r="B46" s="224" t="s">
        <v>189</v>
      </c>
      <c r="C46" s="225">
        <v>4</v>
      </c>
      <c r="E46" s="224" t="s">
        <v>189</v>
      </c>
      <c r="F46" s="226">
        <f t="shared" si="10"/>
        <v>17232</v>
      </c>
      <c r="H46" s="203" t="s">
        <v>198</v>
      </c>
      <c r="I46" s="230">
        <f>VLOOKUP(I42,Base,5)</f>
        <v>2300</v>
      </c>
    </row>
    <row r="47" spans="2:9" ht="21" x14ac:dyDescent="0.2">
      <c r="B47" s="224" t="s">
        <v>162</v>
      </c>
      <c r="C47" s="225">
        <v>1</v>
      </c>
      <c r="E47" s="224" t="s">
        <v>162</v>
      </c>
      <c r="F47" s="226">
        <f t="shared" si="10"/>
        <v>1152</v>
      </c>
      <c r="H47" s="203" t="s">
        <v>180</v>
      </c>
      <c r="I47" s="229">
        <f>VLOOKUP(I42,Base,6)</f>
        <v>3</v>
      </c>
    </row>
    <row r="48" spans="2:9" ht="21" x14ac:dyDescent="0.2">
      <c r="B48" s="224" t="s">
        <v>164</v>
      </c>
      <c r="C48" s="225">
        <v>3</v>
      </c>
      <c r="E48" s="224" t="s">
        <v>164</v>
      </c>
      <c r="F48" s="226">
        <f t="shared" si="10"/>
        <v>12075</v>
      </c>
      <c r="H48" s="203" t="s">
        <v>199</v>
      </c>
      <c r="I48" s="230">
        <f>VLOOKUP(I42,Base,7)</f>
        <v>6900</v>
      </c>
    </row>
    <row r="49" spans="2:9" ht="21" x14ac:dyDescent="0.2">
      <c r="B49" s="224" t="s">
        <v>190</v>
      </c>
      <c r="C49" s="225">
        <f>SUM(_xlfn.ANCHORARRAY(C44))</f>
        <v>10</v>
      </c>
      <c r="E49" s="224" t="s">
        <v>190</v>
      </c>
      <c r="F49" s="226">
        <f>SUM(F44:F48)</f>
        <v>34719</v>
      </c>
      <c r="H49" s="203" t="s">
        <v>200</v>
      </c>
      <c r="I49" s="230">
        <f>VLOOKUP(I42,Base,8)</f>
        <v>1035</v>
      </c>
    </row>
    <row r="50" spans="2:9" ht="22" thickBot="1" x14ac:dyDescent="0.25">
      <c r="B50" s="215"/>
      <c r="C50" s="215"/>
      <c r="H50" s="203" t="s">
        <v>201</v>
      </c>
      <c r="I50" s="230">
        <f>VLOOKUP(I42,Base,9)</f>
        <v>5865</v>
      </c>
    </row>
    <row r="51" spans="2:9" ht="21" x14ac:dyDescent="0.2">
      <c r="B51" s="233" t="s">
        <v>185</v>
      </c>
      <c r="C51" s="234"/>
      <c r="H51" s="203" t="s">
        <v>173</v>
      </c>
      <c r="I51" s="229">
        <f>VLOOKUP(I42,Base,10)</f>
        <v>1</v>
      </c>
    </row>
    <row r="52" spans="2:9" ht="21" x14ac:dyDescent="0.2">
      <c r="B52" s="206" t="s">
        <v>186</v>
      </c>
      <c r="C52" s="236">
        <f>MAX(I3:I12)</f>
        <v>6840</v>
      </c>
      <c r="H52" s="228" t="s">
        <v>205</v>
      </c>
      <c r="I52" s="229" t="str">
        <f>VLOOKUP(I42,Base,11)</f>
        <v>1/2 pension midi</v>
      </c>
    </row>
    <row r="53" spans="2:9" ht="22" thickBot="1" x14ac:dyDescent="0.25">
      <c r="B53" s="235" t="s">
        <v>187</v>
      </c>
      <c r="C53" s="237">
        <f>MAX(L3:L12)</f>
        <v>4860</v>
      </c>
      <c r="H53" s="203" t="s">
        <v>202</v>
      </c>
      <c r="I53" s="230">
        <f>VLOOKUP(I42,Base,12)</f>
        <v>1674</v>
      </c>
    </row>
    <row r="54" spans="2:9" ht="21" x14ac:dyDescent="0.2">
      <c r="H54" s="203" t="s">
        <v>203</v>
      </c>
      <c r="I54" s="230">
        <f>VLOOKUP(I42,Base,13)</f>
        <v>8700</v>
      </c>
    </row>
    <row r="55" spans="2:9" ht="21" x14ac:dyDescent="0.2">
      <c r="H55" s="203" t="s">
        <v>204</v>
      </c>
      <c r="I55" s="230">
        <f>VLOOKUP(I42,Base,14)</f>
        <v>7539</v>
      </c>
    </row>
  </sheetData>
  <mergeCells count="7">
    <mergeCell ref="M14:N14"/>
    <mergeCell ref="A1:N1"/>
    <mergeCell ref="A13:N13"/>
    <mergeCell ref="B27:C27"/>
    <mergeCell ref="E27:F27"/>
    <mergeCell ref="H27:I27"/>
    <mergeCell ref="B51:C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761C-0665-1D4C-80F5-78C90F22EE7C}">
  <dimension ref="A1:J30"/>
  <sheetViews>
    <sheetView zoomScale="87" workbookViewId="0">
      <selection activeCell="N18" sqref="N18"/>
    </sheetView>
  </sheetViews>
  <sheetFormatPr baseColWidth="10" defaultRowHeight="16" x14ac:dyDescent="0.2"/>
  <cols>
    <col min="1" max="1" width="20.1640625" bestFit="1" customWidth="1"/>
    <col min="2" max="2" width="24.1640625" bestFit="1" customWidth="1"/>
    <col min="3" max="3" width="28.33203125" bestFit="1" customWidth="1"/>
    <col min="4" max="4" width="28" bestFit="1" customWidth="1"/>
    <col min="5" max="5" width="16" bestFit="1" customWidth="1"/>
    <col min="6" max="6" width="20.1640625" bestFit="1" customWidth="1"/>
    <col min="7" max="7" width="24.1640625" bestFit="1" customWidth="1"/>
    <col min="8" max="8" width="23.5" bestFit="1" customWidth="1"/>
    <col min="9" max="9" width="28" bestFit="1" customWidth="1"/>
    <col min="10" max="10" width="34.6640625" customWidth="1"/>
    <col min="11" max="11" width="2.33203125" bestFit="1" customWidth="1"/>
    <col min="12" max="12" width="12" bestFit="1" customWidth="1"/>
    <col min="13" max="13" width="7.33203125" bestFit="1" customWidth="1"/>
    <col min="14" max="14" width="9.83203125" bestFit="1" customWidth="1"/>
    <col min="15" max="15" width="10.1640625" bestFit="1" customWidth="1"/>
    <col min="16" max="16" width="12.6640625" bestFit="1" customWidth="1"/>
    <col min="17" max="19" width="8.33203125" bestFit="1" customWidth="1"/>
    <col min="20" max="20" width="10.83203125" bestFit="1" customWidth="1"/>
    <col min="21" max="21" width="12" bestFit="1" customWidth="1"/>
  </cols>
  <sheetData>
    <row r="1" spans="1:10" ht="21" x14ac:dyDescent="0.2"/>
    <row r="2" spans="1:10" ht="17" thickBot="1" x14ac:dyDescent="0.25"/>
    <row r="3" spans="1:10" x14ac:dyDescent="0.2">
      <c r="A3" s="252" t="s">
        <v>172</v>
      </c>
      <c r="B3" s="253" t="s">
        <v>193</v>
      </c>
      <c r="C3" s="254"/>
      <c r="D3" s="254"/>
      <c r="E3" s="214"/>
      <c r="G3" s="238" t="s">
        <v>191</v>
      </c>
      <c r="H3" s="239" t="s">
        <v>194</v>
      </c>
      <c r="I3" s="239" t="s">
        <v>196</v>
      </c>
      <c r="J3" s="240" t="s">
        <v>206</v>
      </c>
    </row>
    <row r="4" spans="1:10" ht="19" x14ac:dyDescent="0.25">
      <c r="A4" s="258" t="s">
        <v>191</v>
      </c>
      <c r="B4" s="259" t="s">
        <v>169</v>
      </c>
      <c r="C4" s="259" t="s">
        <v>171</v>
      </c>
      <c r="D4" s="259" t="s">
        <v>170</v>
      </c>
      <c r="E4" s="219" t="s">
        <v>192</v>
      </c>
      <c r="G4" s="241" t="s">
        <v>163</v>
      </c>
      <c r="H4" s="217">
        <v>2</v>
      </c>
      <c r="I4" s="217">
        <v>140</v>
      </c>
      <c r="J4" s="242">
        <v>1728</v>
      </c>
    </row>
    <row r="5" spans="1:10" x14ac:dyDescent="0.2">
      <c r="A5" s="249" t="s">
        <v>163</v>
      </c>
      <c r="B5" s="256" t="s">
        <v>207</v>
      </c>
      <c r="C5" s="256" t="s">
        <v>207</v>
      </c>
      <c r="D5" s="256">
        <v>4388</v>
      </c>
      <c r="E5" s="257">
        <v>4388</v>
      </c>
      <c r="G5" s="241" t="s">
        <v>165</v>
      </c>
      <c r="H5" s="217">
        <v>4</v>
      </c>
      <c r="I5" s="217">
        <v>400</v>
      </c>
      <c r="J5" s="242">
        <v>3348</v>
      </c>
    </row>
    <row r="6" spans="1:10" x14ac:dyDescent="0.2">
      <c r="A6" s="249" t="s">
        <v>165</v>
      </c>
      <c r="B6" s="218" t="s">
        <v>207</v>
      </c>
      <c r="C6" s="218" t="s">
        <v>207</v>
      </c>
      <c r="D6" s="218">
        <v>4948</v>
      </c>
      <c r="E6" s="255">
        <v>4948</v>
      </c>
      <c r="G6" s="241" t="s">
        <v>158</v>
      </c>
      <c r="H6" s="217">
        <v>15</v>
      </c>
      <c r="I6" s="217">
        <v>768</v>
      </c>
      <c r="J6" s="242">
        <v>11646</v>
      </c>
    </row>
    <row r="7" spans="1:10" x14ac:dyDescent="0.2">
      <c r="A7" s="249" t="s">
        <v>158</v>
      </c>
      <c r="B7" s="218">
        <v>11970</v>
      </c>
      <c r="C7" s="218">
        <v>5208</v>
      </c>
      <c r="D7" s="218">
        <v>11700</v>
      </c>
      <c r="E7" s="255">
        <v>28878</v>
      </c>
      <c r="G7" s="241" t="s">
        <v>162</v>
      </c>
      <c r="H7" s="217">
        <v>2</v>
      </c>
      <c r="I7" s="217">
        <v>48</v>
      </c>
      <c r="J7" s="242">
        <v>2880</v>
      </c>
    </row>
    <row r="8" spans="1:10" x14ac:dyDescent="0.2">
      <c r="A8" s="249" t="s">
        <v>162</v>
      </c>
      <c r="B8" s="218" t="s">
        <v>207</v>
      </c>
      <c r="C8" s="218">
        <v>4032</v>
      </c>
      <c r="D8" s="218" t="s">
        <v>207</v>
      </c>
      <c r="E8" s="255">
        <v>4032</v>
      </c>
      <c r="G8" s="241" t="s">
        <v>164</v>
      </c>
      <c r="H8" s="217">
        <v>6</v>
      </c>
      <c r="I8" s="217">
        <v>1725</v>
      </c>
      <c r="J8" s="242">
        <v>5418</v>
      </c>
    </row>
    <row r="9" spans="1:10" ht="17" thickBot="1" x14ac:dyDescent="0.25">
      <c r="A9" s="249" t="s">
        <v>164</v>
      </c>
      <c r="B9" s="218">
        <v>7539</v>
      </c>
      <c r="C9" s="218">
        <v>7020</v>
      </c>
      <c r="D9" s="218">
        <v>2934</v>
      </c>
      <c r="E9" s="255">
        <v>17493</v>
      </c>
      <c r="G9" s="243" t="s">
        <v>192</v>
      </c>
      <c r="H9" s="244">
        <v>29</v>
      </c>
      <c r="I9" s="244">
        <v>3081</v>
      </c>
      <c r="J9" s="245">
        <v>25020</v>
      </c>
    </row>
    <row r="10" spans="1:10" ht="20" thickBot="1" x14ac:dyDescent="0.3">
      <c r="A10" s="250" t="s">
        <v>192</v>
      </c>
      <c r="B10" s="201">
        <v>19509</v>
      </c>
      <c r="C10" s="201">
        <v>16260</v>
      </c>
      <c r="D10" s="201">
        <v>23970</v>
      </c>
      <c r="E10" s="202">
        <v>59739</v>
      </c>
    </row>
    <row r="12" spans="1:10" ht="19" x14ac:dyDescent="0.25"/>
    <row r="13" spans="1:10" ht="19" x14ac:dyDescent="0.25"/>
    <row r="14" spans="1:10" ht="19" x14ac:dyDescent="0.25"/>
    <row r="15" spans="1:10" ht="19" x14ac:dyDescent="0.25"/>
    <row r="18" spans="1:4" ht="17" thickBot="1" x14ac:dyDescent="0.25"/>
    <row r="19" spans="1:4" ht="38" customHeight="1" x14ac:dyDescent="0.2">
      <c r="A19" s="246" t="s">
        <v>191</v>
      </c>
      <c r="B19" s="247" t="s">
        <v>194</v>
      </c>
      <c r="C19" s="247" t="s">
        <v>195</v>
      </c>
      <c r="D19" s="248" t="s">
        <v>206</v>
      </c>
    </row>
    <row r="20" spans="1:4" x14ac:dyDescent="0.2">
      <c r="A20" s="249" t="s">
        <v>148</v>
      </c>
      <c r="B20" s="217">
        <v>2</v>
      </c>
      <c r="C20" s="216">
        <v>2660</v>
      </c>
      <c r="D20" s="231">
        <v>1728</v>
      </c>
    </row>
    <row r="21" spans="1:4" x14ac:dyDescent="0.2">
      <c r="A21" s="249" t="s">
        <v>147</v>
      </c>
      <c r="B21" s="217">
        <v>4</v>
      </c>
      <c r="C21" s="216">
        <v>1600</v>
      </c>
      <c r="D21" s="231">
        <v>3348</v>
      </c>
    </row>
    <row r="22" spans="1:4" x14ac:dyDescent="0.2">
      <c r="A22" s="249" t="s">
        <v>142</v>
      </c>
      <c r="B22" s="217">
        <v>3</v>
      </c>
      <c r="C22" s="216">
        <v>3456</v>
      </c>
      <c r="D22" s="231">
        <v>1674</v>
      </c>
    </row>
    <row r="23" spans="1:4" x14ac:dyDescent="0.2">
      <c r="A23" s="249" t="s">
        <v>144</v>
      </c>
      <c r="B23" s="217">
        <v>6</v>
      </c>
      <c r="C23" s="216">
        <v>6840</v>
      </c>
      <c r="D23" s="231">
        <v>4860</v>
      </c>
    </row>
    <row r="24" spans="1:4" x14ac:dyDescent="0.2">
      <c r="A24" s="249" t="s">
        <v>143</v>
      </c>
      <c r="B24" s="217">
        <v>2</v>
      </c>
      <c r="C24" s="216">
        <v>4140</v>
      </c>
      <c r="D24" s="231">
        <v>2880</v>
      </c>
    </row>
    <row r="25" spans="1:4" x14ac:dyDescent="0.2">
      <c r="A25" s="249" t="s">
        <v>146</v>
      </c>
      <c r="B25" s="217">
        <v>2</v>
      </c>
      <c r="C25" s="216">
        <v>2328</v>
      </c>
      <c r="D25" s="231">
        <v>2880</v>
      </c>
    </row>
    <row r="26" spans="1:4" x14ac:dyDescent="0.2">
      <c r="A26" s="249" t="s">
        <v>145</v>
      </c>
      <c r="B26" s="217">
        <v>3</v>
      </c>
      <c r="C26" s="216">
        <v>5865</v>
      </c>
      <c r="D26" s="231">
        <v>1674</v>
      </c>
    </row>
    <row r="27" spans="1:4" x14ac:dyDescent="0.2">
      <c r="A27" s="249" t="s">
        <v>141</v>
      </c>
      <c r="B27" s="217">
        <v>1</v>
      </c>
      <c r="C27" s="216">
        <v>2070</v>
      </c>
      <c r="D27" s="231">
        <v>864</v>
      </c>
    </row>
    <row r="28" spans="1:4" x14ac:dyDescent="0.2">
      <c r="A28" s="249" t="s">
        <v>140</v>
      </c>
      <c r="B28" s="217">
        <v>2</v>
      </c>
      <c r="C28" s="216">
        <v>1152</v>
      </c>
      <c r="D28" s="231">
        <v>2880</v>
      </c>
    </row>
    <row r="29" spans="1:4" x14ac:dyDescent="0.2">
      <c r="A29" s="249" t="s">
        <v>139</v>
      </c>
      <c r="B29" s="217">
        <v>4</v>
      </c>
      <c r="C29" s="216">
        <v>4608</v>
      </c>
      <c r="D29" s="231">
        <v>2232</v>
      </c>
    </row>
    <row r="30" spans="1:4" ht="20" thickBot="1" x14ac:dyDescent="0.3">
      <c r="A30" s="250" t="s">
        <v>192</v>
      </c>
      <c r="B30" s="244">
        <v>29</v>
      </c>
      <c r="C30" s="251">
        <v>34719</v>
      </c>
      <c r="D30" s="232">
        <v>25020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11</vt:i4>
      </vt:variant>
    </vt:vector>
  </HeadingPairs>
  <TitlesOfParts>
    <vt:vector size="15" baseType="lpstr">
      <vt:lpstr>Feuil1</vt:lpstr>
      <vt:lpstr>Feuil2</vt:lpstr>
      <vt:lpstr>Feuil3</vt:lpstr>
      <vt:lpstr>Feuil5</vt:lpstr>
      <vt:lpstr>Activité</vt:lpstr>
      <vt:lpstr>Auteur</vt:lpstr>
      <vt:lpstr>Base</vt:lpstr>
      <vt:lpstr>ComAut</vt:lpstr>
      <vt:lpstr>Editeur</vt:lpstr>
      <vt:lpstr>Exemple</vt:lpstr>
      <vt:lpstr>Pension</vt:lpstr>
      <vt:lpstr>RemAct</vt:lpstr>
      <vt:lpstr>TAUXPENSION</vt:lpstr>
      <vt:lpstr>TTVA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2021-10-12T07:06:48Z</dcterms:created>
  <dcterms:modified xsi:type="dcterms:W3CDTF">2021-10-19T06:50:19Z</dcterms:modified>
</cp:coreProperties>
</file>