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ption and Dashboard" sheetId="1" r:id="rId4"/>
    <sheet state="visible" name="Headcount" sheetId="2" r:id="rId5"/>
    <sheet state="visible" name="Sales and Collections" sheetId="3" r:id="rId6"/>
    <sheet state="visible" name="Expenses" sheetId="4" r:id="rId7"/>
    <sheet state="visible" name="Financial Projection" sheetId="5" r:id="rId8"/>
    <sheet state="visible" name="Input-Financing" sheetId="6" r:id="rId9"/>
    <sheet state="visible" name="Financing Schedule" sheetId="7" r:id="rId10"/>
    <sheet state="visible" name="Income Statement" sheetId="8" r:id="rId11"/>
    <sheet state="visible" name="Balance Sheet" sheetId="9" r:id="rId12"/>
    <sheet state="visible" name="Cash Budget" sheetId="10" r:id="rId13"/>
    <sheet state="visible" name="Cash Flow Statement - Direct" sheetId="11" r:id="rId14"/>
    <sheet state="visible" name="Cash Flow Statement - Indirect" sheetId="12" r:id="rId15"/>
    <sheet state="visible" name="Financial Ratio" sheetId="13" r:id="rId16"/>
    <sheet state="hidden" name="Cash Budget 2023" sheetId="14" r:id="rId17"/>
    <sheet state="hidden" name="Cash Budget 2024" sheetId="15" r:id="rId18"/>
    <sheet state="hidden" name="Cash Budget 2025" sheetId="16" r:id="rId19"/>
    <sheet state="hidden" name="Cash Budget 2026" sheetId="17" r:id="rId20"/>
    <sheet state="hidden" name="Cash Budget 2027" sheetId="18" r:id="rId21"/>
    <sheet state="hidden" name="Week 5" sheetId="19" r:id="rId2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">
      <text>
        <t xml:space="preserve">https://corporatefinanceinstitute.com/resources/knowledge/finance/return-on-assets-roa-formula/</t>
      </text>
    </comment>
  </commentList>
</comments>
</file>

<file path=xl/sharedStrings.xml><?xml version="1.0" encoding="utf-8"?>
<sst xmlns="http://schemas.openxmlformats.org/spreadsheetml/2006/main" count="770" uniqueCount="335">
  <si>
    <t>USER PROJECTION</t>
  </si>
  <si>
    <t>For Y0 s/d Y2</t>
  </si>
  <si>
    <t>Total Available Market (TAM)</t>
  </si>
  <si>
    <t>priority 1-5 based on population density BPS data in 2020 for DKI Jakarta (&gt;15 year age)</t>
  </si>
  <si>
    <t>Serviceable Available Market (SAM)</t>
  </si>
  <si>
    <t>priority 1-3 based on population density BPS data in 2020 for DKI Jakarta (&gt;15 year age)</t>
  </si>
  <si>
    <t>Serviceable Obtainable Market (SOM)</t>
  </si>
  <si>
    <t>priority 1 based on population density BPS data in 2020 for DKI Jakarta (&gt;15 year age)</t>
  </si>
  <si>
    <t>For Y3 s/d Y5 -&gt; asumsi udah expand ke wilayah Pulau Jawa</t>
  </si>
  <si>
    <t>Target Users (Y0 s/d Y2)</t>
  </si>
  <si>
    <t>Target Users (Y3 s/d Y5)</t>
  </si>
  <si>
    <t>Perbandingan Users &amp; Active Users</t>
  </si>
  <si>
    <t>50% people want to classify their garbage</t>
  </si>
  <si>
    <t>Year</t>
  </si>
  <si>
    <t>Users (Beg. of the Year)</t>
  </si>
  <si>
    <t>New Users</t>
  </si>
  <si>
    <t>Active Users</t>
  </si>
  <si>
    <t>Growth</t>
  </si>
  <si>
    <t>Churn Rate</t>
  </si>
  <si>
    <t>Users Leave</t>
  </si>
  <si>
    <t>-</t>
  </si>
  <si>
    <t>Sales and Collection Worksheet</t>
  </si>
  <si>
    <t>Period</t>
  </si>
  <si>
    <t>Y1</t>
  </si>
  <si>
    <t>Y2</t>
  </si>
  <si>
    <t>Y3</t>
  </si>
  <si>
    <t>Y4</t>
  </si>
  <si>
    <t>Y5</t>
  </si>
  <si>
    <t>Y6</t>
  </si>
  <si>
    <t>Units</t>
  </si>
  <si>
    <t xml:space="preserve">   New Users</t>
  </si>
  <si>
    <t xml:space="preserve">   Existing Users</t>
  </si>
  <si>
    <t xml:space="preserve">   Active Users</t>
  </si>
  <si>
    <t xml:space="preserve">  Active Machine (2% from active users)</t>
  </si>
  <si>
    <t>Price</t>
  </si>
  <si>
    <t xml:space="preserve">   Machine</t>
  </si>
  <si>
    <t xml:space="preserve">   Inflation Rate (based on INA's average inflation for 10 years)</t>
  </si>
  <si>
    <t>Units (services) sold</t>
  </si>
  <si>
    <t xml:space="preserve">   Unit sold (15% allocated)</t>
  </si>
  <si>
    <t>Headcount Budget Worksheet</t>
  </si>
  <si>
    <t>Number of Employees</t>
  </si>
  <si>
    <t>Division</t>
  </si>
  <si>
    <t>Finance Division</t>
  </si>
  <si>
    <t>IT Division</t>
  </si>
  <si>
    <t>RnD Division</t>
  </si>
  <si>
    <t>Operation Division</t>
  </si>
  <si>
    <t>PR Division</t>
  </si>
  <si>
    <t>HR Division</t>
  </si>
  <si>
    <t>Marketing Division</t>
  </si>
  <si>
    <t>Total Employee</t>
  </si>
  <si>
    <t>Periodic Salaries</t>
  </si>
  <si>
    <t xml:space="preserve">UMR DKI Jakarta Rp4.452.724 based on https://money.kompas.com/read/2022/07/20/101415826/daftar-umr-2022-tertinggi-dan-terendah-di-jabodetabek?page=all#:~:text=Dengan%20demikian%2C%20UMP%20DKI%20Jakarta,%2F12%2F2021)%20silam </t>
  </si>
  <si>
    <t>Total</t>
  </si>
  <si>
    <t>Labor Price Growth</t>
  </si>
  <si>
    <t>Labor Price</t>
  </si>
  <si>
    <t>Employee Benefit Rate</t>
  </si>
  <si>
    <t>Employee Benefit</t>
  </si>
  <si>
    <t>Expenses Worksheet</t>
  </si>
  <si>
    <t>Operating Expenses</t>
  </si>
  <si>
    <t xml:space="preserve">   Office Rent (jumlah lantai)</t>
  </si>
  <si>
    <t xml:space="preserve">   Cloud Storage (bulan)</t>
  </si>
  <si>
    <t xml:space="preserve">   Email Services (bulan)</t>
  </si>
  <si>
    <t xml:space="preserve">   Software Maintenance (jml employee)</t>
  </si>
  <si>
    <t xml:space="preserve">   Website Maintenance (berapa kali melakukan maintenance)</t>
  </si>
  <si>
    <t xml:space="preserve">   Utilities Expenses per month (with 2% growth)</t>
  </si>
  <si>
    <t xml:space="preserve">   Warranty &amp; Refund Expenses</t>
  </si>
  <si>
    <t>Marketing Expenses</t>
  </si>
  <si>
    <t xml:space="preserve">   Influencer (number of influencer)</t>
  </si>
  <si>
    <t xml:space="preserve">   Instagram Ads (number of ads period per month)</t>
  </si>
  <si>
    <t xml:space="preserve">   Tiktok Ads</t>
  </si>
  <si>
    <t xml:space="preserve">   Twitter Ads</t>
  </si>
  <si>
    <t xml:space="preserve">   Facebook Ads</t>
  </si>
  <si>
    <t xml:space="preserve">   SEO Optimization</t>
  </si>
  <si>
    <t>PERIOD / YEAR</t>
  </si>
  <si>
    <t>HEADCOUNT BUDGET</t>
  </si>
  <si>
    <t>Periodic Salaries Expenses</t>
  </si>
  <si>
    <t xml:space="preserve">   Finance Division</t>
  </si>
  <si>
    <t xml:space="preserve">   IT Division</t>
  </si>
  <si>
    <t xml:space="preserve">   RnD Division</t>
  </si>
  <si>
    <t xml:space="preserve">   Operation Division</t>
  </si>
  <si>
    <t xml:space="preserve">   PR Division</t>
  </si>
  <si>
    <t xml:space="preserve">   HR Division</t>
  </si>
  <si>
    <t xml:space="preserve">   Marketing Division</t>
  </si>
  <si>
    <t>Total (with benefits)</t>
  </si>
  <si>
    <t>SALES BUDGET</t>
  </si>
  <si>
    <t>Unit Service Revenue</t>
  </si>
  <si>
    <t>Advertisement:</t>
  </si>
  <si>
    <t xml:space="preserve">   CPM Ads</t>
  </si>
  <si>
    <t xml:space="preserve">   CPC Ads</t>
  </si>
  <si>
    <t>Unit sold</t>
  </si>
  <si>
    <t>Total Service Revenue</t>
  </si>
  <si>
    <t>Services Composition</t>
  </si>
  <si>
    <t>Cash Services</t>
  </si>
  <si>
    <t>Total Services</t>
  </si>
  <si>
    <t>COLLECTIONS BUDGET</t>
  </si>
  <si>
    <t>Cash Collections from Customer</t>
  </si>
  <si>
    <t>Total Cash Collections</t>
  </si>
  <si>
    <t>Account Receivable Budget</t>
  </si>
  <si>
    <t>Total Accounts Receivable</t>
  </si>
  <si>
    <t>EXPENSES BUDGET</t>
  </si>
  <si>
    <t>Office Rent</t>
  </si>
  <si>
    <t>Cloud Storage</t>
  </si>
  <si>
    <t>Email Services</t>
  </si>
  <si>
    <t>Software Maintenance</t>
  </si>
  <si>
    <t>Website Maintenance</t>
  </si>
  <si>
    <t>Employee Salaries</t>
  </si>
  <si>
    <t>Utilities Expenses</t>
  </si>
  <si>
    <t>Warranty &amp; Refund Expenses</t>
  </si>
  <si>
    <t>Total Operating Expenses</t>
  </si>
  <si>
    <t>Influencer</t>
  </si>
  <si>
    <t>Instagram Ads</t>
  </si>
  <si>
    <t>Tiktok Ads</t>
  </si>
  <si>
    <t>Twitter Ads</t>
  </si>
  <si>
    <t>Facebook Ads</t>
  </si>
  <si>
    <t>SEO Optimization</t>
  </si>
  <si>
    <t>Total Marketing Expense</t>
  </si>
  <si>
    <t>Total Expenses</t>
  </si>
  <si>
    <t>DISBURSEMENT FOR EXPENSES BUDGET</t>
  </si>
  <si>
    <t>Disbursement of Operating Expenses</t>
  </si>
  <si>
    <t>Total Disbursement of Operating Expenses</t>
  </si>
  <si>
    <t>Disbursement of Marketing Expenses</t>
  </si>
  <si>
    <t>Total Disbursement of Marketing Expenses</t>
  </si>
  <si>
    <t>Total Disbursement</t>
  </si>
  <si>
    <t>Unit</t>
  </si>
  <si>
    <t>Existing Users</t>
  </si>
  <si>
    <t xml:space="preserve">    Active Users Growth</t>
  </si>
  <si>
    <t>New Active Users Every Year</t>
  </si>
  <si>
    <t>Active Machine</t>
  </si>
  <si>
    <t>Revenue</t>
  </si>
  <si>
    <t>Total Revenue</t>
  </si>
  <si>
    <t>Total All Revenues</t>
  </si>
  <si>
    <t>Total Sales</t>
  </si>
  <si>
    <t>Initial Capital Fee</t>
  </si>
  <si>
    <t>Software Developer</t>
  </si>
  <si>
    <t>Software Engineer</t>
  </si>
  <si>
    <t>UI/UX Designer</t>
  </si>
  <si>
    <t>Initial Investment</t>
  </si>
  <si>
    <t>Website</t>
  </si>
  <si>
    <t>Legality</t>
  </si>
  <si>
    <t>Apps Market Store Fee</t>
  </si>
  <si>
    <t>Operating Expense</t>
  </si>
  <si>
    <t>Marketing Expense</t>
  </si>
  <si>
    <t>Total Initial Capital Fee</t>
  </si>
  <si>
    <t>Total All Expenses</t>
  </si>
  <si>
    <t>EBIT</t>
  </si>
  <si>
    <t>Interest Expenses</t>
  </si>
  <si>
    <t>EBT</t>
  </si>
  <si>
    <t>Income Tax</t>
  </si>
  <si>
    <t>Net Income</t>
  </si>
  <si>
    <t>Net Cash Flow</t>
  </si>
  <si>
    <t>Cumulative Net Cash Flow</t>
  </si>
  <si>
    <t>Full year until recovery</t>
  </si>
  <si>
    <t>Uncovered Cost at the Beginning of the Recovery Year</t>
  </si>
  <si>
    <t>Cash Flow during the Recovery Year</t>
  </si>
  <si>
    <t>Payback Period</t>
  </si>
  <si>
    <t>tahun</t>
  </si>
  <si>
    <t>Cumulative Free Cash Flow</t>
  </si>
  <si>
    <t>Discounted Payback Period</t>
  </si>
  <si>
    <t>Discount Rate</t>
  </si>
  <si>
    <t>Net Present Value (NPV)</t>
  </si>
  <si>
    <t>Financing Assumptions</t>
  </si>
  <si>
    <t>Debt Financing Assumption</t>
  </si>
  <si>
    <t>Opening Balance</t>
  </si>
  <si>
    <t>Debt</t>
  </si>
  <si>
    <t>Debt Issuance</t>
  </si>
  <si>
    <t>Issuance</t>
  </si>
  <si>
    <t>Due Periods</t>
  </si>
  <si>
    <t>Interest Rate</t>
  </si>
  <si>
    <t>Equity Financing Assumptions</t>
  </si>
  <si>
    <t>Repayment</t>
  </si>
  <si>
    <t>Dividend (% of net income)</t>
  </si>
  <si>
    <t>Total Capex</t>
  </si>
  <si>
    <t>Issuance = total capex + total expenses - debt issuance</t>
  </si>
  <si>
    <t>Financing Schedule</t>
  </si>
  <si>
    <t>Current</t>
  </si>
  <si>
    <t>Forecast</t>
  </si>
  <si>
    <t>Debt Financing Schedules</t>
  </si>
  <si>
    <t>Debt Payment Schedule (Principal + Interest)</t>
  </si>
  <si>
    <t>Total Debt Payments</t>
  </si>
  <si>
    <t>Interest Expense Calculation</t>
  </si>
  <si>
    <t>Interest Expense (Effective Interest Method)</t>
  </si>
  <si>
    <t>Total Interest Expense</t>
  </si>
  <si>
    <t>Debt Financing Summary</t>
  </si>
  <si>
    <t>Plus: Issuance</t>
  </si>
  <si>
    <t>Minus: Payment (Principal only)</t>
  </si>
  <si>
    <t>Closing Balance</t>
  </si>
  <si>
    <t>Equity Financing Schedules</t>
  </si>
  <si>
    <t>Dividend (%)</t>
  </si>
  <si>
    <t>Dividend Payment</t>
  </si>
  <si>
    <t>Unit Sold</t>
  </si>
  <si>
    <t>Statement of Financial Position</t>
  </si>
  <si>
    <t>Current 2024
(Y1)</t>
  </si>
  <si>
    <t>Forecast 2025
(Y2)</t>
  </si>
  <si>
    <t>Forecast 2026
(Y3)</t>
  </si>
  <si>
    <t>Forecast 2027
(Y4)</t>
  </si>
  <si>
    <t>Forecast 2028
(Y5)</t>
  </si>
  <si>
    <t>Forecast 2029
(Y6)</t>
  </si>
  <si>
    <t>Assets</t>
  </si>
  <si>
    <t>Current Assets</t>
  </si>
  <si>
    <t>Cash</t>
  </si>
  <si>
    <t>Account Receivable</t>
  </si>
  <si>
    <t>Inventory</t>
  </si>
  <si>
    <t>Total Assets</t>
  </si>
  <si>
    <t>Liabilities</t>
  </si>
  <si>
    <t>Short Term Liabilities</t>
  </si>
  <si>
    <t>Long Term Liabilites</t>
  </si>
  <si>
    <t>Total Liabilities</t>
  </si>
  <si>
    <t>Owner's Equity</t>
  </si>
  <si>
    <t>Equity Capital</t>
  </si>
  <si>
    <t>Retained Earnings</t>
  </si>
  <si>
    <t>Total Owner's Equity</t>
  </si>
  <si>
    <t>Total Liabilities and Equity</t>
  </si>
  <si>
    <t>balance check</t>
  </si>
  <si>
    <t>CASH BUDGET</t>
  </si>
  <si>
    <t>Beginning cash balance</t>
  </si>
  <si>
    <t>Cash receipts</t>
  </si>
  <si>
    <t>Collections from customers</t>
  </si>
  <si>
    <t>Total cash available, before financing</t>
  </si>
  <si>
    <t>Cash disbursement</t>
  </si>
  <si>
    <t>Operating expenses</t>
  </si>
  <si>
    <t>Marketing expenses</t>
  </si>
  <si>
    <t>Tax expenses</t>
  </si>
  <si>
    <t>Total disbursements</t>
  </si>
  <si>
    <t>Minimum cash balance desired</t>
  </si>
  <si>
    <t>Total cash needed</t>
  </si>
  <si>
    <t>Excess (deficiency) of total cash available over</t>
  </si>
  <si>
    <t>Total cash needed before financing</t>
  </si>
  <si>
    <t>Financing</t>
  </si>
  <si>
    <t>Equity</t>
  </si>
  <si>
    <t>Borrowing</t>
  </si>
  <si>
    <t>Interest</t>
  </si>
  <si>
    <t>Total cash increase (decrease) from financing</t>
  </si>
  <si>
    <t>Ending cash balance</t>
  </si>
  <si>
    <t>CASH FLOW STATEMENT (DIRECT METHOD)</t>
  </si>
  <si>
    <t>Cash Flow from Operating Activities</t>
  </si>
  <si>
    <t>Cash received (collected) from customers</t>
  </si>
  <si>
    <t>Cash paid for operating expenses</t>
  </si>
  <si>
    <t>Cash paid for marketing expenses</t>
  </si>
  <si>
    <t>Cash paid for interest</t>
  </si>
  <si>
    <t>Cash paid for taxes</t>
  </si>
  <si>
    <t>Net Cash Flow from Operating Activities</t>
  </si>
  <si>
    <t>Cash Flow from Financing Activities</t>
  </si>
  <si>
    <t>Cash received from borrowing/loan</t>
  </si>
  <si>
    <t>Cash received from equity financing</t>
  </si>
  <si>
    <t>Cash paid for loan repayment</t>
  </si>
  <si>
    <t>Net Cash Flow from Financing Activities</t>
  </si>
  <si>
    <t>Net Cash Increase (Decrease)</t>
  </si>
  <si>
    <t>Beginning Cash Balance</t>
  </si>
  <si>
    <t>Ending Cash Balance</t>
  </si>
  <si>
    <t>CASH FLOW STATEMENT (INDIRECT METHOD)</t>
  </si>
  <si>
    <t>Adjustments to reconcile net income to cash providend from operating activities</t>
  </si>
  <si>
    <t>Cash paid from borrowing/loan repayment</t>
  </si>
  <si>
    <t>Formula</t>
  </si>
  <si>
    <t>Liquidity Ratios</t>
  </si>
  <si>
    <t>Cash ratio</t>
  </si>
  <si>
    <t>cash/current liability</t>
  </si>
  <si>
    <t>Operating cash flow ratio</t>
  </si>
  <si>
    <t>net cash flow from operating activities/current liability</t>
  </si>
  <si>
    <t>Leverage Financial Ratios</t>
  </si>
  <si>
    <t>Debt-to-asset ratio</t>
  </si>
  <si>
    <t>total liabilities/total assets</t>
  </si>
  <si>
    <t>Debt-to-equity ratio</t>
  </si>
  <si>
    <t>total liabiities/total shareholders' equity</t>
  </si>
  <si>
    <t>Interest coverage ratio</t>
  </si>
  <si>
    <t>EBIT/interest expenses</t>
  </si>
  <si>
    <t>Debt service ratio</t>
  </si>
  <si>
    <t>net operating income/debt service</t>
  </si>
  <si>
    <t>debt service = interest &amp; lease payments + principal repayments</t>
  </si>
  <si>
    <t>Financial leverage</t>
  </si>
  <si>
    <t>total assets/total shareholders' equity</t>
  </si>
  <si>
    <t>Activity Ratios</t>
  </si>
  <si>
    <t>Asset turnover ratio</t>
  </si>
  <si>
    <t>net sales/average total assets</t>
  </si>
  <si>
    <t>Profitability Ratios</t>
  </si>
  <si>
    <t>Operating margin ratio</t>
  </si>
  <si>
    <t>operating profit/net sales</t>
  </si>
  <si>
    <t>Net profit margin ratio</t>
  </si>
  <si>
    <t>net profit/net sales</t>
  </si>
  <si>
    <t>Return on asset ratio</t>
  </si>
  <si>
    <t>net income/average total assets</t>
  </si>
  <si>
    <t>Return on equity ratio</t>
  </si>
  <si>
    <t>net income/shareholders' equity</t>
  </si>
  <si>
    <t>Q1
2023</t>
  </si>
  <si>
    <t>Q2
2023</t>
  </si>
  <si>
    <t>Q3
2023</t>
  </si>
  <si>
    <t>Q4
2023</t>
  </si>
  <si>
    <t>Forecast 2023
(Y1)</t>
  </si>
  <si>
    <t>Capital expenditure</t>
  </si>
  <si>
    <t>Q1
2024</t>
  </si>
  <si>
    <t>Q2
2024</t>
  </si>
  <si>
    <t>Q3
2024</t>
  </si>
  <si>
    <t>Q4
2024</t>
  </si>
  <si>
    <t>Forecast 2024
(Y2)</t>
  </si>
  <si>
    <t>Q1
2025</t>
  </si>
  <si>
    <t>Q2
2025</t>
  </si>
  <si>
    <t>Q3
2025</t>
  </si>
  <si>
    <t>Q4
2025</t>
  </si>
  <si>
    <t>Forecast 2025
(Y3)</t>
  </si>
  <si>
    <t>Q1
2026</t>
  </si>
  <si>
    <t>Q2
2026</t>
  </si>
  <si>
    <t>Q3
2026</t>
  </si>
  <si>
    <t>Q4
2026</t>
  </si>
  <si>
    <t>Forecast 2026
(Y4)</t>
  </si>
  <si>
    <t>Q1
2027</t>
  </si>
  <si>
    <t>Q2
2027</t>
  </si>
  <si>
    <t>Q3
2027</t>
  </si>
  <si>
    <t>Q4
2027</t>
  </si>
  <si>
    <t>Forecast 2027
(Y5)</t>
  </si>
  <si>
    <t>Profitability Ratio</t>
  </si>
  <si>
    <t>Y0</t>
  </si>
  <si>
    <t>Net Profit Margin =</t>
  </si>
  <si>
    <t>Net Profit Margin</t>
  </si>
  <si>
    <t>Return on Asset =</t>
  </si>
  <si>
    <t>Average Assets</t>
  </si>
  <si>
    <t>Return on Asset</t>
  </si>
  <si>
    <t xml:space="preserve">Return on Equity = </t>
  </si>
  <si>
    <t>Shareholders' Equity</t>
  </si>
  <si>
    <t>Return on Equity</t>
  </si>
  <si>
    <t>Assumption</t>
  </si>
  <si>
    <t>WACC</t>
  </si>
  <si>
    <t>Risk-free rate</t>
  </si>
  <si>
    <t>INDO10Y</t>
  </si>
  <si>
    <t>Beta</t>
  </si>
  <si>
    <t>Trading view</t>
  </si>
  <si>
    <t>Market risk premium</t>
  </si>
  <si>
    <t>Market Risk Premia</t>
  </si>
  <si>
    <t>Cost of equity</t>
  </si>
  <si>
    <t>% Equity</t>
  </si>
  <si>
    <t>Cost of debt</t>
  </si>
  <si>
    <t>Tax rate</t>
  </si>
  <si>
    <t>After-Tax Cost of Debt</t>
  </si>
  <si>
    <t>% Debt</t>
  </si>
  <si>
    <t>Net Present Value</t>
  </si>
  <si>
    <t>Funding Structure</t>
  </si>
  <si>
    <t>Total Financing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</si>
</sst>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"/>
    <numFmt numFmtId="165" formatCode="0.0%"/>
    <numFmt numFmtId="166" formatCode="_-* #,##0_-;\(#,##0\)_-;_-* &quot;-&quot;_-;_-@"/>
    <numFmt numFmtId="167" formatCode="#,##0;(#,##0)"/>
    <numFmt numFmtId="168" formatCode="_(* #,##0_);_(* \(#,##0\);_(* &quot;-&quot;??_);_(@_)"/>
    <numFmt numFmtId="169" formatCode="0.000"/>
  </numFmts>
  <fonts count="2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i/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Calibri"/>
    </font>
    <font>
      <b/>
      <sz val="16.0"/>
      <color rgb="FFFFFFFF"/>
      <name val="Arial"/>
    </font>
    <font>
      <b/>
      <sz val="14.0"/>
      <color rgb="FFFFFFFF"/>
      <name val="Arial"/>
    </font>
    <font>
      <b/>
      <color rgb="FFFFFFFF"/>
      <name val="Arial"/>
    </font>
    <font>
      <color rgb="FF0000FF"/>
      <name val="Arial"/>
    </font>
    <font>
      <b/>
      <sz val="11.0"/>
      <color rgb="FF000000"/>
      <name val="Calibri"/>
    </font>
    <font>
      <sz val="11.0"/>
      <color rgb="FF000000"/>
      <name val="Calibri"/>
    </font>
    <font>
      <i/>
      <color rgb="FFDD7E6B"/>
      <name val="Arial"/>
      <scheme val="minor"/>
    </font>
    <font>
      <color rgb="FFDD7E6B"/>
      <name val="Arial"/>
      <scheme val="minor"/>
    </font>
    <font>
      <b/>
      <sz val="11.0"/>
      <color rgb="FF000000"/>
      <name val="Helvetica Neue"/>
    </font>
    <font>
      <i/>
      <u/>
      <color rgb="FF0000FF"/>
      <name val="Calibri"/>
    </font>
    <font>
      <u/>
      <color rgb="FF1155CC"/>
      <name val="Calibri"/>
    </font>
    <font>
      <color rgb="FF000000"/>
      <name val="Calibri"/>
    </font>
    <font>
      <sz val="11.0"/>
      <color rgb="FF000000"/>
      <name val="Inconsolata"/>
    </font>
    <font>
      <b/>
      <i/>
      <color theme="1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132E57"/>
        <bgColor rgb="FF132E57"/>
      </patternFill>
    </fill>
    <fill>
      <patternFill patternType="solid">
        <fgColor rgb="FFED942D"/>
        <bgColor rgb="FFED942D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DDEBF7"/>
        <bgColor rgb="FFDDEBF7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EEF4FF"/>
        <bgColor rgb="FFEEF4FF"/>
      </patternFill>
    </fill>
    <fill>
      <patternFill patternType="solid">
        <fgColor rgb="FF3D85C6"/>
        <bgColor rgb="FF3D85C6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3" fontId="2" numFmtId="0" xfId="0" applyAlignment="1" applyBorder="1" applyFill="1" applyFont="1">
      <alignment readingOrder="0"/>
    </xf>
    <xf borderId="2" fillId="0" fontId="3" numFmtId="0" xfId="0" applyBorder="1" applyFont="1"/>
    <xf borderId="3" fillId="0" fontId="3" numFmtId="0" xfId="0" applyBorder="1" applyFont="1"/>
    <xf borderId="1" fillId="4" fontId="2" numFmtId="0" xfId="0" applyAlignment="1" applyBorder="1" applyFill="1" applyFont="1">
      <alignment readingOrder="0"/>
    </xf>
    <xf borderId="4" fillId="0" fontId="2" numFmtId="3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4" fillId="0" fontId="2" numFmtId="3" xfId="0" applyBorder="1" applyFont="1" applyNumberFormat="1"/>
    <xf borderId="0" fillId="0" fontId="4" numFmtId="0" xfId="0" applyAlignment="1" applyFont="1">
      <alignment readingOrder="0"/>
    </xf>
    <xf borderId="4" fillId="0" fontId="2" numFmtId="0" xfId="0" applyBorder="1" applyFont="1"/>
    <xf borderId="0" fillId="0" fontId="2" numFmtId="9" xfId="0" applyFont="1" applyNumberFormat="1"/>
    <xf borderId="4" fillId="3" fontId="5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horizontal="center" shrinkToFit="0" vertical="bottom" wrapText="1"/>
    </xf>
    <xf borderId="4" fillId="3" fontId="5" numFmtId="0" xfId="0" applyAlignment="1" applyBorder="1" applyFont="1">
      <alignment horizontal="center" vertical="bottom"/>
    </xf>
    <xf borderId="4" fillId="0" fontId="6" numFmtId="3" xfId="0" applyAlignment="1" applyBorder="1" applyFont="1" applyNumberFormat="1">
      <alignment horizontal="center" readingOrder="0" vertical="bottom"/>
    </xf>
    <xf borderId="4" fillId="0" fontId="6" numFmtId="3" xfId="0" applyAlignment="1" applyBorder="1" applyFont="1" applyNumberFormat="1">
      <alignment horizontal="right" vertical="bottom"/>
    </xf>
    <xf borderId="4" fillId="0" fontId="6" numFmtId="3" xfId="0" applyAlignment="1" applyBorder="1" applyFont="1" applyNumberFormat="1">
      <alignment horizontal="right" readingOrder="0" vertical="bottom"/>
    </xf>
    <xf borderId="4" fillId="0" fontId="6" numFmtId="9" xfId="0" applyAlignment="1" applyBorder="1" applyFont="1" applyNumberFormat="1">
      <alignment vertical="bottom"/>
    </xf>
    <xf borderId="4" fillId="0" fontId="6" numFmtId="0" xfId="0" applyAlignment="1" applyBorder="1" applyFont="1">
      <alignment vertical="bottom"/>
    </xf>
    <xf borderId="0" fillId="0" fontId="2" numFmtId="164" xfId="0" applyFont="1" applyNumberFormat="1"/>
    <xf borderId="4" fillId="0" fontId="6" numFmtId="9" xfId="0" applyAlignment="1" applyBorder="1" applyFont="1" applyNumberFormat="1">
      <alignment horizontal="right" vertical="bottom"/>
    </xf>
    <xf borderId="4" fillId="0" fontId="6" numFmtId="9" xfId="0" applyAlignment="1" applyBorder="1" applyFont="1" applyNumberFormat="1">
      <alignment horizontal="right" readingOrder="0" vertical="bottom"/>
    </xf>
    <xf borderId="1" fillId="5" fontId="1" numFmtId="0" xfId="0" applyAlignment="1" applyBorder="1" applyFill="1" applyFont="1">
      <alignment horizontal="left" readingOrder="0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9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1" fillId="0" fontId="1" numFmtId="0" xfId="0" applyAlignment="1" applyBorder="1" applyFont="1">
      <alignment readingOrder="0"/>
    </xf>
    <xf borderId="0" fillId="0" fontId="4" numFmtId="0" xfId="0" applyAlignment="1" applyFont="1">
      <alignment readingOrder="0" shrinkToFit="0" vertical="center" wrapText="1"/>
    </xf>
    <xf borderId="4" fillId="0" fontId="1" numFmtId="3" xfId="0" applyBorder="1" applyFont="1" applyNumberFormat="1"/>
    <xf borderId="1" fillId="0" fontId="4" numFmtId="0" xfId="0" applyAlignment="1" applyBorder="1" applyFont="1">
      <alignment readingOrder="0"/>
    </xf>
    <xf borderId="4" fillId="0" fontId="2" numFmtId="165" xfId="0" applyAlignment="1" applyBorder="1" applyFont="1" applyNumberFormat="1">
      <alignment readingOrder="0"/>
    </xf>
    <xf borderId="4" fillId="0" fontId="4" numFmtId="0" xfId="0" applyAlignment="1" applyBorder="1" applyFont="1">
      <alignment readingOrder="0"/>
    </xf>
    <xf borderId="4" fillId="0" fontId="6" numFmtId="0" xfId="0" applyAlignment="1" applyBorder="1" applyFont="1">
      <alignment readingOrder="0" vertical="bottom"/>
    </xf>
    <xf borderId="0" fillId="0" fontId="2" numFmtId="9" xfId="0" applyAlignment="1" applyFont="1" applyNumberFormat="1">
      <alignment readingOrder="0"/>
    </xf>
    <xf quotePrefix="1" borderId="4" fillId="0" fontId="2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6" fillId="0" fontId="3" numFmtId="0" xfId="0" applyBorder="1" applyFont="1"/>
    <xf borderId="4" fillId="6" fontId="1" numFmtId="0" xfId="0" applyAlignment="1" applyBorder="1" applyFill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0" fillId="0" fontId="2" numFmtId="3" xfId="0" applyAlignment="1" applyFont="1" applyNumberFormat="1">
      <alignment readingOrder="0"/>
    </xf>
    <xf borderId="5" fillId="0" fontId="1" numFmtId="0" xfId="0" applyBorder="1" applyFont="1"/>
    <xf borderId="7" fillId="6" fontId="1" numFmtId="0" xfId="0" applyAlignment="1" applyBorder="1" applyFont="1">
      <alignment horizontal="center" readingOrder="0"/>
    </xf>
    <xf borderId="8" fillId="0" fontId="3" numFmtId="0" xfId="0" applyBorder="1" applyFont="1"/>
    <xf borderId="9" fillId="0" fontId="3" numFmtId="0" xfId="0" applyBorder="1" applyFont="1"/>
    <xf borderId="1" fillId="0" fontId="2" numFmtId="0" xfId="0" applyBorder="1" applyFont="1"/>
    <xf borderId="10" fillId="0" fontId="2" numFmtId="0" xfId="0" applyBorder="1" applyFont="1"/>
    <xf borderId="11" fillId="0" fontId="3" numFmtId="0" xfId="0" applyBorder="1" applyFont="1"/>
    <xf quotePrefix="1" borderId="12" fillId="0" fontId="2" numFmtId="0" xfId="0" applyAlignment="1" applyBorder="1" applyFont="1">
      <alignment horizontal="center" readingOrder="0"/>
    </xf>
    <xf borderId="0" fillId="0" fontId="2" numFmtId="10" xfId="0" applyFont="1" applyNumberFormat="1"/>
    <xf borderId="0" fillId="0" fontId="2" numFmtId="4" xfId="0" applyFont="1" applyNumberFormat="1"/>
    <xf borderId="5" fillId="0" fontId="2" numFmtId="0" xfId="0" applyAlignment="1" applyBorder="1" applyFont="1">
      <alignment horizontal="center"/>
    </xf>
    <xf borderId="4" fillId="0" fontId="5" numFmtId="0" xfId="0" applyAlignment="1" applyBorder="1" applyFont="1">
      <alignment vertical="bottom"/>
    </xf>
    <xf borderId="13" fillId="0" fontId="1" numFmtId="0" xfId="0" applyAlignment="1" applyBorder="1" applyFont="1">
      <alignment readingOrder="0"/>
    </xf>
    <xf borderId="12" fillId="0" fontId="3" numFmtId="0" xfId="0" applyBorder="1" applyFont="1"/>
    <xf borderId="14" fillId="0" fontId="3" numFmtId="0" xfId="0" applyBorder="1" applyFont="1"/>
    <xf borderId="0" fillId="0" fontId="2" numFmtId="0" xfId="0" applyFont="1"/>
    <xf borderId="4" fillId="0" fontId="5" numFmtId="0" xfId="0" applyAlignment="1" applyBorder="1" applyFont="1">
      <alignment readingOrder="0" vertical="bottom"/>
    </xf>
    <xf borderId="0" fillId="6" fontId="1" numFmtId="0" xfId="0" applyAlignment="1" applyFont="1">
      <alignment horizontal="center" readingOrder="0"/>
    </xf>
    <xf borderId="0" fillId="0" fontId="2" numFmtId="3" xfId="0" applyFont="1" applyNumberFormat="1"/>
    <xf borderId="0" fillId="0" fontId="1" numFmtId="3" xfId="0" applyFont="1" applyNumberFormat="1"/>
    <xf borderId="0" fillId="0" fontId="1" numFmtId="0" xfId="0" applyFont="1"/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8" numFmtId="3" xfId="0" applyAlignment="1" applyFont="1" applyNumberFormat="1">
      <alignment readingOrder="0"/>
    </xf>
    <xf borderId="0" fillId="0" fontId="8" numFmtId="3" xfId="0" applyFont="1" applyNumberFormat="1"/>
    <xf borderId="0" fillId="0" fontId="2" numFmtId="37" xfId="0" applyAlignment="1" applyFont="1" applyNumberFormat="1">
      <alignment horizontal="right"/>
    </xf>
    <xf borderId="0" fillId="7" fontId="1" numFmtId="0" xfId="0" applyAlignment="1" applyFill="1" applyFont="1">
      <alignment readingOrder="0"/>
    </xf>
    <xf borderId="0" fillId="7" fontId="2" numFmtId="0" xfId="0" applyFont="1"/>
    <xf borderId="0" fillId="7" fontId="1" numFmtId="3" xfId="0" applyFont="1" applyNumberFormat="1"/>
    <xf borderId="0" fillId="8" fontId="0" numFmtId="0" xfId="0" applyAlignment="1" applyFill="1" applyFont="1">
      <alignment readingOrder="0" shrinkToFit="0" wrapText="1"/>
    </xf>
    <xf borderId="0" fillId="0" fontId="1" numFmtId="2" xfId="0" applyFont="1" applyNumberFormat="1"/>
    <xf borderId="0" fillId="0" fontId="2" numFmtId="0" xfId="0" applyAlignment="1" applyFont="1">
      <alignment horizontal="right"/>
    </xf>
    <xf borderId="0" fillId="8" fontId="9" numFmtId="3" xfId="0" applyAlignment="1" applyFont="1" applyNumberFormat="1">
      <alignment readingOrder="0"/>
    </xf>
    <xf borderId="0" fillId="0" fontId="10" numFmtId="166" xfId="0" applyAlignment="1" applyFont="1" applyNumberFormat="1">
      <alignment vertical="bottom"/>
    </xf>
    <xf borderId="0" fillId="9" fontId="11" numFmtId="37" xfId="0" applyAlignment="1" applyFill="1" applyFont="1" applyNumberFormat="1">
      <alignment shrinkToFit="0" vertical="top" wrapText="0"/>
    </xf>
    <xf borderId="0" fillId="9" fontId="10" numFmtId="37" xfId="0" applyAlignment="1" applyFont="1" applyNumberFormat="1">
      <alignment vertical="top"/>
    </xf>
    <xf borderId="0" fillId="0" fontId="10" numFmtId="165" xfId="0" applyAlignment="1" applyFont="1" applyNumberFormat="1">
      <alignment vertical="bottom"/>
    </xf>
    <xf borderId="0" fillId="0" fontId="10" numFmtId="37" xfId="0" applyAlignment="1" applyFont="1" applyNumberFormat="1">
      <alignment vertical="bottom"/>
    </xf>
    <xf borderId="0" fillId="9" fontId="10" numFmtId="0" xfId="0" applyAlignment="1" applyFont="1">
      <alignment vertical="bottom"/>
    </xf>
    <xf borderId="0" fillId="9" fontId="10" numFmtId="166" xfId="0" applyAlignment="1" applyFont="1" applyNumberFormat="1">
      <alignment vertical="bottom"/>
    </xf>
    <xf borderId="0" fillId="9" fontId="10" numFmtId="37" xfId="0" applyAlignment="1" applyFont="1" applyNumberFormat="1">
      <alignment vertical="bottom"/>
    </xf>
    <xf borderId="0" fillId="9" fontId="12" numFmtId="0" xfId="0" applyAlignment="1" applyFont="1">
      <alignment shrinkToFit="0" vertical="bottom" wrapText="0"/>
    </xf>
    <xf borderId="0" fillId="9" fontId="12" numFmtId="0" xfId="0" applyAlignment="1" applyFont="1">
      <alignment vertical="bottom"/>
    </xf>
    <xf borderId="0" fillId="10" fontId="13" numFmtId="37" xfId="0" applyAlignment="1" applyFill="1" applyFont="1" applyNumberFormat="1">
      <alignment shrinkToFit="0" vertical="bottom" wrapText="0"/>
    </xf>
    <xf borderId="0" fillId="10" fontId="10" numFmtId="37" xfId="0" applyAlignment="1" applyFont="1" applyNumberFormat="1">
      <alignment vertical="bottom"/>
    </xf>
    <xf borderId="0" fillId="0" fontId="14" numFmtId="37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5" numFmtId="37" xfId="0" applyAlignment="1" applyFont="1" applyNumberFormat="1">
      <alignment horizontal="center" vertical="bottom"/>
    </xf>
    <xf borderId="0" fillId="0" fontId="14" numFmtId="0" xfId="0" applyAlignment="1" applyFont="1">
      <alignment horizontal="center" readingOrder="0" vertical="bottom"/>
    </xf>
    <xf borderId="0" fillId="0" fontId="14" numFmtId="37" xfId="0" applyAlignment="1" applyFont="1" applyNumberFormat="1">
      <alignment horizontal="center" vertical="bottom"/>
    </xf>
    <xf borderId="0" fillId="0" fontId="14" numFmtId="9" xfId="0" applyAlignment="1" applyFont="1" applyNumberFormat="1">
      <alignment horizontal="center" vertical="bottom"/>
    </xf>
    <xf borderId="12" fillId="0" fontId="14" numFmtId="0" xfId="0" applyAlignment="1" applyBorder="1" applyFont="1">
      <alignment horizontal="center" readingOrder="0" vertical="bottom"/>
    </xf>
    <xf borderId="12" fillId="0" fontId="14" numFmtId="37" xfId="0" applyAlignment="1" applyBorder="1" applyFont="1" applyNumberFormat="1">
      <alignment horizontal="center" readingOrder="0" vertical="bottom"/>
    </xf>
    <xf borderId="12" fillId="0" fontId="14" numFmtId="9" xfId="0" applyAlignment="1" applyBorder="1" applyFont="1" applyNumberFormat="1">
      <alignment horizontal="center" readingOrder="0" vertical="bottom"/>
    </xf>
    <xf borderId="0" fillId="9" fontId="13" numFmtId="0" xfId="0" applyAlignment="1" applyFont="1">
      <alignment horizontal="center" readingOrder="0" vertical="bottom"/>
    </xf>
    <xf borderId="0" fillId="9" fontId="13" numFmtId="0" xfId="0" applyAlignment="1" applyFont="1">
      <alignment horizontal="center" vertical="bottom"/>
    </xf>
    <xf borderId="0" fillId="0" fontId="10" numFmtId="37" xfId="0" applyAlignment="1" applyFont="1" applyNumberFormat="1">
      <alignment shrinkToFit="0" vertical="bottom" wrapText="0"/>
    </xf>
    <xf borderId="0" fillId="0" fontId="14" numFmtId="37" xfId="0" applyAlignment="1" applyFont="1" applyNumberFormat="1">
      <alignment horizontal="right" readingOrder="0" vertical="bottom"/>
    </xf>
    <xf borderId="0" fillId="0" fontId="6" numFmtId="37" xfId="0" applyAlignment="1" applyFont="1" applyNumberFormat="1">
      <alignment shrinkToFit="0" vertical="bottom" wrapText="0"/>
    </xf>
    <xf borderId="0" fillId="0" fontId="14" numFmtId="9" xfId="0" applyAlignment="1" applyFont="1" applyNumberFormat="1">
      <alignment horizontal="right" vertical="bottom"/>
    </xf>
    <xf borderId="0" fillId="0" fontId="14" numFmtId="9" xfId="0" applyAlignment="1" applyFont="1" applyNumberFormat="1">
      <alignment horizontal="right" readingOrder="0" vertical="bottom"/>
    </xf>
    <xf borderId="0" fillId="0" fontId="6" numFmtId="37" xfId="0" applyAlignment="1" applyFont="1" applyNumberFormat="1">
      <alignment horizontal="right" readingOrder="0" vertical="bottom"/>
    </xf>
    <xf borderId="0" fillId="0" fontId="6" numFmtId="37" xfId="0" applyAlignment="1" applyFont="1" applyNumberFormat="1">
      <alignment horizontal="right" vertical="bottom"/>
    </xf>
    <xf borderId="0" fillId="0" fontId="6" numFmtId="0" xfId="0" applyAlignment="1" applyFont="1">
      <alignment horizontal="center" readingOrder="0" vertical="bottom"/>
    </xf>
    <xf borderId="0" fillId="0" fontId="6" numFmtId="37" xfId="0" applyAlignment="1" applyFont="1" applyNumberFormat="1">
      <alignment horizontal="center" readingOrder="0" vertical="bottom"/>
    </xf>
    <xf borderId="0" fillId="0" fontId="6" numFmtId="9" xfId="0" applyAlignment="1" applyFont="1" applyNumberFormat="1">
      <alignment horizontal="center" readingOrder="0" vertical="bottom"/>
    </xf>
    <xf borderId="0" fillId="11" fontId="6" numFmtId="37" xfId="0" applyAlignment="1" applyFill="1" applyFont="1" applyNumberFormat="1">
      <alignment horizontal="right" vertical="bottom"/>
    </xf>
    <xf borderId="0" fillId="0" fontId="6" numFmtId="37" xfId="0" applyAlignment="1" applyFont="1" applyNumberFormat="1">
      <alignment horizontal="center" vertical="bottom"/>
    </xf>
    <xf borderId="0" fillId="0" fontId="2" numFmtId="167" xfId="0" applyAlignment="1" applyFont="1" applyNumberFormat="1">
      <alignment horizontal="center"/>
    </xf>
    <xf borderId="0" fillId="0" fontId="5" numFmtId="37" xfId="0" applyAlignment="1" applyFont="1" applyNumberFormat="1">
      <alignment vertical="bottom"/>
    </xf>
    <xf borderId="12" fillId="0" fontId="6" numFmtId="0" xfId="0" applyAlignment="1" applyBorder="1" applyFont="1">
      <alignment horizontal="center" readingOrder="0" vertical="bottom"/>
    </xf>
    <xf borderId="12" fillId="0" fontId="6" numFmtId="37" xfId="0" applyAlignment="1" applyBorder="1" applyFont="1" applyNumberFormat="1">
      <alignment horizontal="center" readingOrder="0" vertical="bottom"/>
    </xf>
    <xf borderId="12" fillId="0" fontId="6" numFmtId="9" xfId="0" applyAlignment="1" applyBorder="1" applyFont="1" applyNumberFormat="1">
      <alignment horizontal="center" readingOrder="0" vertical="bottom"/>
    </xf>
    <xf borderId="12" fillId="0" fontId="5" numFmtId="37" xfId="0" applyAlignment="1" applyBorder="1" applyFont="1" applyNumberFormat="1">
      <alignment vertical="bottom"/>
    </xf>
    <xf borderId="12" fillId="11" fontId="6" numFmtId="37" xfId="0" applyAlignment="1" applyBorder="1" applyFont="1" applyNumberFormat="1">
      <alignment horizontal="right" vertical="bottom"/>
    </xf>
    <xf borderId="0" fillId="0" fontId="5" numFmtId="37" xfId="0" applyAlignment="1" applyFont="1" applyNumberFormat="1">
      <alignment shrinkToFit="0" vertical="bottom" wrapText="0"/>
    </xf>
    <xf borderId="0" fillId="0" fontId="5" numFmtId="37" xfId="0" applyAlignment="1" applyFont="1" applyNumberFormat="1">
      <alignment horizontal="right" vertical="bottom"/>
    </xf>
    <xf borderId="0" fillId="0" fontId="6" numFmtId="168" xfId="0" applyAlignment="1" applyFont="1" applyNumberFormat="1">
      <alignment horizontal="center" readingOrder="0" vertical="bottom"/>
    </xf>
    <xf borderId="0" fillId="11" fontId="6" numFmtId="37" xfId="0" applyAlignment="1" applyFont="1" applyNumberFormat="1">
      <alignment horizontal="right" readingOrder="0" vertical="bottom"/>
    </xf>
    <xf borderId="12" fillId="0" fontId="10" numFmtId="37" xfId="0" applyAlignment="1" applyBorder="1" applyFont="1" applyNumberFormat="1">
      <alignment shrinkToFit="0" vertical="bottom" wrapText="0"/>
    </xf>
    <xf borderId="12" fillId="0" fontId="10" numFmtId="37" xfId="0" applyAlignment="1" applyBorder="1" applyFont="1" applyNumberFormat="1">
      <alignment vertical="bottom"/>
    </xf>
    <xf borderId="12" fillId="0" fontId="6" numFmtId="37" xfId="0" applyAlignment="1" applyBorder="1" applyFont="1" applyNumberFormat="1">
      <alignment horizontal="right" vertical="bottom"/>
    </xf>
    <xf borderId="0" fillId="11" fontId="14" numFmtId="37" xfId="0" applyAlignment="1" applyFont="1" applyNumberFormat="1">
      <alignment horizontal="right" readingOrder="0" vertical="bottom"/>
    </xf>
    <xf borderId="12" fillId="0" fontId="6" numFmtId="37" xfId="0" applyAlignment="1" applyBorder="1" applyFont="1" applyNumberFormat="1">
      <alignment horizontal="right" readingOrder="0" vertical="bottom"/>
    </xf>
    <xf borderId="12" fillId="0" fontId="6" numFmtId="37" xfId="0" applyAlignment="1" applyBorder="1" applyFont="1" applyNumberFormat="1">
      <alignment shrinkToFit="0" vertical="bottom" wrapText="0"/>
    </xf>
    <xf borderId="12" fillId="0" fontId="6" numFmtId="9" xfId="0" applyAlignment="1" applyBorder="1" applyFont="1" applyNumberFormat="1">
      <alignment horizontal="right" readingOrder="0" vertical="bottom"/>
    </xf>
    <xf borderId="0" fillId="0" fontId="1" numFmtId="3" xfId="0" applyAlignment="1" applyFont="1" applyNumberFormat="1">
      <alignment readingOrder="0"/>
    </xf>
    <xf borderId="0" fillId="12" fontId="1" numFmtId="3" xfId="0" applyAlignment="1" applyFill="1" applyFont="1" applyNumberFormat="1">
      <alignment readingOrder="0"/>
    </xf>
    <xf borderId="2" fillId="8" fontId="15" numFmtId="0" xfId="0" applyAlignment="1" applyBorder="1" applyFont="1">
      <alignment horizontal="center" readingOrder="0" shrinkToFit="0" vertical="center" wrapText="0"/>
    </xf>
    <xf borderId="0" fillId="0" fontId="16" numFmtId="0" xfId="0" applyAlignment="1" applyFont="1">
      <alignment shrinkToFit="0" vertical="bottom" wrapText="0"/>
    </xf>
    <xf borderId="0" fillId="0" fontId="16" numFmtId="3" xfId="0" applyAlignment="1" applyFont="1" applyNumberFormat="1">
      <alignment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13" fontId="16" numFmtId="3" xfId="0" applyAlignment="1" applyFill="1" applyFont="1" applyNumberFormat="1">
      <alignment readingOrder="0" shrinkToFit="0" vertical="bottom" wrapText="0"/>
    </xf>
    <xf borderId="0" fillId="13" fontId="16" numFmtId="0" xfId="0" applyAlignment="1" applyFont="1">
      <alignment horizontal="right" readingOrder="0" shrinkToFit="0" vertical="bottom" wrapText="0"/>
    </xf>
    <xf borderId="0" fillId="13" fontId="2" numFmtId="0" xfId="0" applyAlignment="1" applyFont="1">
      <alignment readingOrder="0"/>
    </xf>
    <xf borderId="0" fillId="13" fontId="1" numFmtId="3" xfId="0" applyFont="1" applyNumberFormat="1"/>
    <xf borderId="0" fillId="13" fontId="2" numFmtId="37" xfId="0" applyAlignment="1" applyFont="1" applyNumberFormat="1">
      <alignment readingOrder="0"/>
    </xf>
    <xf borderId="12" fillId="13" fontId="2" numFmtId="37" xfId="0" applyBorder="1" applyFont="1" applyNumberFormat="1"/>
    <xf borderId="0" fillId="0" fontId="2" numFmtId="0" xfId="0" applyAlignment="1" applyFont="1">
      <alignment readingOrder="0"/>
    </xf>
    <xf borderId="0" fillId="13" fontId="2" numFmtId="37" xfId="0" applyFont="1" applyNumberFormat="1"/>
    <xf borderId="12" fillId="13" fontId="2" numFmtId="0" xfId="0" applyAlignment="1" applyBorder="1" applyFont="1">
      <alignment readingOrder="0"/>
    </xf>
    <xf borderId="12" fillId="13" fontId="2" numFmtId="3" xfId="0" applyBorder="1" applyFont="1" applyNumberFormat="1"/>
    <xf borderId="0" fillId="13" fontId="1" numFmtId="37" xfId="0" applyFont="1" applyNumberFormat="1"/>
    <xf borderId="0" fillId="0" fontId="17" numFmtId="0" xfId="0" applyAlignment="1" applyFont="1">
      <alignment readingOrder="0"/>
    </xf>
    <xf borderId="0" fillId="0" fontId="18" numFmtId="0" xfId="0" applyFont="1"/>
    <xf borderId="0" fillId="0" fontId="17" numFmtId="3" xfId="0" applyFont="1" applyNumberFormat="1"/>
    <xf borderId="0" fillId="0" fontId="15" numFmtId="0" xfId="0" applyAlignment="1" applyFont="1">
      <alignment shrinkToFit="0" vertical="bottom" wrapText="0"/>
    </xf>
    <xf borderId="0" fillId="0" fontId="15" numFmtId="0" xfId="0" applyAlignment="1" applyFont="1">
      <alignment readingOrder="0" shrinkToFit="0" vertical="bottom" wrapText="0"/>
    </xf>
    <xf borderId="12" fillId="13" fontId="16" numFmtId="3" xfId="0" applyAlignment="1" applyBorder="1" applyFont="1" applyNumberFormat="1">
      <alignment readingOrder="0" shrinkToFit="0" vertical="bottom" wrapText="0"/>
    </xf>
    <xf borderId="0" fillId="13" fontId="15" numFmtId="3" xfId="0" applyAlignment="1" applyFont="1" applyNumberFormat="1">
      <alignment horizontal="center" readingOrder="0" shrinkToFit="0" vertical="bottom" wrapText="0"/>
    </xf>
    <xf borderId="0" fillId="13" fontId="15" numFmtId="3" xfId="0" applyAlignment="1" applyFont="1" applyNumberFormat="1">
      <alignment readingOrder="0" shrinkToFit="0" vertical="bottom" wrapText="0"/>
    </xf>
    <xf borderId="12" fillId="13" fontId="15" numFmtId="3" xfId="0" applyAlignment="1" applyBorder="1" applyFont="1" applyNumberFormat="1">
      <alignment horizontal="center" readingOrder="0" shrinkToFit="0" vertical="bottom" wrapText="0"/>
    </xf>
    <xf borderId="0" fillId="13" fontId="16" numFmtId="167" xfId="0" applyAlignment="1" applyFont="1" applyNumberFormat="1">
      <alignment horizontal="right" readingOrder="0" shrinkToFit="0" vertical="bottom" wrapText="0"/>
    </xf>
    <xf borderId="2" fillId="8" fontId="19" numFmtId="0" xfId="0" applyAlignment="1" applyBorder="1" applyFont="1">
      <alignment horizontal="center" readingOrder="0" shrinkToFit="0" vertical="center" wrapText="0"/>
    </xf>
    <xf borderId="0" fillId="0" fontId="15" numFmtId="0" xfId="0" applyAlignment="1" applyFont="1">
      <alignment horizontal="left" readingOrder="0" shrinkToFit="0" vertical="bottom" wrapText="0"/>
    </xf>
    <xf borderId="8" fillId="13" fontId="15" numFmtId="3" xfId="0" applyAlignment="1" applyBorder="1" applyFont="1" applyNumberFormat="1">
      <alignment readingOrder="0" shrinkToFit="0" vertical="bottom" wrapText="0"/>
    </xf>
    <xf borderId="0" fillId="13" fontId="16" numFmtId="167" xfId="0" applyAlignment="1" applyFont="1" applyNumberForma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13" fontId="19" numFmtId="3" xfId="0" applyAlignment="1" applyFont="1" applyNumberFormat="1">
      <alignment readingOrder="0" shrinkToFit="0" vertical="bottom" wrapText="0"/>
    </xf>
    <xf borderId="0" fillId="0" fontId="2" numFmtId="167" xfId="0" applyFont="1" applyNumberFormat="1"/>
    <xf borderId="0" fillId="0" fontId="2" numFmtId="1" xfId="0" applyFont="1" applyNumberFormat="1"/>
    <xf borderId="0" fillId="8" fontId="15" numFmtId="0" xfId="0" applyAlignment="1" applyFont="1">
      <alignment horizontal="center" readingOrder="0" shrinkToFit="0" vertical="center" wrapText="0"/>
    </xf>
    <xf borderId="0" fillId="13" fontId="2" numFmtId="3" xfId="0" applyFont="1" applyNumberFormat="1"/>
    <xf borderId="0" fillId="0" fontId="16" numFmtId="0" xfId="0" applyAlignment="1" applyFont="1">
      <alignment readingOrder="0" vertical="bottom"/>
    </xf>
    <xf borderId="0" fillId="13" fontId="2" numFmtId="0" xfId="0" applyFont="1"/>
    <xf borderId="8" fillId="13" fontId="1" numFmtId="3" xfId="0" applyBorder="1" applyFont="1" applyNumberFormat="1"/>
    <xf borderId="0" fillId="13" fontId="2" numFmtId="167" xfId="0" applyFont="1" applyNumberFormat="1"/>
    <xf borderId="0" fillId="13" fontId="2" numFmtId="3" xfId="0" applyAlignment="1" applyFont="1" applyNumberFormat="1">
      <alignment readingOrder="0"/>
    </xf>
    <xf borderId="8" fillId="13" fontId="1" numFmtId="167" xfId="0" applyBorder="1" applyFont="1" applyNumberFormat="1"/>
    <xf borderId="0" fillId="0" fontId="4" numFmtId="0" xfId="0" applyFont="1"/>
    <xf borderId="0" fillId="0" fontId="4" numFmtId="0" xfId="0" applyAlignment="1" applyFont="1">
      <alignment horizontal="center" readingOrder="0" vertical="center"/>
    </xf>
    <xf borderId="0" fillId="13" fontId="2" numFmtId="2" xfId="0" applyFont="1" applyNumberFormat="1"/>
    <xf borderId="0" fillId="13" fontId="2" numFmtId="4" xfId="0" applyFont="1" applyNumberFormat="1"/>
    <xf borderId="0" fillId="13" fontId="2" numFmtId="169" xfId="0" applyFont="1" applyNumberFormat="1"/>
    <xf borderId="0" fillId="13" fontId="2" numFmtId="10" xfId="0" applyFont="1" applyNumberFormat="1"/>
    <xf borderId="0" fillId="0" fontId="16" numFmtId="3" xfId="0" applyAlignment="1" applyFont="1" applyNumberFormat="1">
      <alignment shrinkToFit="0" vertical="bottom" wrapText="0"/>
    </xf>
    <xf borderId="0" fillId="0" fontId="15" numFmtId="3" xfId="0" applyAlignment="1" applyFont="1" applyNumberFormat="1">
      <alignment shrinkToFit="0" vertical="bottom" wrapText="0"/>
    </xf>
    <xf borderId="0" fillId="13" fontId="16" numFmtId="3" xfId="0" applyAlignment="1" applyFont="1" applyNumberFormat="1">
      <alignment horizontal="right" readingOrder="0" shrinkToFit="0" vertical="bottom" wrapText="0"/>
    </xf>
    <xf borderId="12" fillId="13" fontId="16" numFmtId="3" xfId="0" applyAlignment="1" applyBorder="1" applyFont="1" applyNumberFormat="1">
      <alignment horizontal="right" readingOrder="0" shrinkToFit="0" vertical="bottom" wrapText="0"/>
    </xf>
    <xf borderId="0" fillId="13" fontId="16" numFmtId="0" xfId="0" applyAlignment="1" applyFont="1">
      <alignment readingOrder="0" shrinkToFit="0" vertical="bottom" wrapText="0"/>
    </xf>
    <xf borderId="0" fillId="13" fontId="15" numFmtId="0" xfId="0" applyAlignment="1" applyFont="1">
      <alignment readingOrder="0" shrinkToFit="0" vertical="bottom" wrapText="0"/>
    </xf>
    <xf borderId="0" fillId="0" fontId="16" numFmtId="4" xfId="0" applyAlignment="1" applyFont="1" applyNumberFormat="1">
      <alignment shrinkToFit="0" vertical="bottom" wrapText="0"/>
    </xf>
    <xf borderId="0" fillId="13" fontId="15" numFmtId="0" xfId="0" applyAlignment="1" applyFont="1">
      <alignment horizontal="center" readingOrder="0" shrinkToFit="0" vertical="bottom" wrapText="0"/>
    </xf>
    <xf borderId="0" fillId="0" fontId="15" numFmtId="4" xfId="0" applyAlignment="1" applyFont="1" applyNumberFormat="1">
      <alignment shrinkToFit="0" vertical="bottom" wrapText="0"/>
    </xf>
    <xf borderId="8" fillId="13" fontId="15" numFmtId="3" xfId="0" applyAlignment="1" applyBorder="1" applyFont="1" applyNumberFormat="1">
      <alignment horizontal="right" readingOrder="0" shrinkToFit="0" vertical="bottom" wrapText="0"/>
    </xf>
    <xf borderId="1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10" xfId="0" applyFont="1" applyNumberFormat="1"/>
    <xf borderId="0" fillId="0" fontId="1" numFmtId="9" xfId="0" applyFont="1" applyNumberFormat="1"/>
    <xf borderId="0" fillId="0" fontId="1" numFmtId="0" xfId="0" applyAlignment="1" applyFont="1">
      <alignment horizontal="center"/>
    </xf>
    <xf borderId="4" fillId="0" fontId="2" numFmtId="10" xfId="0" applyAlignment="1" applyBorder="1" applyFont="1" applyNumberFormat="1">
      <alignment readingOrder="0"/>
    </xf>
    <xf borderId="0" fillId="0" fontId="20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/>
    </xf>
    <xf borderId="4" fillId="8" fontId="16" numFmtId="0" xfId="0" applyAlignment="1" applyBorder="1" applyFon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4" fillId="0" fontId="2" numFmtId="10" xfId="0" applyBorder="1" applyFont="1" applyNumberFormat="1"/>
    <xf borderId="4" fillId="8" fontId="16" numFmtId="0" xfId="0" applyAlignment="1" applyBorder="1" applyFont="1">
      <alignment shrinkToFit="0" vertical="bottom" wrapText="0"/>
    </xf>
    <xf borderId="4" fillId="8" fontId="22" numFmtId="0" xfId="0" applyAlignment="1" applyBorder="1" applyFont="1">
      <alignment readingOrder="0" shrinkToFit="0" vertical="bottom" wrapText="0"/>
    </xf>
    <xf borderId="4" fillId="0" fontId="2" numFmtId="9" xfId="0" applyBorder="1" applyFont="1" applyNumberFormat="1"/>
    <xf borderId="4" fillId="8" fontId="23" numFmtId="10" xfId="0" applyBorder="1" applyFont="1" applyNumberFormat="1"/>
    <xf borderId="4" fillId="8" fontId="15" numFmtId="0" xfId="0" applyAlignment="1" applyBorder="1" applyFont="1">
      <alignment readingOrder="0" shrinkToFit="0" vertical="bottom" wrapText="0"/>
    </xf>
    <xf borderId="0" fillId="14" fontId="2" numFmtId="0" xfId="0" applyFill="1" applyFont="1"/>
    <xf borderId="0" fillId="14" fontId="1" numFmtId="0" xfId="0" applyAlignment="1" applyFont="1">
      <alignment horizontal="center" readingOrder="0"/>
    </xf>
    <xf borderId="0" fillId="15" fontId="1" numFmtId="0" xfId="0" applyFill="1" applyFont="1"/>
    <xf borderId="0" fillId="15" fontId="2" numFmtId="0" xfId="0" applyFont="1"/>
    <xf borderId="0" fillId="16" fontId="2" numFmtId="0" xfId="0" applyFill="1" applyFont="1"/>
    <xf borderId="0" fillId="16" fontId="2" numFmtId="3" xfId="0" applyFont="1" applyNumberFormat="1"/>
    <xf borderId="0" fillId="16" fontId="2" numFmtId="0" xfId="0" applyAlignment="1" applyFont="1">
      <alignment readingOrder="0"/>
    </xf>
    <xf borderId="0" fillId="16" fontId="1" numFmtId="0" xfId="0" applyAlignment="1" applyFont="1">
      <alignment readingOrder="0"/>
    </xf>
    <xf borderId="0" fillId="15" fontId="1" numFmtId="0" xfId="0" applyAlignment="1" applyFont="1">
      <alignment readingOrder="0"/>
    </xf>
    <xf borderId="0" fillId="15" fontId="1" numFmtId="2" xfId="0" applyFont="1" applyNumberFormat="1"/>
    <xf borderId="0" fillId="16" fontId="2" numFmtId="4" xfId="0" applyFont="1" applyNumberFormat="1"/>
    <xf borderId="0" fillId="15" fontId="1" numFmtId="4" xfId="0" applyFont="1" applyNumberFormat="1"/>
    <xf borderId="4" fillId="15" fontId="2" numFmtId="0" xfId="0" applyAlignment="1" applyBorder="1" applyFont="1">
      <alignment horizontal="center" readingOrder="0"/>
    </xf>
    <xf borderId="1" fillId="15" fontId="2" numFmtId="0" xfId="0" applyAlignment="1" applyBorder="1" applyFont="1">
      <alignment horizontal="center" readingOrder="0"/>
    </xf>
    <xf borderId="4" fillId="5" fontId="2" numFmtId="0" xfId="0" applyBorder="1" applyFont="1"/>
    <xf borderId="4" fillId="17" fontId="24" numFmtId="0" xfId="0" applyAlignment="1" applyBorder="1" applyFill="1" applyFont="1">
      <alignment horizontal="center" readingOrder="0"/>
    </xf>
    <xf borderId="4" fillId="0" fontId="2" numFmtId="37" xfId="0" applyBorder="1" applyFont="1" applyNumberFormat="1"/>
    <xf borderId="4" fillId="5" fontId="1" numFmtId="0" xfId="0" applyAlignment="1" applyBorder="1" applyFont="1">
      <alignment readingOrder="0"/>
    </xf>
    <xf borderId="4" fillId="5" fontId="1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cnbcindonesia.com/market-data/bonds/ID10YT=RR" TargetMode="External"/><Relationship Id="rId3" Type="http://schemas.openxmlformats.org/officeDocument/2006/relationships/hyperlink" Target="https://id.tradingview.com/symbols/IDX-BOBA/" TargetMode="External"/><Relationship Id="rId4" Type="http://schemas.openxmlformats.org/officeDocument/2006/relationships/hyperlink" Target="http://www.market-risk-premia.com/id.html" TargetMode="External"/><Relationship Id="rId5" Type="http://schemas.openxmlformats.org/officeDocument/2006/relationships/drawing" Target="../drawings/drawing19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47.63"/>
    <col customWidth="1" min="3" max="3" width="21.88"/>
    <col customWidth="1" min="4" max="4" width="14.88"/>
    <col customWidth="1" min="5" max="5" width="16.0"/>
    <col customWidth="1" min="6" max="6" width="15.38"/>
    <col customWidth="1" min="7" max="7" width="14.88"/>
    <col customWidth="1" min="8" max="8" width="15.5"/>
  </cols>
  <sheetData>
    <row r="1">
      <c r="A1" s="1"/>
    </row>
    <row r="2">
      <c r="A2" s="1"/>
      <c r="B2" s="2" t="s">
        <v>0</v>
      </c>
      <c r="I2" s="3"/>
    </row>
    <row r="3">
      <c r="A3" s="1"/>
    </row>
    <row r="4">
      <c r="A4" s="1"/>
      <c r="B4" s="4" t="s">
        <v>1</v>
      </c>
      <c r="C4" s="5"/>
      <c r="D4" s="6"/>
    </row>
    <row r="5">
      <c r="B5" s="7" t="s">
        <v>2</v>
      </c>
      <c r="C5" s="6"/>
      <c r="D5" s="8">
        <v>3.9147114E7</v>
      </c>
      <c r="E5" s="9" t="s">
        <v>3</v>
      </c>
    </row>
    <row r="6">
      <c r="B6" s="7" t="s">
        <v>4</v>
      </c>
      <c r="C6" s="6"/>
      <c r="D6" s="8">
        <v>2.9904876E7</v>
      </c>
      <c r="E6" s="9" t="s">
        <v>5</v>
      </c>
    </row>
    <row r="7">
      <c r="B7" s="7" t="s">
        <v>6</v>
      </c>
      <c r="C7" s="6"/>
      <c r="D7" s="8">
        <v>1.6288043E7</v>
      </c>
      <c r="E7" s="9" t="s">
        <v>7</v>
      </c>
    </row>
    <row r="9">
      <c r="B9" s="4" t="s">
        <v>8</v>
      </c>
      <c r="C9" s="5"/>
      <c r="D9" s="6"/>
    </row>
    <row r="10">
      <c r="B10" s="7" t="s">
        <v>2</v>
      </c>
      <c r="C10" s="6"/>
      <c r="D10" s="8">
        <f t="shared" ref="D10:D12" si="1">D5*3</f>
        <v>117441342</v>
      </c>
      <c r="E10" s="9" t="s">
        <v>3</v>
      </c>
    </row>
    <row r="11">
      <c r="B11" s="7" t="s">
        <v>4</v>
      </c>
      <c r="C11" s="6"/>
      <c r="D11" s="8">
        <f t="shared" si="1"/>
        <v>89714628</v>
      </c>
      <c r="E11" s="9" t="s">
        <v>5</v>
      </c>
    </row>
    <row r="12">
      <c r="B12" s="7" t="s">
        <v>6</v>
      </c>
      <c r="C12" s="6"/>
      <c r="D12" s="8">
        <f t="shared" si="1"/>
        <v>48864129</v>
      </c>
      <c r="E12" s="9" t="s">
        <v>7</v>
      </c>
    </row>
    <row r="14">
      <c r="B14" s="7" t="s">
        <v>9</v>
      </c>
      <c r="C14" s="6"/>
      <c r="D14" s="10">
        <f>D7</f>
        <v>16288043</v>
      </c>
    </row>
    <row r="15">
      <c r="B15" s="7" t="s">
        <v>10</v>
      </c>
      <c r="C15" s="6"/>
      <c r="D15" s="10">
        <f>D12</f>
        <v>48864129</v>
      </c>
      <c r="E15" s="11"/>
    </row>
    <row r="16">
      <c r="B16" s="7" t="s">
        <v>11</v>
      </c>
      <c r="C16" s="6"/>
      <c r="D16" s="12">
        <f>2/1</f>
        <v>2</v>
      </c>
      <c r="E16" s="11" t="s">
        <v>12</v>
      </c>
    </row>
    <row r="17">
      <c r="F17" s="13"/>
    </row>
    <row r="18">
      <c r="B18" s="14" t="s">
        <v>13</v>
      </c>
      <c r="C18" s="15" t="s">
        <v>14</v>
      </c>
      <c r="D18" s="16" t="s">
        <v>15</v>
      </c>
      <c r="E18" s="16" t="s">
        <v>16</v>
      </c>
      <c r="F18" s="16" t="s">
        <v>17</v>
      </c>
      <c r="G18" s="16" t="s">
        <v>18</v>
      </c>
      <c r="H18" s="16" t="s">
        <v>19</v>
      </c>
    </row>
    <row r="19">
      <c r="B19" s="17">
        <v>0.0</v>
      </c>
      <c r="C19" s="18">
        <v>0.0</v>
      </c>
      <c r="D19" s="19">
        <v>50000.0</v>
      </c>
      <c r="E19" s="18">
        <f t="shared" ref="E19:E24" si="2">D19/$D$16</f>
        <v>25000</v>
      </c>
      <c r="F19" s="20" t="s">
        <v>20</v>
      </c>
      <c r="G19" s="21" t="s">
        <v>20</v>
      </c>
      <c r="H19" s="21" t="s">
        <v>20</v>
      </c>
      <c r="J19" s="22"/>
    </row>
    <row r="20">
      <c r="B20" s="17">
        <v>1.0</v>
      </c>
      <c r="C20" s="18">
        <f>D19</f>
        <v>50000</v>
      </c>
      <c r="D20" s="19">
        <v>200000.0</v>
      </c>
      <c r="E20" s="18">
        <f t="shared" si="2"/>
        <v>100000</v>
      </c>
      <c r="F20" s="23">
        <f t="shared" ref="F20:F24" si="3">(E20-E19)/E20</f>
        <v>0.75</v>
      </c>
      <c r="G20" s="24">
        <v>0.05</v>
      </c>
      <c r="H20" s="18">
        <f t="shared" ref="H20:H24" si="4">E20*G20</f>
        <v>5000</v>
      </c>
    </row>
    <row r="21">
      <c r="B21" s="17">
        <v>2.0</v>
      </c>
      <c r="C21" s="18">
        <f t="shared" ref="C21:C24" si="5">C20+D20-H20</f>
        <v>245000</v>
      </c>
      <c r="D21" s="19">
        <v>400000.0</v>
      </c>
      <c r="E21" s="18">
        <f t="shared" si="2"/>
        <v>200000</v>
      </c>
      <c r="F21" s="23">
        <f t="shared" si="3"/>
        <v>0.5</v>
      </c>
      <c r="G21" s="24">
        <v>0.05</v>
      </c>
      <c r="H21" s="18">
        <f t="shared" si="4"/>
        <v>10000</v>
      </c>
    </row>
    <row r="22">
      <c r="B22" s="17">
        <v>3.0</v>
      </c>
      <c r="C22" s="18">
        <f t="shared" si="5"/>
        <v>635000</v>
      </c>
      <c r="D22" s="19">
        <v>2000000.0</v>
      </c>
      <c r="E22" s="18">
        <f t="shared" si="2"/>
        <v>1000000</v>
      </c>
      <c r="F22" s="23">
        <f t="shared" si="3"/>
        <v>0.8</v>
      </c>
      <c r="G22" s="23">
        <v>0.05</v>
      </c>
      <c r="H22" s="18">
        <f t="shared" si="4"/>
        <v>50000</v>
      </c>
    </row>
    <row r="23">
      <c r="B23" s="17">
        <v>4.0</v>
      </c>
      <c r="C23" s="18">
        <f t="shared" si="5"/>
        <v>2585000</v>
      </c>
      <c r="D23" s="19">
        <v>6000000.0</v>
      </c>
      <c r="E23" s="18">
        <f t="shared" si="2"/>
        <v>3000000</v>
      </c>
      <c r="F23" s="23">
        <f t="shared" si="3"/>
        <v>0.6666666667</v>
      </c>
      <c r="G23" s="23">
        <v>0.05</v>
      </c>
      <c r="H23" s="18">
        <f t="shared" si="4"/>
        <v>150000</v>
      </c>
    </row>
    <row r="24">
      <c r="B24" s="17">
        <v>5.0</v>
      </c>
      <c r="C24" s="18">
        <f t="shared" si="5"/>
        <v>8435000</v>
      </c>
      <c r="D24" s="19">
        <v>1.0E7</v>
      </c>
      <c r="E24" s="18">
        <f t="shared" si="2"/>
        <v>5000000</v>
      </c>
      <c r="F24" s="23">
        <f t="shared" si="3"/>
        <v>0.4</v>
      </c>
      <c r="G24" s="23">
        <v>0.05</v>
      </c>
      <c r="H24" s="18">
        <f t="shared" si="4"/>
        <v>250000</v>
      </c>
    </row>
    <row r="27">
      <c r="B27" s="25" t="s">
        <v>21</v>
      </c>
      <c r="C27" s="5"/>
      <c r="D27" s="5"/>
      <c r="E27" s="5"/>
      <c r="F27" s="5"/>
      <c r="G27" s="5"/>
      <c r="H27" s="6"/>
    </row>
    <row r="28">
      <c r="B28" s="26" t="s">
        <v>22</v>
      </c>
      <c r="C28" s="27" t="s">
        <v>23</v>
      </c>
      <c r="D28" s="27" t="s">
        <v>24</v>
      </c>
      <c r="E28" s="27" t="s">
        <v>25</v>
      </c>
      <c r="F28" s="27" t="s">
        <v>26</v>
      </c>
      <c r="G28" s="27" t="s">
        <v>27</v>
      </c>
      <c r="H28" s="27" t="s">
        <v>28</v>
      </c>
    </row>
    <row r="29">
      <c r="B29" s="28" t="s">
        <v>29</v>
      </c>
      <c r="C29" s="5"/>
      <c r="D29" s="5"/>
      <c r="E29" s="5"/>
      <c r="F29" s="5"/>
      <c r="G29" s="5"/>
      <c r="H29" s="6"/>
    </row>
    <row r="30">
      <c r="B30" s="29" t="s">
        <v>30</v>
      </c>
      <c r="C30" s="10">
        <f>D19</f>
        <v>50000</v>
      </c>
      <c r="D30" s="10">
        <f>D20</f>
        <v>200000</v>
      </c>
      <c r="E30" s="10">
        <f>D21</f>
        <v>400000</v>
      </c>
      <c r="F30" s="10">
        <f>D22</f>
        <v>2000000</v>
      </c>
      <c r="G30" s="10">
        <f>D23</f>
        <v>6000000</v>
      </c>
      <c r="H30" s="10">
        <f>D24</f>
        <v>10000000</v>
      </c>
    </row>
    <row r="31">
      <c r="B31" s="29" t="s">
        <v>31</v>
      </c>
      <c r="C31" s="29">
        <v>0.0</v>
      </c>
      <c r="D31" s="10">
        <f>C20</f>
        <v>50000</v>
      </c>
      <c r="E31" s="10">
        <f>C21</f>
        <v>245000</v>
      </c>
      <c r="F31" s="10">
        <f>C22</f>
        <v>635000</v>
      </c>
      <c r="G31" s="10">
        <f>C23</f>
        <v>2585000</v>
      </c>
      <c r="H31" s="10">
        <f>C24</f>
        <v>8435000</v>
      </c>
    </row>
    <row r="32">
      <c r="B32" s="29" t="s">
        <v>32</v>
      </c>
      <c r="C32" s="10">
        <f>E19</f>
        <v>25000</v>
      </c>
      <c r="D32" s="10">
        <f>E20</f>
        <v>100000</v>
      </c>
      <c r="E32" s="10">
        <f>E21</f>
        <v>200000</v>
      </c>
      <c r="F32" s="10">
        <f>E22</f>
        <v>1000000</v>
      </c>
      <c r="G32" s="10">
        <f>E23</f>
        <v>3000000</v>
      </c>
      <c r="H32" s="10">
        <f>E24</f>
        <v>5000000</v>
      </c>
    </row>
    <row r="33">
      <c r="B33" s="29" t="s">
        <v>33</v>
      </c>
      <c r="C33" s="10">
        <f t="shared" ref="C33:H33" si="6">C32*2%</f>
        <v>500</v>
      </c>
      <c r="D33" s="10">
        <f t="shared" si="6"/>
        <v>2000</v>
      </c>
      <c r="E33" s="10">
        <f t="shared" si="6"/>
        <v>4000</v>
      </c>
      <c r="F33" s="10">
        <f t="shared" si="6"/>
        <v>20000</v>
      </c>
      <c r="G33" s="10">
        <f t="shared" si="6"/>
        <v>60000</v>
      </c>
      <c r="H33" s="10">
        <f t="shared" si="6"/>
        <v>100000</v>
      </c>
    </row>
    <row r="34">
      <c r="B34" s="12"/>
      <c r="C34" s="12"/>
      <c r="D34" s="12"/>
      <c r="E34" s="12"/>
      <c r="F34" s="12"/>
      <c r="G34" s="12"/>
      <c r="H34" s="12"/>
    </row>
    <row r="35">
      <c r="B35" s="28" t="s">
        <v>34</v>
      </c>
      <c r="C35" s="5"/>
      <c r="D35" s="5"/>
      <c r="E35" s="5"/>
      <c r="F35" s="5"/>
      <c r="G35" s="5"/>
      <c r="H35" s="6"/>
    </row>
    <row r="36">
      <c r="B36" s="29" t="s">
        <v>35</v>
      </c>
      <c r="C36" s="8">
        <v>1000000.0</v>
      </c>
      <c r="D36" s="8">
        <v>1000000.0</v>
      </c>
      <c r="E36" s="8">
        <v>1000000.0</v>
      </c>
      <c r="F36" s="8">
        <v>1000000.0</v>
      </c>
      <c r="G36" s="8">
        <v>1000000.0</v>
      </c>
      <c r="H36" s="8">
        <v>1000000.0</v>
      </c>
    </row>
    <row r="37">
      <c r="B37" s="29" t="s">
        <v>36</v>
      </c>
      <c r="C37" s="30">
        <v>0.04</v>
      </c>
      <c r="D37" s="30">
        <v>0.04</v>
      </c>
      <c r="E37" s="30">
        <v>0.04</v>
      </c>
      <c r="F37" s="30">
        <v>0.04</v>
      </c>
      <c r="G37" s="30">
        <v>0.04</v>
      </c>
      <c r="H37" s="30">
        <v>0.04</v>
      </c>
    </row>
    <row r="38">
      <c r="B38" s="12"/>
      <c r="C38" s="12"/>
      <c r="D38" s="12"/>
      <c r="E38" s="12"/>
      <c r="F38" s="12"/>
      <c r="G38" s="12"/>
      <c r="H38" s="12"/>
    </row>
    <row r="39">
      <c r="B39" s="28" t="s">
        <v>37</v>
      </c>
      <c r="C39" s="5"/>
      <c r="D39" s="5"/>
      <c r="E39" s="5"/>
      <c r="F39" s="5"/>
      <c r="G39" s="5"/>
      <c r="H39" s="6"/>
    </row>
    <row r="40">
      <c r="B40" s="29" t="s">
        <v>38</v>
      </c>
      <c r="C40" s="10">
        <f t="shared" ref="C40:H40" si="7">15%*C33*C36</f>
        <v>75000000</v>
      </c>
      <c r="D40" s="10">
        <f t="shared" si="7"/>
        <v>300000000</v>
      </c>
      <c r="E40" s="10">
        <f t="shared" si="7"/>
        <v>600000000</v>
      </c>
      <c r="F40" s="10">
        <f t="shared" si="7"/>
        <v>3000000000</v>
      </c>
      <c r="G40" s="10">
        <f t="shared" si="7"/>
        <v>9000000000</v>
      </c>
      <c r="H40" s="10">
        <f t="shared" si="7"/>
        <v>15000000000</v>
      </c>
    </row>
    <row r="41">
      <c r="B41" s="31"/>
    </row>
    <row r="42">
      <c r="B42" s="31"/>
    </row>
    <row r="43">
      <c r="B43" s="25" t="s">
        <v>39</v>
      </c>
      <c r="C43" s="5"/>
      <c r="D43" s="5"/>
      <c r="E43" s="5"/>
      <c r="F43" s="5"/>
      <c r="G43" s="5"/>
      <c r="H43" s="6"/>
    </row>
    <row r="44">
      <c r="B44" s="32" t="s">
        <v>40</v>
      </c>
      <c r="C44" s="5"/>
      <c r="D44" s="5"/>
      <c r="E44" s="5"/>
      <c r="F44" s="5"/>
      <c r="G44" s="5"/>
      <c r="H44" s="6"/>
    </row>
    <row r="45">
      <c r="B45" s="27" t="s">
        <v>41</v>
      </c>
      <c r="C45" s="27" t="s">
        <v>23</v>
      </c>
      <c r="D45" s="27" t="s">
        <v>24</v>
      </c>
      <c r="E45" s="27" t="s">
        <v>25</v>
      </c>
      <c r="F45" s="27" t="s">
        <v>26</v>
      </c>
      <c r="G45" s="27" t="s">
        <v>27</v>
      </c>
      <c r="H45" s="27" t="s">
        <v>28</v>
      </c>
    </row>
    <row r="46">
      <c r="B46" s="29" t="s">
        <v>42</v>
      </c>
      <c r="C46" s="29">
        <v>1.0</v>
      </c>
      <c r="D46" s="29">
        <v>2.0</v>
      </c>
      <c r="E46" s="29">
        <v>3.0</v>
      </c>
      <c r="F46" s="29">
        <v>3.0</v>
      </c>
      <c r="G46" s="29">
        <v>3.0</v>
      </c>
      <c r="H46" s="29">
        <v>4.0</v>
      </c>
    </row>
    <row r="47">
      <c r="B47" s="29" t="s">
        <v>43</v>
      </c>
      <c r="C47" s="29">
        <v>2.0</v>
      </c>
      <c r="D47" s="29">
        <v>3.0</v>
      </c>
      <c r="E47" s="29">
        <v>4.0</v>
      </c>
      <c r="F47" s="29">
        <v>4.0</v>
      </c>
      <c r="G47" s="29">
        <v>5.0</v>
      </c>
      <c r="H47" s="29">
        <v>6.0</v>
      </c>
    </row>
    <row r="48">
      <c r="B48" s="29" t="s">
        <v>44</v>
      </c>
      <c r="C48" s="29">
        <v>0.0</v>
      </c>
      <c r="D48" s="29">
        <v>2.0</v>
      </c>
      <c r="E48" s="29">
        <v>3.0</v>
      </c>
      <c r="F48" s="29">
        <v>4.0</v>
      </c>
      <c r="G48" s="29">
        <v>5.0</v>
      </c>
      <c r="H48" s="29">
        <v>6.0</v>
      </c>
    </row>
    <row r="49">
      <c r="B49" s="29" t="s">
        <v>45</v>
      </c>
      <c r="C49" s="29">
        <v>2.0</v>
      </c>
      <c r="D49" s="29">
        <v>3.0</v>
      </c>
      <c r="E49" s="29">
        <v>4.0</v>
      </c>
      <c r="F49" s="29">
        <v>4.0</v>
      </c>
      <c r="G49" s="29">
        <v>5.0</v>
      </c>
      <c r="H49" s="29">
        <v>6.0</v>
      </c>
    </row>
    <row r="50">
      <c r="B50" s="29" t="s">
        <v>46</v>
      </c>
      <c r="C50" s="29">
        <v>0.0</v>
      </c>
      <c r="D50" s="29">
        <v>1.0</v>
      </c>
      <c r="E50" s="29">
        <v>2.0</v>
      </c>
      <c r="F50" s="29">
        <v>2.0</v>
      </c>
      <c r="G50" s="29">
        <v>2.0</v>
      </c>
      <c r="H50" s="29">
        <v>2.0</v>
      </c>
    </row>
    <row r="51">
      <c r="B51" s="29" t="s">
        <v>47</v>
      </c>
      <c r="C51" s="29">
        <v>0.0</v>
      </c>
      <c r="D51" s="29">
        <v>1.0</v>
      </c>
      <c r="E51" s="29">
        <v>2.0</v>
      </c>
      <c r="F51" s="29">
        <v>2.0</v>
      </c>
      <c r="G51" s="29">
        <v>2.0</v>
      </c>
      <c r="H51" s="29">
        <v>3.0</v>
      </c>
    </row>
    <row r="52">
      <c r="B52" s="29" t="s">
        <v>48</v>
      </c>
      <c r="C52" s="29">
        <v>1.0</v>
      </c>
      <c r="D52" s="29">
        <v>2.0</v>
      </c>
      <c r="E52" s="29">
        <v>3.0</v>
      </c>
      <c r="F52" s="29">
        <v>4.0</v>
      </c>
      <c r="G52" s="29">
        <v>4.0</v>
      </c>
      <c r="H52" s="29">
        <v>5.0</v>
      </c>
    </row>
    <row r="53">
      <c r="B53" s="33" t="s">
        <v>49</v>
      </c>
      <c r="C53" s="34">
        <f t="shared" ref="C53:H53" si="8">sum(C46:C52)</f>
        <v>6</v>
      </c>
      <c r="D53" s="34">
        <f t="shared" si="8"/>
        <v>14</v>
      </c>
      <c r="E53" s="34">
        <f t="shared" si="8"/>
        <v>21</v>
      </c>
      <c r="F53" s="34">
        <f t="shared" si="8"/>
        <v>23</v>
      </c>
      <c r="G53" s="34">
        <f t="shared" si="8"/>
        <v>26</v>
      </c>
      <c r="H53" s="34">
        <f t="shared" si="8"/>
        <v>32</v>
      </c>
    </row>
    <row r="54">
      <c r="B54" s="12"/>
      <c r="C54" s="12"/>
      <c r="D54" s="12"/>
      <c r="E54" s="12"/>
      <c r="F54" s="12"/>
      <c r="G54" s="12"/>
      <c r="H54" s="12"/>
    </row>
    <row r="55">
      <c r="B55" s="35" t="s">
        <v>50</v>
      </c>
      <c r="C55" s="5"/>
      <c r="D55" s="5"/>
      <c r="E55" s="5"/>
      <c r="F55" s="5"/>
      <c r="G55" s="5"/>
      <c r="H55" s="6"/>
      <c r="I55" s="36" t="s">
        <v>51</v>
      </c>
    </row>
    <row r="56">
      <c r="B56" s="29" t="s">
        <v>42</v>
      </c>
      <c r="C56" s="10">
        <f t="shared" ref="C56:C62" si="9">$C$66*C46*12</f>
        <v>6000000</v>
      </c>
      <c r="D56" s="10">
        <f t="shared" ref="D56:D62" si="10">$D$66*D46*12</f>
        <v>120000000</v>
      </c>
      <c r="E56" s="10">
        <f t="shared" ref="E56:E63" si="11">$E$66*E46*12</f>
        <v>186300000</v>
      </c>
      <c r="F56" s="10">
        <f t="shared" ref="F56:F63" si="12">$F$66*F46*12</f>
        <v>192820500</v>
      </c>
      <c r="G56" s="10">
        <f t="shared" ref="G56:G63" si="13">$G$66*G46*12</f>
        <v>202461525</v>
      </c>
      <c r="H56" s="10">
        <f t="shared" ref="H56:H63" si="14">$H$66*H46*12</f>
        <v>287495365.5</v>
      </c>
    </row>
    <row r="57">
      <c r="B57" s="29" t="s">
        <v>43</v>
      </c>
      <c r="C57" s="10">
        <f t="shared" si="9"/>
        <v>12000000</v>
      </c>
      <c r="D57" s="10">
        <f t="shared" si="10"/>
        <v>180000000</v>
      </c>
      <c r="E57" s="10">
        <f t="shared" si="11"/>
        <v>248400000</v>
      </c>
      <c r="F57" s="10">
        <f t="shared" si="12"/>
        <v>257094000</v>
      </c>
      <c r="G57" s="10">
        <f t="shared" si="13"/>
        <v>337435875</v>
      </c>
      <c r="H57" s="10">
        <f t="shared" si="14"/>
        <v>431243048.3</v>
      </c>
    </row>
    <row r="58">
      <c r="B58" s="29" t="s">
        <v>44</v>
      </c>
      <c r="C58" s="10">
        <f t="shared" si="9"/>
        <v>0</v>
      </c>
      <c r="D58" s="10">
        <f t="shared" si="10"/>
        <v>120000000</v>
      </c>
      <c r="E58" s="10">
        <f t="shared" si="11"/>
        <v>186300000</v>
      </c>
      <c r="F58" s="10">
        <f t="shared" si="12"/>
        <v>257094000</v>
      </c>
      <c r="G58" s="10">
        <f t="shared" si="13"/>
        <v>337435875</v>
      </c>
      <c r="H58" s="10">
        <f t="shared" si="14"/>
        <v>431243048.3</v>
      </c>
    </row>
    <row r="59">
      <c r="B59" s="29" t="s">
        <v>45</v>
      </c>
      <c r="C59" s="10">
        <f t="shared" si="9"/>
        <v>12000000</v>
      </c>
      <c r="D59" s="10">
        <f t="shared" si="10"/>
        <v>180000000</v>
      </c>
      <c r="E59" s="10">
        <f t="shared" si="11"/>
        <v>248400000</v>
      </c>
      <c r="F59" s="10">
        <f t="shared" si="12"/>
        <v>257094000</v>
      </c>
      <c r="G59" s="10">
        <f t="shared" si="13"/>
        <v>337435875</v>
      </c>
      <c r="H59" s="10">
        <f t="shared" si="14"/>
        <v>431243048.3</v>
      </c>
    </row>
    <row r="60">
      <c r="B60" s="29" t="s">
        <v>46</v>
      </c>
      <c r="C60" s="10">
        <f t="shared" si="9"/>
        <v>0</v>
      </c>
      <c r="D60" s="10">
        <f t="shared" si="10"/>
        <v>60000000</v>
      </c>
      <c r="E60" s="10">
        <f t="shared" si="11"/>
        <v>124200000</v>
      </c>
      <c r="F60" s="10">
        <f t="shared" si="12"/>
        <v>128547000</v>
      </c>
      <c r="G60" s="10">
        <f t="shared" si="13"/>
        <v>134974350</v>
      </c>
      <c r="H60" s="10">
        <f t="shared" si="14"/>
        <v>143747682.8</v>
      </c>
    </row>
    <row r="61">
      <c r="B61" s="29" t="s">
        <v>47</v>
      </c>
      <c r="C61" s="10">
        <f t="shared" si="9"/>
        <v>0</v>
      </c>
      <c r="D61" s="10">
        <f t="shared" si="10"/>
        <v>60000000</v>
      </c>
      <c r="E61" s="10">
        <f t="shared" si="11"/>
        <v>124200000</v>
      </c>
      <c r="F61" s="10">
        <f t="shared" si="12"/>
        <v>128547000</v>
      </c>
      <c r="G61" s="10">
        <f t="shared" si="13"/>
        <v>134974350</v>
      </c>
      <c r="H61" s="10">
        <f t="shared" si="14"/>
        <v>215621524.1</v>
      </c>
    </row>
    <row r="62">
      <c r="B62" s="29" t="s">
        <v>48</v>
      </c>
      <c r="C62" s="10">
        <f t="shared" si="9"/>
        <v>6000000</v>
      </c>
      <c r="D62" s="10">
        <f t="shared" si="10"/>
        <v>120000000</v>
      </c>
      <c r="E62" s="10">
        <f t="shared" si="11"/>
        <v>186300000</v>
      </c>
      <c r="F62" s="10">
        <f t="shared" si="12"/>
        <v>257094000</v>
      </c>
      <c r="G62" s="10">
        <f t="shared" si="13"/>
        <v>269948700</v>
      </c>
      <c r="H62" s="10">
        <f t="shared" si="14"/>
        <v>359369206.9</v>
      </c>
    </row>
    <row r="63">
      <c r="B63" s="33" t="s">
        <v>52</v>
      </c>
      <c r="C63" s="37">
        <f>sum(C56:C62)</f>
        <v>36000000</v>
      </c>
      <c r="D63" s="37">
        <f>SUM(D56:D62)</f>
        <v>840000000</v>
      </c>
      <c r="E63" s="37">
        <f t="shared" si="11"/>
        <v>1304100000</v>
      </c>
      <c r="F63" s="37">
        <f t="shared" si="12"/>
        <v>1478290500</v>
      </c>
      <c r="G63" s="37">
        <f t="shared" si="13"/>
        <v>1754666550</v>
      </c>
      <c r="H63" s="37">
        <f t="shared" si="14"/>
        <v>2299962924</v>
      </c>
    </row>
    <row r="64">
      <c r="B64" s="12"/>
      <c r="C64" s="12"/>
      <c r="D64" s="12"/>
      <c r="E64" s="12"/>
      <c r="F64" s="12"/>
      <c r="G64" s="12"/>
      <c r="H64" s="12"/>
    </row>
    <row r="65">
      <c r="B65" s="38" t="s">
        <v>53</v>
      </c>
      <c r="C65" s="5"/>
      <c r="D65" s="29"/>
      <c r="E65" s="39">
        <v>0.035</v>
      </c>
      <c r="F65" s="39">
        <v>0.035</v>
      </c>
      <c r="G65" s="30">
        <v>0.05</v>
      </c>
      <c r="H65" s="39">
        <v>0.065</v>
      </c>
    </row>
    <row r="66">
      <c r="B66" s="40" t="s">
        <v>54</v>
      </c>
      <c r="C66" s="8">
        <v>500000.0</v>
      </c>
      <c r="D66" s="8">
        <v>5000000.0</v>
      </c>
      <c r="E66" s="10">
        <f t="shared" ref="E66:H66" si="15">D66*(1+E65)</f>
        <v>5175000</v>
      </c>
      <c r="F66" s="10">
        <f t="shared" si="15"/>
        <v>5356125</v>
      </c>
      <c r="G66" s="10">
        <f t="shared" si="15"/>
        <v>5623931.25</v>
      </c>
      <c r="H66" s="10">
        <f t="shared" si="15"/>
        <v>5989486.781</v>
      </c>
    </row>
    <row r="67">
      <c r="B67" s="40" t="s">
        <v>55</v>
      </c>
      <c r="C67" s="39">
        <v>0.0</v>
      </c>
      <c r="D67" s="39">
        <v>0.095</v>
      </c>
      <c r="E67" s="39">
        <v>0.095</v>
      </c>
      <c r="F67" s="39">
        <v>0.095</v>
      </c>
      <c r="G67" s="39">
        <v>0.095</v>
      </c>
      <c r="H67" s="39">
        <v>0.095</v>
      </c>
    </row>
    <row r="68">
      <c r="B68" s="40" t="s">
        <v>56</v>
      </c>
      <c r="C68" s="8">
        <f t="shared" ref="C68:H68" si="16">C67*C63</f>
        <v>0</v>
      </c>
      <c r="D68" s="8">
        <f t="shared" si="16"/>
        <v>79800000</v>
      </c>
      <c r="E68" s="8">
        <f t="shared" si="16"/>
        <v>123889500</v>
      </c>
      <c r="F68" s="8">
        <f t="shared" si="16"/>
        <v>140437597.5</v>
      </c>
      <c r="G68" s="8">
        <f t="shared" si="16"/>
        <v>166693322.3</v>
      </c>
      <c r="H68" s="8">
        <f t="shared" si="16"/>
        <v>218496477.8</v>
      </c>
    </row>
    <row r="71">
      <c r="B71" s="25" t="s">
        <v>57</v>
      </c>
      <c r="C71" s="5"/>
      <c r="D71" s="5"/>
      <c r="E71" s="5"/>
      <c r="F71" s="5"/>
      <c r="G71" s="5"/>
      <c r="H71" s="6"/>
    </row>
    <row r="72">
      <c r="B72" s="26" t="s">
        <v>22</v>
      </c>
      <c r="C72" s="27" t="s">
        <v>23</v>
      </c>
      <c r="D72" s="27" t="s">
        <v>24</v>
      </c>
      <c r="E72" s="27" t="s">
        <v>25</v>
      </c>
      <c r="F72" s="27" t="s">
        <v>26</v>
      </c>
      <c r="G72" s="27" t="s">
        <v>27</v>
      </c>
      <c r="H72" s="27" t="s">
        <v>28</v>
      </c>
    </row>
    <row r="73">
      <c r="B73" s="41" t="s">
        <v>58</v>
      </c>
      <c r="C73" s="12"/>
      <c r="D73" s="12"/>
      <c r="E73" s="12"/>
      <c r="F73" s="12"/>
      <c r="G73" s="12"/>
      <c r="H73" s="12"/>
    </row>
    <row r="74">
      <c r="B74" s="41" t="s">
        <v>59</v>
      </c>
      <c r="C74" s="29">
        <v>0.0</v>
      </c>
      <c r="D74" s="29">
        <v>1.0</v>
      </c>
      <c r="E74" s="29">
        <v>1.0</v>
      </c>
      <c r="F74" s="29">
        <v>2.0</v>
      </c>
      <c r="G74" s="29">
        <v>2.0</v>
      </c>
      <c r="H74" s="29">
        <v>2.0</v>
      </c>
    </row>
    <row r="75">
      <c r="B75" s="41" t="s">
        <v>60</v>
      </c>
      <c r="C75" s="29">
        <v>12.0</v>
      </c>
      <c r="D75" s="29">
        <v>12.0</v>
      </c>
      <c r="E75" s="29">
        <v>12.0</v>
      </c>
      <c r="F75" s="29">
        <v>12.0</v>
      </c>
      <c r="G75" s="29">
        <v>12.0</v>
      </c>
      <c r="H75" s="29">
        <v>12.0</v>
      </c>
    </row>
    <row r="76">
      <c r="B76" s="41" t="s">
        <v>61</v>
      </c>
      <c r="C76" s="29">
        <v>12.0</v>
      </c>
      <c r="D76" s="29">
        <v>12.0</v>
      </c>
      <c r="E76" s="29">
        <v>12.0</v>
      </c>
      <c r="F76" s="29">
        <v>12.0</v>
      </c>
      <c r="G76" s="29">
        <v>12.0</v>
      </c>
      <c r="H76" s="29">
        <v>12.0</v>
      </c>
    </row>
    <row r="77">
      <c r="B77" s="41" t="s">
        <v>62</v>
      </c>
      <c r="C77" s="29">
        <v>1.0</v>
      </c>
      <c r="D77" s="29">
        <v>2.0</v>
      </c>
      <c r="E77" s="29">
        <v>3.0</v>
      </c>
      <c r="F77" s="29">
        <v>7.0</v>
      </c>
      <c r="G77" s="29">
        <v>5.0</v>
      </c>
      <c r="H77" s="29">
        <v>5.0</v>
      </c>
    </row>
    <row r="78">
      <c r="B78" s="41" t="s">
        <v>63</v>
      </c>
      <c r="C78" s="29">
        <v>1.0</v>
      </c>
      <c r="D78" s="29">
        <v>4.0</v>
      </c>
      <c r="E78" s="29">
        <v>4.0</v>
      </c>
      <c r="F78" s="29">
        <v>6.0</v>
      </c>
      <c r="G78" s="29">
        <v>6.0</v>
      </c>
      <c r="H78" s="29">
        <v>6.0</v>
      </c>
    </row>
    <row r="79">
      <c r="B79" s="29" t="s">
        <v>64</v>
      </c>
      <c r="C79" s="8">
        <v>0.0</v>
      </c>
      <c r="D79" s="8">
        <v>2500000.0</v>
      </c>
      <c r="E79" s="8">
        <f t="shared" ref="E79:H79" si="17">D79*(1+2%)</f>
        <v>2550000</v>
      </c>
      <c r="F79" s="8">
        <f t="shared" si="17"/>
        <v>2601000</v>
      </c>
      <c r="G79" s="8">
        <f t="shared" si="17"/>
        <v>2653020</v>
      </c>
      <c r="H79" s="8">
        <f t="shared" si="17"/>
        <v>2706080.4</v>
      </c>
      <c r="Q79" s="42"/>
    </row>
    <row r="80">
      <c r="B80" s="29" t="s">
        <v>65</v>
      </c>
      <c r="C80" s="43" t="s">
        <v>20</v>
      </c>
      <c r="D80" s="43" t="s">
        <v>20</v>
      </c>
      <c r="E80" s="43" t="s">
        <v>20</v>
      </c>
      <c r="F80" s="43" t="s">
        <v>20</v>
      </c>
      <c r="G80" s="43" t="s">
        <v>20</v>
      </c>
      <c r="H80" s="43" t="s">
        <v>20</v>
      </c>
      <c r="Q80" s="42"/>
    </row>
    <row r="81">
      <c r="B81" s="29" t="s">
        <v>66</v>
      </c>
      <c r="C81" s="12"/>
      <c r="D81" s="12"/>
      <c r="E81" s="12"/>
      <c r="F81" s="12"/>
      <c r="G81" s="12"/>
      <c r="H81" s="12"/>
    </row>
    <row r="82">
      <c r="B82" s="29" t="s">
        <v>67</v>
      </c>
      <c r="C82" s="29">
        <v>2.0</v>
      </c>
      <c r="D82" s="29">
        <v>3.0</v>
      </c>
      <c r="E82" s="29">
        <v>4.0</v>
      </c>
      <c r="F82" s="29">
        <v>6.0</v>
      </c>
      <c r="G82" s="29">
        <v>8.0</v>
      </c>
      <c r="H82" s="29">
        <v>10.0</v>
      </c>
    </row>
    <row r="83">
      <c r="B83" s="29" t="s">
        <v>68</v>
      </c>
      <c r="C83" s="29">
        <v>2.0</v>
      </c>
      <c r="D83" s="29">
        <v>3.0</v>
      </c>
      <c r="E83" s="29">
        <v>3.0</v>
      </c>
      <c r="F83" s="29">
        <v>4.0</v>
      </c>
      <c r="G83" s="29">
        <v>5.0</v>
      </c>
      <c r="H83" s="29">
        <v>5.0</v>
      </c>
    </row>
    <row r="84">
      <c r="B84" s="41" t="s">
        <v>69</v>
      </c>
      <c r="C84" s="43" t="s">
        <v>20</v>
      </c>
      <c r="D84" s="43" t="s">
        <v>20</v>
      </c>
      <c r="E84" s="43" t="s">
        <v>20</v>
      </c>
      <c r="F84" s="43" t="s">
        <v>20</v>
      </c>
      <c r="G84" s="43" t="s">
        <v>20</v>
      </c>
      <c r="H84" s="43" t="s">
        <v>20</v>
      </c>
    </row>
    <row r="85">
      <c r="B85" s="41" t="s">
        <v>70</v>
      </c>
      <c r="C85" s="43" t="s">
        <v>20</v>
      </c>
      <c r="D85" s="43" t="s">
        <v>20</v>
      </c>
      <c r="E85" s="43" t="s">
        <v>20</v>
      </c>
      <c r="F85" s="43" t="s">
        <v>20</v>
      </c>
      <c r="G85" s="43" t="s">
        <v>20</v>
      </c>
      <c r="H85" s="43" t="s">
        <v>20</v>
      </c>
    </row>
    <row r="86">
      <c r="B86" s="41" t="s">
        <v>71</v>
      </c>
      <c r="C86" s="43" t="s">
        <v>20</v>
      </c>
      <c r="D86" s="43" t="s">
        <v>20</v>
      </c>
      <c r="E86" s="43" t="s">
        <v>20</v>
      </c>
      <c r="F86" s="43" t="s">
        <v>20</v>
      </c>
      <c r="G86" s="43" t="s">
        <v>20</v>
      </c>
      <c r="H86" s="43" t="s">
        <v>20</v>
      </c>
    </row>
    <row r="87">
      <c r="B87" s="41" t="s">
        <v>72</v>
      </c>
      <c r="C87" s="43" t="s">
        <v>20</v>
      </c>
      <c r="D87" s="43" t="s">
        <v>20</v>
      </c>
      <c r="E87" s="43" t="s">
        <v>20</v>
      </c>
      <c r="F87" s="43" t="s">
        <v>20</v>
      </c>
      <c r="G87" s="43" t="s">
        <v>20</v>
      </c>
      <c r="H87" s="43" t="s">
        <v>20</v>
      </c>
    </row>
  </sheetData>
  <mergeCells count="22">
    <mergeCell ref="B2:H2"/>
    <mergeCell ref="B4:D4"/>
    <mergeCell ref="B5:C5"/>
    <mergeCell ref="B6:C6"/>
    <mergeCell ref="B7:C7"/>
    <mergeCell ref="B9:D9"/>
    <mergeCell ref="B10:C10"/>
    <mergeCell ref="B35:H35"/>
    <mergeCell ref="B39:H39"/>
    <mergeCell ref="B43:H43"/>
    <mergeCell ref="B44:H44"/>
    <mergeCell ref="B55:H55"/>
    <mergeCell ref="I55:O57"/>
    <mergeCell ref="B65:C65"/>
    <mergeCell ref="B71:H71"/>
    <mergeCell ref="B11:C11"/>
    <mergeCell ref="B12:C12"/>
    <mergeCell ref="B14:C14"/>
    <mergeCell ref="B15:C15"/>
    <mergeCell ref="B16:C16"/>
    <mergeCell ref="B27:H27"/>
    <mergeCell ref="B29:H29"/>
  </mergeCells>
  <printOptions gridLines="1" horizontalCentered="1"/>
  <pageMargins bottom="0.75" footer="0.0" header="0.0" left="0.25" right="0.25" top="0.75"/>
  <pageSetup paperSize="9" scale="65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14.63"/>
    <col customWidth="1" min="3" max="3" width="15.63"/>
    <col customWidth="1" min="4" max="4" width="16.13"/>
    <col customWidth="1" min="5" max="5" width="15.5"/>
    <col customWidth="1" min="6" max="7" width="16.0"/>
  </cols>
  <sheetData>
    <row r="1">
      <c r="A1" s="44"/>
      <c r="B1" s="45" t="s">
        <v>73</v>
      </c>
      <c r="C1" s="5"/>
      <c r="D1" s="5"/>
      <c r="E1" s="5"/>
      <c r="F1" s="5"/>
      <c r="G1" s="6"/>
    </row>
    <row r="2">
      <c r="A2" s="46"/>
      <c r="B2" s="47" t="s">
        <v>23</v>
      </c>
      <c r="C2" s="47" t="s">
        <v>24</v>
      </c>
      <c r="D2" s="47" t="s">
        <v>25</v>
      </c>
      <c r="E2" s="47" t="s">
        <v>26</v>
      </c>
      <c r="F2" s="47" t="s">
        <v>27</v>
      </c>
      <c r="G2" s="47" t="s">
        <v>28</v>
      </c>
    </row>
    <row r="3">
      <c r="A3" s="48" t="s">
        <v>74</v>
      </c>
      <c r="B3" s="5"/>
      <c r="C3" s="5"/>
      <c r="D3" s="5"/>
      <c r="E3" s="5"/>
      <c r="F3" s="5"/>
      <c r="G3" s="6"/>
    </row>
    <row r="4">
      <c r="A4" s="35" t="s">
        <v>75</v>
      </c>
      <c r="B4" s="5"/>
      <c r="C4" s="5"/>
      <c r="D4" s="5"/>
      <c r="E4" s="5"/>
      <c r="F4" s="5"/>
      <c r="G4" s="6"/>
    </row>
    <row r="5">
      <c r="A5" s="29" t="s">
        <v>76</v>
      </c>
      <c r="B5" s="10">
        <f>'Assumption and Dashboard'!C56</f>
        <v>6000000</v>
      </c>
      <c r="C5" s="10">
        <f>'Assumption and Dashboard'!D56</f>
        <v>120000000</v>
      </c>
      <c r="D5" s="10">
        <f>'Assumption and Dashboard'!E56</f>
        <v>186300000</v>
      </c>
      <c r="E5" s="10">
        <f>'Assumption and Dashboard'!F56</f>
        <v>192820500</v>
      </c>
      <c r="F5" s="10">
        <f>'Assumption and Dashboard'!G56</f>
        <v>202461525</v>
      </c>
      <c r="G5" s="10">
        <f>'Assumption and Dashboard'!H56</f>
        <v>287495365.5</v>
      </c>
    </row>
    <row r="6">
      <c r="A6" s="29" t="s">
        <v>77</v>
      </c>
      <c r="B6" s="10">
        <f>'Assumption and Dashboard'!C57</f>
        <v>12000000</v>
      </c>
      <c r="C6" s="10">
        <f>'Assumption and Dashboard'!D57</f>
        <v>180000000</v>
      </c>
      <c r="D6" s="10">
        <f>'Assumption and Dashboard'!E57</f>
        <v>248400000</v>
      </c>
      <c r="E6" s="10">
        <f>'Assumption and Dashboard'!F57</f>
        <v>257094000</v>
      </c>
      <c r="F6" s="10">
        <f>'Assumption and Dashboard'!G57</f>
        <v>337435875</v>
      </c>
      <c r="G6" s="10">
        <f>'Assumption and Dashboard'!H57</f>
        <v>431243048.3</v>
      </c>
    </row>
    <row r="7">
      <c r="A7" s="29" t="s">
        <v>78</v>
      </c>
      <c r="B7" s="10">
        <f>'Assumption and Dashboard'!C58</f>
        <v>0</v>
      </c>
      <c r="C7" s="10">
        <f>'Assumption and Dashboard'!D58</f>
        <v>120000000</v>
      </c>
      <c r="D7" s="10">
        <f>'Assumption and Dashboard'!E58</f>
        <v>186300000</v>
      </c>
      <c r="E7" s="10">
        <f>'Assumption and Dashboard'!F58</f>
        <v>257094000</v>
      </c>
      <c r="F7" s="10">
        <f>'Assumption and Dashboard'!G58</f>
        <v>337435875</v>
      </c>
      <c r="G7" s="10">
        <f>'Assumption and Dashboard'!H58</f>
        <v>431243048.3</v>
      </c>
    </row>
    <row r="8">
      <c r="A8" s="29" t="s">
        <v>79</v>
      </c>
      <c r="B8" s="10">
        <f>'Assumption and Dashboard'!C59</f>
        <v>12000000</v>
      </c>
      <c r="C8" s="10">
        <f>'Assumption and Dashboard'!D59</f>
        <v>180000000</v>
      </c>
      <c r="D8" s="10">
        <f>'Assumption and Dashboard'!E59</f>
        <v>248400000</v>
      </c>
      <c r="E8" s="10">
        <f>'Assumption and Dashboard'!F59</f>
        <v>257094000</v>
      </c>
      <c r="F8" s="10">
        <f>'Assumption and Dashboard'!G59</f>
        <v>337435875</v>
      </c>
      <c r="G8" s="10">
        <f>'Assumption and Dashboard'!H59</f>
        <v>431243048.3</v>
      </c>
    </row>
    <row r="9">
      <c r="A9" s="29" t="s">
        <v>80</v>
      </c>
      <c r="B9" s="10">
        <f>'Assumption and Dashboard'!C60</f>
        <v>0</v>
      </c>
      <c r="C9" s="10">
        <f>'Assumption and Dashboard'!D60</f>
        <v>60000000</v>
      </c>
      <c r="D9" s="10">
        <f>'Assumption and Dashboard'!E60</f>
        <v>124200000</v>
      </c>
      <c r="E9" s="10">
        <f>'Assumption and Dashboard'!F60</f>
        <v>128547000</v>
      </c>
      <c r="F9" s="10">
        <f>'Assumption and Dashboard'!G60</f>
        <v>134974350</v>
      </c>
      <c r="G9" s="10">
        <f>'Assumption and Dashboard'!H60</f>
        <v>143747682.8</v>
      </c>
    </row>
    <row r="10">
      <c r="A10" s="29" t="s">
        <v>81</v>
      </c>
      <c r="B10" s="10">
        <f>'Assumption and Dashboard'!C61</f>
        <v>0</v>
      </c>
      <c r="C10" s="10">
        <f>'Assumption and Dashboard'!D61</f>
        <v>60000000</v>
      </c>
      <c r="D10" s="10">
        <f>'Assumption and Dashboard'!E61</f>
        <v>124200000</v>
      </c>
      <c r="E10" s="10">
        <f>'Assumption and Dashboard'!F61</f>
        <v>128547000</v>
      </c>
      <c r="F10" s="10">
        <f>'Assumption and Dashboard'!G61</f>
        <v>134974350</v>
      </c>
      <c r="G10" s="10">
        <f>'Assumption and Dashboard'!H61</f>
        <v>215621524.1</v>
      </c>
    </row>
    <row r="11">
      <c r="A11" s="29" t="s">
        <v>82</v>
      </c>
      <c r="B11" s="10">
        <f>'Assumption and Dashboard'!C62</f>
        <v>6000000</v>
      </c>
      <c r="C11" s="10">
        <f>'Assumption and Dashboard'!D62</f>
        <v>120000000</v>
      </c>
      <c r="D11" s="10">
        <f>'Assumption and Dashboard'!E62</f>
        <v>186300000</v>
      </c>
      <c r="E11" s="10">
        <f>'Assumption and Dashboard'!F62</f>
        <v>257094000</v>
      </c>
      <c r="F11" s="10">
        <f>'Assumption and Dashboard'!G62</f>
        <v>269948700</v>
      </c>
      <c r="G11" s="10">
        <f>'Assumption and Dashboard'!H62</f>
        <v>359369206.9</v>
      </c>
    </row>
    <row r="12">
      <c r="A12" s="49" t="s">
        <v>52</v>
      </c>
      <c r="B12" s="37">
        <f t="shared" ref="B12:G12" si="1">sum(B5:B11)</f>
        <v>36000000</v>
      </c>
      <c r="C12" s="37">
        <f t="shared" si="1"/>
        <v>840000000</v>
      </c>
      <c r="D12" s="37">
        <f t="shared" si="1"/>
        <v>1304100000</v>
      </c>
      <c r="E12" s="37">
        <f t="shared" si="1"/>
        <v>1478290500</v>
      </c>
      <c r="F12" s="37">
        <f t="shared" si="1"/>
        <v>1754666550</v>
      </c>
      <c r="G12" s="37">
        <f t="shared" si="1"/>
        <v>2299962924</v>
      </c>
    </row>
    <row r="13">
      <c r="A13" s="33" t="s">
        <v>83</v>
      </c>
      <c r="B13" s="37">
        <f>B12+'Assumption and Dashboard'!C68</f>
        <v>36000000</v>
      </c>
      <c r="C13" s="37">
        <f>C12+'Assumption and Dashboard'!D68</f>
        <v>919800000</v>
      </c>
      <c r="D13" s="37">
        <f>D12+'Assumption and Dashboard'!E68</f>
        <v>1427989500</v>
      </c>
      <c r="E13" s="37">
        <f>E12+'Assumption and Dashboard'!F68</f>
        <v>1618728098</v>
      </c>
      <c r="F13" s="37">
        <f>F12+'Assumption and Dashboard'!G68</f>
        <v>1921359872</v>
      </c>
      <c r="G13" s="37">
        <f>G12+'Assumption and Dashboard'!H68</f>
        <v>2518459402</v>
      </c>
    </row>
  </sheetData>
  <mergeCells count="4">
    <mergeCell ref="A1:A2"/>
    <mergeCell ref="B1:G1"/>
    <mergeCell ref="A3:G3"/>
    <mergeCell ref="A4:G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5" max="5" width="14.0"/>
    <col customWidth="1" min="6" max="6" width="14.5"/>
    <col customWidth="1" min="7" max="7" width="17.38"/>
  </cols>
  <sheetData>
    <row r="1">
      <c r="B1" s="50"/>
    </row>
    <row r="2">
      <c r="A2" s="51"/>
      <c r="B2" s="45" t="s">
        <v>73</v>
      </c>
      <c r="C2" s="5"/>
      <c r="D2" s="5"/>
      <c r="E2" s="5"/>
      <c r="F2" s="5"/>
      <c r="G2" s="6"/>
    </row>
    <row r="3">
      <c r="A3" s="46"/>
      <c r="B3" s="47" t="s">
        <v>23</v>
      </c>
      <c r="C3" s="47" t="s">
        <v>24</v>
      </c>
      <c r="D3" s="47" t="s">
        <v>25</v>
      </c>
      <c r="E3" s="47" t="s">
        <v>26</v>
      </c>
      <c r="F3" s="47" t="s">
        <v>27</v>
      </c>
      <c r="G3" s="47" t="s">
        <v>28</v>
      </c>
    </row>
    <row r="4">
      <c r="A4" s="52" t="s">
        <v>84</v>
      </c>
      <c r="B4" s="53"/>
      <c r="C4" s="53"/>
      <c r="D4" s="53"/>
      <c r="E4" s="53"/>
      <c r="F4" s="53"/>
      <c r="G4" s="54"/>
    </row>
    <row r="5">
      <c r="A5" s="35" t="s">
        <v>85</v>
      </c>
      <c r="B5" s="5"/>
      <c r="C5" s="5"/>
      <c r="D5" s="5"/>
      <c r="E5" s="5"/>
      <c r="F5" s="5"/>
      <c r="G5" s="6"/>
    </row>
    <row r="6">
      <c r="A6" s="29" t="s">
        <v>86</v>
      </c>
      <c r="B6" s="55"/>
      <c r="C6" s="5"/>
      <c r="D6" s="5"/>
      <c r="E6" s="5"/>
      <c r="F6" s="5"/>
      <c r="G6" s="6"/>
    </row>
    <row r="7">
      <c r="A7" s="29" t="s">
        <v>87</v>
      </c>
      <c r="B7" s="10">
        <f>'Financial Projection'!C16</f>
        <v>67500000</v>
      </c>
      <c r="C7" s="10">
        <f>'Financial Projection'!D16</f>
        <v>540000000</v>
      </c>
      <c r="D7" s="10">
        <f>'Financial Projection'!E16</f>
        <v>1080000000</v>
      </c>
      <c r="E7" s="10">
        <f>'Financial Projection'!F16</f>
        <v>5400000000</v>
      </c>
      <c r="F7" s="10">
        <f>'Financial Projection'!G16</f>
        <v>16200000000</v>
      </c>
      <c r="G7" s="10">
        <f>'Financial Projection'!H16</f>
        <v>27000000000</v>
      </c>
    </row>
    <row r="8">
      <c r="A8" s="29" t="s">
        <v>88</v>
      </c>
      <c r="B8" s="10">
        <f>'Financial Projection'!C17</f>
        <v>211500000</v>
      </c>
      <c r="C8" s="10">
        <f>'Financial Projection'!D17</f>
        <v>1692000000</v>
      </c>
      <c r="D8" s="10">
        <f>'Financial Projection'!E17</f>
        <v>3384000000</v>
      </c>
      <c r="E8" s="10">
        <f>'Financial Projection'!F17</f>
        <v>16920000000</v>
      </c>
      <c r="F8" s="10">
        <f>'Financial Projection'!G17</f>
        <v>50760000000</v>
      </c>
      <c r="G8" s="10">
        <f>'Financial Projection'!H17</f>
        <v>84600000000</v>
      </c>
    </row>
    <row r="9">
      <c r="A9" s="29" t="s">
        <v>89</v>
      </c>
      <c r="B9" s="10">
        <f>'Financial Projection'!C18</f>
        <v>75000000</v>
      </c>
      <c r="C9" s="10">
        <f>'Financial Projection'!D18</f>
        <v>300000000</v>
      </c>
      <c r="D9" s="10">
        <f>'Financial Projection'!E18</f>
        <v>600000000</v>
      </c>
      <c r="E9" s="10">
        <f>'Financial Projection'!F18</f>
        <v>3000000000</v>
      </c>
      <c r="F9" s="10">
        <f>'Financial Projection'!G18</f>
        <v>9000000000</v>
      </c>
      <c r="G9" s="10">
        <f>'Financial Projection'!H18</f>
        <v>15000000000</v>
      </c>
    </row>
    <row r="10">
      <c r="A10" s="33" t="s">
        <v>90</v>
      </c>
      <c r="B10" s="8">
        <f t="shared" ref="B10:G10" si="1">SUM(B7:B9)</f>
        <v>354000000</v>
      </c>
      <c r="C10" s="8">
        <f t="shared" si="1"/>
        <v>2532000000</v>
      </c>
      <c r="D10" s="8">
        <f t="shared" si="1"/>
        <v>5064000000</v>
      </c>
      <c r="E10" s="8">
        <f t="shared" si="1"/>
        <v>25320000000</v>
      </c>
      <c r="F10" s="8">
        <f t="shared" si="1"/>
        <v>75960000000</v>
      </c>
      <c r="G10" s="8">
        <f t="shared" si="1"/>
        <v>126600000000</v>
      </c>
    </row>
    <row r="11">
      <c r="A11" s="56"/>
      <c r="G11" s="57"/>
    </row>
    <row r="12">
      <c r="A12" s="35" t="s">
        <v>91</v>
      </c>
      <c r="B12" s="5"/>
      <c r="C12" s="5"/>
      <c r="D12" s="5"/>
      <c r="E12" s="5"/>
      <c r="F12" s="5"/>
      <c r="G12" s="6"/>
    </row>
    <row r="13">
      <c r="A13" s="29" t="s">
        <v>92</v>
      </c>
      <c r="B13" s="30">
        <v>1.0</v>
      </c>
      <c r="C13" s="30">
        <v>1.0</v>
      </c>
      <c r="D13" s="30">
        <v>1.0</v>
      </c>
      <c r="E13" s="30">
        <v>1.0</v>
      </c>
      <c r="F13" s="30">
        <v>1.0</v>
      </c>
      <c r="G13" s="30">
        <v>1.0</v>
      </c>
    </row>
    <row r="14">
      <c r="A14" s="29" t="s">
        <v>93</v>
      </c>
      <c r="B14" s="8">
        <f t="shared" ref="B14:G14" si="2">B10</f>
        <v>354000000</v>
      </c>
      <c r="C14" s="8">
        <f t="shared" si="2"/>
        <v>2532000000</v>
      </c>
      <c r="D14" s="8">
        <f t="shared" si="2"/>
        <v>5064000000</v>
      </c>
      <c r="E14" s="8">
        <f t="shared" si="2"/>
        <v>25320000000</v>
      </c>
      <c r="F14" s="8">
        <f t="shared" si="2"/>
        <v>75960000000</v>
      </c>
      <c r="G14" s="8">
        <f t="shared" si="2"/>
        <v>126600000000</v>
      </c>
    </row>
    <row r="15">
      <c r="A15" s="56"/>
      <c r="G15" s="57"/>
    </row>
    <row r="16">
      <c r="A16" s="48" t="s">
        <v>94</v>
      </c>
      <c r="B16" s="5"/>
      <c r="C16" s="5"/>
      <c r="D16" s="5"/>
      <c r="E16" s="5"/>
      <c r="F16" s="5"/>
      <c r="G16" s="6"/>
    </row>
    <row r="17">
      <c r="A17" s="33" t="s">
        <v>95</v>
      </c>
      <c r="B17" s="8">
        <f t="shared" ref="B17:G17" si="3">B14</f>
        <v>354000000</v>
      </c>
      <c r="C17" s="8">
        <f t="shared" si="3"/>
        <v>2532000000</v>
      </c>
      <c r="D17" s="8">
        <f t="shared" si="3"/>
        <v>5064000000</v>
      </c>
      <c r="E17" s="8">
        <f t="shared" si="3"/>
        <v>25320000000</v>
      </c>
      <c r="F17" s="8">
        <f t="shared" si="3"/>
        <v>75960000000</v>
      </c>
      <c r="G17" s="8">
        <f t="shared" si="3"/>
        <v>126600000000</v>
      </c>
    </row>
    <row r="18">
      <c r="A18" s="29" t="s">
        <v>96</v>
      </c>
      <c r="B18" s="10">
        <f t="shared" ref="B18:G18" si="4">B17</f>
        <v>354000000</v>
      </c>
      <c r="C18" s="10">
        <f t="shared" si="4"/>
        <v>2532000000</v>
      </c>
      <c r="D18" s="10">
        <f t="shared" si="4"/>
        <v>5064000000</v>
      </c>
      <c r="E18" s="10">
        <f t="shared" si="4"/>
        <v>25320000000</v>
      </c>
      <c r="F18" s="10">
        <f t="shared" si="4"/>
        <v>75960000000</v>
      </c>
      <c r="G18" s="10">
        <f t="shared" si="4"/>
        <v>126600000000</v>
      </c>
    </row>
    <row r="19">
      <c r="A19" s="56"/>
      <c r="G19" s="57"/>
    </row>
    <row r="20">
      <c r="A20" s="35" t="s">
        <v>97</v>
      </c>
      <c r="B20" s="5"/>
      <c r="C20" s="5"/>
      <c r="D20" s="5"/>
      <c r="E20" s="5"/>
      <c r="F20" s="5"/>
      <c r="G20" s="6"/>
    </row>
    <row r="21">
      <c r="A21" s="29" t="s">
        <v>98</v>
      </c>
      <c r="B21" s="58" t="s">
        <v>20</v>
      </c>
      <c r="C21" s="58" t="s">
        <v>20</v>
      </c>
      <c r="D21" s="58" t="s">
        <v>20</v>
      </c>
      <c r="E21" s="58" t="s">
        <v>20</v>
      </c>
      <c r="F21" s="58" t="s">
        <v>20</v>
      </c>
      <c r="G21" s="58" t="s">
        <v>20</v>
      </c>
    </row>
    <row r="23">
      <c r="B23" s="59"/>
    </row>
    <row r="24">
      <c r="B24" s="60"/>
    </row>
  </sheetData>
  <mergeCells count="11">
    <mergeCell ref="A15:G15"/>
    <mergeCell ref="A16:G16"/>
    <mergeCell ref="A19:G19"/>
    <mergeCell ref="A20:G20"/>
    <mergeCell ref="A2:A3"/>
    <mergeCell ref="B2:G2"/>
    <mergeCell ref="A4:G4"/>
    <mergeCell ref="A5:G5"/>
    <mergeCell ref="B6:G6"/>
    <mergeCell ref="A11:G11"/>
    <mergeCell ref="A12:G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6" max="6" width="14.13"/>
    <col customWidth="1" min="7" max="7" width="14.63"/>
  </cols>
  <sheetData>
    <row r="2">
      <c r="A2" s="61"/>
      <c r="B2" s="45" t="s">
        <v>73</v>
      </c>
      <c r="C2" s="5"/>
      <c r="D2" s="5"/>
      <c r="E2" s="5"/>
      <c r="F2" s="5"/>
      <c r="G2" s="6"/>
    </row>
    <row r="3">
      <c r="A3" s="46"/>
      <c r="B3" s="47" t="s">
        <v>23</v>
      </c>
      <c r="C3" s="47" t="s">
        <v>24</v>
      </c>
      <c r="D3" s="47" t="s">
        <v>25</v>
      </c>
      <c r="E3" s="47" t="s">
        <v>26</v>
      </c>
      <c r="F3" s="47" t="s">
        <v>27</v>
      </c>
      <c r="G3" s="47" t="s">
        <v>28</v>
      </c>
    </row>
    <row r="4">
      <c r="A4" s="48" t="s">
        <v>99</v>
      </c>
      <c r="B4" s="5"/>
      <c r="C4" s="5"/>
      <c r="D4" s="5"/>
      <c r="E4" s="5"/>
      <c r="F4" s="5"/>
      <c r="G4" s="6"/>
    </row>
    <row r="5">
      <c r="A5" s="35" t="s">
        <v>58</v>
      </c>
      <c r="B5" s="5"/>
      <c r="C5" s="5"/>
      <c r="D5" s="5"/>
      <c r="E5" s="5"/>
      <c r="F5" s="5"/>
      <c r="G5" s="6"/>
    </row>
    <row r="6">
      <c r="A6" s="21" t="s">
        <v>100</v>
      </c>
      <c r="B6" s="10">
        <f>'Financial Projection'!C36</f>
        <v>0</v>
      </c>
      <c r="C6" s="10">
        <f>'Financial Projection'!D36</f>
        <v>36000000</v>
      </c>
      <c r="D6" s="10">
        <f>'Financial Projection'!E36</f>
        <v>36000000</v>
      </c>
      <c r="E6" s="10">
        <f>'Financial Projection'!F36</f>
        <v>400000000</v>
      </c>
      <c r="F6" s="10">
        <f>'Financial Projection'!G36</f>
        <v>800000000</v>
      </c>
      <c r="G6" s="10">
        <f>'Financial Projection'!H36</f>
        <v>1600000000</v>
      </c>
    </row>
    <row r="7">
      <c r="A7" s="21" t="s">
        <v>101</v>
      </c>
      <c r="B7" s="10">
        <f>'Financial Projection'!C37</f>
        <v>4800000</v>
      </c>
      <c r="C7" s="10">
        <f>'Financial Projection'!D37</f>
        <v>7200000</v>
      </c>
      <c r="D7" s="10">
        <f>'Financial Projection'!E37</f>
        <v>7200000</v>
      </c>
      <c r="E7" s="10">
        <f>'Financial Projection'!F37</f>
        <v>7200000</v>
      </c>
      <c r="F7" s="10">
        <f>'Financial Projection'!G37</f>
        <v>7200000</v>
      </c>
      <c r="G7" s="10">
        <f>'Financial Projection'!H37</f>
        <v>7200000</v>
      </c>
    </row>
    <row r="8">
      <c r="A8" s="21" t="s">
        <v>102</v>
      </c>
      <c r="B8" s="10">
        <f>'Financial Projection'!C38</f>
        <v>2400000</v>
      </c>
      <c r="C8" s="10">
        <f>'Financial Projection'!D38</f>
        <v>3600000</v>
      </c>
      <c r="D8" s="10">
        <f>'Financial Projection'!E38</f>
        <v>3600000</v>
      </c>
      <c r="E8" s="10">
        <f>'Financial Projection'!F38</f>
        <v>3600000</v>
      </c>
      <c r="F8" s="10">
        <f>'Financial Projection'!G38</f>
        <v>3600000</v>
      </c>
      <c r="G8" s="10">
        <f>'Financial Projection'!H38</f>
        <v>3600000</v>
      </c>
    </row>
    <row r="9">
      <c r="A9" s="21" t="s">
        <v>103</v>
      </c>
      <c r="B9" s="10">
        <f>'Financial Projection'!C39</f>
        <v>1000000</v>
      </c>
      <c r="C9" s="10">
        <f>'Financial Projection'!D39</f>
        <v>2000000</v>
      </c>
      <c r="D9" s="10">
        <f>'Financial Projection'!E39</f>
        <v>3000000</v>
      </c>
      <c r="E9" s="10">
        <f>'Financial Projection'!F39</f>
        <v>7000000</v>
      </c>
      <c r="F9" s="10">
        <f>'Financial Projection'!G39</f>
        <v>5000000</v>
      </c>
      <c r="G9" s="10">
        <f>'Financial Projection'!H39</f>
        <v>5000000</v>
      </c>
    </row>
    <row r="10">
      <c r="A10" s="21" t="s">
        <v>104</v>
      </c>
      <c r="B10" s="10">
        <f>'Financial Projection'!C40</f>
        <v>1000000</v>
      </c>
      <c r="C10" s="10">
        <f>'Financial Projection'!D40</f>
        <v>4000000</v>
      </c>
      <c r="D10" s="10">
        <f>'Financial Projection'!E40</f>
        <v>4000000</v>
      </c>
      <c r="E10" s="10">
        <f>'Financial Projection'!F40</f>
        <v>6000000</v>
      </c>
      <c r="F10" s="10">
        <f>'Financial Projection'!G40</f>
        <v>6000000</v>
      </c>
      <c r="G10" s="10">
        <f>'Financial Projection'!H40</f>
        <v>6000000</v>
      </c>
    </row>
    <row r="11">
      <c r="A11" s="21" t="s">
        <v>105</v>
      </c>
      <c r="B11" s="10">
        <f>'Financial Projection'!C41</f>
        <v>36000000</v>
      </c>
      <c r="C11" s="10">
        <f>'Financial Projection'!D41</f>
        <v>840000000</v>
      </c>
      <c r="D11" s="10">
        <f>'Financial Projection'!E41</f>
        <v>1304100000</v>
      </c>
      <c r="E11" s="10">
        <f>'Financial Projection'!F41</f>
        <v>1478290500</v>
      </c>
      <c r="F11" s="10">
        <f>'Financial Projection'!G41</f>
        <v>1754666550</v>
      </c>
      <c r="G11" s="10">
        <f>'Financial Projection'!H41</f>
        <v>3509333100</v>
      </c>
    </row>
    <row r="12">
      <c r="A12" s="41" t="s">
        <v>56</v>
      </c>
      <c r="B12" s="10">
        <f>'Financial Projection'!C42</f>
        <v>0</v>
      </c>
      <c r="C12" s="10">
        <f>'Financial Projection'!D42</f>
        <v>79800000</v>
      </c>
      <c r="D12" s="10">
        <f>'Financial Projection'!E42</f>
        <v>123889500</v>
      </c>
      <c r="E12" s="10">
        <f>'Financial Projection'!F42</f>
        <v>140437597.5</v>
      </c>
      <c r="F12" s="10">
        <f>'Financial Projection'!G42</f>
        <v>166693322.3</v>
      </c>
      <c r="G12" s="10">
        <f>'Financial Projection'!H42</f>
        <v>333386644.5</v>
      </c>
    </row>
    <row r="13">
      <c r="A13" s="29" t="s">
        <v>106</v>
      </c>
      <c r="B13" s="10">
        <f>'Financial Projection'!C43</f>
        <v>0</v>
      </c>
      <c r="C13" s="10">
        <f>'Financial Projection'!D43</f>
        <v>30000000</v>
      </c>
      <c r="D13" s="10">
        <f>'Financial Projection'!E43</f>
        <v>30600000</v>
      </c>
      <c r="E13" s="10">
        <f>'Financial Projection'!F43</f>
        <v>31212000</v>
      </c>
      <c r="F13" s="10">
        <f>'Financial Projection'!G43</f>
        <v>318362400</v>
      </c>
      <c r="G13" s="10">
        <f>'Financial Projection'!H43</f>
        <v>636724800</v>
      </c>
    </row>
    <row r="14">
      <c r="A14" s="29" t="s">
        <v>107</v>
      </c>
      <c r="B14" s="10">
        <f>'Financial Projection'!C44</f>
        <v>0</v>
      </c>
      <c r="C14" s="10">
        <f>'Financial Projection'!D44</f>
        <v>48000000</v>
      </c>
      <c r="D14" s="10">
        <f>'Financial Projection'!E44</f>
        <v>48000000</v>
      </c>
      <c r="E14" s="10">
        <f>'Financial Projection'!F44</f>
        <v>48000000</v>
      </c>
      <c r="F14" s="10">
        <f>'Financial Projection'!G44</f>
        <v>240000000</v>
      </c>
      <c r="G14" s="10">
        <f>'Financial Projection'!H44</f>
        <v>480000000</v>
      </c>
    </row>
    <row r="15">
      <c r="A15" s="33" t="s">
        <v>108</v>
      </c>
      <c r="B15" s="37">
        <f>'Financial Projection'!C45</f>
        <v>45200000</v>
      </c>
      <c r="C15" s="37">
        <f>'Financial Projection'!D45</f>
        <v>1050600000</v>
      </c>
      <c r="D15" s="37">
        <f>'Financial Projection'!E45</f>
        <v>1560389500</v>
      </c>
      <c r="E15" s="37">
        <f>'Financial Projection'!F45</f>
        <v>2121740098</v>
      </c>
      <c r="F15" s="37">
        <f>'Financial Projection'!G45</f>
        <v>3301522272</v>
      </c>
      <c r="G15" s="37">
        <f>'Financial Projection'!H45</f>
        <v>6581244545</v>
      </c>
    </row>
    <row r="16">
      <c r="A16" s="35"/>
      <c r="B16" s="5"/>
      <c r="C16" s="5"/>
      <c r="D16" s="5"/>
      <c r="E16" s="5"/>
      <c r="F16" s="5"/>
      <c r="G16" s="6"/>
    </row>
    <row r="17">
      <c r="A17" s="35" t="s">
        <v>66</v>
      </c>
      <c r="B17" s="5"/>
      <c r="C17" s="5"/>
      <c r="D17" s="5"/>
      <c r="E17" s="5"/>
      <c r="F17" s="5"/>
      <c r="G17" s="6"/>
    </row>
    <row r="18">
      <c r="A18" s="29" t="s">
        <v>109</v>
      </c>
      <c r="B18" s="10">
        <f>'Financial Projection'!C48</f>
        <v>23000000</v>
      </c>
      <c r="C18" s="10">
        <f>'Financial Projection'!D48</f>
        <v>33000000</v>
      </c>
      <c r="D18" s="10">
        <f>'Financial Projection'!E48</f>
        <v>46000000</v>
      </c>
      <c r="E18" s="10">
        <f>'Financial Projection'!F48</f>
        <v>100000000</v>
      </c>
      <c r="F18" s="10">
        <f>'Financial Projection'!G48</f>
        <v>1000000000</v>
      </c>
      <c r="G18" s="10">
        <f>'Financial Projection'!H48</f>
        <v>2000000000</v>
      </c>
    </row>
    <row r="19">
      <c r="A19" s="29" t="s">
        <v>110</v>
      </c>
      <c r="B19" s="10">
        <f>'Financial Projection'!C49</f>
        <v>8000000</v>
      </c>
      <c r="C19" s="10">
        <f>'Financial Projection'!D49</f>
        <v>48000000</v>
      </c>
      <c r="D19" s="10">
        <f>'Financial Projection'!E49</f>
        <v>48000000</v>
      </c>
      <c r="E19" s="10">
        <f>'Financial Projection'!F49</f>
        <v>135000000</v>
      </c>
      <c r="F19" s="10">
        <f>'Financial Projection'!G49</f>
        <v>1350000000</v>
      </c>
      <c r="G19" s="10">
        <f>'Financial Projection'!H49</f>
        <v>2700000000</v>
      </c>
    </row>
    <row r="20">
      <c r="A20" s="21" t="s">
        <v>111</v>
      </c>
      <c r="B20" s="10">
        <f>'Financial Projection'!C50</f>
        <v>16000000</v>
      </c>
      <c r="C20" s="10">
        <f>'Financial Projection'!D50</f>
        <v>48000000</v>
      </c>
      <c r="D20" s="10">
        <f>'Financial Projection'!E50</f>
        <v>48000000</v>
      </c>
      <c r="E20" s="10">
        <f>'Financial Projection'!F50</f>
        <v>80000000</v>
      </c>
      <c r="F20" s="10">
        <f>'Financial Projection'!G50</f>
        <v>950000000</v>
      </c>
      <c r="G20" s="10">
        <f>'Financial Projection'!H50</f>
        <v>1900000000</v>
      </c>
    </row>
    <row r="21">
      <c r="A21" s="21" t="s">
        <v>112</v>
      </c>
      <c r="B21" s="10">
        <f>'Financial Projection'!C51</f>
        <v>18000000</v>
      </c>
      <c r="C21" s="10">
        <f>'Financial Projection'!D51</f>
        <v>108000000</v>
      </c>
      <c r="D21" s="10">
        <f>'Financial Projection'!E51</f>
        <v>108000000</v>
      </c>
      <c r="E21" s="10">
        <f>'Financial Projection'!F51</f>
        <v>170000000</v>
      </c>
      <c r="F21" s="10">
        <f>'Financial Projection'!G51</f>
        <v>1190000000</v>
      </c>
      <c r="G21" s="10">
        <f>'Financial Projection'!H51</f>
        <v>2380000000</v>
      </c>
    </row>
    <row r="22">
      <c r="A22" s="21" t="s">
        <v>113</v>
      </c>
      <c r="B22" s="10">
        <f>'Financial Projection'!C52</f>
        <v>5600000</v>
      </c>
      <c r="C22" s="10">
        <f>'Financial Projection'!D52</f>
        <v>9600000</v>
      </c>
      <c r="D22" s="10">
        <f>'Financial Projection'!E52</f>
        <v>67200000</v>
      </c>
      <c r="E22" s="10">
        <f>'Financial Projection'!F52</f>
        <v>145000000</v>
      </c>
      <c r="F22" s="10">
        <f>'Financial Projection'!G52</f>
        <v>1015000000</v>
      </c>
      <c r="G22" s="10">
        <f>'Financial Projection'!H52</f>
        <v>2030000000</v>
      </c>
    </row>
    <row r="23">
      <c r="A23" s="21" t="s">
        <v>114</v>
      </c>
      <c r="B23" s="10">
        <f>'Financial Projection'!C53</f>
        <v>24000000</v>
      </c>
      <c r="C23" s="10">
        <f>'Financial Projection'!D53</f>
        <v>96000000</v>
      </c>
      <c r="D23" s="10">
        <f>'Financial Projection'!E53</f>
        <v>96000000</v>
      </c>
      <c r="E23" s="10">
        <f>'Financial Projection'!F53</f>
        <v>250000000</v>
      </c>
      <c r="F23" s="10">
        <f>'Financial Projection'!G53</f>
        <v>1500000000</v>
      </c>
      <c r="G23" s="10">
        <f>'Financial Projection'!H53</f>
        <v>3000000000</v>
      </c>
    </row>
    <row r="24">
      <c r="A24" s="62" t="s">
        <v>115</v>
      </c>
      <c r="B24" s="37">
        <f>'Financial Projection'!C54</f>
        <v>94600000</v>
      </c>
      <c r="C24" s="37">
        <f>'Financial Projection'!D54</f>
        <v>342600000</v>
      </c>
      <c r="D24" s="37">
        <f>'Financial Projection'!E54</f>
        <v>413200000</v>
      </c>
      <c r="E24" s="37">
        <f>'Financial Projection'!F54</f>
        <v>880000000</v>
      </c>
      <c r="F24" s="37">
        <f>'Financial Projection'!G54</f>
        <v>7005000000</v>
      </c>
      <c r="G24" s="37">
        <f>'Financial Projection'!H54</f>
        <v>14010000000</v>
      </c>
    </row>
    <row r="25">
      <c r="A25" s="56"/>
      <c r="G25" s="57"/>
    </row>
    <row r="26">
      <c r="A26" s="33" t="s">
        <v>116</v>
      </c>
      <c r="B26" s="37">
        <f t="shared" ref="B26:G26" si="1">B15+B24</f>
        <v>139800000</v>
      </c>
      <c r="C26" s="37">
        <f t="shared" si="1"/>
        <v>1393200000</v>
      </c>
      <c r="D26" s="37">
        <f t="shared" si="1"/>
        <v>1973589500</v>
      </c>
      <c r="E26" s="37">
        <f t="shared" si="1"/>
        <v>3001740098</v>
      </c>
      <c r="F26" s="37">
        <f t="shared" si="1"/>
        <v>10306522272</v>
      </c>
      <c r="G26" s="37">
        <f t="shared" si="1"/>
        <v>20591244545</v>
      </c>
    </row>
    <row r="29">
      <c r="A29" s="48" t="s">
        <v>117</v>
      </c>
      <c r="B29" s="5"/>
      <c r="C29" s="5"/>
      <c r="D29" s="5"/>
      <c r="E29" s="5"/>
      <c r="F29" s="5"/>
      <c r="G29" s="6"/>
    </row>
    <row r="30">
      <c r="A30" s="63" t="s">
        <v>118</v>
      </c>
      <c r="B30" s="64"/>
      <c r="C30" s="64"/>
      <c r="D30" s="64"/>
      <c r="E30" s="64"/>
      <c r="F30" s="64"/>
      <c r="G30" s="65"/>
    </row>
    <row r="31">
      <c r="A31" s="21" t="s">
        <v>100</v>
      </c>
      <c r="B31" s="10">
        <f t="shared" ref="B31:H31" si="2">B6</f>
        <v>0</v>
      </c>
      <c r="C31" s="10">
        <f t="shared" si="2"/>
        <v>36000000</v>
      </c>
      <c r="D31" s="10">
        <f t="shared" si="2"/>
        <v>36000000</v>
      </c>
      <c r="E31" s="10">
        <f t="shared" si="2"/>
        <v>400000000</v>
      </c>
      <c r="F31" s="10">
        <f t="shared" si="2"/>
        <v>800000000</v>
      </c>
      <c r="G31" s="10">
        <f t="shared" si="2"/>
        <v>1600000000</v>
      </c>
      <c r="H31" s="66" t="str">
        <f t="shared" si="2"/>
        <v/>
      </c>
    </row>
    <row r="32">
      <c r="A32" s="21" t="s">
        <v>101</v>
      </c>
      <c r="B32" s="10">
        <f t="shared" ref="B32:G32" si="3">B7</f>
        <v>4800000</v>
      </c>
      <c r="C32" s="10">
        <f t="shared" si="3"/>
        <v>7200000</v>
      </c>
      <c r="D32" s="10">
        <f t="shared" si="3"/>
        <v>7200000</v>
      </c>
      <c r="E32" s="10">
        <f t="shared" si="3"/>
        <v>7200000</v>
      </c>
      <c r="F32" s="10">
        <f t="shared" si="3"/>
        <v>7200000</v>
      </c>
      <c r="G32" s="10">
        <f t="shared" si="3"/>
        <v>7200000</v>
      </c>
    </row>
    <row r="33">
      <c r="A33" s="21" t="s">
        <v>102</v>
      </c>
      <c r="B33" s="10">
        <f t="shared" ref="B33:G33" si="4">B8</f>
        <v>2400000</v>
      </c>
      <c r="C33" s="10">
        <f t="shared" si="4"/>
        <v>3600000</v>
      </c>
      <c r="D33" s="10">
        <f t="shared" si="4"/>
        <v>3600000</v>
      </c>
      <c r="E33" s="10">
        <f t="shared" si="4"/>
        <v>3600000</v>
      </c>
      <c r="F33" s="10">
        <f t="shared" si="4"/>
        <v>3600000</v>
      </c>
      <c r="G33" s="10">
        <f t="shared" si="4"/>
        <v>3600000</v>
      </c>
    </row>
    <row r="34">
      <c r="A34" s="21" t="s">
        <v>103</v>
      </c>
      <c r="B34" s="10">
        <f t="shared" ref="B34:G34" si="5">B9</f>
        <v>1000000</v>
      </c>
      <c r="C34" s="10">
        <f t="shared" si="5"/>
        <v>2000000</v>
      </c>
      <c r="D34" s="10">
        <f t="shared" si="5"/>
        <v>3000000</v>
      </c>
      <c r="E34" s="10">
        <f t="shared" si="5"/>
        <v>7000000</v>
      </c>
      <c r="F34" s="10">
        <f t="shared" si="5"/>
        <v>5000000</v>
      </c>
      <c r="G34" s="10">
        <f t="shared" si="5"/>
        <v>5000000</v>
      </c>
    </row>
    <row r="35">
      <c r="A35" s="21" t="s">
        <v>104</v>
      </c>
      <c r="B35" s="10">
        <f t="shared" ref="B35:G35" si="6">B10</f>
        <v>1000000</v>
      </c>
      <c r="C35" s="10">
        <f t="shared" si="6"/>
        <v>4000000</v>
      </c>
      <c r="D35" s="10">
        <f t="shared" si="6"/>
        <v>4000000</v>
      </c>
      <c r="E35" s="10">
        <f t="shared" si="6"/>
        <v>6000000</v>
      </c>
      <c r="F35" s="10">
        <f t="shared" si="6"/>
        <v>6000000</v>
      </c>
      <c r="G35" s="10">
        <f t="shared" si="6"/>
        <v>6000000</v>
      </c>
    </row>
    <row r="36">
      <c r="A36" s="21" t="s">
        <v>105</v>
      </c>
      <c r="B36" s="10">
        <f t="shared" ref="B36:G36" si="7">B11</f>
        <v>36000000</v>
      </c>
      <c r="C36" s="10">
        <f t="shared" si="7"/>
        <v>840000000</v>
      </c>
      <c r="D36" s="10">
        <f t="shared" si="7"/>
        <v>1304100000</v>
      </c>
      <c r="E36" s="10">
        <f t="shared" si="7"/>
        <v>1478290500</v>
      </c>
      <c r="F36" s="10">
        <f t="shared" si="7"/>
        <v>1754666550</v>
      </c>
      <c r="G36" s="10">
        <f t="shared" si="7"/>
        <v>3509333100</v>
      </c>
    </row>
    <row r="37">
      <c r="A37" s="41" t="s">
        <v>56</v>
      </c>
      <c r="B37" s="10">
        <f t="shared" ref="B37:G37" si="8">B12</f>
        <v>0</v>
      </c>
      <c r="C37" s="10">
        <f t="shared" si="8"/>
        <v>79800000</v>
      </c>
      <c r="D37" s="10">
        <f t="shared" si="8"/>
        <v>123889500</v>
      </c>
      <c r="E37" s="10">
        <f t="shared" si="8"/>
        <v>140437597.5</v>
      </c>
      <c r="F37" s="10">
        <f t="shared" si="8"/>
        <v>166693322.3</v>
      </c>
      <c r="G37" s="10">
        <f t="shared" si="8"/>
        <v>333386644.5</v>
      </c>
    </row>
    <row r="38">
      <c r="A38" s="29" t="s">
        <v>106</v>
      </c>
      <c r="B38" s="10">
        <f t="shared" ref="B38:G38" si="9">B13</f>
        <v>0</v>
      </c>
      <c r="C38" s="10">
        <f t="shared" si="9"/>
        <v>30000000</v>
      </c>
      <c r="D38" s="10">
        <f t="shared" si="9"/>
        <v>30600000</v>
      </c>
      <c r="E38" s="10">
        <f t="shared" si="9"/>
        <v>31212000</v>
      </c>
      <c r="F38" s="10">
        <f t="shared" si="9"/>
        <v>318362400</v>
      </c>
      <c r="G38" s="10">
        <f t="shared" si="9"/>
        <v>636724800</v>
      </c>
    </row>
    <row r="39">
      <c r="A39" s="29" t="s">
        <v>107</v>
      </c>
      <c r="B39" s="10">
        <f t="shared" ref="B39:G39" si="10">B14</f>
        <v>0</v>
      </c>
      <c r="C39" s="10">
        <f t="shared" si="10"/>
        <v>48000000</v>
      </c>
      <c r="D39" s="10">
        <f t="shared" si="10"/>
        <v>48000000</v>
      </c>
      <c r="E39" s="10">
        <f t="shared" si="10"/>
        <v>48000000</v>
      </c>
      <c r="F39" s="10">
        <f t="shared" si="10"/>
        <v>240000000</v>
      </c>
      <c r="G39" s="10">
        <f t="shared" si="10"/>
        <v>480000000</v>
      </c>
    </row>
    <row r="40">
      <c r="A40" s="33" t="s">
        <v>119</v>
      </c>
      <c r="B40" s="37">
        <f t="shared" ref="B40:G40" si="11">B15</f>
        <v>45200000</v>
      </c>
      <c r="C40" s="37">
        <f t="shared" si="11"/>
        <v>1050600000</v>
      </c>
      <c r="D40" s="37">
        <f t="shared" si="11"/>
        <v>1560389500</v>
      </c>
      <c r="E40" s="37">
        <f t="shared" si="11"/>
        <v>2121740098</v>
      </c>
      <c r="F40" s="37">
        <f t="shared" si="11"/>
        <v>3301522272</v>
      </c>
      <c r="G40" s="37">
        <f t="shared" si="11"/>
        <v>6581244545</v>
      </c>
    </row>
    <row r="41">
      <c r="A41" s="55" t="str">
        <f>B16</f>
        <v/>
      </c>
      <c r="B41" s="5"/>
      <c r="C41" s="5"/>
      <c r="D41" s="5"/>
      <c r="E41" s="5"/>
      <c r="F41" s="5"/>
      <c r="G41" s="6"/>
    </row>
    <row r="42">
      <c r="A42" s="35" t="s">
        <v>120</v>
      </c>
      <c r="B42" s="5"/>
      <c r="C42" s="5"/>
      <c r="D42" s="5"/>
      <c r="E42" s="5"/>
      <c r="F42" s="5"/>
      <c r="G42" s="6"/>
    </row>
    <row r="43">
      <c r="A43" s="29" t="s">
        <v>109</v>
      </c>
      <c r="B43" s="10">
        <f t="shared" ref="B43:G43" si="12">B18</f>
        <v>23000000</v>
      </c>
      <c r="C43" s="10">
        <f t="shared" si="12"/>
        <v>33000000</v>
      </c>
      <c r="D43" s="10">
        <f t="shared" si="12"/>
        <v>46000000</v>
      </c>
      <c r="E43" s="10">
        <f t="shared" si="12"/>
        <v>100000000</v>
      </c>
      <c r="F43" s="10">
        <f t="shared" si="12"/>
        <v>1000000000</v>
      </c>
      <c r="G43" s="10">
        <f t="shared" si="12"/>
        <v>2000000000</v>
      </c>
    </row>
    <row r="44">
      <c r="A44" s="29" t="s">
        <v>110</v>
      </c>
      <c r="B44" s="10">
        <f t="shared" ref="B44:G44" si="13">B19</f>
        <v>8000000</v>
      </c>
      <c r="C44" s="10">
        <f t="shared" si="13"/>
        <v>48000000</v>
      </c>
      <c r="D44" s="10">
        <f t="shared" si="13"/>
        <v>48000000</v>
      </c>
      <c r="E44" s="10">
        <f t="shared" si="13"/>
        <v>135000000</v>
      </c>
      <c r="F44" s="10">
        <f t="shared" si="13"/>
        <v>1350000000</v>
      </c>
      <c r="G44" s="10">
        <f t="shared" si="13"/>
        <v>2700000000</v>
      </c>
    </row>
    <row r="45">
      <c r="A45" s="21" t="s">
        <v>111</v>
      </c>
      <c r="B45" s="10">
        <f t="shared" ref="B45:G45" si="14">B20</f>
        <v>16000000</v>
      </c>
      <c r="C45" s="10">
        <f t="shared" si="14"/>
        <v>48000000</v>
      </c>
      <c r="D45" s="10">
        <f t="shared" si="14"/>
        <v>48000000</v>
      </c>
      <c r="E45" s="10">
        <f t="shared" si="14"/>
        <v>80000000</v>
      </c>
      <c r="F45" s="10">
        <f t="shared" si="14"/>
        <v>950000000</v>
      </c>
      <c r="G45" s="10">
        <f t="shared" si="14"/>
        <v>1900000000</v>
      </c>
    </row>
    <row r="46">
      <c r="A46" s="21" t="s">
        <v>112</v>
      </c>
      <c r="B46" s="10">
        <f t="shared" ref="B46:G46" si="15">B21</f>
        <v>18000000</v>
      </c>
      <c r="C46" s="10">
        <f t="shared" si="15"/>
        <v>108000000</v>
      </c>
      <c r="D46" s="10">
        <f t="shared" si="15"/>
        <v>108000000</v>
      </c>
      <c r="E46" s="10">
        <f t="shared" si="15"/>
        <v>170000000</v>
      </c>
      <c r="F46" s="10">
        <f t="shared" si="15"/>
        <v>1190000000</v>
      </c>
      <c r="G46" s="10">
        <f t="shared" si="15"/>
        <v>2380000000</v>
      </c>
    </row>
    <row r="47">
      <c r="A47" s="21" t="s">
        <v>113</v>
      </c>
      <c r="B47" s="10">
        <f t="shared" ref="B47:G47" si="16">B22</f>
        <v>5600000</v>
      </c>
      <c r="C47" s="10">
        <f t="shared" si="16"/>
        <v>9600000</v>
      </c>
      <c r="D47" s="10">
        <f t="shared" si="16"/>
        <v>67200000</v>
      </c>
      <c r="E47" s="10">
        <f t="shared" si="16"/>
        <v>145000000</v>
      </c>
      <c r="F47" s="10">
        <f t="shared" si="16"/>
        <v>1015000000</v>
      </c>
      <c r="G47" s="10">
        <f t="shared" si="16"/>
        <v>2030000000</v>
      </c>
    </row>
    <row r="48">
      <c r="A48" s="21" t="s">
        <v>114</v>
      </c>
      <c r="B48" s="10">
        <f t="shared" ref="B48:G48" si="17">B23</f>
        <v>24000000</v>
      </c>
      <c r="C48" s="10">
        <f t="shared" si="17"/>
        <v>96000000</v>
      </c>
      <c r="D48" s="10">
        <f t="shared" si="17"/>
        <v>96000000</v>
      </c>
      <c r="E48" s="10">
        <f t="shared" si="17"/>
        <v>250000000</v>
      </c>
      <c r="F48" s="10">
        <f t="shared" si="17"/>
        <v>1500000000</v>
      </c>
      <c r="G48" s="10">
        <f t="shared" si="17"/>
        <v>3000000000</v>
      </c>
    </row>
    <row r="49">
      <c r="A49" s="67" t="s">
        <v>121</v>
      </c>
      <c r="B49" s="37">
        <f t="shared" ref="B49:G49" si="18">B24</f>
        <v>94600000</v>
      </c>
      <c r="C49" s="37">
        <f t="shared" si="18"/>
        <v>342600000</v>
      </c>
      <c r="D49" s="37">
        <f t="shared" si="18"/>
        <v>413200000</v>
      </c>
      <c r="E49" s="37">
        <f t="shared" si="18"/>
        <v>880000000</v>
      </c>
      <c r="F49" s="37">
        <f t="shared" si="18"/>
        <v>7005000000</v>
      </c>
      <c r="G49" s="37">
        <f t="shared" si="18"/>
        <v>14010000000</v>
      </c>
    </row>
    <row r="50">
      <c r="A50" s="55" t="str">
        <f>B25</f>
        <v/>
      </c>
      <c r="B50" s="5"/>
      <c r="C50" s="5"/>
      <c r="D50" s="5"/>
      <c r="E50" s="5"/>
      <c r="F50" s="5"/>
      <c r="G50" s="6"/>
    </row>
    <row r="51">
      <c r="A51" s="33" t="s">
        <v>122</v>
      </c>
      <c r="B51" s="37">
        <f>B26</f>
        <v>139800000</v>
      </c>
      <c r="C51" s="37">
        <f t="shared" ref="C51:G51" si="19">C40+C49</f>
        <v>1393200000</v>
      </c>
      <c r="D51" s="37">
        <f t="shared" si="19"/>
        <v>1973589500</v>
      </c>
      <c r="E51" s="37">
        <f t="shared" si="19"/>
        <v>3001740098</v>
      </c>
      <c r="F51" s="37">
        <f t="shared" si="19"/>
        <v>10306522272</v>
      </c>
      <c r="G51" s="37">
        <f t="shared" si="19"/>
        <v>20591244545</v>
      </c>
    </row>
  </sheetData>
  <mergeCells count="12">
    <mergeCell ref="A29:G29"/>
    <mergeCell ref="A30:G30"/>
    <mergeCell ref="A41:G41"/>
    <mergeCell ref="A42:G42"/>
    <mergeCell ref="A50:G50"/>
    <mergeCell ref="A2:A3"/>
    <mergeCell ref="B2:G2"/>
    <mergeCell ref="A4:G4"/>
    <mergeCell ref="A5:G5"/>
    <mergeCell ref="A16:G16"/>
    <mergeCell ref="A17:G17"/>
    <mergeCell ref="A25:G2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5.88"/>
    <col customWidth="1" min="2" max="2" width="15.63"/>
    <col customWidth="1" min="3" max="3" width="25.5"/>
    <col customWidth="1" min="4" max="4" width="25.63"/>
    <col customWidth="1" min="5" max="5" width="25.5"/>
    <col customWidth="1" min="6" max="6" width="25.88"/>
    <col customWidth="1" min="7" max="7" width="25.25"/>
    <col customWidth="1" min="8" max="8" width="19.75"/>
    <col customWidth="1" min="9" max="9" width="22.75"/>
    <col customWidth="1" min="10" max="10" width="16.38"/>
  </cols>
  <sheetData>
    <row r="2">
      <c r="B2" s="68" t="s">
        <v>123</v>
      </c>
      <c r="C2" s="68" t="s">
        <v>23</v>
      </c>
      <c r="D2" s="68" t="s">
        <v>24</v>
      </c>
      <c r="E2" s="68" t="s">
        <v>25</v>
      </c>
      <c r="F2" s="68" t="s">
        <v>26</v>
      </c>
      <c r="G2" s="68" t="s">
        <v>27</v>
      </c>
      <c r="H2" s="68" t="s">
        <v>28</v>
      </c>
    </row>
    <row r="3">
      <c r="A3" s="31" t="s">
        <v>15</v>
      </c>
      <c r="C3" s="69">
        <f>'Assumption and Dashboard'!D19</f>
        <v>50000</v>
      </c>
      <c r="D3" s="69">
        <f>'Assumption and Dashboard'!D20</f>
        <v>200000</v>
      </c>
      <c r="E3" s="69">
        <f>'Assumption and Dashboard'!D21</f>
        <v>400000</v>
      </c>
      <c r="F3" s="69">
        <f>'Assumption and Dashboard'!D22</f>
        <v>2000000</v>
      </c>
      <c r="G3" s="69">
        <f>'Assumption and Dashboard'!D23</f>
        <v>6000000</v>
      </c>
      <c r="H3" s="69">
        <f>'Assumption and Dashboard'!D24</f>
        <v>10000000</v>
      </c>
    </row>
    <row r="4">
      <c r="A4" s="31" t="s">
        <v>124</v>
      </c>
      <c r="C4" s="69">
        <f>'Assumption and Dashboard'!C19</f>
        <v>0</v>
      </c>
      <c r="D4" s="69">
        <f>'Assumption and Dashboard'!C20</f>
        <v>50000</v>
      </c>
      <c r="E4" s="69">
        <f>'Assumption and Dashboard'!C21</f>
        <v>245000</v>
      </c>
      <c r="F4" s="69">
        <f>'Assumption and Dashboard'!C22</f>
        <v>635000</v>
      </c>
      <c r="G4" s="69">
        <f>'Assumption and Dashboard'!C23</f>
        <v>2585000</v>
      </c>
      <c r="H4" s="69">
        <f>'Assumption and Dashboard'!C24</f>
        <v>8435000</v>
      </c>
    </row>
    <row r="5">
      <c r="A5" s="31" t="s">
        <v>16</v>
      </c>
      <c r="C5" s="69">
        <f>'Assumption and Dashboard'!E19</f>
        <v>25000</v>
      </c>
      <c r="D5" s="69">
        <f>'Assumption and Dashboard'!E20</f>
        <v>100000</v>
      </c>
      <c r="E5" s="69">
        <f>'Assumption and Dashboard'!E21</f>
        <v>200000</v>
      </c>
      <c r="F5" s="69">
        <f>'Assumption and Dashboard'!E22</f>
        <v>1000000</v>
      </c>
      <c r="G5" s="69">
        <f>'Assumption and Dashboard'!E23</f>
        <v>3000000</v>
      </c>
      <c r="H5" s="69">
        <f>'Assumption and Dashboard'!E24</f>
        <v>5000000</v>
      </c>
    </row>
    <row r="6">
      <c r="A6" s="31" t="s">
        <v>125</v>
      </c>
      <c r="D6" s="13">
        <f t="shared" ref="D6:H6" si="1">(D5-C5)/C5</f>
        <v>3</v>
      </c>
      <c r="E6" s="13">
        <f t="shared" si="1"/>
        <v>1</v>
      </c>
      <c r="F6" s="13">
        <f t="shared" si="1"/>
        <v>4</v>
      </c>
      <c r="G6" s="13">
        <f t="shared" si="1"/>
        <v>2</v>
      </c>
      <c r="H6" s="13">
        <f t="shared" si="1"/>
        <v>0.6666666667</v>
      </c>
    </row>
    <row r="7">
      <c r="A7" s="31" t="s">
        <v>126</v>
      </c>
      <c r="C7" s="69">
        <f>C5</f>
        <v>25000</v>
      </c>
      <c r="D7" s="69">
        <f t="shared" ref="D7:H7" si="2">D5-C5</f>
        <v>75000</v>
      </c>
      <c r="E7" s="69">
        <f t="shared" si="2"/>
        <v>100000</v>
      </c>
      <c r="F7" s="69">
        <f t="shared" si="2"/>
        <v>800000</v>
      </c>
      <c r="G7" s="69">
        <f t="shared" si="2"/>
        <v>2000000</v>
      </c>
      <c r="H7" s="69">
        <f t="shared" si="2"/>
        <v>2000000</v>
      </c>
    </row>
    <row r="8">
      <c r="A8" s="31" t="s">
        <v>127</v>
      </c>
      <c r="B8" s="42">
        <v>0.02</v>
      </c>
      <c r="C8" s="69">
        <f t="shared" ref="C8:H8" si="3">$B$8*C5</f>
        <v>500</v>
      </c>
      <c r="D8" s="69">
        <f t="shared" si="3"/>
        <v>2000</v>
      </c>
      <c r="E8" s="69">
        <f t="shared" si="3"/>
        <v>4000</v>
      </c>
      <c r="F8" s="69">
        <f t="shared" si="3"/>
        <v>20000</v>
      </c>
      <c r="G8" s="69">
        <f t="shared" si="3"/>
        <v>60000</v>
      </c>
      <c r="H8" s="69">
        <f t="shared" si="3"/>
        <v>100000</v>
      </c>
    </row>
    <row r="9">
      <c r="A9" s="31" t="s">
        <v>125</v>
      </c>
      <c r="C9" s="42"/>
      <c r="D9" s="13">
        <f t="shared" ref="D9:H9" si="4">(D8-C8)/C8</f>
        <v>3</v>
      </c>
      <c r="E9" s="13">
        <f t="shared" si="4"/>
        <v>1</v>
      </c>
      <c r="F9" s="13">
        <f t="shared" si="4"/>
        <v>4</v>
      </c>
      <c r="G9" s="13">
        <f t="shared" si="4"/>
        <v>2</v>
      </c>
      <c r="H9" s="13">
        <f t="shared" si="4"/>
        <v>0.6666666667</v>
      </c>
    </row>
    <row r="10">
      <c r="A10" s="31" t="s">
        <v>126</v>
      </c>
      <c r="C10" s="50">
        <f>C8</f>
        <v>500</v>
      </c>
      <c r="D10" s="69">
        <f t="shared" ref="D10:H10" si="5">D8-C8</f>
        <v>1500</v>
      </c>
      <c r="E10" s="69">
        <f t="shared" si="5"/>
        <v>2000</v>
      </c>
      <c r="F10" s="69">
        <f t="shared" si="5"/>
        <v>16000</v>
      </c>
      <c r="G10" s="69">
        <f t="shared" si="5"/>
        <v>40000</v>
      </c>
      <c r="H10" s="69">
        <f t="shared" si="5"/>
        <v>40000</v>
      </c>
    </row>
    <row r="11">
      <c r="A11" s="31"/>
      <c r="C11" s="42"/>
    </row>
    <row r="13">
      <c r="B13" s="68" t="s">
        <v>123</v>
      </c>
      <c r="C13" s="68" t="s">
        <v>23</v>
      </c>
      <c r="D13" s="68" t="s">
        <v>24</v>
      </c>
      <c r="E13" s="68" t="s">
        <v>25</v>
      </c>
      <c r="F13" s="68" t="s">
        <v>26</v>
      </c>
      <c r="G13" s="68" t="s">
        <v>27</v>
      </c>
      <c r="H13" s="68" t="s">
        <v>28</v>
      </c>
    </row>
    <row r="14">
      <c r="A14" s="1" t="s">
        <v>128</v>
      </c>
    </row>
    <row r="15">
      <c r="A15" s="31" t="s">
        <v>86</v>
      </c>
    </row>
    <row r="16">
      <c r="A16" s="31" t="s">
        <v>87</v>
      </c>
      <c r="B16" s="50">
        <v>150.0</v>
      </c>
      <c r="C16" s="69">
        <f>$B$16*C5*10%*(360*1/2)</f>
        <v>67500000</v>
      </c>
      <c r="D16" s="69">
        <f t="shared" ref="D16:H16" si="6">$B$16*D5*10%*360</f>
        <v>540000000</v>
      </c>
      <c r="E16" s="69">
        <f t="shared" si="6"/>
        <v>1080000000</v>
      </c>
      <c r="F16" s="69">
        <f t="shared" si="6"/>
        <v>5400000000</v>
      </c>
      <c r="G16" s="69">
        <f t="shared" si="6"/>
        <v>16200000000</v>
      </c>
      <c r="H16" s="69">
        <f t="shared" si="6"/>
        <v>27000000000</v>
      </c>
    </row>
    <row r="17">
      <c r="A17" s="31" t="s">
        <v>88</v>
      </c>
      <c r="B17" s="50">
        <v>47000.0</v>
      </c>
      <c r="C17" s="69">
        <f>(C5/1000)*$B$17*(360*1/2)</f>
        <v>211500000</v>
      </c>
      <c r="D17" s="69">
        <f t="shared" ref="D17:H17" si="7">(D5/1000)*$B$17*360</f>
        <v>1692000000</v>
      </c>
      <c r="E17" s="69">
        <f t="shared" si="7"/>
        <v>3384000000</v>
      </c>
      <c r="F17" s="69">
        <f t="shared" si="7"/>
        <v>16920000000</v>
      </c>
      <c r="G17" s="69">
        <f t="shared" si="7"/>
        <v>50760000000</v>
      </c>
      <c r="H17" s="69">
        <f t="shared" si="7"/>
        <v>84600000000</v>
      </c>
    </row>
    <row r="18">
      <c r="A18" s="31" t="s">
        <v>89</v>
      </c>
      <c r="B18" s="50">
        <v>10000.0</v>
      </c>
      <c r="C18" s="69">
        <f>'Assumption and Dashboard'!C40</f>
        <v>75000000</v>
      </c>
      <c r="D18" s="69">
        <f>'Assumption and Dashboard'!D40</f>
        <v>300000000</v>
      </c>
      <c r="E18" s="69">
        <f>'Assumption and Dashboard'!E40</f>
        <v>600000000</v>
      </c>
      <c r="F18" s="69">
        <f>'Assumption and Dashboard'!F40</f>
        <v>3000000000</v>
      </c>
      <c r="G18" s="69">
        <f>'Assumption and Dashboard'!G40</f>
        <v>9000000000</v>
      </c>
      <c r="H18" s="69">
        <f>'Assumption and Dashboard'!H40</f>
        <v>15000000000</v>
      </c>
    </row>
    <row r="19">
      <c r="A19" s="1" t="s">
        <v>129</v>
      </c>
      <c r="C19" s="70">
        <f t="shared" ref="C19:H19" si="8">SUM(C16:C18)</f>
        <v>354000000</v>
      </c>
      <c r="D19" s="70">
        <f t="shared" si="8"/>
        <v>2532000000</v>
      </c>
      <c r="E19" s="70">
        <f t="shared" si="8"/>
        <v>5064000000</v>
      </c>
      <c r="F19" s="70">
        <f t="shared" si="8"/>
        <v>25320000000</v>
      </c>
      <c r="G19" s="70">
        <f t="shared" si="8"/>
        <v>75960000000</v>
      </c>
      <c r="H19" s="70">
        <f t="shared" si="8"/>
        <v>126600000000</v>
      </c>
      <c r="I19" s="31" t="s">
        <v>130</v>
      </c>
      <c r="J19" s="69">
        <f>sum(C19:H19)</f>
        <v>235830000000</v>
      </c>
    </row>
    <row r="21">
      <c r="A21" s="1" t="s">
        <v>131</v>
      </c>
      <c r="B21" s="71"/>
      <c r="C21" s="70">
        <f t="shared" ref="C21:H21" si="9">C18</f>
        <v>75000000</v>
      </c>
      <c r="D21" s="70">
        <f t="shared" si="9"/>
        <v>300000000</v>
      </c>
      <c r="E21" s="70">
        <f t="shared" si="9"/>
        <v>600000000</v>
      </c>
      <c r="F21" s="70">
        <f t="shared" si="9"/>
        <v>3000000000</v>
      </c>
      <c r="G21" s="70">
        <f t="shared" si="9"/>
        <v>9000000000</v>
      </c>
      <c r="H21" s="70">
        <f t="shared" si="9"/>
        <v>15000000000</v>
      </c>
    </row>
    <row r="23">
      <c r="A23" s="72" t="s">
        <v>132</v>
      </c>
      <c r="G23" s="31"/>
      <c r="H23" s="31"/>
    </row>
    <row r="24">
      <c r="A24" s="73" t="s">
        <v>133</v>
      </c>
      <c r="B24" s="50">
        <v>0.0</v>
      </c>
      <c r="C24" s="69">
        <f>B24*2*6</f>
        <v>0</v>
      </c>
    </row>
    <row r="25">
      <c r="A25" s="73" t="s">
        <v>134</v>
      </c>
      <c r="B25" s="50">
        <v>0.0</v>
      </c>
      <c r="C25" s="69">
        <f>B25*3*6</f>
        <v>0</v>
      </c>
    </row>
    <row r="26">
      <c r="A26" s="73" t="s">
        <v>135</v>
      </c>
      <c r="B26" s="50">
        <v>0.0</v>
      </c>
      <c r="C26" s="69">
        <f>B26*2*6</f>
        <v>0</v>
      </c>
      <c r="E26" s="31" t="s">
        <v>136</v>
      </c>
      <c r="F26" s="50">
        <v>1.0E9</v>
      </c>
    </row>
    <row r="27">
      <c r="A27" s="73" t="s">
        <v>137</v>
      </c>
      <c r="C27" s="50">
        <v>0.0</v>
      </c>
    </row>
    <row r="28">
      <c r="A28" s="73" t="s">
        <v>138</v>
      </c>
      <c r="C28" s="50">
        <v>8000000.0</v>
      </c>
    </row>
    <row r="29">
      <c r="A29" s="73" t="s">
        <v>139</v>
      </c>
      <c r="C29" s="50">
        <v>2000000.0</v>
      </c>
    </row>
    <row r="30">
      <c r="A30" s="73" t="s">
        <v>140</v>
      </c>
      <c r="B30" s="69"/>
      <c r="C30" s="69">
        <f>C45</f>
        <v>45200000</v>
      </c>
    </row>
    <row r="31">
      <c r="A31" s="73" t="s">
        <v>141</v>
      </c>
      <c r="B31" s="69"/>
      <c r="C31" s="69">
        <f>C54</f>
        <v>94600000</v>
      </c>
    </row>
    <row r="32">
      <c r="A32" s="72" t="s">
        <v>142</v>
      </c>
      <c r="B32" s="69"/>
      <c r="C32" s="70">
        <f>SUM(C24:C31)</f>
        <v>149800000</v>
      </c>
    </row>
    <row r="34">
      <c r="A34" s="1"/>
      <c r="B34" s="68" t="s">
        <v>123</v>
      </c>
      <c r="C34" s="68" t="s">
        <v>23</v>
      </c>
      <c r="D34" s="68" t="s">
        <v>24</v>
      </c>
      <c r="E34" s="68" t="s">
        <v>25</v>
      </c>
      <c r="F34" s="68" t="s">
        <v>26</v>
      </c>
      <c r="G34" s="68" t="s">
        <v>27</v>
      </c>
      <c r="H34" s="68" t="s">
        <v>28</v>
      </c>
    </row>
    <row r="35">
      <c r="A35" s="1" t="s">
        <v>58</v>
      </c>
    </row>
    <row r="36">
      <c r="A36" s="73" t="s">
        <v>100</v>
      </c>
      <c r="B36" s="50">
        <v>3000000.0</v>
      </c>
      <c r="C36" s="69">
        <f>'Assumption and Dashboard'!C74*B36</f>
        <v>0</v>
      </c>
      <c r="D36" s="69">
        <f>$B$36*'Assumption and Dashboard'!D74*12</f>
        <v>36000000</v>
      </c>
      <c r="E36" s="69">
        <f>$B$36*'Assumption and Dashboard'!E74*12</f>
        <v>36000000</v>
      </c>
      <c r="F36" s="50">
        <v>4.0E8</v>
      </c>
      <c r="G36" s="50">
        <v>8.0E8</v>
      </c>
      <c r="H36" s="50">
        <f>G36*2</f>
        <v>1600000000</v>
      </c>
    </row>
    <row r="37">
      <c r="A37" s="73" t="s">
        <v>101</v>
      </c>
      <c r="B37" s="50">
        <v>400000.0</v>
      </c>
      <c r="C37" s="69">
        <f>$B$37*'Assumption and Dashboard'!C75</f>
        <v>4800000</v>
      </c>
      <c r="D37" s="69">
        <f>$B$37*'Assumption and Dashboard'!D75*(150%)</f>
        <v>7200000</v>
      </c>
      <c r="E37" s="69">
        <f>$B$37*'Assumption and Dashboard'!E75*(150%)</f>
        <v>7200000</v>
      </c>
      <c r="F37" s="69">
        <f>$B$37*'Assumption and Dashboard'!F75*(150%)</f>
        <v>7200000</v>
      </c>
      <c r="G37" s="69">
        <f>$B$37*'Assumption and Dashboard'!G75*(150%)</f>
        <v>7200000</v>
      </c>
      <c r="H37" s="69">
        <f>$B$37*'Assumption and Dashboard'!H75*(150%)</f>
        <v>7200000</v>
      </c>
    </row>
    <row r="38">
      <c r="A38" s="73" t="s">
        <v>102</v>
      </c>
      <c r="B38" s="50">
        <v>200000.0</v>
      </c>
      <c r="C38" s="69">
        <f>$B$38*'Assumption and Dashboard'!C76</f>
        <v>2400000</v>
      </c>
      <c r="D38" s="69">
        <f>$B$38*'Assumption and Dashboard'!D76*(150%)</f>
        <v>3600000</v>
      </c>
      <c r="E38" s="69">
        <f>$B$38*'Assumption and Dashboard'!E76*(150%)</f>
        <v>3600000</v>
      </c>
      <c r="F38" s="69">
        <f>$B$38*'Assumption and Dashboard'!F76*(150%)</f>
        <v>3600000</v>
      </c>
      <c r="G38" s="69">
        <f>$B$38*'Assumption and Dashboard'!G76*(150%)</f>
        <v>3600000</v>
      </c>
      <c r="H38" s="69">
        <f>$B$38*'Assumption and Dashboard'!H76*(150%)</f>
        <v>3600000</v>
      </c>
    </row>
    <row r="39">
      <c r="A39" s="73" t="s">
        <v>103</v>
      </c>
      <c r="B39" s="50">
        <v>1000000.0</v>
      </c>
      <c r="C39" s="69">
        <f>$B$39*'Assumption and Dashboard'!C77</f>
        <v>1000000</v>
      </c>
      <c r="D39" s="69">
        <f>$B$39*'Assumption and Dashboard'!D77</f>
        <v>2000000</v>
      </c>
      <c r="E39" s="69">
        <f>$B$39*'Assumption and Dashboard'!E77</f>
        <v>3000000</v>
      </c>
      <c r="F39" s="69">
        <f>$B$39*'Assumption and Dashboard'!F77</f>
        <v>7000000</v>
      </c>
      <c r="G39" s="69">
        <f>$B$39*'Assumption and Dashboard'!G77</f>
        <v>5000000</v>
      </c>
      <c r="H39" s="69">
        <f>$B$39*'Assumption and Dashboard'!H77</f>
        <v>5000000</v>
      </c>
    </row>
    <row r="40">
      <c r="A40" s="73" t="s">
        <v>104</v>
      </c>
      <c r="B40" s="50">
        <v>1000000.0</v>
      </c>
      <c r="C40" s="69">
        <f>$B$40*'Assumption and Dashboard'!C78</f>
        <v>1000000</v>
      </c>
      <c r="D40" s="69">
        <f>$B$40*'Assumption and Dashboard'!D78</f>
        <v>4000000</v>
      </c>
      <c r="E40" s="69">
        <f>$B$40*'Assumption and Dashboard'!E78</f>
        <v>4000000</v>
      </c>
      <c r="F40" s="69">
        <f>$B$40*'Assumption and Dashboard'!F78</f>
        <v>6000000</v>
      </c>
      <c r="G40" s="69">
        <f>$B$40*'Assumption and Dashboard'!G78</f>
        <v>6000000</v>
      </c>
      <c r="H40" s="69">
        <f>$B$40*'Assumption and Dashboard'!H78</f>
        <v>6000000</v>
      </c>
    </row>
    <row r="41">
      <c r="A41" s="73" t="s">
        <v>105</v>
      </c>
      <c r="B41" s="50">
        <v>5000000.0</v>
      </c>
      <c r="C41" s="69">
        <f>'Assumption and Dashboard'!C63</f>
        <v>36000000</v>
      </c>
      <c r="D41" s="69">
        <f>'Assumption and Dashboard'!D63</f>
        <v>840000000</v>
      </c>
      <c r="E41" s="69">
        <f>'Assumption and Dashboard'!E63</f>
        <v>1304100000</v>
      </c>
      <c r="F41" s="69">
        <f>'Assumption and Dashboard'!F63</f>
        <v>1478290500</v>
      </c>
      <c r="G41" s="69">
        <f>'Assumption and Dashboard'!G63</f>
        <v>1754666550</v>
      </c>
      <c r="H41" s="50">
        <f t="shared" ref="H41:H44" si="10">G41*2</f>
        <v>3509333100</v>
      </c>
    </row>
    <row r="42">
      <c r="A42" s="74" t="s">
        <v>56</v>
      </c>
      <c r="B42" s="50"/>
      <c r="C42" s="69">
        <f>'Assumption and Dashboard'!C68</f>
        <v>0</v>
      </c>
      <c r="D42" s="69">
        <f>'Assumption and Dashboard'!D68</f>
        <v>79800000</v>
      </c>
      <c r="E42" s="69">
        <f>'Assumption and Dashboard'!E68</f>
        <v>123889500</v>
      </c>
      <c r="F42" s="69">
        <f>'Assumption and Dashboard'!F68</f>
        <v>140437597.5</v>
      </c>
      <c r="G42" s="69">
        <f>'Assumption and Dashboard'!G68</f>
        <v>166693322.3</v>
      </c>
      <c r="H42" s="50">
        <f t="shared" si="10"/>
        <v>333386644.5</v>
      </c>
      <c r="I42" s="69"/>
      <c r="J42" s="69"/>
    </row>
    <row r="43">
      <c r="A43" s="31" t="s">
        <v>106</v>
      </c>
      <c r="B43" s="50">
        <v>2500000.0</v>
      </c>
      <c r="C43" s="69">
        <f>'Assumption and Dashboard'!C79*12</f>
        <v>0</v>
      </c>
      <c r="D43" s="69">
        <f>'Assumption and Dashboard'!D79*12</f>
        <v>30000000</v>
      </c>
      <c r="E43" s="69">
        <f>'Assumption and Dashboard'!E79*12</f>
        <v>30600000</v>
      </c>
      <c r="F43" s="69">
        <f>'Assumption and Dashboard'!F79*12</f>
        <v>31212000</v>
      </c>
      <c r="G43" s="69">
        <f>'Assumption and Dashboard'!G79*12*10</f>
        <v>318362400</v>
      </c>
      <c r="H43" s="50">
        <f t="shared" si="10"/>
        <v>636724800</v>
      </c>
    </row>
    <row r="44">
      <c r="A44" s="31" t="s">
        <v>107</v>
      </c>
      <c r="B44" s="50">
        <v>4000000.0</v>
      </c>
      <c r="C44" s="50">
        <v>0.0</v>
      </c>
      <c r="D44" s="69">
        <f t="shared" ref="D44:F44" si="11">$B$44*12</f>
        <v>48000000</v>
      </c>
      <c r="E44" s="69">
        <f t="shared" si="11"/>
        <v>48000000</v>
      </c>
      <c r="F44" s="69">
        <f t="shared" si="11"/>
        <v>48000000</v>
      </c>
      <c r="G44" s="69">
        <f>$B$44*12*5</f>
        <v>240000000</v>
      </c>
      <c r="H44" s="50">
        <f t="shared" si="10"/>
        <v>480000000</v>
      </c>
    </row>
    <row r="45">
      <c r="A45" s="1" t="s">
        <v>108</v>
      </c>
      <c r="C45" s="70">
        <f t="shared" ref="C45:H45" si="12">sum(C36:C44)</f>
        <v>45200000</v>
      </c>
      <c r="D45" s="70">
        <f t="shared" si="12"/>
        <v>1050600000</v>
      </c>
      <c r="E45" s="70">
        <f t="shared" si="12"/>
        <v>1560389500</v>
      </c>
      <c r="F45" s="70">
        <f t="shared" si="12"/>
        <v>2121740098</v>
      </c>
      <c r="G45" s="70">
        <f t="shared" si="12"/>
        <v>3301522272</v>
      </c>
      <c r="H45" s="70">
        <f t="shared" si="12"/>
        <v>6581244545</v>
      </c>
    </row>
    <row r="46">
      <c r="A46" s="1"/>
    </row>
    <row r="47">
      <c r="A47" s="1" t="s">
        <v>66</v>
      </c>
    </row>
    <row r="48">
      <c r="A48" s="31" t="s">
        <v>109</v>
      </c>
      <c r="B48" s="69">
        <f>3000000+10000000+10000000</f>
        <v>23000000</v>
      </c>
      <c r="C48" s="69">
        <f>B48</f>
        <v>23000000</v>
      </c>
      <c r="D48" s="69">
        <f>B48+10000000</f>
        <v>33000000</v>
      </c>
      <c r="E48" s="69">
        <f>B48*2</f>
        <v>46000000</v>
      </c>
      <c r="F48" s="50">
        <v>1.0E8</v>
      </c>
      <c r="G48" s="75">
        <f t="shared" ref="G48:G49" si="13">F48*10</f>
        <v>1000000000</v>
      </c>
      <c r="H48" s="76">
        <f t="shared" ref="H48:H53" si="14">G48*2</f>
        <v>2000000000</v>
      </c>
    </row>
    <row r="49">
      <c r="A49" s="31" t="s">
        <v>110</v>
      </c>
      <c r="B49" s="50">
        <v>1000000.0</v>
      </c>
      <c r="C49" s="69">
        <f>B49*2*4</f>
        <v>8000000</v>
      </c>
      <c r="D49" s="75">
        <f>B49*4*12</f>
        <v>48000000</v>
      </c>
      <c r="E49" s="76">
        <f>B49*4*12</f>
        <v>48000000</v>
      </c>
      <c r="F49" s="75">
        <v>1.35E8</v>
      </c>
      <c r="G49" s="75">
        <f t="shared" si="13"/>
        <v>1350000000</v>
      </c>
      <c r="H49" s="76">
        <f t="shared" si="14"/>
        <v>2700000000</v>
      </c>
    </row>
    <row r="50">
      <c r="A50" s="73" t="s">
        <v>111</v>
      </c>
      <c r="B50" s="50">
        <v>4000000.0</v>
      </c>
      <c r="C50" s="69">
        <f>B50*4</f>
        <v>16000000</v>
      </c>
      <c r="D50" s="69">
        <f t="shared" ref="D50:E50" si="15">$B$50*12</f>
        <v>48000000</v>
      </c>
      <c r="E50" s="69">
        <f t="shared" si="15"/>
        <v>48000000</v>
      </c>
      <c r="F50" s="50">
        <v>8.0E7</v>
      </c>
      <c r="G50" s="75">
        <v>9.5E8</v>
      </c>
      <c r="H50" s="76">
        <f t="shared" si="14"/>
        <v>1900000000</v>
      </c>
    </row>
    <row r="51">
      <c r="A51" s="73" t="s">
        <v>112</v>
      </c>
      <c r="B51" s="50">
        <v>300000.0</v>
      </c>
      <c r="C51" s="69">
        <f>B51*30*2</f>
        <v>18000000</v>
      </c>
      <c r="D51" s="69">
        <f t="shared" ref="D51:E51" si="16">$B$51*30*12</f>
        <v>108000000</v>
      </c>
      <c r="E51" s="69">
        <f t="shared" si="16"/>
        <v>108000000</v>
      </c>
      <c r="F51" s="50">
        <v>1.7E8</v>
      </c>
      <c r="G51" s="75">
        <f t="shared" ref="G51:G52" si="18">F51*7</f>
        <v>1190000000</v>
      </c>
      <c r="H51" s="76">
        <f t="shared" si="14"/>
        <v>2380000000</v>
      </c>
    </row>
    <row r="52">
      <c r="A52" s="73" t="s">
        <v>113</v>
      </c>
      <c r="B52" s="50">
        <v>800000.0</v>
      </c>
      <c r="C52" s="69">
        <f>B52*7</f>
        <v>5600000</v>
      </c>
      <c r="D52" s="69">
        <f t="shared" ref="D52:E52" si="17">B52*12</f>
        <v>9600000</v>
      </c>
      <c r="E52" s="69">
        <f t="shared" si="17"/>
        <v>67200000</v>
      </c>
      <c r="F52" s="50">
        <v>1.45E8</v>
      </c>
      <c r="G52" s="69">
        <f t="shared" si="18"/>
        <v>1015000000</v>
      </c>
      <c r="H52" s="76">
        <f t="shared" si="14"/>
        <v>2030000000</v>
      </c>
    </row>
    <row r="53">
      <c r="A53" s="73" t="s">
        <v>114</v>
      </c>
      <c r="B53" s="50">
        <v>8000000.0</v>
      </c>
      <c r="C53" s="69">
        <f>B53*3</f>
        <v>24000000</v>
      </c>
      <c r="D53" s="69">
        <f t="shared" ref="D53:E53" si="19">$B$53*12</f>
        <v>96000000</v>
      </c>
      <c r="E53" s="69">
        <f t="shared" si="19"/>
        <v>96000000</v>
      </c>
      <c r="F53" s="50">
        <v>2.5E8</v>
      </c>
      <c r="G53" s="50">
        <f>F53*6</f>
        <v>1500000000</v>
      </c>
      <c r="H53" s="76">
        <f t="shared" si="14"/>
        <v>3000000000</v>
      </c>
    </row>
    <row r="54">
      <c r="A54" s="72" t="s">
        <v>115</v>
      </c>
      <c r="B54" s="71"/>
      <c r="C54" s="70">
        <f t="shared" ref="C54:H54" si="20">SUM(C48:C53)</f>
        <v>94600000</v>
      </c>
      <c r="D54" s="70">
        <f t="shared" si="20"/>
        <v>342600000</v>
      </c>
      <c r="E54" s="70">
        <f t="shared" si="20"/>
        <v>413200000</v>
      </c>
      <c r="F54" s="70">
        <f t="shared" si="20"/>
        <v>880000000</v>
      </c>
      <c r="G54" s="70">
        <f t="shared" si="20"/>
        <v>7005000000</v>
      </c>
      <c r="H54" s="70">
        <f t="shared" si="20"/>
        <v>14010000000</v>
      </c>
    </row>
    <row r="56">
      <c r="A56" s="1" t="s">
        <v>116</v>
      </c>
      <c r="C56" s="70">
        <f t="shared" ref="C56:H56" si="21">C45+C54</f>
        <v>139800000</v>
      </c>
      <c r="D56" s="70">
        <f t="shared" si="21"/>
        <v>1393200000</v>
      </c>
      <c r="E56" s="70">
        <f t="shared" si="21"/>
        <v>1973589500</v>
      </c>
      <c r="F56" s="70">
        <f t="shared" si="21"/>
        <v>3001740098</v>
      </c>
      <c r="G56" s="70">
        <f t="shared" si="21"/>
        <v>10306522272</v>
      </c>
      <c r="H56" s="70">
        <f t="shared" si="21"/>
        <v>20591244545</v>
      </c>
      <c r="I56" s="31" t="s">
        <v>143</v>
      </c>
      <c r="J56" s="69">
        <f>sum(C56:I56)</f>
        <v>37406096414</v>
      </c>
    </row>
    <row r="58">
      <c r="A58" s="1" t="s">
        <v>144</v>
      </c>
      <c r="C58" s="70">
        <f t="shared" ref="C58:H58" si="22">C19-C56</f>
        <v>214200000</v>
      </c>
      <c r="D58" s="70">
        <f t="shared" si="22"/>
        <v>1138800000</v>
      </c>
      <c r="E58" s="70">
        <f t="shared" si="22"/>
        <v>3090410500</v>
      </c>
      <c r="F58" s="70">
        <f t="shared" si="22"/>
        <v>22318259903</v>
      </c>
      <c r="G58" s="70">
        <f t="shared" si="22"/>
        <v>65653477728</v>
      </c>
      <c r="H58" s="70">
        <f t="shared" si="22"/>
        <v>106008755456</v>
      </c>
    </row>
    <row r="59">
      <c r="A59" s="31" t="s">
        <v>145</v>
      </c>
      <c r="C59" s="77">
        <f>'Financing Schedule'!H26</f>
        <v>24000000</v>
      </c>
      <c r="D59" s="77">
        <f>'Financing Schedule'!I26</f>
        <v>36743292.27</v>
      </c>
      <c r="E59" s="77">
        <f>'Financing Schedule'!J26</f>
        <v>42099474.98</v>
      </c>
      <c r="F59" s="77">
        <f>'Financing Schedule'!K26</f>
        <v>67879770.34</v>
      </c>
      <c r="G59" s="77">
        <f>'Financing Schedule'!L26</f>
        <v>58953545.69</v>
      </c>
      <c r="H59" s="77">
        <f>'Financing Schedule'!M26</f>
        <v>49313223.07</v>
      </c>
    </row>
    <row r="60">
      <c r="A60" s="1" t="s">
        <v>146</v>
      </c>
      <c r="C60" s="70">
        <f t="shared" ref="C60:H60" si="23">C58-C59</f>
        <v>190200000</v>
      </c>
      <c r="D60" s="70">
        <f t="shared" si="23"/>
        <v>1102056708</v>
      </c>
      <c r="E60" s="70">
        <f t="shared" si="23"/>
        <v>3048311025</v>
      </c>
      <c r="F60" s="70">
        <f t="shared" si="23"/>
        <v>22250380132</v>
      </c>
      <c r="G60" s="70">
        <f t="shared" si="23"/>
        <v>65594524182</v>
      </c>
      <c r="H60" s="70">
        <f t="shared" si="23"/>
        <v>105959442232</v>
      </c>
    </row>
    <row r="61">
      <c r="A61" s="31" t="s">
        <v>147</v>
      </c>
      <c r="B61" s="42">
        <v>0.22</v>
      </c>
      <c r="C61" s="69">
        <f t="shared" ref="C61:D61" si="24">-C60*$B$61</f>
        <v>-41844000</v>
      </c>
      <c r="D61" s="69">
        <f t="shared" si="24"/>
        <v>-242452475.7</v>
      </c>
      <c r="E61" s="69">
        <f t="shared" ref="E61:H61" si="25">E60*$B$61</f>
        <v>670628425.5</v>
      </c>
      <c r="F61" s="69">
        <f t="shared" si="25"/>
        <v>4895083629</v>
      </c>
      <c r="G61" s="69">
        <f t="shared" si="25"/>
        <v>14430795320</v>
      </c>
      <c r="H61" s="69">
        <f t="shared" si="25"/>
        <v>23311077291</v>
      </c>
    </row>
    <row r="62">
      <c r="C62" s="71"/>
    </row>
    <row r="63">
      <c r="A63" s="78" t="s">
        <v>148</v>
      </c>
      <c r="B63" s="79"/>
      <c r="C63" s="80">
        <f t="shared" ref="C63:H63" si="26">C60-C61</f>
        <v>232044000</v>
      </c>
      <c r="D63" s="80">
        <f t="shared" si="26"/>
        <v>1344509183</v>
      </c>
      <c r="E63" s="80">
        <f t="shared" si="26"/>
        <v>2377682600</v>
      </c>
      <c r="F63" s="80">
        <f t="shared" si="26"/>
        <v>17355296503</v>
      </c>
      <c r="G63" s="80">
        <f t="shared" si="26"/>
        <v>51163728862</v>
      </c>
      <c r="H63" s="80">
        <f t="shared" si="26"/>
        <v>82648364941</v>
      </c>
    </row>
    <row r="64">
      <c r="C64" s="71"/>
    </row>
    <row r="65">
      <c r="A65" s="1" t="s">
        <v>149</v>
      </c>
      <c r="C65" s="70">
        <f t="shared" ref="C65:H65" si="27">C63</f>
        <v>232044000</v>
      </c>
      <c r="D65" s="70">
        <f t="shared" si="27"/>
        <v>1344509183</v>
      </c>
      <c r="E65" s="70">
        <f t="shared" si="27"/>
        <v>2377682600</v>
      </c>
      <c r="F65" s="70">
        <f t="shared" si="27"/>
        <v>17355296503</v>
      </c>
      <c r="G65" s="70">
        <f t="shared" si="27"/>
        <v>51163728862</v>
      </c>
      <c r="H65" s="70">
        <f t="shared" si="27"/>
        <v>82648364941</v>
      </c>
      <c r="I65" s="71"/>
      <c r="J65" s="71"/>
      <c r="K65" s="71"/>
    </row>
    <row r="66">
      <c r="A66" s="31" t="s">
        <v>150</v>
      </c>
      <c r="C66" s="69">
        <f>C65</f>
        <v>232044000</v>
      </c>
      <c r="D66" s="69">
        <f t="shared" ref="D66:H66" si="28">C66+D65</f>
        <v>1576553183</v>
      </c>
      <c r="E66" s="69">
        <f t="shared" si="28"/>
        <v>3954235783</v>
      </c>
      <c r="F66" s="69">
        <f t="shared" si="28"/>
        <v>21309532286</v>
      </c>
      <c r="G66" s="69">
        <f t="shared" si="28"/>
        <v>72473261148</v>
      </c>
      <c r="H66" s="69">
        <f t="shared" si="28"/>
        <v>155121626089</v>
      </c>
    </row>
    <row r="68">
      <c r="A68" s="31" t="s">
        <v>151</v>
      </c>
      <c r="B68" s="31">
        <v>2.0</v>
      </c>
    </row>
    <row r="69">
      <c r="A69" s="81" t="s">
        <v>152</v>
      </c>
      <c r="B69" s="69">
        <f>-D66</f>
        <v>-1576553183</v>
      </c>
    </row>
    <row r="70">
      <c r="A70" s="31" t="s">
        <v>153</v>
      </c>
      <c r="B70" s="69">
        <f>E65</f>
        <v>2377682600</v>
      </c>
    </row>
    <row r="71">
      <c r="A71" s="1" t="s">
        <v>154</v>
      </c>
      <c r="B71" s="82">
        <f>B68+(B69/B70)</f>
        <v>1.336937073</v>
      </c>
      <c r="C71" s="1" t="s">
        <v>155</v>
      </c>
    </row>
    <row r="73">
      <c r="B73" s="13"/>
    </row>
    <row r="75">
      <c r="A75" s="31" t="str">
        <f>'Sensitivity Analysis'!B21</f>
        <v>#REF!</v>
      </c>
      <c r="C75" s="50"/>
      <c r="D75" s="50">
        <f>-397870.62*1000</f>
        <v>-397870620</v>
      </c>
      <c r="E75" s="50">
        <f>-1615461.69*1000</f>
        <v>-1615461690</v>
      </c>
      <c r="F75" s="50">
        <f>2392744.12*1000</f>
        <v>2392744120</v>
      </c>
      <c r="G75" s="50">
        <f>8897037.6*1000</f>
        <v>8897037600</v>
      </c>
      <c r="H75" s="50">
        <f>9580391.98*1000</f>
        <v>9580391980</v>
      </c>
    </row>
    <row r="76">
      <c r="A76" s="31" t="s">
        <v>156</v>
      </c>
      <c r="D76" s="69">
        <f>D75</f>
        <v>-397870620</v>
      </c>
      <c r="E76" s="69">
        <f t="shared" ref="E76:H76" si="29">D76+E75</f>
        <v>-2013332310</v>
      </c>
      <c r="F76" s="69">
        <f t="shared" si="29"/>
        <v>379411810</v>
      </c>
      <c r="G76" s="69">
        <f t="shared" si="29"/>
        <v>9276449410</v>
      </c>
      <c r="H76" s="69">
        <f t="shared" si="29"/>
        <v>18856841390</v>
      </c>
    </row>
    <row r="77">
      <c r="A77" s="31" t="s">
        <v>151</v>
      </c>
      <c r="B77" s="31">
        <v>3.0</v>
      </c>
    </row>
    <row r="78">
      <c r="A78" s="1" t="s">
        <v>157</v>
      </c>
      <c r="B78" s="82">
        <f>B77+(-E76/F75)</f>
        <v>3.841432351</v>
      </c>
      <c r="C78" s="1" t="s">
        <v>155</v>
      </c>
    </row>
    <row r="79">
      <c r="C79" s="83"/>
      <c r="D79" s="83"/>
      <c r="E79" s="83"/>
      <c r="F79" s="83"/>
      <c r="G79" s="83"/>
      <c r="H79" s="83"/>
    </row>
    <row r="80">
      <c r="A80" s="31" t="s">
        <v>158</v>
      </c>
      <c r="B80" s="42">
        <v>0.08</v>
      </c>
    </row>
    <row r="81">
      <c r="A81" s="31" t="s">
        <v>159</v>
      </c>
      <c r="B81" s="84">
        <f>14259262.52*1000</f>
        <v>14259262520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5"/>
      <c r="B1" s="86" t="s">
        <v>160</v>
      </c>
      <c r="C1" s="87"/>
      <c r="D1" s="87"/>
      <c r="E1" s="87"/>
      <c r="F1" s="88"/>
      <c r="G1" s="88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>
      <c r="A2" s="85"/>
      <c r="B2" s="87"/>
      <c r="C2" s="87"/>
      <c r="D2" s="87"/>
      <c r="E2" s="87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>
      <c r="A3" s="85"/>
      <c r="B3" s="90"/>
      <c r="C3" s="91"/>
      <c r="D3" s="91"/>
      <c r="E3" s="92"/>
      <c r="F3" s="88"/>
      <c r="G3" s="88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>
      <c r="A4" s="85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>
      <c r="A5" s="85"/>
      <c r="B5" s="93" t="s">
        <v>161</v>
      </c>
      <c r="C5" s="94"/>
      <c r="D5" s="94"/>
      <c r="E5" s="94"/>
      <c r="F5" s="88"/>
      <c r="G5" s="88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>
      <c r="A6" s="85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>
      <c r="A7" s="85"/>
      <c r="B7" s="95" t="s">
        <v>162</v>
      </c>
      <c r="C7" s="96"/>
      <c r="D7" s="96"/>
      <c r="E7" s="96"/>
      <c r="F7" s="88"/>
      <c r="G7" s="88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>
      <c r="A8" s="85"/>
      <c r="B8" s="89" t="s">
        <v>163</v>
      </c>
      <c r="C8" s="89"/>
      <c r="D8" s="89"/>
      <c r="E8" s="97">
        <v>0.0</v>
      </c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>
      <c r="A9" s="85"/>
      <c r="B9" s="89"/>
      <c r="C9" s="89"/>
      <c r="D9" s="89"/>
      <c r="E9" s="89"/>
      <c r="F9" s="88"/>
      <c r="G9" s="88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>
      <c r="A10" s="85"/>
      <c r="B10" s="95" t="s">
        <v>164</v>
      </c>
      <c r="C10" s="96"/>
      <c r="D10" s="96"/>
      <c r="E10" s="96"/>
      <c r="F10" s="89"/>
      <c r="G10" s="89"/>
      <c r="H10" s="89"/>
      <c r="I10" s="98"/>
      <c r="J10" s="98"/>
      <c r="K10" s="98"/>
      <c r="L10" s="98"/>
      <c r="M10" s="98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>
      <c r="A11" s="85"/>
      <c r="B11" s="99" t="s">
        <v>13</v>
      </c>
      <c r="C11" s="99" t="s">
        <v>165</v>
      </c>
      <c r="D11" s="99" t="s">
        <v>166</v>
      </c>
      <c r="E11" s="99" t="s">
        <v>167</v>
      </c>
      <c r="F11" s="88"/>
      <c r="G11" s="88"/>
      <c r="H11" s="89"/>
      <c r="I11" s="98"/>
      <c r="J11" s="98"/>
      <c r="K11" s="98"/>
      <c r="L11" s="98"/>
      <c r="M11" s="98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>
      <c r="A12" s="85"/>
      <c r="B12" s="100">
        <v>2024.0</v>
      </c>
      <c r="C12" s="101">
        <v>3.0E8</v>
      </c>
      <c r="D12" s="101">
        <v>10.0</v>
      </c>
      <c r="E12" s="102">
        <v>0.08</v>
      </c>
      <c r="F12" s="89"/>
      <c r="G12" s="89"/>
      <c r="H12" s="89"/>
      <c r="I12" s="98"/>
      <c r="J12" s="98"/>
      <c r="K12" s="98"/>
      <c r="L12" s="98"/>
      <c r="M12" s="98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>
      <c r="A13" s="85"/>
      <c r="B13" s="100">
        <v>2026.0</v>
      </c>
      <c r="C13" s="101">
        <v>1.8E8</v>
      </c>
      <c r="D13" s="101">
        <v>5.0</v>
      </c>
      <c r="E13" s="102">
        <v>0.08</v>
      </c>
      <c r="F13" s="88"/>
      <c r="G13" s="88"/>
      <c r="H13" s="89"/>
      <c r="I13" s="98"/>
      <c r="J13" s="98"/>
      <c r="K13" s="98"/>
      <c r="L13" s="98"/>
      <c r="M13" s="98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>
      <c r="A14" s="85"/>
      <c r="B14" s="100">
        <v>2027.0</v>
      </c>
      <c r="C14" s="101">
        <v>1.2E8</v>
      </c>
      <c r="D14" s="101">
        <v>5.0</v>
      </c>
      <c r="E14" s="102">
        <v>0.08</v>
      </c>
      <c r="F14" s="89"/>
      <c r="G14" s="89"/>
      <c r="H14" s="89"/>
      <c r="I14" s="98"/>
      <c r="J14" s="98"/>
      <c r="K14" s="98"/>
      <c r="L14" s="98"/>
      <c r="M14" s="98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>
      <c r="A15" s="85"/>
      <c r="B15" s="103">
        <v>2028.0</v>
      </c>
      <c r="C15" s="104">
        <v>4.0E8</v>
      </c>
      <c r="D15" s="103">
        <v>10.0</v>
      </c>
      <c r="E15" s="105">
        <v>0.08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>
      <c r="A16" s="85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>
      <c r="A17" s="85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>
      <c r="A18" s="85"/>
      <c r="B18" s="93" t="s">
        <v>168</v>
      </c>
      <c r="C18" s="94"/>
      <c r="D18" s="94"/>
      <c r="E18" s="94"/>
      <c r="F18" s="94"/>
      <c r="G18" s="94"/>
      <c r="H18" s="106">
        <v>2024.0</v>
      </c>
      <c r="I18" s="107">
        <v>2025.0</v>
      </c>
      <c r="J18" s="107">
        <v>2026.0</v>
      </c>
      <c r="K18" s="107">
        <v>2027.0</v>
      </c>
      <c r="L18" s="107">
        <v>2028.0</v>
      </c>
      <c r="M18" s="107">
        <v>2029.0</v>
      </c>
      <c r="N18" s="107">
        <v>2030.0</v>
      </c>
      <c r="O18" s="107">
        <v>2031.0</v>
      </c>
      <c r="P18" s="107">
        <v>2032.0</v>
      </c>
      <c r="Q18" s="106">
        <v>2033.0</v>
      </c>
      <c r="R18" s="106">
        <v>2034.0</v>
      </c>
      <c r="S18" s="89"/>
      <c r="T18" s="89"/>
      <c r="U18" s="89"/>
      <c r="V18" s="89"/>
      <c r="W18" s="89"/>
      <c r="X18" s="89"/>
      <c r="Y18" s="89"/>
      <c r="Z18" s="89"/>
    </row>
    <row r="19">
      <c r="A19" s="85"/>
      <c r="B19" s="108" t="s">
        <v>162</v>
      </c>
      <c r="C19" s="89"/>
      <c r="D19" s="89"/>
      <c r="E19" s="89"/>
      <c r="F19" s="89"/>
      <c r="G19" s="89"/>
      <c r="H19" s="97">
        <v>0.0</v>
      </c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>
      <c r="A20" s="85"/>
      <c r="B20" s="89" t="s">
        <v>165</v>
      </c>
      <c r="C20" s="89"/>
      <c r="D20" s="89"/>
      <c r="E20" s="89"/>
      <c r="F20" s="89"/>
      <c r="G20" s="89"/>
      <c r="H20" s="97">
        <f>H24+H25-C12</f>
        <v>-160200000</v>
      </c>
      <c r="I20" s="97">
        <v>0.0</v>
      </c>
      <c r="J20" s="109">
        <v>2.0E9</v>
      </c>
      <c r="K20" s="109">
        <v>2.5E9</v>
      </c>
      <c r="L20" s="97">
        <v>0.0</v>
      </c>
      <c r="M20" s="109">
        <v>5.0E9</v>
      </c>
      <c r="N20" s="97">
        <v>0.0</v>
      </c>
      <c r="O20" s="97">
        <v>0.0</v>
      </c>
      <c r="P20" s="97">
        <v>0.0</v>
      </c>
      <c r="Q20" s="97">
        <v>0.0</v>
      </c>
      <c r="R20" s="97">
        <v>0.0</v>
      </c>
      <c r="S20" s="89"/>
      <c r="T20" s="89"/>
      <c r="U20" s="89"/>
      <c r="V20" s="89"/>
      <c r="W20" s="89"/>
      <c r="X20" s="89"/>
      <c r="Y20" s="89"/>
      <c r="Z20" s="89"/>
    </row>
    <row r="21">
      <c r="A21" s="85"/>
      <c r="B21" s="108" t="s">
        <v>169</v>
      </c>
      <c r="C21" s="89"/>
      <c r="D21" s="89"/>
      <c r="E21" s="89"/>
      <c r="F21" s="89"/>
      <c r="G21" s="89"/>
      <c r="H21" s="97">
        <v>0.0</v>
      </c>
      <c r="I21" s="97">
        <v>0.0</v>
      </c>
      <c r="J21" s="97">
        <v>0.0</v>
      </c>
      <c r="K21" s="97">
        <v>0.0</v>
      </c>
      <c r="L21" s="97">
        <v>0.0</v>
      </c>
      <c r="M21" s="97">
        <v>0.0</v>
      </c>
      <c r="N21" s="97">
        <v>0.0</v>
      </c>
      <c r="O21" s="97">
        <v>0.0</v>
      </c>
      <c r="P21" s="97">
        <v>0.0</v>
      </c>
      <c r="Q21" s="97">
        <v>0.0</v>
      </c>
      <c r="R21" s="97">
        <v>0.0</v>
      </c>
      <c r="S21" s="89"/>
      <c r="T21" s="89"/>
      <c r="U21" s="89"/>
      <c r="V21" s="89"/>
      <c r="W21" s="89"/>
      <c r="X21" s="89"/>
      <c r="Y21" s="89"/>
      <c r="Z21" s="89"/>
    </row>
    <row r="22">
      <c r="A22" s="85"/>
      <c r="B22" s="110" t="s">
        <v>170</v>
      </c>
      <c r="C22" s="89"/>
      <c r="D22" s="89"/>
      <c r="E22" s="89"/>
      <c r="F22" s="89"/>
      <c r="G22" s="89"/>
      <c r="H22" s="111">
        <v>0.0</v>
      </c>
      <c r="I22" s="112">
        <v>0.0</v>
      </c>
      <c r="J22" s="112">
        <v>0.05</v>
      </c>
      <c r="K22" s="112">
        <v>0.15</v>
      </c>
      <c r="L22" s="112">
        <v>0.2</v>
      </c>
      <c r="M22" s="112">
        <v>0.25</v>
      </c>
      <c r="N22" s="112">
        <v>0.25</v>
      </c>
      <c r="O22" s="112">
        <v>0.25</v>
      </c>
      <c r="P22" s="112">
        <v>0.25</v>
      </c>
      <c r="Q22" s="112">
        <v>0.25</v>
      </c>
      <c r="R22" s="112">
        <v>0.25</v>
      </c>
      <c r="S22" s="89"/>
      <c r="T22" s="89"/>
      <c r="U22" s="89"/>
      <c r="V22" s="89"/>
      <c r="W22" s="89"/>
      <c r="X22" s="89"/>
      <c r="Y22" s="89"/>
      <c r="Z22" s="89"/>
    </row>
    <row r="23">
      <c r="A23" s="85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>
      <c r="A24" s="85"/>
      <c r="B24" s="110" t="s">
        <v>171</v>
      </c>
      <c r="C24" s="89"/>
      <c r="D24" s="89"/>
      <c r="E24" s="89"/>
      <c r="F24" s="89"/>
      <c r="G24" s="89"/>
      <c r="H24" s="113">
        <v>0.0</v>
      </c>
      <c r="I24" s="89"/>
      <c r="J24" s="113">
        <v>0.0</v>
      </c>
      <c r="K24" s="113">
        <v>0.0</v>
      </c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>
      <c r="A25" s="85"/>
      <c r="B25" s="110" t="s">
        <v>116</v>
      </c>
      <c r="C25" s="89"/>
      <c r="D25" s="89"/>
      <c r="E25" s="89"/>
      <c r="F25" s="89"/>
      <c r="G25" s="89"/>
      <c r="H25" s="114">
        <f>Expenses!B26</f>
        <v>139800000</v>
      </c>
      <c r="I25" s="89"/>
      <c r="J25" s="114">
        <f>Expenses!D26</f>
        <v>1973589500</v>
      </c>
      <c r="K25" s="114">
        <f>Expenses!E15</f>
        <v>2121740098</v>
      </c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>
      <c r="A26" s="85"/>
      <c r="B26" s="110" t="s">
        <v>172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>
      <c r="A27" s="85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>
      <c r="A28" s="85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>
      <c r="A29" s="85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>
      <c r="A30" s="85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>
      <c r="A31" s="85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>
      <c r="A32" s="85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>
      <c r="A33" s="85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>
      <c r="A34" s="85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>
      <c r="A35" s="85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>
      <c r="A36" s="85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>
      <c r="A37" s="85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>
      <c r="A38" s="85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>
      <c r="A39" s="85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>
      <c r="A40" s="85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>
      <c r="A41" s="85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>
      <c r="A42" s="85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>
      <c r="A43" s="85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>
      <c r="A44" s="85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>
      <c r="A45" s="85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>
      <c r="A46" s="85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>
      <c r="A47" s="85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>
      <c r="A48" s="85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>
      <c r="A49" s="85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>
      <c r="A50" s="85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>
      <c r="A51" s="85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>
      <c r="A52" s="85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>
      <c r="A53" s="85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>
      <c r="A54" s="85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>
      <c r="A55" s="85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>
      <c r="A56" s="85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>
      <c r="A57" s="85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>
      <c r="A58" s="85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>
      <c r="A59" s="85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>
      <c r="A60" s="85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>
      <c r="A61" s="85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>
      <c r="A62" s="85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>
      <c r="A63" s="85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>
      <c r="A64" s="85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>
      <c r="A65" s="85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>
      <c r="A66" s="85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>
      <c r="A67" s="85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>
      <c r="A68" s="85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>
      <c r="A69" s="85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>
      <c r="A70" s="85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>
      <c r="A71" s="85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>
      <c r="A72" s="85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>
      <c r="A73" s="85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>
      <c r="A74" s="85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>
      <c r="A75" s="85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>
      <c r="A76" s="85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>
      <c r="A77" s="85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>
      <c r="A78" s="85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>
      <c r="A79" s="85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>
      <c r="A80" s="85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>
      <c r="A81" s="85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>
      <c r="A82" s="85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>
      <c r="A83" s="85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>
      <c r="A84" s="85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>
      <c r="A85" s="85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>
      <c r="A86" s="85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>
      <c r="A87" s="85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>
      <c r="A88" s="85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>
      <c r="A89" s="85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>
      <c r="A90" s="85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>
      <c r="A91" s="85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>
      <c r="A92" s="85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>
      <c r="A93" s="85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>
      <c r="A94" s="85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>
      <c r="A95" s="85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>
      <c r="A96" s="85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>
      <c r="A97" s="85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>
      <c r="A98" s="85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>
      <c r="A99" s="85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>
      <c r="A100" s="85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>
      <c r="A101" s="85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>
      <c r="A102" s="85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>
      <c r="A103" s="85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>
      <c r="A104" s="85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>
      <c r="A105" s="85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>
      <c r="A106" s="85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>
      <c r="A107" s="85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>
      <c r="A108" s="85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>
      <c r="A109" s="85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>
      <c r="A110" s="85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>
      <c r="A111" s="85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>
      <c r="A112" s="85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>
      <c r="A113" s="85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>
      <c r="A114" s="85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>
      <c r="A115" s="85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>
      <c r="A116" s="85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>
      <c r="A117" s="85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>
      <c r="A118" s="85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>
      <c r="A119" s="85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>
      <c r="A120" s="85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>
      <c r="A121" s="85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>
      <c r="A122" s="85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>
      <c r="A123" s="85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>
      <c r="A124" s="85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>
      <c r="A125" s="85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>
      <c r="A126" s="85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>
      <c r="A127" s="85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>
      <c r="A128" s="85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>
      <c r="A129" s="85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>
      <c r="A130" s="85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>
      <c r="A131" s="85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>
      <c r="A132" s="85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>
      <c r="A133" s="85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>
      <c r="A134" s="85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>
      <c r="A135" s="85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>
      <c r="A136" s="85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>
      <c r="A137" s="85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>
      <c r="A138" s="85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>
      <c r="A139" s="85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>
      <c r="A140" s="85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>
      <c r="A141" s="85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>
      <c r="A142" s="85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>
      <c r="A143" s="85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>
      <c r="A144" s="85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>
      <c r="A145" s="85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>
      <c r="A146" s="85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>
      <c r="A147" s="85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>
      <c r="A148" s="85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>
      <c r="A149" s="85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>
      <c r="A150" s="85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>
      <c r="A151" s="85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>
      <c r="A152" s="85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>
      <c r="A153" s="85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>
      <c r="A154" s="85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>
      <c r="A155" s="85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>
      <c r="A156" s="85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>
      <c r="A157" s="85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>
      <c r="A158" s="85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>
      <c r="A159" s="85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>
      <c r="A160" s="85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>
      <c r="A161" s="85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>
      <c r="A162" s="85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>
      <c r="A163" s="85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>
      <c r="A164" s="85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>
      <c r="A165" s="85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>
      <c r="A166" s="85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>
      <c r="A167" s="85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>
      <c r="A168" s="85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>
      <c r="A169" s="85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>
      <c r="A170" s="85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>
      <c r="A171" s="85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>
      <c r="A172" s="85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>
      <c r="A173" s="85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>
      <c r="A174" s="85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>
      <c r="A175" s="85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>
      <c r="A176" s="85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>
      <c r="A177" s="85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>
      <c r="A178" s="85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>
      <c r="A179" s="85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>
      <c r="A180" s="85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>
      <c r="A181" s="85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>
      <c r="A182" s="85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>
      <c r="A183" s="85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>
      <c r="A184" s="85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>
      <c r="A185" s="85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>
      <c r="A186" s="85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>
      <c r="A187" s="85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>
      <c r="A188" s="85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>
      <c r="A189" s="85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>
      <c r="A190" s="85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>
      <c r="A191" s="85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>
      <c r="A192" s="85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>
      <c r="A193" s="85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>
      <c r="A194" s="85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>
      <c r="A195" s="85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>
      <c r="A196" s="85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>
      <c r="A197" s="85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>
      <c r="A198" s="85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>
      <c r="A199" s="85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>
      <c r="A200" s="85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>
      <c r="A201" s="85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>
      <c r="A202" s="85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>
      <c r="A203" s="85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>
      <c r="A204" s="85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>
      <c r="A205" s="85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>
      <c r="A206" s="85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>
      <c r="A207" s="85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>
      <c r="A208" s="85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>
      <c r="A209" s="85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>
      <c r="A210" s="85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>
      <c r="A211" s="85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>
      <c r="A212" s="85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>
      <c r="A213" s="85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>
      <c r="A214" s="85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>
      <c r="A215" s="85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>
      <c r="A216" s="85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>
      <c r="A217" s="85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>
      <c r="A218" s="85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>
      <c r="A219" s="85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>
      <c r="A220" s="85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>
      <c r="A221" s="85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>
      <c r="A222" s="85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>
      <c r="A223" s="85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>
      <c r="A224" s="85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>
      <c r="A225" s="85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>
      <c r="A226" s="85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>
      <c r="A227" s="85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>
      <c r="A228" s="85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>
      <c r="A229" s="85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>
      <c r="A230" s="85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>
      <c r="A231" s="85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>
      <c r="A232" s="85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>
      <c r="A233" s="85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>
      <c r="A234" s="85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>
      <c r="A235" s="85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>
      <c r="A236" s="85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>
      <c r="A237" s="85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>
      <c r="A238" s="85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>
      <c r="A239" s="85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>
      <c r="A240" s="85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>
      <c r="A241" s="85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>
      <c r="A242" s="85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>
      <c r="A243" s="85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>
      <c r="A244" s="85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>
      <c r="A245" s="85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>
      <c r="A246" s="85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>
      <c r="A247" s="85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>
      <c r="A248" s="85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>
      <c r="A249" s="85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>
      <c r="A250" s="85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>
      <c r="A251" s="85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>
      <c r="A252" s="85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>
      <c r="A253" s="85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>
      <c r="A254" s="85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>
      <c r="A255" s="85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>
      <c r="A256" s="85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>
      <c r="A257" s="85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>
      <c r="A258" s="85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>
      <c r="A259" s="85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>
      <c r="A260" s="85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>
      <c r="A261" s="85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>
      <c r="A262" s="85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>
      <c r="A263" s="85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>
      <c r="A264" s="85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>
      <c r="A265" s="85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>
      <c r="A266" s="85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>
      <c r="A267" s="85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>
      <c r="A268" s="85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>
      <c r="A269" s="85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>
      <c r="A270" s="85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>
      <c r="A271" s="85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>
      <c r="A272" s="85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>
      <c r="A273" s="85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>
      <c r="A274" s="85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>
      <c r="A275" s="85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>
      <c r="A276" s="85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>
      <c r="A277" s="85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>
      <c r="A278" s="85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>
      <c r="A279" s="85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>
      <c r="A280" s="85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>
      <c r="A281" s="85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>
      <c r="A282" s="85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>
      <c r="A283" s="85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>
      <c r="A284" s="85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>
      <c r="A285" s="85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>
      <c r="A286" s="85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>
      <c r="A287" s="85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>
      <c r="A288" s="85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>
      <c r="A289" s="85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>
      <c r="A290" s="85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>
      <c r="A291" s="85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>
      <c r="A292" s="85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>
      <c r="A293" s="85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>
      <c r="A294" s="85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>
      <c r="A295" s="85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>
      <c r="A296" s="85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>
      <c r="A297" s="85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>
      <c r="A298" s="85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>
      <c r="A299" s="85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>
      <c r="A300" s="85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>
      <c r="A301" s="85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>
      <c r="A302" s="85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>
      <c r="A303" s="85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>
      <c r="A304" s="85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>
      <c r="A305" s="85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>
      <c r="A306" s="85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>
      <c r="A307" s="85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>
      <c r="A308" s="85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>
      <c r="A309" s="85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>
      <c r="A310" s="85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>
      <c r="A311" s="85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>
      <c r="A312" s="85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>
      <c r="A313" s="85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>
      <c r="A314" s="85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>
      <c r="A315" s="85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>
      <c r="A316" s="85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>
      <c r="A317" s="85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>
      <c r="A318" s="85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>
      <c r="A319" s="85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>
      <c r="A320" s="85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>
      <c r="A321" s="85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>
      <c r="A322" s="85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>
      <c r="A323" s="85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>
      <c r="A324" s="85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>
      <c r="A325" s="85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>
      <c r="A326" s="85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>
      <c r="A327" s="85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>
      <c r="A328" s="85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>
      <c r="A329" s="85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>
      <c r="A330" s="85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>
      <c r="A331" s="85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>
      <c r="A332" s="85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>
      <c r="A333" s="85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>
      <c r="A334" s="85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>
      <c r="A335" s="85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>
      <c r="A336" s="85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>
      <c r="A337" s="85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>
      <c r="A338" s="85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>
      <c r="A339" s="85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>
      <c r="A340" s="85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>
      <c r="A341" s="85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>
      <c r="A342" s="85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>
      <c r="A343" s="85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>
      <c r="A344" s="85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>
      <c r="A345" s="85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>
      <c r="A346" s="85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>
      <c r="A347" s="85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>
      <c r="A348" s="85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>
      <c r="A349" s="85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>
      <c r="A350" s="85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>
      <c r="A351" s="85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>
      <c r="A352" s="85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>
      <c r="A353" s="85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>
      <c r="A354" s="85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>
      <c r="A355" s="85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>
      <c r="A356" s="85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>
      <c r="A357" s="85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>
      <c r="A358" s="85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>
      <c r="A359" s="85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>
      <c r="A360" s="85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>
      <c r="A361" s="85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>
      <c r="A362" s="85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>
      <c r="A363" s="85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>
      <c r="A364" s="85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>
      <c r="A365" s="85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>
      <c r="A366" s="85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>
      <c r="A367" s="85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>
      <c r="A368" s="85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>
      <c r="A369" s="85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>
      <c r="A370" s="85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>
      <c r="A371" s="85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>
      <c r="A372" s="85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>
      <c r="A373" s="85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>
      <c r="A374" s="85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>
      <c r="A375" s="85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>
      <c r="A376" s="85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>
      <c r="A377" s="85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>
      <c r="A378" s="85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>
      <c r="A379" s="85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>
      <c r="A380" s="85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>
      <c r="A381" s="85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>
      <c r="A382" s="85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>
      <c r="A383" s="85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>
      <c r="A384" s="85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>
      <c r="A385" s="85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>
      <c r="A386" s="85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>
      <c r="A387" s="85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>
      <c r="A388" s="85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>
      <c r="A389" s="85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>
      <c r="A390" s="85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>
      <c r="A391" s="85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>
      <c r="A392" s="85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>
      <c r="A393" s="85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>
      <c r="A394" s="85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>
      <c r="A395" s="85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>
      <c r="A396" s="85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>
      <c r="A397" s="85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>
      <c r="A398" s="85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>
      <c r="A399" s="85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>
      <c r="A400" s="85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>
      <c r="A401" s="85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>
      <c r="A402" s="85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>
      <c r="A403" s="85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>
      <c r="A404" s="85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>
      <c r="A405" s="85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>
      <c r="A406" s="85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>
      <c r="A407" s="85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>
      <c r="A408" s="85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>
      <c r="A409" s="85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>
      <c r="A410" s="85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>
      <c r="A411" s="85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>
      <c r="A412" s="85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>
      <c r="A413" s="85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>
      <c r="A414" s="85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>
      <c r="A415" s="85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>
      <c r="A416" s="85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>
      <c r="A417" s="85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>
      <c r="A418" s="85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>
      <c r="A419" s="85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>
      <c r="A420" s="85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>
      <c r="A421" s="85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>
      <c r="A422" s="85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>
      <c r="A423" s="85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>
      <c r="A424" s="85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>
      <c r="A425" s="85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>
      <c r="A426" s="85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>
      <c r="A427" s="85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>
      <c r="A428" s="85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>
      <c r="A429" s="85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>
      <c r="A430" s="85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>
      <c r="A431" s="85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>
      <c r="A432" s="85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>
      <c r="A433" s="85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>
      <c r="A434" s="85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>
      <c r="A435" s="85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>
      <c r="A436" s="85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>
      <c r="A437" s="85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>
      <c r="A438" s="85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>
      <c r="A439" s="85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>
      <c r="A440" s="85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>
      <c r="A441" s="85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>
      <c r="A442" s="85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>
      <c r="A443" s="85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>
      <c r="A444" s="85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>
      <c r="A445" s="85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>
      <c r="A446" s="85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>
      <c r="A447" s="85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>
      <c r="A448" s="85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>
      <c r="A449" s="85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>
      <c r="A450" s="85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>
      <c r="A451" s="85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>
      <c r="A452" s="85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>
      <c r="A453" s="85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>
      <c r="A454" s="85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>
      <c r="A455" s="85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>
      <c r="A456" s="85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>
      <c r="A457" s="85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>
      <c r="A458" s="85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>
      <c r="A459" s="85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>
      <c r="A460" s="85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>
      <c r="A461" s="85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>
      <c r="A462" s="85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>
      <c r="A463" s="85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>
      <c r="A464" s="85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>
      <c r="A465" s="85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>
      <c r="A466" s="85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>
      <c r="A467" s="85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>
      <c r="A468" s="85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>
      <c r="A469" s="85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>
      <c r="A470" s="85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>
      <c r="A471" s="85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>
      <c r="A472" s="85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>
      <c r="A473" s="85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>
      <c r="A474" s="85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>
      <c r="A475" s="85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>
      <c r="A476" s="85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>
      <c r="A477" s="85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>
      <c r="A478" s="85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>
      <c r="A479" s="85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>
      <c r="A480" s="85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>
      <c r="A481" s="85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>
      <c r="A482" s="85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>
      <c r="A483" s="85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>
      <c r="A484" s="85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>
      <c r="A485" s="85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>
      <c r="A486" s="85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>
      <c r="A487" s="85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>
      <c r="A488" s="85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>
      <c r="A489" s="85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>
      <c r="A490" s="85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>
      <c r="A491" s="85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>
      <c r="A492" s="85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>
      <c r="A493" s="85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>
      <c r="A494" s="85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>
      <c r="A495" s="85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>
      <c r="A496" s="85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>
      <c r="A497" s="85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>
      <c r="A498" s="85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>
      <c r="A499" s="85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>
      <c r="A500" s="85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>
      <c r="A501" s="85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>
      <c r="A502" s="85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>
      <c r="A503" s="85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>
      <c r="A504" s="85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>
      <c r="A505" s="85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>
      <c r="A506" s="85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>
      <c r="A507" s="85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>
      <c r="A508" s="85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>
      <c r="A509" s="85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>
      <c r="A510" s="85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>
      <c r="A511" s="85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>
      <c r="A512" s="85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>
      <c r="A513" s="85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>
      <c r="A514" s="85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>
      <c r="A515" s="85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>
      <c r="A516" s="85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>
      <c r="A517" s="85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>
      <c r="A518" s="85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>
      <c r="A519" s="85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>
      <c r="A520" s="85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>
      <c r="A521" s="85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>
      <c r="A522" s="85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>
      <c r="A523" s="85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>
      <c r="A524" s="85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>
      <c r="A525" s="85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>
      <c r="A526" s="85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>
      <c r="A527" s="85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>
      <c r="A528" s="85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>
      <c r="A529" s="85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>
      <c r="A530" s="85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>
      <c r="A531" s="85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>
      <c r="A532" s="85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>
      <c r="A533" s="85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>
      <c r="A534" s="85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>
      <c r="A535" s="85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>
      <c r="A536" s="85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>
      <c r="A537" s="85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>
      <c r="A538" s="85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>
      <c r="A539" s="85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>
      <c r="A540" s="85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>
      <c r="A541" s="85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>
      <c r="A542" s="85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>
      <c r="A543" s="85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>
      <c r="A544" s="85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>
      <c r="A545" s="85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>
      <c r="A546" s="85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>
      <c r="A547" s="85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>
      <c r="A548" s="85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>
      <c r="A549" s="85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>
      <c r="A550" s="85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>
      <c r="A551" s="85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>
      <c r="A552" s="85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>
      <c r="A553" s="85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>
      <c r="A554" s="85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>
      <c r="A555" s="85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>
      <c r="A556" s="85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>
      <c r="A557" s="85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>
      <c r="A558" s="85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>
      <c r="A559" s="85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>
      <c r="A560" s="85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>
      <c r="A561" s="85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>
      <c r="A562" s="85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>
      <c r="A563" s="85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>
      <c r="A564" s="85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>
      <c r="A565" s="85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>
      <c r="A566" s="85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>
      <c r="A567" s="85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>
      <c r="A568" s="85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>
      <c r="A569" s="85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>
      <c r="A570" s="85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>
      <c r="A571" s="85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>
      <c r="A572" s="85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>
      <c r="A573" s="85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>
      <c r="A574" s="85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>
      <c r="A575" s="85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>
      <c r="A576" s="85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>
      <c r="A577" s="85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>
      <c r="A578" s="85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>
      <c r="A579" s="85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>
      <c r="A580" s="85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>
      <c r="A581" s="85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>
      <c r="A582" s="85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>
      <c r="A583" s="85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>
      <c r="A584" s="85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>
      <c r="A585" s="85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>
      <c r="A586" s="85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>
      <c r="A587" s="85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>
      <c r="A588" s="85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>
      <c r="A589" s="85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>
      <c r="A590" s="85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>
      <c r="A591" s="85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>
      <c r="A592" s="85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>
      <c r="A593" s="85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>
      <c r="A594" s="85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>
      <c r="A595" s="85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>
      <c r="A596" s="85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>
      <c r="A597" s="85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>
      <c r="A598" s="85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>
      <c r="A599" s="85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>
      <c r="A600" s="85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>
      <c r="A601" s="85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>
      <c r="A602" s="85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>
      <c r="A603" s="85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>
      <c r="A604" s="85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>
      <c r="A605" s="85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>
      <c r="A606" s="85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>
      <c r="A607" s="85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>
      <c r="A608" s="85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>
      <c r="A609" s="85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>
      <c r="A610" s="85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>
      <c r="A611" s="85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>
      <c r="A612" s="85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>
      <c r="A613" s="85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>
      <c r="A614" s="85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>
      <c r="A615" s="85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>
      <c r="A616" s="85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>
      <c r="A617" s="85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>
      <c r="A618" s="85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>
      <c r="A619" s="85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>
      <c r="A620" s="85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>
      <c r="A621" s="85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>
      <c r="A622" s="85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>
      <c r="A623" s="85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>
      <c r="A624" s="85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>
      <c r="A625" s="85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>
      <c r="A626" s="85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>
      <c r="A627" s="85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>
      <c r="A628" s="85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>
      <c r="A629" s="85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>
      <c r="A630" s="85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>
      <c r="A631" s="85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>
      <c r="A632" s="85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>
      <c r="A633" s="85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>
      <c r="A634" s="85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>
      <c r="A635" s="85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>
      <c r="A636" s="85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>
      <c r="A637" s="85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>
      <c r="A638" s="85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>
      <c r="A639" s="85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>
      <c r="A640" s="85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>
      <c r="A641" s="85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>
      <c r="A642" s="85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>
      <c r="A643" s="85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>
      <c r="A644" s="85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>
      <c r="A645" s="85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>
      <c r="A646" s="85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>
      <c r="A647" s="85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>
      <c r="A648" s="85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>
      <c r="A649" s="85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>
      <c r="A650" s="85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>
      <c r="A651" s="85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>
      <c r="A652" s="85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>
      <c r="A653" s="85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>
      <c r="A654" s="85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>
      <c r="A655" s="85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>
      <c r="A656" s="85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>
      <c r="A657" s="85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>
      <c r="A658" s="85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>
      <c r="A659" s="85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>
      <c r="A660" s="85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>
      <c r="A661" s="85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>
      <c r="A662" s="85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>
      <c r="A663" s="85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>
      <c r="A664" s="85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>
      <c r="A665" s="85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>
      <c r="A666" s="85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>
      <c r="A667" s="85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>
      <c r="A668" s="85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>
      <c r="A669" s="85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>
      <c r="A670" s="85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>
      <c r="A671" s="85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>
      <c r="A672" s="85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>
      <c r="A673" s="85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>
      <c r="A674" s="85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>
      <c r="A675" s="85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>
      <c r="A676" s="85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>
      <c r="A677" s="85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>
      <c r="A678" s="85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>
      <c r="A679" s="85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>
      <c r="A680" s="85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>
      <c r="A681" s="85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>
      <c r="A682" s="85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>
      <c r="A683" s="85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>
      <c r="A684" s="85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>
      <c r="A685" s="85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>
      <c r="A686" s="85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>
      <c r="A687" s="85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>
      <c r="A688" s="85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>
      <c r="A689" s="85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>
      <c r="A690" s="85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>
      <c r="A691" s="85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>
      <c r="A692" s="85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>
      <c r="A693" s="85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>
      <c r="A694" s="85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>
      <c r="A695" s="85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>
      <c r="A696" s="85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>
      <c r="A697" s="85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>
      <c r="A698" s="85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>
      <c r="A699" s="85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>
      <c r="A700" s="85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>
      <c r="A701" s="85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>
      <c r="A702" s="85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>
      <c r="A703" s="85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>
      <c r="A704" s="85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>
      <c r="A705" s="85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>
      <c r="A706" s="85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>
      <c r="A707" s="85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>
      <c r="A708" s="85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>
      <c r="A709" s="85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>
      <c r="A710" s="85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>
      <c r="A711" s="85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>
      <c r="A712" s="85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>
      <c r="A713" s="85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>
      <c r="A714" s="85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>
      <c r="A715" s="85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>
      <c r="A716" s="85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>
      <c r="A717" s="85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>
      <c r="A718" s="85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>
      <c r="A719" s="85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>
      <c r="A720" s="85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>
      <c r="A721" s="85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>
      <c r="A722" s="85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>
      <c r="A723" s="85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>
      <c r="A724" s="85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>
      <c r="A725" s="85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>
      <c r="A726" s="85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>
      <c r="A727" s="85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>
      <c r="A728" s="85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>
      <c r="A729" s="85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>
      <c r="A730" s="85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>
      <c r="A731" s="85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>
      <c r="A732" s="85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>
      <c r="A733" s="85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>
      <c r="A734" s="85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>
      <c r="A735" s="85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>
      <c r="A736" s="85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>
      <c r="A737" s="85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>
      <c r="A738" s="85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>
      <c r="A739" s="85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>
      <c r="A740" s="85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>
      <c r="A741" s="85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>
      <c r="A742" s="85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>
      <c r="A743" s="85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>
      <c r="A744" s="85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>
      <c r="A745" s="85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>
      <c r="A746" s="85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>
      <c r="A747" s="85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>
      <c r="A748" s="85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>
      <c r="A749" s="85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>
      <c r="A750" s="85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>
      <c r="A751" s="85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>
      <c r="A752" s="85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>
      <c r="A753" s="85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>
      <c r="A754" s="85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>
      <c r="A755" s="85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>
      <c r="A756" s="85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>
      <c r="A757" s="85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>
      <c r="A758" s="85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>
      <c r="A759" s="85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>
      <c r="A760" s="85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>
      <c r="A761" s="85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>
      <c r="A762" s="85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>
      <c r="A763" s="85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>
      <c r="A764" s="85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>
      <c r="A765" s="85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>
      <c r="A766" s="85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>
      <c r="A767" s="85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>
      <c r="A768" s="85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>
      <c r="A769" s="85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>
      <c r="A770" s="85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>
      <c r="A771" s="85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>
      <c r="A772" s="85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>
      <c r="A773" s="85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>
      <c r="A774" s="85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>
      <c r="A775" s="85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>
      <c r="A776" s="85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>
      <c r="A777" s="85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>
      <c r="A778" s="85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>
      <c r="A779" s="85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>
      <c r="A780" s="85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>
      <c r="A781" s="85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>
      <c r="A782" s="85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>
      <c r="A783" s="85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>
      <c r="A784" s="85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>
      <c r="A785" s="85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>
      <c r="A786" s="85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>
      <c r="A787" s="85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>
      <c r="A788" s="85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>
      <c r="A789" s="85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>
      <c r="A790" s="85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>
      <c r="A791" s="85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>
      <c r="A792" s="85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>
      <c r="A793" s="85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>
      <c r="A794" s="85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>
      <c r="A795" s="85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>
      <c r="A796" s="85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>
      <c r="A797" s="85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>
      <c r="A798" s="85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>
      <c r="A799" s="85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>
      <c r="A800" s="85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>
      <c r="A801" s="85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>
      <c r="A802" s="85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>
      <c r="A803" s="85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>
      <c r="A804" s="85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>
      <c r="A805" s="85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>
      <c r="A806" s="85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>
      <c r="A807" s="85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>
      <c r="A808" s="85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>
      <c r="A809" s="85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>
      <c r="A810" s="85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>
      <c r="A811" s="85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>
      <c r="A812" s="85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>
      <c r="A813" s="85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>
      <c r="A814" s="85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>
      <c r="A815" s="85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>
      <c r="A816" s="85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>
      <c r="A817" s="85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>
      <c r="A818" s="85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>
      <c r="A819" s="85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>
      <c r="A820" s="85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>
      <c r="A821" s="85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>
      <c r="A822" s="85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>
      <c r="A823" s="85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>
      <c r="A824" s="85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>
      <c r="A825" s="85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>
      <c r="A826" s="85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>
      <c r="A827" s="85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>
      <c r="A828" s="85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>
      <c r="A829" s="85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>
      <c r="A830" s="85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>
      <c r="A831" s="85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>
      <c r="A832" s="85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>
      <c r="A833" s="85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>
      <c r="A834" s="85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>
      <c r="A835" s="85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>
      <c r="A836" s="85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>
      <c r="A837" s="85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>
      <c r="A838" s="85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>
      <c r="A839" s="85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>
      <c r="A840" s="85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>
      <c r="A841" s="85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>
      <c r="A842" s="85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>
      <c r="A843" s="85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>
      <c r="A844" s="85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>
      <c r="A845" s="85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>
      <c r="A846" s="85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>
      <c r="A847" s="85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>
      <c r="A848" s="85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>
      <c r="A849" s="85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>
      <c r="A850" s="85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>
      <c r="A851" s="85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>
      <c r="A852" s="85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>
      <c r="A853" s="85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>
      <c r="A854" s="85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>
      <c r="A855" s="85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>
      <c r="A856" s="85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>
      <c r="A857" s="85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>
      <c r="A858" s="85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>
      <c r="A859" s="85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>
      <c r="A860" s="85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>
      <c r="A861" s="85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>
      <c r="A862" s="85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>
      <c r="A863" s="85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>
      <c r="A864" s="85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>
      <c r="A865" s="85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>
      <c r="A866" s="85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>
      <c r="A867" s="85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>
      <c r="A868" s="85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>
      <c r="A869" s="85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>
      <c r="A870" s="85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>
      <c r="A871" s="85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>
      <c r="A872" s="85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>
      <c r="A873" s="85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>
      <c r="A874" s="85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>
      <c r="A875" s="85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>
      <c r="A876" s="85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>
      <c r="A877" s="85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>
      <c r="A878" s="85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>
      <c r="A879" s="85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>
      <c r="A880" s="85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>
      <c r="A881" s="85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>
      <c r="A882" s="85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>
      <c r="A883" s="85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>
      <c r="A884" s="85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>
      <c r="A885" s="85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>
      <c r="A886" s="85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>
      <c r="A887" s="85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>
      <c r="A888" s="85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>
      <c r="A889" s="85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>
      <c r="A890" s="85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>
      <c r="A891" s="85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>
      <c r="A892" s="85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>
      <c r="A893" s="85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>
      <c r="A894" s="85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>
      <c r="A895" s="85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>
      <c r="A896" s="85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>
      <c r="A897" s="85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>
      <c r="A898" s="85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>
      <c r="A899" s="85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>
      <c r="A900" s="85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>
      <c r="A901" s="85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>
      <c r="A902" s="85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>
      <c r="A903" s="85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>
      <c r="A904" s="85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>
      <c r="A905" s="85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>
      <c r="A906" s="85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>
      <c r="A907" s="85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>
      <c r="A908" s="85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>
      <c r="A909" s="85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>
      <c r="A910" s="85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>
      <c r="A911" s="85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>
      <c r="A912" s="85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>
      <c r="A913" s="85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>
      <c r="A914" s="85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>
      <c r="A915" s="85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>
      <c r="A916" s="85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>
      <c r="A917" s="85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>
      <c r="A918" s="85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>
      <c r="A919" s="85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>
      <c r="A920" s="85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>
      <c r="A921" s="85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>
      <c r="A922" s="85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>
      <c r="A923" s="85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>
      <c r="A924" s="85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>
      <c r="A925" s="85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>
      <c r="A926" s="85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>
      <c r="A927" s="85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>
      <c r="A928" s="85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>
      <c r="A929" s="85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>
      <c r="A930" s="85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>
      <c r="A931" s="85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>
      <c r="A932" s="85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>
      <c r="A933" s="85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>
      <c r="A934" s="85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>
      <c r="A935" s="85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>
      <c r="A936" s="85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>
      <c r="A937" s="85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>
      <c r="A938" s="85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>
      <c r="A939" s="85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>
      <c r="A940" s="85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>
      <c r="A941" s="85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>
      <c r="A942" s="85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>
      <c r="A943" s="85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>
      <c r="A944" s="85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>
      <c r="A945" s="85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>
      <c r="A946" s="85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>
      <c r="A947" s="85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>
      <c r="A948" s="85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>
      <c r="A949" s="85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>
      <c r="A950" s="85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>
      <c r="A951" s="85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>
      <c r="A952" s="85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>
      <c r="A953" s="85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>
      <c r="A954" s="85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>
      <c r="A955" s="85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>
      <c r="A956" s="85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>
      <c r="A957" s="85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>
      <c r="A958" s="85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>
      <c r="A959" s="85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>
      <c r="A960" s="85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>
      <c r="A961" s="85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>
      <c r="A962" s="85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>
      <c r="A963" s="85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>
      <c r="A964" s="85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>
      <c r="A965" s="85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>
      <c r="A966" s="85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>
      <c r="A967" s="85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>
      <c r="A968" s="85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>
      <c r="A969" s="85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>
      <c r="A970" s="85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>
      <c r="A971" s="85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>
      <c r="A972" s="85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>
      <c r="A973" s="85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>
      <c r="A974" s="85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>
      <c r="A975" s="85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>
      <c r="A976" s="85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>
      <c r="A977" s="85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>
      <c r="A978" s="85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>
      <c r="A979" s="85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>
      <c r="A980" s="85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>
      <c r="A981" s="85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>
      <c r="A982" s="85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>
      <c r="A983" s="85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>
      <c r="A984" s="85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>
      <c r="A985" s="85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>
      <c r="A986" s="85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>
      <c r="A987" s="85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>
      <c r="A988" s="85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>
      <c r="A989" s="85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>
      <c r="A990" s="85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>
      <c r="A991" s="85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>
      <c r="A992" s="85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>
      <c r="A993" s="85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>
      <c r="A994" s="85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>
      <c r="A995" s="85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>
      <c r="A996" s="85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>
      <c r="A997" s="85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3.38"/>
    <col customWidth="1" min="12" max="12" width="13.5"/>
    <col customWidth="1" min="13" max="13" width="13.63"/>
    <col customWidth="1" min="14" max="16" width="13.75"/>
    <col customWidth="1" min="18" max="18" width="13.75"/>
  </cols>
  <sheetData>
    <row r="1">
      <c r="A1" s="85"/>
      <c r="B1" s="86" t="s">
        <v>173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9"/>
      <c r="T1" s="89"/>
      <c r="U1" s="89"/>
      <c r="V1" s="89"/>
      <c r="W1" s="89"/>
      <c r="X1" s="89"/>
      <c r="Y1" s="89"/>
      <c r="Z1" s="89"/>
    </row>
    <row r="2">
      <c r="A2" s="85"/>
      <c r="B2" s="87"/>
      <c r="C2" s="87"/>
      <c r="D2" s="87"/>
      <c r="E2" s="87"/>
      <c r="F2" s="87"/>
      <c r="G2" s="87"/>
      <c r="H2" s="107" t="s">
        <v>174</v>
      </c>
      <c r="I2" s="107" t="s">
        <v>175</v>
      </c>
      <c r="J2" s="107" t="s">
        <v>175</v>
      </c>
      <c r="K2" s="107" t="s">
        <v>175</v>
      </c>
      <c r="L2" s="107" t="s">
        <v>175</v>
      </c>
      <c r="M2" s="107" t="s">
        <v>175</v>
      </c>
      <c r="N2" s="107" t="s">
        <v>175</v>
      </c>
      <c r="O2" s="107" t="s">
        <v>175</v>
      </c>
      <c r="P2" s="107" t="s">
        <v>175</v>
      </c>
      <c r="Q2" s="107" t="s">
        <v>175</v>
      </c>
      <c r="R2" s="107" t="s">
        <v>175</v>
      </c>
      <c r="S2" s="89"/>
      <c r="T2" s="89"/>
      <c r="U2" s="89"/>
      <c r="V2" s="89"/>
      <c r="W2" s="89"/>
      <c r="X2" s="89"/>
      <c r="Y2" s="89"/>
      <c r="Z2" s="89"/>
    </row>
    <row r="3">
      <c r="A3" s="85"/>
      <c r="B3" s="90"/>
      <c r="C3" s="91"/>
      <c r="D3" s="91"/>
      <c r="E3" s="92"/>
      <c r="F3" s="92"/>
      <c r="G3" s="92"/>
      <c r="H3" s="106">
        <v>2024.0</v>
      </c>
      <c r="I3" s="106">
        <v>2025.0</v>
      </c>
      <c r="J3" s="106">
        <v>2026.0</v>
      </c>
      <c r="K3" s="106">
        <v>2027.0</v>
      </c>
      <c r="L3" s="106">
        <v>2028.0</v>
      </c>
      <c r="M3" s="106">
        <v>2029.0</v>
      </c>
      <c r="N3" s="106">
        <v>2030.0</v>
      </c>
      <c r="O3" s="106">
        <v>2031.0</v>
      </c>
      <c r="P3" s="106">
        <v>2032.0</v>
      </c>
      <c r="Q3" s="106">
        <v>2033.0</v>
      </c>
      <c r="R3" s="106">
        <v>2034.0</v>
      </c>
      <c r="S3" s="89"/>
      <c r="T3" s="89"/>
      <c r="U3" s="89"/>
      <c r="V3" s="89"/>
      <c r="W3" s="89"/>
      <c r="X3" s="89"/>
      <c r="Y3" s="89"/>
      <c r="Z3" s="89"/>
    </row>
    <row r="4">
      <c r="A4" s="85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>
      <c r="A5" s="85"/>
      <c r="B5" s="93" t="s">
        <v>176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89"/>
      <c r="T5" s="89"/>
      <c r="U5" s="89"/>
      <c r="V5" s="89"/>
      <c r="W5" s="89"/>
      <c r="X5" s="89"/>
      <c r="Y5" s="89"/>
      <c r="Z5" s="89"/>
    </row>
    <row r="6">
      <c r="A6" s="85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>
      <c r="A7" s="85"/>
      <c r="B7" s="95" t="s">
        <v>164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89"/>
      <c r="T7" s="98"/>
      <c r="U7" s="98"/>
      <c r="V7" s="98"/>
      <c r="W7" s="98"/>
      <c r="X7" s="98"/>
      <c r="Y7" s="89"/>
      <c r="Z7" s="89"/>
    </row>
    <row r="8">
      <c r="A8" s="85"/>
      <c r="B8" s="99" t="s">
        <v>13</v>
      </c>
      <c r="C8" s="99" t="s">
        <v>165</v>
      </c>
      <c r="D8" s="99" t="s">
        <v>166</v>
      </c>
      <c r="E8" s="99" t="s">
        <v>167</v>
      </c>
      <c r="F8" s="89"/>
      <c r="G8" s="89"/>
      <c r="H8" s="108" t="s">
        <v>177</v>
      </c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98"/>
      <c r="U8" s="98"/>
      <c r="V8" s="98"/>
      <c r="W8" s="98"/>
      <c r="X8" s="98"/>
      <c r="Y8" s="89"/>
      <c r="Z8" s="89"/>
    </row>
    <row r="9">
      <c r="A9" s="85"/>
      <c r="B9" s="115">
        <v>2024.0</v>
      </c>
      <c r="C9" s="116">
        <v>3.0E8</v>
      </c>
      <c r="D9" s="116">
        <v>10.0</v>
      </c>
      <c r="E9" s="117">
        <v>0.08</v>
      </c>
      <c r="F9" s="88"/>
      <c r="G9" s="89"/>
      <c r="H9" s="118">
        <f t="shared" ref="H9:R9" si="1">IF(H$3-$B9+1&gt;$D9,0,IF(H$3-$B9+1&lt;=0,0,IFERROR(-PMT($E9,$D9,$C9,,0),0)))</f>
        <v>44708846.61</v>
      </c>
      <c r="I9" s="118">
        <f t="shared" si="1"/>
        <v>44708846.61</v>
      </c>
      <c r="J9" s="118">
        <f t="shared" si="1"/>
        <v>44708846.61</v>
      </c>
      <c r="K9" s="118">
        <f t="shared" si="1"/>
        <v>44708846.61</v>
      </c>
      <c r="L9" s="118">
        <f t="shared" si="1"/>
        <v>44708846.61</v>
      </c>
      <c r="M9" s="118">
        <f t="shared" si="1"/>
        <v>44708846.61</v>
      </c>
      <c r="N9" s="118">
        <f t="shared" si="1"/>
        <v>44708846.61</v>
      </c>
      <c r="O9" s="118">
        <f t="shared" si="1"/>
        <v>44708846.61</v>
      </c>
      <c r="P9" s="118">
        <f t="shared" si="1"/>
        <v>44708846.61</v>
      </c>
      <c r="Q9" s="118">
        <f t="shared" si="1"/>
        <v>44708846.61</v>
      </c>
      <c r="R9" s="118">
        <f t="shared" si="1"/>
        <v>0</v>
      </c>
      <c r="S9" s="89"/>
      <c r="T9" s="98"/>
      <c r="U9" s="98"/>
      <c r="V9" s="98"/>
      <c r="W9" s="98"/>
      <c r="X9" s="98"/>
      <c r="Y9" s="89"/>
      <c r="Z9" s="89"/>
    </row>
    <row r="10">
      <c r="A10" s="85"/>
      <c r="B10" s="115">
        <v>2025.0</v>
      </c>
      <c r="C10" s="119">
        <v>1.7887440094697505E8</v>
      </c>
      <c r="D10" s="116">
        <v>1.0</v>
      </c>
      <c r="E10" s="117">
        <v>0.04</v>
      </c>
      <c r="F10" s="88"/>
      <c r="G10" s="89"/>
      <c r="H10" s="118">
        <f t="shared" ref="H10:R10" si="2">IF(H$3-$B10+1&gt;$D10,0,IF(H$3-$B10+1&lt;=0,0,IFERROR(-PMT($E10,$D10,$C10,,0),0)))</f>
        <v>0</v>
      </c>
      <c r="I10" s="118">
        <f t="shared" si="2"/>
        <v>186029377</v>
      </c>
      <c r="J10" s="118">
        <f t="shared" si="2"/>
        <v>0</v>
      </c>
      <c r="K10" s="118">
        <f t="shared" si="2"/>
        <v>0</v>
      </c>
      <c r="L10" s="118">
        <f t="shared" si="2"/>
        <v>0</v>
      </c>
      <c r="M10" s="118">
        <f t="shared" si="2"/>
        <v>0</v>
      </c>
      <c r="N10" s="118">
        <f t="shared" si="2"/>
        <v>0</v>
      </c>
      <c r="O10" s="118">
        <f t="shared" si="2"/>
        <v>0</v>
      </c>
      <c r="P10" s="118">
        <f t="shared" si="2"/>
        <v>0</v>
      </c>
      <c r="Q10" s="118">
        <f t="shared" si="2"/>
        <v>0</v>
      </c>
      <c r="R10" s="118">
        <f t="shared" si="2"/>
        <v>0</v>
      </c>
      <c r="S10" s="89"/>
      <c r="T10" s="98"/>
      <c r="U10" s="98"/>
      <c r="V10" s="98"/>
      <c r="W10" s="98"/>
      <c r="X10" s="98"/>
      <c r="Y10" s="89"/>
      <c r="Z10" s="89"/>
    </row>
    <row r="11">
      <c r="A11" s="85"/>
      <c r="B11" s="115">
        <v>2026.0</v>
      </c>
      <c r="C11" s="116">
        <v>2.0E8</v>
      </c>
      <c r="D11" s="116">
        <v>5.0</v>
      </c>
      <c r="E11" s="117">
        <v>0.08</v>
      </c>
      <c r="F11" s="88"/>
      <c r="G11" s="89"/>
      <c r="H11" s="118">
        <f t="shared" ref="H11:R11" si="3">IF(H$3-$B11+1&gt;$D11,0,IF(H$3-$B11+1&lt;=0,0,IFERROR(-PMT($E11,$D11,$C11,,0),0)))</f>
        <v>0</v>
      </c>
      <c r="I11" s="118">
        <f t="shared" si="3"/>
        <v>0</v>
      </c>
      <c r="J11" s="118">
        <f t="shared" si="3"/>
        <v>50091290.91</v>
      </c>
      <c r="K11" s="118">
        <f t="shared" si="3"/>
        <v>50091290.91</v>
      </c>
      <c r="L11" s="118">
        <f t="shared" si="3"/>
        <v>50091290.91</v>
      </c>
      <c r="M11" s="118">
        <f t="shared" si="3"/>
        <v>50091290.91</v>
      </c>
      <c r="N11" s="118">
        <f t="shared" si="3"/>
        <v>50091290.91</v>
      </c>
      <c r="O11" s="118">
        <f t="shared" si="3"/>
        <v>0</v>
      </c>
      <c r="P11" s="118">
        <f t="shared" si="3"/>
        <v>0</v>
      </c>
      <c r="Q11" s="118">
        <f t="shared" si="3"/>
        <v>0</v>
      </c>
      <c r="R11" s="118">
        <f t="shared" si="3"/>
        <v>0</v>
      </c>
      <c r="S11" s="89"/>
      <c r="T11" s="98"/>
      <c r="U11" s="98"/>
      <c r="V11" s="98"/>
      <c r="W11" s="98"/>
      <c r="X11" s="98"/>
      <c r="Y11" s="89"/>
      <c r="Z11" s="89"/>
    </row>
    <row r="12">
      <c r="A12" s="85"/>
      <c r="B12" s="115">
        <v>2027.0</v>
      </c>
      <c r="C12" s="119">
        <v>2.5018346658310175E8</v>
      </c>
      <c r="D12" s="116">
        <v>1.0</v>
      </c>
      <c r="E12" s="117">
        <v>0.04</v>
      </c>
      <c r="F12" s="88"/>
      <c r="G12" s="89"/>
      <c r="H12" s="118">
        <f t="shared" ref="H12:R12" si="4">IF(H$3-$B12+1&gt;$D12,0,IF(H$3-$B12+1&lt;=0,0,IFERROR(-PMT($E12,$D12,$C12,,0),0)))</f>
        <v>0</v>
      </c>
      <c r="I12" s="118">
        <f t="shared" si="4"/>
        <v>0</v>
      </c>
      <c r="J12" s="118">
        <f t="shared" si="4"/>
        <v>0</v>
      </c>
      <c r="K12" s="118">
        <f t="shared" si="4"/>
        <v>260190805.2</v>
      </c>
      <c r="L12" s="118">
        <f t="shared" si="4"/>
        <v>0</v>
      </c>
      <c r="M12" s="118">
        <f t="shared" si="4"/>
        <v>0</v>
      </c>
      <c r="N12" s="118">
        <f t="shared" si="4"/>
        <v>0</v>
      </c>
      <c r="O12" s="118">
        <f t="shared" si="4"/>
        <v>0</v>
      </c>
      <c r="P12" s="118">
        <f t="shared" si="4"/>
        <v>0</v>
      </c>
      <c r="Q12" s="118">
        <f t="shared" si="4"/>
        <v>0</v>
      </c>
      <c r="R12" s="118">
        <f t="shared" si="4"/>
        <v>0</v>
      </c>
      <c r="S12" s="89"/>
      <c r="T12" s="98"/>
      <c r="U12" s="98"/>
      <c r="V12" s="98"/>
      <c r="W12" s="98"/>
      <c r="X12" s="98"/>
      <c r="Y12" s="89"/>
      <c r="Z12" s="89"/>
    </row>
    <row r="13">
      <c r="A13" s="85"/>
      <c r="B13" s="115">
        <v>2028.0</v>
      </c>
      <c r="C13" s="120">
        <v>2.4393152623324585E8</v>
      </c>
      <c r="D13" s="116">
        <v>1.0</v>
      </c>
      <c r="E13" s="117">
        <v>0.04</v>
      </c>
      <c r="F13" s="88"/>
      <c r="G13" s="89"/>
      <c r="H13" s="118">
        <f t="shared" ref="H13:R13" si="5">IF(H$3-$B13+1&gt;$D13,0,IF(H$3-$B13+1&lt;=0,0,IFERROR(-PMT($E13,$D13,$C13,,0),0)))</f>
        <v>0</v>
      </c>
      <c r="I13" s="118">
        <f t="shared" si="5"/>
        <v>0</v>
      </c>
      <c r="J13" s="118">
        <f t="shared" si="5"/>
        <v>0</v>
      </c>
      <c r="K13" s="118">
        <f t="shared" si="5"/>
        <v>0</v>
      </c>
      <c r="L13" s="118">
        <f t="shared" si="5"/>
        <v>253688787.3</v>
      </c>
      <c r="M13" s="118">
        <f t="shared" si="5"/>
        <v>0</v>
      </c>
      <c r="N13" s="118">
        <f t="shared" si="5"/>
        <v>0</v>
      </c>
      <c r="O13" s="118">
        <f t="shared" si="5"/>
        <v>0</v>
      </c>
      <c r="P13" s="118">
        <f t="shared" si="5"/>
        <v>0</v>
      </c>
      <c r="Q13" s="118">
        <f t="shared" si="5"/>
        <v>0</v>
      </c>
      <c r="R13" s="118">
        <f t="shared" si="5"/>
        <v>0</v>
      </c>
      <c r="S13" s="114"/>
      <c r="T13" s="98"/>
      <c r="U13" s="98"/>
      <c r="V13" s="98"/>
      <c r="W13" s="98"/>
      <c r="X13" s="98"/>
      <c r="Y13" s="89"/>
      <c r="Z13" s="89"/>
    </row>
    <row r="14">
      <c r="A14" s="85"/>
      <c r="B14" s="115">
        <v>2029.0</v>
      </c>
      <c r="C14" s="116">
        <v>1.2E8</v>
      </c>
      <c r="D14" s="116">
        <v>5.0</v>
      </c>
      <c r="E14" s="117">
        <v>0.08</v>
      </c>
      <c r="F14" s="88"/>
      <c r="G14" s="89"/>
      <c r="H14" s="118">
        <f t="shared" ref="H14:R14" si="6">IF(H$3-$B14+1&gt;$D14,0,IF(H$3-$B14+1&lt;=0,0,IFERROR(-PMT($E14,$D14,$C14,,0),0)))</f>
        <v>0</v>
      </c>
      <c r="I14" s="118">
        <f t="shared" si="6"/>
        <v>0</v>
      </c>
      <c r="J14" s="118">
        <f t="shared" si="6"/>
        <v>0</v>
      </c>
      <c r="K14" s="118">
        <f t="shared" si="6"/>
        <v>0</v>
      </c>
      <c r="L14" s="118">
        <f t="shared" si="6"/>
        <v>0</v>
      </c>
      <c r="M14" s="118">
        <f t="shared" si="6"/>
        <v>30054774.55</v>
      </c>
      <c r="N14" s="118">
        <f t="shared" si="6"/>
        <v>30054774.55</v>
      </c>
      <c r="O14" s="118">
        <f t="shared" si="6"/>
        <v>30054774.55</v>
      </c>
      <c r="P14" s="118">
        <f t="shared" si="6"/>
        <v>30054774.55</v>
      </c>
      <c r="Q14" s="118">
        <f t="shared" si="6"/>
        <v>30054774.55</v>
      </c>
      <c r="R14" s="118">
        <f t="shared" si="6"/>
        <v>0</v>
      </c>
      <c r="S14" s="89"/>
      <c r="T14" s="98"/>
      <c r="U14" s="98"/>
      <c r="V14" s="98"/>
      <c r="W14" s="98"/>
      <c r="X14" s="98"/>
      <c r="Y14" s="89"/>
      <c r="Z14" s="89"/>
    </row>
    <row r="15">
      <c r="A15" s="85"/>
      <c r="B15" s="115">
        <v>2030.0</v>
      </c>
      <c r="C15" s="120">
        <v>2.6176617028769684E8</v>
      </c>
      <c r="D15" s="115">
        <v>1.0</v>
      </c>
      <c r="E15" s="117">
        <v>0.04</v>
      </c>
      <c r="F15" s="121"/>
      <c r="G15" s="121"/>
      <c r="H15" s="118">
        <f t="shared" ref="H15:R15" si="7">IF(H$3-$B15+1&gt;$D15,0,IF(H$3-$B15+1&lt;=0,0,IFERROR(-PMT($E15,$D15,$C15,,0),0)))</f>
        <v>0</v>
      </c>
      <c r="I15" s="118">
        <f t="shared" si="7"/>
        <v>0</v>
      </c>
      <c r="J15" s="118">
        <f t="shared" si="7"/>
        <v>0</v>
      </c>
      <c r="K15" s="118">
        <f t="shared" si="7"/>
        <v>0</v>
      </c>
      <c r="L15" s="118">
        <f t="shared" si="7"/>
        <v>0</v>
      </c>
      <c r="M15" s="118">
        <f t="shared" si="7"/>
        <v>0</v>
      </c>
      <c r="N15" s="118">
        <f t="shared" si="7"/>
        <v>272236817.1</v>
      </c>
      <c r="O15" s="118">
        <f t="shared" si="7"/>
        <v>0</v>
      </c>
      <c r="P15" s="118">
        <f t="shared" si="7"/>
        <v>0</v>
      </c>
      <c r="Q15" s="118">
        <f t="shared" si="7"/>
        <v>0</v>
      </c>
      <c r="R15" s="118">
        <f t="shared" si="7"/>
        <v>0</v>
      </c>
      <c r="S15" s="89"/>
      <c r="T15" s="89"/>
      <c r="U15" s="89"/>
      <c r="V15" s="89"/>
      <c r="W15" s="89"/>
      <c r="X15" s="89"/>
      <c r="Y15" s="89"/>
      <c r="Z15" s="89"/>
    </row>
    <row r="16">
      <c r="A16" s="85"/>
      <c r="B16" s="115">
        <v>2031.0</v>
      </c>
      <c r="C16" s="119">
        <v>6.675446345629272E8</v>
      </c>
      <c r="D16" s="116">
        <v>1.0</v>
      </c>
      <c r="E16" s="117">
        <v>0.04</v>
      </c>
      <c r="F16" s="121"/>
      <c r="G16" s="121"/>
      <c r="H16" s="118">
        <f t="shared" ref="H16:R16" si="8">IF(H$3-$B16+1&gt;$D16,0,IF(H$3-$B16+1&lt;=0,0,IFERROR(-PMT($E16,$D16,$C16,,0),0)))</f>
        <v>0</v>
      </c>
      <c r="I16" s="118">
        <f t="shared" si="8"/>
        <v>0</v>
      </c>
      <c r="J16" s="118">
        <f t="shared" si="8"/>
        <v>0</v>
      </c>
      <c r="K16" s="118">
        <f t="shared" si="8"/>
        <v>0</v>
      </c>
      <c r="L16" s="118">
        <f t="shared" si="8"/>
        <v>0</v>
      </c>
      <c r="M16" s="118">
        <f t="shared" si="8"/>
        <v>0</v>
      </c>
      <c r="N16" s="118">
        <f t="shared" si="8"/>
        <v>0</v>
      </c>
      <c r="O16" s="118">
        <f t="shared" si="8"/>
        <v>694246419.9</v>
      </c>
      <c r="P16" s="118">
        <f t="shared" si="8"/>
        <v>0</v>
      </c>
      <c r="Q16" s="118">
        <f t="shared" si="8"/>
        <v>0</v>
      </c>
      <c r="R16" s="118">
        <f t="shared" si="8"/>
        <v>0</v>
      </c>
      <c r="S16" s="89"/>
      <c r="T16" s="89"/>
      <c r="U16" s="89"/>
      <c r="V16" s="89"/>
      <c r="W16" s="89"/>
      <c r="X16" s="89"/>
      <c r="Y16" s="89"/>
      <c r="Z16" s="89"/>
    </row>
    <row r="17">
      <c r="A17" s="85"/>
      <c r="B17" s="122">
        <v>2032.0</v>
      </c>
      <c r="C17" s="123">
        <f>'Input-Financing'!C15</f>
        <v>400000000</v>
      </c>
      <c r="D17" s="122">
        <f>'Input-Financing'!D15</f>
        <v>10</v>
      </c>
      <c r="E17" s="124">
        <f>'Input-Financing'!E15</f>
        <v>0.08</v>
      </c>
      <c r="F17" s="125"/>
      <c r="G17" s="125"/>
      <c r="H17" s="126">
        <f t="shared" ref="H17:R17" si="9">IF(H$3-$B17+1&gt;$D17,0,IF(H$3-$B17+1&lt;=0,0,IFERROR(-PMT($E17,$D17,$C17,,0),0)))</f>
        <v>0</v>
      </c>
      <c r="I17" s="126">
        <f t="shared" si="9"/>
        <v>0</v>
      </c>
      <c r="J17" s="126">
        <f t="shared" si="9"/>
        <v>0</v>
      </c>
      <c r="K17" s="126">
        <f t="shared" si="9"/>
        <v>0</v>
      </c>
      <c r="L17" s="126">
        <f t="shared" si="9"/>
        <v>0</v>
      </c>
      <c r="M17" s="126">
        <f t="shared" si="9"/>
        <v>0</v>
      </c>
      <c r="N17" s="126">
        <f t="shared" si="9"/>
        <v>0</v>
      </c>
      <c r="O17" s="126">
        <f t="shared" si="9"/>
        <v>0</v>
      </c>
      <c r="P17" s="126">
        <f t="shared" si="9"/>
        <v>59611795.48</v>
      </c>
      <c r="Q17" s="126">
        <f t="shared" si="9"/>
        <v>59611795.48</v>
      </c>
      <c r="R17" s="126">
        <f t="shared" si="9"/>
        <v>59611795.48</v>
      </c>
      <c r="S17" s="89"/>
      <c r="T17" s="89"/>
      <c r="U17" s="89"/>
      <c r="V17" s="89"/>
      <c r="W17" s="89"/>
      <c r="X17" s="89"/>
      <c r="Y17" s="89"/>
      <c r="Z17" s="89"/>
    </row>
    <row r="18">
      <c r="A18" s="85"/>
      <c r="B18" s="127" t="s">
        <v>178</v>
      </c>
      <c r="C18" s="121"/>
      <c r="D18" s="121"/>
      <c r="E18" s="121"/>
      <c r="F18" s="121"/>
      <c r="G18" s="121"/>
      <c r="H18" s="128">
        <f t="shared" ref="H18:R18" si="10">SUM(H9:H17)</f>
        <v>44708846.61</v>
      </c>
      <c r="I18" s="128">
        <f t="shared" si="10"/>
        <v>230738223.6</v>
      </c>
      <c r="J18" s="128">
        <f t="shared" si="10"/>
        <v>94800137.52</v>
      </c>
      <c r="K18" s="128">
        <f t="shared" si="10"/>
        <v>354990942.8</v>
      </c>
      <c r="L18" s="128">
        <f t="shared" si="10"/>
        <v>348488924.8</v>
      </c>
      <c r="M18" s="128">
        <f t="shared" si="10"/>
        <v>124854912.1</v>
      </c>
      <c r="N18" s="128">
        <f t="shared" si="10"/>
        <v>397091729.2</v>
      </c>
      <c r="O18" s="128">
        <f t="shared" si="10"/>
        <v>769010041.1</v>
      </c>
      <c r="P18" s="128">
        <f t="shared" si="10"/>
        <v>134375416.6</v>
      </c>
      <c r="Q18" s="128">
        <f t="shared" si="10"/>
        <v>134375416.6</v>
      </c>
      <c r="R18" s="128">
        <f t="shared" si="10"/>
        <v>59611795.48</v>
      </c>
      <c r="S18" s="89"/>
      <c r="T18" s="89"/>
      <c r="U18" s="89"/>
      <c r="V18" s="89"/>
      <c r="W18" s="89"/>
      <c r="X18" s="89"/>
      <c r="Y18" s="89"/>
      <c r="Z18" s="89"/>
    </row>
    <row r="19">
      <c r="A19" s="85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>
      <c r="A20" s="85"/>
      <c r="B20" s="95" t="s">
        <v>179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89"/>
      <c r="T20" s="89"/>
      <c r="U20" s="89"/>
      <c r="V20" s="89"/>
      <c r="W20" s="89"/>
      <c r="X20" s="89"/>
      <c r="Y20" s="89"/>
      <c r="Z20" s="89"/>
    </row>
    <row r="21">
      <c r="A21" s="85"/>
      <c r="B21" s="99" t="s">
        <v>13</v>
      </c>
      <c r="C21" s="99" t="s">
        <v>165</v>
      </c>
      <c r="D21" s="99" t="s">
        <v>166</v>
      </c>
      <c r="E21" s="99" t="s">
        <v>167</v>
      </c>
      <c r="F21" s="89"/>
      <c r="G21" s="89"/>
      <c r="H21" s="108" t="s">
        <v>180</v>
      </c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>
      <c r="A22" s="85"/>
      <c r="B22" s="115">
        <v>2024.0</v>
      </c>
      <c r="C22" s="129">
        <v>3.0E8</v>
      </c>
      <c r="D22" s="116">
        <v>10.0</v>
      </c>
      <c r="E22" s="117">
        <v>0.08</v>
      </c>
      <c r="F22" s="88"/>
      <c r="G22" s="89"/>
      <c r="H22" s="118">
        <f t="shared" ref="H22:R22" si="11">IF(H$3-$B22+1&gt;$D22,0,IF(H$3-$B22+1&lt;=0,0,IFERROR(-IPMT($E22,H$3-$B22+1,$D22,$C22,,0),0)))</f>
        <v>24000000</v>
      </c>
      <c r="I22" s="118">
        <f t="shared" si="11"/>
        <v>22343292.27</v>
      </c>
      <c r="J22" s="118">
        <f t="shared" si="11"/>
        <v>20554047.92</v>
      </c>
      <c r="K22" s="118">
        <f t="shared" si="11"/>
        <v>18621664.03</v>
      </c>
      <c r="L22" s="118">
        <f t="shared" si="11"/>
        <v>16534689.42</v>
      </c>
      <c r="M22" s="118">
        <f t="shared" si="11"/>
        <v>14280756.85</v>
      </c>
      <c r="N22" s="118">
        <f t="shared" si="11"/>
        <v>11846509.67</v>
      </c>
      <c r="O22" s="118">
        <f t="shared" si="11"/>
        <v>9217522.712</v>
      </c>
      <c r="P22" s="118">
        <f t="shared" si="11"/>
        <v>6378216.8</v>
      </c>
      <c r="Q22" s="118">
        <f t="shared" si="11"/>
        <v>3311766.415</v>
      </c>
      <c r="R22" s="118">
        <f t="shared" si="11"/>
        <v>0</v>
      </c>
      <c r="S22" s="89"/>
      <c r="T22" s="89"/>
      <c r="U22" s="89"/>
      <c r="V22" s="89"/>
      <c r="W22" s="89"/>
      <c r="X22" s="89"/>
      <c r="Y22" s="89"/>
      <c r="Z22" s="89"/>
    </row>
    <row r="23">
      <c r="A23" s="85"/>
      <c r="B23" s="115">
        <v>2025.0</v>
      </c>
      <c r="C23" s="129">
        <v>1.8E8</v>
      </c>
      <c r="D23" s="116">
        <v>5.0</v>
      </c>
      <c r="E23" s="117">
        <v>0.08</v>
      </c>
      <c r="F23" s="88"/>
      <c r="G23" s="89"/>
      <c r="H23" s="118">
        <f t="shared" ref="H23:R23" si="12">IF(H$3-$B23+1&gt;$D23,0,IF(H$3-$B23+1&lt;=0,0,IFERROR(-IPMT($E23,H$3-$B23+1,$D23,$C23,,0),0)))</f>
        <v>0</v>
      </c>
      <c r="I23" s="118">
        <f t="shared" si="12"/>
        <v>14400000</v>
      </c>
      <c r="J23" s="118">
        <f t="shared" si="12"/>
        <v>11945427.05</v>
      </c>
      <c r="K23" s="118">
        <f t="shared" si="12"/>
        <v>9294488.273</v>
      </c>
      <c r="L23" s="118">
        <f t="shared" si="12"/>
        <v>6431474.389</v>
      </c>
      <c r="M23" s="118">
        <f t="shared" si="12"/>
        <v>3339419.394</v>
      </c>
      <c r="N23" s="118">
        <f t="shared" si="12"/>
        <v>0</v>
      </c>
      <c r="O23" s="118">
        <f t="shared" si="12"/>
        <v>0</v>
      </c>
      <c r="P23" s="118">
        <f t="shared" si="12"/>
        <v>0</v>
      </c>
      <c r="Q23" s="118">
        <f t="shared" si="12"/>
        <v>0</v>
      </c>
      <c r="R23" s="118">
        <f t="shared" si="12"/>
        <v>0</v>
      </c>
      <c r="S23" s="89"/>
      <c r="T23" s="89"/>
      <c r="U23" s="89"/>
      <c r="V23" s="89"/>
      <c r="W23" s="89"/>
      <c r="X23" s="89"/>
      <c r="Y23" s="89"/>
      <c r="Z23" s="89"/>
    </row>
    <row r="24">
      <c r="A24" s="85"/>
      <c r="B24" s="115">
        <v>2026.0</v>
      </c>
      <c r="C24" s="129">
        <v>1.2E8</v>
      </c>
      <c r="D24" s="116">
        <v>5.0</v>
      </c>
      <c r="E24" s="117">
        <v>0.08</v>
      </c>
      <c r="F24" s="88"/>
      <c r="G24" s="89"/>
      <c r="H24" s="118">
        <f t="shared" ref="H24:R24" si="13">IF(H$3-$B24+1&gt;$D24,0,IF(H$3-$B24+1&lt;=0,0,IFERROR(-IPMT($E24,H$3-$B24+1,$D24,$C24,,0),0)))</f>
        <v>0</v>
      </c>
      <c r="I24" s="118">
        <f t="shared" si="13"/>
        <v>0</v>
      </c>
      <c r="J24" s="118">
        <f t="shared" si="13"/>
        <v>9600000</v>
      </c>
      <c r="K24" s="118">
        <f t="shared" si="13"/>
        <v>7963618.036</v>
      </c>
      <c r="L24" s="118">
        <f t="shared" si="13"/>
        <v>6196325.515</v>
      </c>
      <c r="M24" s="118">
        <f t="shared" si="13"/>
        <v>4287649.593</v>
      </c>
      <c r="N24" s="118">
        <f t="shared" si="13"/>
        <v>2226279.596</v>
      </c>
      <c r="O24" s="118">
        <f t="shared" si="13"/>
        <v>0</v>
      </c>
      <c r="P24" s="118">
        <f t="shared" si="13"/>
        <v>0</v>
      </c>
      <c r="Q24" s="118">
        <f t="shared" si="13"/>
        <v>0</v>
      </c>
      <c r="R24" s="118">
        <f t="shared" si="13"/>
        <v>0</v>
      </c>
      <c r="S24" s="89"/>
      <c r="T24" s="89"/>
      <c r="U24" s="89"/>
      <c r="V24" s="89"/>
      <c r="W24" s="89"/>
      <c r="X24" s="89"/>
      <c r="Y24" s="89"/>
      <c r="Z24" s="89"/>
    </row>
    <row r="25">
      <c r="A25" s="85"/>
      <c r="B25" s="122">
        <v>2027.0</v>
      </c>
      <c r="C25" s="123">
        <f>'Input-Financing'!C15</f>
        <v>400000000</v>
      </c>
      <c r="D25" s="122">
        <f>'Input-Financing'!D15</f>
        <v>10</v>
      </c>
      <c r="E25" s="124">
        <f>'Input-Financing'!E15</f>
        <v>0.08</v>
      </c>
      <c r="F25" s="125"/>
      <c r="G25" s="125"/>
      <c r="H25" s="126">
        <f t="shared" ref="H25:R25" si="14">IF(H$3-$B25+1&gt;$D25,0,IF(H$3-$B25+1&lt;=0,0,IFERROR(-IPMT($E25,H$3-$B25+1,$D25,$C25,,0),0)))</f>
        <v>0</v>
      </c>
      <c r="I25" s="126">
        <f t="shared" si="14"/>
        <v>0</v>
      </c>
      <c r="J25" s="126">
        <f t="shared" si="14"/>
        <v>0</v>
      </c>
      <c r="K25" s="126">
        <f t="shared" si="14"/>
        <v>32000000</v>
      </c>
      <c r="L25" s="126">
        <f t="shared" si="14"/>
        <v>29791056.36</v>
      </c>
      <c r="M25" s="126">
        <f t="shared" si="14"/>
        <v>27405397.23</v>
      </c>
      <c r="N25" s="126">
        <f t="shared" si="14"/>
        <v>24828885.37</v>
      </c>
      <c r="O25" s="126">
        <f t="shared" si="14"/>
        <v>22046252.56</v>
      </c>
      <c r="P25" s="126">
        <f t="shared" si="14"/>
        <v>19041009.13</v>
      </c>
      <c r="Q25" s="126">
        <f t="shared" si="14"/>
        <v>15795346.22</v>
      </c>
      <c r="R25" s="126">
        <f t="shared" si="14"/>
        <v>12290030.28</v>
      </c>
      <c r="S25" s="89"/>
      <c r="T25" s="89"/>
      <c r="U25" s="89"/>
      <c r="V25" s="89"/>
      <c r="W25" s="89"/>
      <c r="X25" s="89"/>
      <c r="Y25" s="89"/>
      <c r="Z25" s="89"/>
    </row>
    <row r="26">
      <c r="A26" s="85"/>
      <c r="B26" s="127" t="s">
        <v>181</v>
      </c>
      <c r="C26" s="121"/>
      <c r="D26" s="121"/>
      <c r="E26" s="121"/>
      <c r="F26" s="121"/>
      <c r="G26" s="121"/>
      <c r="H26" s="128">
        <f t="shared" ref="H26:R26" si="15">SUM(H22:H25)</f>
        <v>24000000</v>
      </c>
      <c r="I26" s="128">
        <f t="shared" si="15"/>
        <v>36743292.27</v>
      </c>
      <c r="J26" s="128">
        <f t="shared" si="15"/>
        <v>42099474.98</v>
      </c>
      <c r="K26" s="128">
        <f t="shared" si="15"/>
        <v>67879770.34</v>
      </c>
      <c r="L26" s="128">
        <f t="shared" si="15"/>
        <v>58953545.69</v>
      </c>
      <c r="M26" s="128">
        <f t="shared" si="15"/>
        <v>49313223.07</v>
      </c>
      <c r="N26" s="128">
        <f t="shared" si="15"/>
        <v>38901674.64</v>
      </c>
      <c r="O26" s="128">
        <f t="shared" si="15"/>
        <v>31263775.28</v>
      </c>
      <c r="P26" s="128">
        <f t="shared" si="15"/>
        <v>25419225.93</v>
      </c>
      <c r="Q26" s="128">
        <f t="shared" si="15"/>
        <v>19107112.64</v>
      </c>
      <c r="R26" s="128">
        <f t="shared" si="15"/>
        <v>12290030.28</v>
      </c>
      <c r="S26" s="89"/>
      <c r="T26" s="89"/>
      <c r="U26" s="89"/>
      <c r="V26" s="89"/>
      <c r="W26" s="89"/>
      <c r="X26" s="89"/>
      <c r="Y26" s="89"/>
      <c r="Z26" s="89"/>
    </row>
    <row r="27">
      <c r="A27" s="85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>
      <c r="A28" s="85"/>
      <c r="B28" s="95" t="s">
        <v>182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89"/>
      <c r="T28" s="89"/>
      <c r="U28" s="89"/>
      <c r="V28" s="89"/>
      <c r="W28" s="89"/>
      <c r="X28" s="89"/>
      <c r="Y28" s="89"/>
      <c r="Z28" s="89"/>
    </row>
    <row r="29">
      <c r="A29" s="85"/>
      <c r="B29" s="108" t="s">
        <v>162</v>
      </c>
      <c r="C29" s="89"/>
      <c r="D29" s="89"/>
      <c r="E29" s="89"/>
      <c r="F29" s="89"/>
      <c r="G29" s="89"/>
      <c r="H29" s="130">
        <v>0.0</v>
      </c>
      <c r="I29" s="114">
        <f t="shared" ref="I29:R29" si="16">H32</f>
        <v>279291153.4</v>
      </c>
      <c r="J29" s="114">
        <f t="shared" si="16"/>
        <v>264170623</v>
      </c>
      <c r="K29" s="114">
        <f t="shared" si="16"/>
        <v>411469960.5</v>
      </c>
      <c r="L29" s="114">
        <f t="shared" si="16"/>
        <v>374542254.6</v>
      </c>
      <c r="M29" s="114">
        <f t="shared" si="16"/>
        <v>328938401.7</v>
      </c>
      <c r="N29" s="114">
        <f t="shared" si="16"/>
        <v>373396712.7</v>
      </c>
      <c r="O29" s="114">
        <f t="shared" si="16"/>
        <v>276972828.5</v>
      </c>
      <c r="P29" s="114">
        <f t="shared" si="16"/>
        <v>206771197.2</v>
      </c>
      <c r="Q29" s="114">
        <f t="shared" si="16"/>
        <v>497815006.5</v>
      </c>
      <c r="R29" s="114">
        <f t="shared" si="16"/>
        <v>382546702.5</v>
      </c>
      <c r="S29" s="89"/>
      <c r="T29" s="98"/>
      <c r="U29" s="98"/>
      <c r="V29" s="98"/>
      <c r="W29" s="98"/>
      <c r="X29" s="98"/>
      <c r="Y29" s="89"/>
      <c r="Z29" s="89"/>
    </row>
    <row r="30">
      <c r="A30" s="85"/>
      <c r="B30" s="108" t="s">
        <v>183</v>
      </c>
      <c r="C30" s="89"/>
      <c r="D30" s="89"/>
      <c r="E30" s="89"/>
      <c r="F30" s="89"/>
      <c r="G30" s="89"/>
      <c r="H30" s="114">
        <f t="shared" ref="H30:R30" si="17">SUMIF($B$9:$B$17,H3,$C$9:$C$17)</f>
        <v>300000000</v>
      </c>
      <c r="I30" s="114">
        <f t="shared" si="17"/>
        <v>178874400.9</v>
      </c>
      <c r="J30" s="114">
        <f t="shared" si="17"/>
        <v>200000000</v>
      </c>
      <c r="K30" s="114">
        <f t="shared" si="17"/>
        <v>250183466.6</v>
      </c>
      <c r="L30" s="114">
        <f t="shared" si="17"/>
        <v>243931526.2</v>
      </c>
      <c r="M30" s="114">
        <f t="shared" si="17"/>
        <v>120000000</v>
      </c>
      <c r="N30" s="114">
        <f t="shared" si="17"/>
        <v>261766170.3</v>
      </c>
      <c r="O30" s="114">
        <f t="shared" si="17"/>
        <v>667544634.6</v>
      </c>
      <c r="P30" s="114">
        <f t="shared" si="17"/>
        <v>400000000</v>
      </c>
      <c r="Q30" s="114">
        <f t="shared" si="17"/>
        <v>0</v>
      </c>
      <c r="R30" s="114">
        <f t="shared" si="17"/>
        <v>0</v>
      </c>
      <c r="S30" s="89"/>
      <c r="T30" s="98"/>
      <c r="U30" s="98"/>
      <c r="V30" s="98"/>
      <c r="W30" s="98"/>
      <c r="X30" s="98"/>
      <c r="Y30" s="89"/>
      <c r="Z30" s="89"/>
    </row>
    <row r="31">
      <c r="A31" s="85"/>
      <c r="B31" s="131" t="s">
        <v>184</v>
      </c>
      <c r="C31" s="132"/>
      <c r="D31" s="132"/>
      <c r="E31" s="132"/>
      <c r="F31" s="132"/>
      <c r="G31" s="132"/>
      <c r="H31" s="133">
        <f t="shared" ref="H31:R31" si="18">H18-H26</f>
        <v>20708846.61</v>
      </c>
      <c r="I31" s="133">
        <f t="shared" si="18"/>
        <v>193994931.3</v>
      </c>
      <c r="J31" s="133">
        <f t="shared" si="18"/>
        <v>52700662.54</v>
      </c>
      <c r="K31" s="133">
        <f t="shared" si="18"/>
        <v>287111172.4</v>
      </c>
      <c r="L31" s="133">
        <f t="shared" si="18"/>
        <v>289535379.1</v>
      </c>
      <c r="M31" s="133">
        <f t="shared" si="18"/>
        <v>75541689</v>
      </c>
      <c r="N31" s="133">
        <f t="shared" si="18"/>
        <v>358190054.5</v>
      </c>
      <c r="O31" s="133">
        <f t="shared" si="18"/>
        <v>737746265.8</v>
      </c>
      <c r="P31" s="133">
        <f t="shared" si="18"/>
        <v>108956190.7</v>
      </c>
      <c r="Q31" s="133">
        <f t="shared" si="18"/>
        <v>115268304</v>
      </c>
      <c r="R31" s="133">
        <f t="shared" si="18"/>
        <v>47321765.2</v>
      </c>
      <c r="S31" s="89"/>
      <c r="T31" s="98"/>
      <c r="U31" s="98"/>
      <c r="V31" s="98"/>
      <c r="W31" s="98"/>
      <c r="X31" s="98"/>
      <c r="Y31" s="89"/>
      <c r="Z31" s="89"/>
    </row>
    <row r="32">
      <c r="A32" s="85"/>
      <c r="B32" s="127" t="s">
        <v>185</v>
      </c>
      <c r="C32" s="121"/>
      <c r="D32" s="121"/>
      <c r="E32" s="121"/>
      <c r="F32" s="121"/>
      <c r="G32" s="121"/>
      <c r="H32" s="128">
        <f t="shared" ref="H32:R32" si="19">H29+H30-H31</f>
        <v>279291153.4</v>
      </c>
      <c r="I32" s="128">
        <f t="shared" si="19"/>
        <v>264170623</v>
      </c>
      <c r="J32" s="128">
        <f t="shared" si="19"/>
        <v>411469960.5</v>
      </c>
      <c r="K32" s="128">
        <f t="shared" si="19"/>
        <v>374542254.6</v>
      </c>
      <c r="L32" s="128">
        <f t="shared" si="19"/>
        <v>328938401.7</v>
      </c>
      <c r="M32" s="128">
        <f t="shared" si="19"/>
        <v>373396712.7</v>
      </c>
      <c r="N32" s="128">
        <f t="shared" si="19"/>
        <v>276972828.5</v>
      </c>
      <c r="O32" s="128">
        <f t="shared" si="19"/>
        <v>206771197.2</v>
      </c>
      <c r="P32" s="128">
        <f t="shared" si="19"/>
        <v>497815006.5</v>
      </c>
      <c r="Q32" s="128">
        <f t="shared" si="19"/>
        <v>382546702.5</v>
      </c>
      <c r="R32" s="128">
        <f t="shared" si="19"/>
        <v>335224937.3</v>
      </c>
      <c r="S32" s="89"/>
      <c r="T32" s="98"/>
      <c r="U32" s="98"/>
      <c r="V32" s="98"/>
      <c r="W32" s="98"/>
      <c r="X32" s="98"/>
      <c r="Y32" s="89"/>
      <c r="Z32" s="89"/>
    </row>
    <row r="33">
      <c r="A33" s="85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98"/>
      <c r="U33" s="98"/>
      <c r="V33" s="98"/>
      <c r="W33" s="98"/>
      <c r="X33" s="98"/>
      <c r="Y33" s="89"/>
      <c r="Z33" s="89"/>
    </row>
    <row r="34">
      <c r="A34" s="85"/>
      <c r="B34" s="93" t="s">
        <v>186</v>
      </c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89"/>
      <c r="T34" s="89"/>
      <c r="U34" s="89"/>
      <c r="V34" s="89"/>
      <c r="W34" s="89"/>
      <c r="X34" s="89"/>
      <c r="Y34" s="89"/>
      <c r="Z34" s="89"/>
    </row>
    <row r="35">
      <c r="A35" s="85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>
      <c r="A36" s="85"/>
      <c r="B36" s="108" t="s">
        <v>162</v>
      </c>
      <c r="C36" s="89"/>
      <c r="D36" s="89"/>
      <c r="E36" s="89"/>
      <c r="F36" s="89"/>
      <c r="G36" s="89"/>
      <c r="H36" s="134">
        <v>0.0</v>
      </c>
      <c r="I36" s="114">
        <f t="shared" ref="I36:R36" si="20">H39</f>
        <v>-160200000</v>
      </c>
      <c r="J36" s="114">
        <f t="shared" si="20"/>
        <v>-160200000</v>
      </c>
      <c r="K36" s="114">
        <f t="shared" si="20"/>
        <v>1839800000</v>
      </c>
      <c r="L36" s="114">
        <f t="shared" si="20"/>
        <v>2500000000</v>
      </c>
      <c r="M36" s="114">
        <f t="shared" si="20"/>
        <v>1000000000</v>
      </c>
      <c r="N36" s="114">
        <f t="shared" si="20"/>
        <v>5000000000</v>
      </c>
      <c r="O36" s="114">
        <f t="shared" si="20"/>
        <v>5000000000</v>
      </c>
      <c r="P36" s="114">
        <f t="shared" si="20"/>
        <v>5000000000</v>
      </c>
      <c r="Q36" s="114">
        <f t="shared" si="20"/>
        <v>5000000000</v>
      </c>
      <c r="R36" s="114">
        <f t="shared" si="20"/>
        <v>5000000000</v>
      </c>
      <c r="S36" s="89"/>
      <c r="T36" s="89"/>
      <c r="U36" s="89"/>
      <c r="V36" s="89"/>
      <c r="W36" s="89"/>
      <c r="X36" s="89"/>
      <c r="Y36" s="89"/>
      <c r="Z36" s="89"/>
    </row>
    <row r="37">
      <c r="A37" s="85"/>
      <c r="B37" s="89" t="s">
        <v>165</v>
      </c>
      <c r="C37" s="89"/>
      <c r="D37" s="89"/>
      <c r="E37" s="89"/>
      <c r="F37" s="89"/>
      <c r="G37" s="89"/>
      <c r="H37" s="113">
        <f>'Input-Financing'!H20</f>
        <v>-160200000</v>
      </c>
      <c r="I37" s="113">
        <f>'Input-Financing'!I20</f>
        <v>0</v>
      </c>
      <c r="J37" s="113">
        <f>'Input-Financing'!J20</f>
        <v>2000000000</v>
      </c>
      <c r="K37" s="113">
        <f>'Input-Financing'!K20</f>
        <v>2500000000</v>
      </c>
      <c r="L37" s="113">
        <f>'Input-Financing'!L20</f>
        <v>0</v>
      </c>
      <c r="M37" s="113">
        <f>'Input-Financing'!M20</f>
        <v>5000000000</v>
      </c>
      <c r="N37" s="113">
        <f>'Input-Financing'!N20</f>
        <v>0</v>
      </c>
      <c r="O37" s="113">
        <f>'Input-Financing'!O20</f>
        <v>0</v>
      </c>
      <c r="P37" s="113">
        <f>'Input-Financing'!P20</f>
        <v>0</v>
      </c>
      <c r="Q37" s="113">
        <f>'Input-Financing'!Q20</f>
        <v>0</v>
      </c>
      <c r="R37" s="113">
        <f>'Input-Financing'!R20</f>
        <v>0</v>
      </c>
      <c r="S37" s="89"/>
      <c r="T37" s="89"/>
      <c r="U37" s="89"/>
      <c r="V37" s="89"/>
      <c r="W37" s="89"/>
      <c r="X37" s="89"/>
      <c r="Y37" s="89"/>
      <c r="Z37" s="89"/>
    </row>
    <row r="38">
      <c r="A38" s="85"/>
      <c r="B38" s="131" t="s">
        <v>169</v>
      </c>
      <c r="C38" s="132"/>
      <c r="D38" s="132"/>
      <c r="E38" s="132"/>
      <c r="F38" s="132"/>
      <c r="G38" s="132"/>
      <c r="H38" s="135">
        <v>0.0</v>
      </c>
      <c r="I38" s="135">
        <v>0.0</v>
      </c>
      <c r="J38" s="135">
        <v>0.0</v>
      </c>
      <c r="K38" s="135">
        <f>-K36</f>
        <v>-1839800000</v>
      </c>
      <c r="L38" s="135">
        <f>-K37*60%</f>
        <v>-1500000000</v>
      </c>
      <c r="M38" s="135">
        <f>-M36</f>
        <v>-1000000000</v>
      </c>
      <c r="N38" s="135">
        <v>0.0</v>
      </c>
      <c r="O38" s="135">
        <v>0.0</v>
      </c>
      <c r="P38" s="135">
        <v>0.0</v>
      </c>
      <c r="Q38" s="135">
        <v>0.0</v>
      </c>
      <c r="R38" s="135">
        <v>0.0</v>
      </c>
      <c r="S38" s="89"/>
      <c r="T38" s="89"/>
      <c r="U38" s="89"/>
      <c r="V38" s="89"/>
      <c r="W38" s="89"/>
      <c r="X38" s="89"/>
      <c r="Y38" s="89"/>
      <c r="Z38" s="89"/>
    </row>
    <row r="39">
      <c r="A39" s="85"/>
      <c r="B39" s="127" t="s">
        <v>185</v>
      </c>
      <c r="C39" s="121"/>
      <c r="D39" s="121"/>
      <c r="E39" s="121"/>
      <c r="F39" s="121"/>
      <c r="G39" s="121"/>
      <c r="H39" s="128">
        <f t="shared" ref="H39:R39" si="21">H36+H37+H38</f>
        <v>-160200000</v>
      </c>
      <c r="I39" s="128">
        <f t="shared" si="21"/>
        <v>-160200000</v>
      </c>
      <c r="J39" s="128">
        <f t="shared" si="21"/>
        <v>1839800000</v>
      </c>
      <c r="K39" s="128">
        <f t="shared" si="21"/>
        <v>2500000000</v>
      </c>
      <c r="L39" s="128">
        <f t="shared" si="21"/>
        <v>1000000000</v>
      </c>
      <c r="M39" s="128">
        <f t="shared" si="21"/>
        <v>5000000000</v>
      </c>
      <c r="N39" s="128">
        <f t="shared" si="21"/>
        <v>5000000000</v>
      </c>
      <c r="O39" s="128">
        <f t="shared" si="21"/>
        <v>5000000000</v>
      </c>
      <c r="P39" s="128">
        <f t="shared" si="21"/>
        <v>5000000000</v>
      </c>
      <c r="Q39" s="128">
        <f t="shared" si="21"/>
        <v>5000000000</v>
      </c>
      <c r="R39" s="128">
        <f t="shared" si="21"/>
        <v>5000000000</v>
      </c>
      <c r="S39" s="89"/>
      <c r="T39" s="89"/>
      <c r="U39" s="89"/>
      <c r="V39" s="89"/>
      <c r="W39" s="89"/>
      <c r="X39" s="89"/>
      <c r="Y39" s="89"/>
      <c r="Z39" s="89"/>
    </row>
    <row r="40">
      <c r="A40" s="85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>
      <c r="A41" s="85"/>
      <c r="B41" s="136" t="s">
        <v>187</v>
      </c>
      <c r="C41" s="132"/>
      <c r="D41" s="132"/>
      <c r="E41" s="132"/>
      <c r="F41" s="132"/>
      <c r="G41" s="132"/>
      <c r="H41" s="137">
        <v>0.0</v>
      </c>
      <c r="I41" s="137">
        <v>0.0</v>
      </c>
      <c r="J41" s="137">
        <v>0.05</v>
      </c>
      <c r="K41" s="137">
        <v>0.15</v>
      </c>
      <c r="L41" s="137">
        <v>0.2</v>
      </c>
      <c r="M41" s="137">
        <v>0.25</v>
      </c>
      <c r="N41" s="137">
        <v>0.25</v>
      </c>
      <c r="O41" s="137">
        <v>0.25</v>
      </c>
      <c r="P41" s="137">
        <v>0.25</v>
      </c>
      <c r="Q41" s="137">
        <v>0.25</v>
      </c>
      <c r="R41" s="137">
        <v>0.25</v>
      </c>
      <c r="S41" s="89"/>
      <c r="T41" s="89"/>
      <c r="U41" s="89"/>
      <c r="V41" s="89"/>
      <c r="W41" s="89"/>
      <c r="X41" s="89"/>
      <c r="Y41" s="89"/>
      <c r="Z41" s="89"/>
    </row>
    <row r="42">
      <c r="A42" s="85"/>
      <c r="B42" s="127" t="s">
        <v>188</v>
      </c>
      <c r="C42" s="89"/>
      <c r="D42" s="89"/>
      <c r="E42" s="89"/>
      <c r="F42" s="89"/>
      <c r="G42" s="89"/>
      <c r="H42" s="114">
        <f>H41*H50</f>
        <v>0</v>
      </c>
      <c r="I42" s="114">
        <f>-round(I41*I50,-2)</f>
        <v>0</v>
      </c>
      <c r="J42" s="114">
        <f t="shared" ref="J42:M42" si="22">round(J41*J50,-2)</f>
        <v>118884100</v>
      </c>
      <c r="K42" s="114">
        <f t="shared" si="22"/>
        <v>2603294500</v>
      </c>
      <c r="L42" s="114">
        <f t="shared" si="22"/>
        <v>10232745800</v>
      </c>
      <c r="M42" s="114">
        <f t="shared" si="22"/>
        <v>20662091200</v>
      </c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>
      <c r="A43" s="85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>
      <c r="A44" s="85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>
      <c r="A45" s="85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>
      <c r="A46" s="85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>
      <c r="A47" s="85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>
      <c r="A48" s="85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>
      <c r="A49" s="85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>
      <c r="A50" s="85"/>
      <c r="B50" s="110" t="s">
        <v>148</v>
      </c>
      <c r="C50" s="89"/>
      <c r="D50" s="98"/>
      <c r="E50" s="98"/>
      <c r="F50" s="98"/>
      <c r="G50" s="98"/>
      <c r="H50" s="114">
        <f>'Financial Projection'!C63</f>
        <v>232044000</v>
      </c>
      <c r="I50" s="114">
        <f>'Financial Projection'!D63</f>
        <v>1344509183</v>
      </c>
      <c r="J50" s="114">
        <f>'Financial Projection'!E63</f>
        <v>2377682600</v>
      </c>
      <c r="K50" s="114">
        <f>'Financial Projection'!F63</f>
        <v>17355296503</v>
      </c>
      <c r="L50" s="114">
        <f>'Financial Projection'!G63</f>
        <v>51163728862</v>
      </c>
      <c r="M50" s="114">
        <f>'Financial Projection'!H63</f>
        <v>82648364941</v>
      </c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>
      <c r="A51" s="85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>
      <c r="A52" s="85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>
      <c r="A53" s="85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>
      <c r="A54" s="85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>
      <c r="A55" s="85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>
      <c r="A56" s="85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>
      <c r="A57" s="85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>
      <c r="A58" s="85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>
      <c r="A59" s="85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>
      <c r="A60" s="85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>
      <c r="A61" s="85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>
      <c r="A62" s="85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>
      <c r="A63" s="85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>
      <c r="A64" s="85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>
      <c r="A65" s="85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>
      <c r="A66" s="85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>
      <c r="A67" s="85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>
      <c r="A68" s="85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>
      <c r="A69" s="85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>
      <c r="A70" s="85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>
      <c r="A71" s="85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>
      <c r="A72" s="85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>
      <c r="A73" s="85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>
      <c r="A74" s="85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>
      <c r="A75" s="85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>
      <c r="A76" s="85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>
      <c r="A77" s="85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>
      <c r="A78" s="85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>
      <c r="A79" s="85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>
      <c r="A80" s="85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>
      <c r="A81" s="85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>
      <c r="A82" s="85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>
      <c r="A83" s="85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>
      <c r="A84" s="85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>
      <c r="A85" s="85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>
      <c r="A86" s="85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>
      <c r="A87" s="85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>
      <c r="A88" s="85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>
      <c r="A89" s="85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>
      <c r="A90" s="85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>
      <c r="A91" s="85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>
      <c r="A92" s="85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>
      <c r="A93" s="85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>
      <c r="A94" s="85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>
      <c r="A95" s="85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>
      <c r="A96" s="85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>
      <c r="A97" s="85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>
      <c r="A98" s="85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>
      <c r="A99" s="85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>
      <c r="A100" s="85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>
      <c r="A101" s="85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>
      <c r="A102" s="85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>
      <c r="A103" s="85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>
      <c r="A104" s="85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>
      <c r="A105" s="85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>
      <c r="A106" s="85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>
      <c r="A107" s="85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>
      <c r="A108" s="85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>
      <c r="A109" s="85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>
      <c r="A110" s="85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>
      <c r="A111" s="85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>
      <c r="A112" s="85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>
      <c r="A113" s="85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>
      <c r="A114" s="85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>
      <c r="A115" s="85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>
      <c r="A116" s="85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>
      <c r="A117" s="85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>
      <c r="A118" s="85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>
      <c r="A119" s="85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>
      <c r="A120" s="85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>
      <c r="A121" s="85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>
      <c r="A122" s="85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>
      <c r="A123" s="85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>
      <c r="A124" s="85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>
      <c r="A125" s="85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>
      <c r="A126" s="85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>
      <c r="A127" s="85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>
      <c r="A128" s="85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>
      <c r="A129" s="85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>
      <c r="A130" s="85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>
      <c r="A131" s="85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>
      <c r="A132" s="85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>
      <c r="A133" s="85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>
      <c r="A134" s="85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>
      <c r="A135" s="85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>
      <c r="A136" s="85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>
      <c r="A137" s="85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>
      <c r="A138" s="85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>
      <c r="A139" s="85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>
      <c r="A140" s="85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>
      <c r="A141" s="85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>
      <c r="A142" s="85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>
      <c r="A143" s="85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>
      <c r="A144" s="85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>
      <c r="A145" s="85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>
      <c r="A146" s="85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>
      <c r="A147" s="85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>
      <c r="A148" s="85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>
      <c r="A149" s="85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>
      <c r="A150" s="85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>
      <c r="A151" s="85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>
      <c r="A152" s="85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>
      <c r="A153" s="85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>
      <c r="A154" s="85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>
      <c r="A155" s="85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>
      <c r="A156" s="85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>
      <c r="A157" s="85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>
      <c r="A158" s="85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>
      <c r="A159" s="85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>
      <c r="A160" s="85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>
      <c r="A161" s="85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>
      <c r="A162" s="85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>
      <c r="A163" s="85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>
      <c r="A164" s="85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>
      <c r="A165" s="85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>
      <c r="A166" s="85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>
      <c r="A167" s="85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>
      <c r="A168" s="85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>
      <c r="A169" s="85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>
      <c r="A170" s="85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>
      <c r="A171" s="85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>
      <c r="A172" s="85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>
      <c r="A173" s="85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>
      <c r="A174" s="85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>
      <c r="A175" s="85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>
      <c r="A176" s="85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>
      <c r="A177" s="85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>
      <c r="A178" s="85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>
      <c r="A179" s="85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>
      <c r="A180" s="85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>
      <c r="A181" s="85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>
      <c r="A182" s="85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>
      <c r="A183" s="85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>
      <c r="A184" s="85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>
      <c r="A185" s="85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>
      <c r="A186" s="85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>
      <c r="A187" s="85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>
      <c r="A188" s="85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>
      <c r="A189" s="85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>
      <c r="A190" s="85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>
      <c r="A191" s="85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>
      <c r="A192" s="85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>
      <c r="A193" s="85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>
      <c r="A194" s="85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>
      <c r="A195" s="85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>
      <c r="A196" s="85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>
      <c r="A197" s="85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>
      <c r="A198" s="85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>
      <c r="A199" s="85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>
      <c r="A200" s="85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>
      <c r="A201" s="85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>
      <c r="A202" s="85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>
      <c r="A203" s="85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>
      <c r="A204" s="85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>
      <c r="A205" s="85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>
      <c r="A206" s="85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>
      <c r="A207" s="85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>
      <c r="A208" s="85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>
      <c r="A209" s="85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>
      <c r="A210" s="85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>
      <c r="A211" s="85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>
      <c r="A212" s="85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>
      <c r="A213" s="85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>
      <c r="A214" s="85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>
      <c r="A215" s="85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>
      <c r="A216" s="85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>
      <c r="A217" s="85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>
      <c r="A218" s="85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>
      <c r="A219" s="85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>
      <c r="A220" s="85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>
      <c r="A221" s="85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>
      <c r="A222" s="85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>
      <c r="A223" s="85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>
      <c r="A224" s="85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>
      <c r="A225" s="85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>
      <c r="A226" s="85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>
      <c r="A227" s="85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>
      <c r="A228" s="85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>
      <c r="A229" s="85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>
      <c r="A230" s="85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>
      <c r="A231" s="85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>
      <c r="A232" s="85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>
      <c r="A233" s="85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>
      <c r="A234" s="85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>
      <c r="A235" s="85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>
      <c r="A236" s="85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>
      <c r="A237" s="85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>
      <c r="A238" s="85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>
      <c r="A239" s="85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>
      <c r="A240" s="85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>
      <c r="A241" s="85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>
      <c r="A242" s="85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>
      <c r="A243" s="85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>
      <c r="A244" s="85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>
      <c r="A245" s="85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>
      <c r="A246" s="85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>
      <c r="A247" s="85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>
      <c r="A248" s="85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>
      <c r="A249" s="85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>
      <c r="A250" s="85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>
      <c r="A251" s="85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>
      <c r="A252" s="85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>
      <c r="A253" s="85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>
      <c r="A254" s="85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>
      <c r="A255" s="85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>
      <c r="A256" s="85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>
      <c r="A257" s="85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>
      <c r="A258" s="85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>
      <c r="A259" s="85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>
      <c r="A260" s="85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>
      <c r="A261" s="85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>
      <c r="A262" s="85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>
      <c r="A263" s="85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>
      <c r="A264" s="85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>
      <c r="A265" s="85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>
      <c r="A266" s="85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>
      <c r="A267" s="85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>
      <c r="A268" s="85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>
      <c r="A269" s="85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>
      <c r="A270" s="85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>
      <c r="A271" s="85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>
      <c r="A272" s="85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>
      <c r="A273" s="85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>
      <c r="A274" s="85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>
      <c r="A275" s="85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>
      <c r="A276" s="85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>
      <c r="A277" s="85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>
      <c r="A278" s="85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>
      <c r="A279" s="85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>
      <c r="A280" s="85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>
      <c r="A281" s="85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>
      <c r="A282" s="85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>
      <c r="A283" s="85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>
      <c r="A284" s="85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>
      <c r="A285" s="85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>
      <c r="A286" s="85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>
      <c r="A287" s="85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>
      <c r="A288" s="85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>
      <c r="A289" s="85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>
      <c r="A290" s="85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>
      <c r="A291" s="85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>
      <c r="A292" s="85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>
      <c r="A293" s="85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>
      <c r="A294" s="85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>
      <c r="A295" s="85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>
      <c r="A296" s="85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>
      <c r="A297" s="85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>
      <c r="A298" s="85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>
      <c r="A299" s="85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>
      <c r="A300" s="85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>
      <c r="A301" s="85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>
      <c r="A302" s="85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>
      <c r="A303" s="85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>
      <c r="A304" s="85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>
      <c r="A305" s="85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>
      <c r="A306" s="85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>
      <c r="A307" s="85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>
      <c r="A308" s="85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>
      <c r="A309" s="85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>
      <c r="A310" s="85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>
      <c r="A311" s="85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>
      <c r="A312" s="85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>
      <c r="A313" s="85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>
      <c r="A314" s="85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>
      <c r="A315" s="85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>
      <c r="A316" s="85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>
      <c r="A317" s="85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>
      <c r="A318" s="85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>
      <c r="A319" s="85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>
      <c r="A320" s="85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>
      <c r="A321" s="85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>
      <c r="A322" s="85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>
      <c r="A323" s="85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>
      <c r="A324" s="85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>
      <c r="A325" s="85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>
      <c r="A326" s="85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>
      <c r="A327" s="85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>
      <c r="A328" s="85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>
      <c r="A329" s="85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>
      <c r="A330" s="85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>
      <c r="A331" s="85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>
      <c r="A332" s="85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>
      <c r="A333" s="85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>
      <c r="A334" s="85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>
      <c r="A335" s="85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>
      <c r="A336" s="85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>
      <c r="A337" s="85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>
      <c r="A338" s="85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>
      <c r="A339" s="85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>
      <c r="A340" s="85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>
      <c r="A341" s="85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>
      <c r="A342" s="85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>
      <c r="A343" s="85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>
      <c r="A344" s="85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>
      <c r="A345" s="85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>
      <c r="A346" s="85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>
      <c r="A347" s="85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>
      <c r="A348" s="85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>
      <c r="A349" s="85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>
      <c r="A350" s="85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>
      <c r="A351" s="85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>
      <c r="A352" s="85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>
      <c r="A353" s="85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>
      <c r="A354" s="85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>
      <c r="A355" s="85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>
      <c r="A356" s="85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>
      <c r="A357" s="85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>
      <c r="A358" s="85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>
      <c r="A359" s="85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>
      <c r="A360" s="85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>
      <c r="A361" s="85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>
      <c r="A362" s="85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>
      <c r="A363" s="85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>
      <c r="A364" s="85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>
      <c r="A365" s="85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>
      <c r="A366" s="85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>
      <c r="A367" s="85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>
      <c r="A368" s="85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>
      <c r="A369" s="85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>
      <c r="A370" s="85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>
      <c r="A371" s="85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>
      <c r="A372" s="85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>
      <c r="A373" s="85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>
      <c r="A374" s="85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>
      <c r="A375" s="85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>
      <c r="A376" s="85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>
      <c r="A377" s="85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>
      <c r="A378" s="85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>
      <c r="A379" s="85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>
      <c r="A380" s="85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>
      <c r="A381" s="85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>
      <c r="A382" s="85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>
      <c r="A383" s="85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>
      <c r="A384" s="85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>
      <c r="A385" s="85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>
      <c r="A386" s="85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>
      <c r="A387" s="85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>
      <c r="A388" s="85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>
      <c r="A389" s="85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>
      <c r="A390" s="85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>
      <c r="A391" s="85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>
      <c r="A392" s="85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>
      <c r="A393" s="85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>
      <c r="A394" s="85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>
      <c r="A395" s="85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>
      <c r="A396" s="85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>
      <c r="A397" s="85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>
      <c r="A398" s="85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>
      <c r="A399" s="85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>
      <c r="A400" s="85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>
      <c r="A401" s="85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>
      <c r="A402" s="85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>
      <c r="A403" s="85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>
      <c r="A404" s="85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>
      <c r="A405" s="85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>
      <c r="A406" s="85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>
      <c r="A407" s="85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>
      <c r="A408" s="85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>
      <c r="A409" s="85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>
      <c r="A410" s="85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>
      <c r="A411" s="85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>
      <c r="A412" s="85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>
      <c r="A413" s="85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>
      <c r="A414" s="85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>
      <c r="A415" s="85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>
      <c r="A416" s="85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>
      <c r="A417" s="85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>
      <c r="A418" s="85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>
      <c r="A419" s="85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>
      <c r="A420" s="85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>
      <c r="A421" s="85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>
      <c r="A422" s="85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>
      <c r="A423" s="85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>
      <c r="A424" s="85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>
      <c r="A425" s="85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>
      <c r="A426" s="85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>
      <c r="A427" s="85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>
      <c r="A428" s="85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>
      <c r="A429" s="85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>
      <c r="A430" s="85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>
      <c r="A431" s="85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>
      <c r="A432" s="85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>
      <c r="A433" s="85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>
      <c r="A434" s="85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>
      <c r="A435" s="85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>
      <c r="A436" s="85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>
      <c r="A437" s="85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>
      <c r="A438" s="85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>
      <c r="A439" s="85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>
      <c r="A440" s="85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>
      <c r="A441" s="85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>
      <c r="A442" s="85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>
      <c r="A443" s="85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>
      <c r="A444" s="85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>
      <c r="A445" s="85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>
      <c r="A446" s="85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>
      <c r="A447" s="85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>
      <c r="A448" s="85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>
      <c r="A449" s="85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>
      <c r="A450" s="85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>
      <c r="A451" s="85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>
      <c r="A452" s="85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>
      <c r="A453" s="85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>
      <c r="A454" s="85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>
      <c r="A455" s="85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>
      <c r="A456" s="85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>
      <c r="A457" s="85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>
      <c r="A458" s="85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>
      <c r="A459" s="85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>
      <c r="A460" s="85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>
      <c r="A461" s="85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>
      <c r="A462" s="85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>
      <c r="A463" s="85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>
      <c r="A464" s="85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>
      <c r="A465" s="85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>
      <c r="A466" s="85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>
      <c r="A467" s="85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>
      <c r="A468" s="85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>
      <c r="A469" s="85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>
      <c r="A470" s="85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>
      <c r="A471" s="85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>
      <c r="A472" s="85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>
      <c r="A473" s="85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>
      <c r="A474" s="85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>
      <c r="A475" s="85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>
      <c r="A476" s="85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>
      <c r="A477" s="85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>
      <c r="A478" s="85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>
      <c r="A479" s="85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>
      <c r="A480" s="85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>
      <c r="A481" s="85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>
      <c r="A482" s="85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>
      <c r="A483" s="85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>
      <c r="A484" s="85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>
      <c r="A485" s="85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>
      <c r="A486" s="85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>
      <c r="A487" s="85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>
      <c r="A488" s="85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>
      <c r="A489" s="85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>
      <c r="A490" s="85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>
      <c r="A491" s="85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>
      <c r="A492" s="85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>
      <c r="A493" s="85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>
      <c r="A494" s="85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>
      <c r="A495" s="85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>
      <c r="A496" s="85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>
      <c r="A497" s="85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>
      <c r="A498" s="85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>
      <c r="A499" s="85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>
      <c r="A500" s="85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>
      <c r="A501" s="85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>
      <c r="A502" s="85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>
      <c r="A503" s="85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>
      <c r="A504" s="85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>
      <c r="A505" s="85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>
      <c r="A506" s="85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>
      <c r="A507" s="85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>
      <c r="A508" s="85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>
      <c r="A509" s="85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>
      <c r="A510" s="85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>
      <c r="A511" s="85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>
      <c r="A512" s="85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>
      <c r="A513" s="85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>
      <c r="A514" s="85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>
      <c r="A515" s="85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>
      <c r="A516" s="85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>
      <c r="A517" s="85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>
      <c r="A518" s="85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>
      <c r="A519" s="85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>
      <c r="A520" s="85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>
      <c r="A521" s="85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>
      <c r="A522" s="85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>
      <c r="A523" s="85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>
      <c r="A524" s="85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>
      <c r="A525" s="85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>
      <c r="A526" s="85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>
      <c r="A527" s="85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>
      <c r="A528" s="85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>
      <c r="A529" s="85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>
      <c r="A530" s="85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>
      <c r="A531" s="85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>
      <c r="A532" s="85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>
      <c r="A533" s="85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>
      <c r="A534" s="85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>
      <c r="A535" s="85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>
      <c r="A536" s="85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>
      <c r="A537" s="85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>
      <c r="A538" s="85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>
      <c r="A539" s="85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>
      <c r="A540" s="85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>
      <c r="A541" s="85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>
      <c r="A542" s="85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>
      <c r="A543" s="85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>
      <c r="A544" s="85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>
      <c r="A545" s="85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>
      <c r="A546" s="85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>
      <c r="A547" s="85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>
      <c r="A548" s="85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>
      <c r="A549" s="85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>
      <c r="A550" s="85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>
      <c r="A551" s="85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>
      <c r="A552" s="85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>
      <c r="A553" s="85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>
      <c r="A554" s="85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>
      <c r="A555" s="85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>
      <c r="A556" s="85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>
      <c r="A557" s="85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>
      <c r="A558" s="85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>
      <c r="A559" s="85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>
      <c r="A560" s="85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>
      <c r="A561" s="85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>
      <c r="A562" s="85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>
      <c r="A563" s="85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>
      <c r="A564" s="85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>
      <c r="A565" s="85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>
      <c r="A566" s="85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>
      <c r="A567" s="85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>
      <c r="A568" s="85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>
      <c r="A569" s="85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>
      <c r="A570" s="85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>
      <c r="A571" s="85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>
      <c r="A572" s="85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>
      <c r="A573" s="85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>
      <c r="A574" s="85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>
      <c r="A575" s="85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>
      <c r="A576" s="85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>
      <c r="A577" s="85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>
      <c r="A578" s="85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>
      <c r="A579" s="85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>
      <c r="A580" s="85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>
      <c r="A581" s="85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>
      <c r="A582" s="85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>
      <c r="A583" s="85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>
      <c r="A584" s="85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>
      <c r="A585" s="85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>
      <c r="A586" s="85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>
      <c r="A587" s="85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>
      <c r="A588" s="85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>
      <c r="A589" s="85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>
      <c r="A590" s="85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>
      <c r="A591" s="85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>
      <c r="A592" s="85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>
      <c r="A593" s="85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>
      <c r="A594" s="85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>
      <c r="A595" s="85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>
      <c r="A596" s="85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>
      <c r="A597" s="85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>
      <c r="A598" s="85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>
      <c r="A599" s="85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>
      <c r="A600" s="85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>
      <c r="A601" s="85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>
      <c r="A602" s="85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>
      <c r="A603" s="85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>
      <c r="A604" s="85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>
      <c r="A605" s="85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>
      <c r="A606" s="85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>
      <c r="A607" s="85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>
      <c r="A608" s="85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>
      <c r="A609" s="85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>
      <c r="A610" s="85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>
      <c r="A611" s="85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>
      <c r="A612" s="85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>
      <c r="A613" s="85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>
      <c r="A614" s="85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>
      <c r="A615" s="85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>
      <c r="A616" s="85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>
      <c r="A617" s="85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>
      <c r="A618" s="85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>
      <c r="A619" s="85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>
      <c r="A620" s="85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>
      <c r="A621" s="85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>
      <c r="A622" s="85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>
      <c r="A623" s="85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>
      <c r="A624" s="85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>
      <c r="A625" s="85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>
      <c r="A626" s="85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>
      <c r="A627" s="85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>
      <c r="A628" s="85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>
      <c r="A629" s="85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>
      <c r="A630" s="85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>
      <c r="A631" s="85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>
      <c r="A632" s="85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>
      <c r="A633" s="85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>
      <c r="A634" s="85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>
      <c r="A635" s="85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>
      <c r="A636" s="85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>
      <c r="A637" s="85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>
      <c r="A638" s="85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>
      <c r="A639" s="85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>
      <c r="A640" s="85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>
      <c r="A641" s="85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>
      <c r="A642" s="85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>
      <c r="A643" s="85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>
      <c r="A644" s="85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>
      <c r="A645" s="85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>
      <c r="A646" s="85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>
      <c r="A647" s="85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>
      <c r="A648" s="85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>
      <c r="A649" s="85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>
      <c r="A650" s="85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>
      <c r="A651" s="85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>
      <c r="A652" s="85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>
      <c r="A653" s="85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>
      <c r="A654" s="85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>
      <c r="A655" s="85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>
      <c r="A656" s="85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>
      <c r="A657" s="85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>
      <c r="A658" s="85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>
      <c r="A659" s="85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>
      <c r="A660" s="85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>
      <c r="A661" s="85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>
      <c r="A662" s="85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>
      <c r="A663" s="85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>
      <c r="A664" s="85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>
      <c r="A665" s="85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>
      <c r="A666" s="85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>
      <c r="A667" s="85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>
      <c r="A668" s="85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>
      <c r="A669" s="85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>
      <c r="A670" s="85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>
      <c r="A671" s="85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>
      <c r="A672" s="85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>
      <c r="A673" s="85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>
      <c r="A674" s="85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>
      <c r="A675" s="85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>
      <c r="A676" s="85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>
      <c r="A677" s="85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>
      <c r="A678" s="85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>
      <c r="A679" s="85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>
      <c r="A680" s="85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>
      <c r="A681" s="85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>
      <c r="A682" s="85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>
      <c r="A683" s="85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>
      <c r="A684" s="85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>
      <c r="A685" s="85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>
      <c r="A686" s="85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>
      <c r="A687" s="85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>
      <c r="A688" s="85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>
      <c r="A689" s="85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>
      <c r="A690" s="85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>
      <c r="A691" s="85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>
      <c r="A692" s="85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>
      <c r="A693" s="85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>
      <c r="A694" s="85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>
      <c r="A695" s="85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>
      <c r="A696" s="85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>
      <c r="A697" s="85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>
      <c r="A698" s="85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>
      <c r="A699" s="85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>
      <c r="A700" s="85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>
      <c r="A701" s="85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>
      <c r="A702" s="85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>
      <c r="A703" s="85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>
      <c r="A704" s="85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>
      <c r="A705" s="85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>
      <c r="A706" s="85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>
      <c r="A707" s="85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>
      <c r="A708" s="85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>
      <c r="A709" s="85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>
      <c r="A710" s="85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>
      <c r="A711" s="85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>
      <c r="A712" s="85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>
      <c r="A713" s="85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>
      <c r="A714" s="85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>
      <c r="A715" s="85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>
      <c r="A716" s="85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>
      <c r="A717" s="85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>
      <c r="A718" s="85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>
      <c r="A719" s="85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>
      <c r="A720" s="85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>
      <c r="A721" s="85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>
      <c r="A722" s="85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>
      <c r="A723" s="85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>
      <c r="A724" s="85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>
      <c r="A725" s="85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>
      <c r="A726" s="85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>
      <c r="A727" s="85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>
      <c r="A728" s="85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>
      <c r="A729" s="85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>
      <c r="A730" s="85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>
      <c r="A731" s="85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>
      <c r="A732" s="85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>
      <c r="A733" s="85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>
      <c r="A734" s="85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>
      <c r="A735" s="85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>
      <c r="A736" s="85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>
      <c r="A737" s="85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>
      <c r="A738" s="85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>
      <c r="A739" s="85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>
      <c r="A740" s="85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>
      <c r="A741" s="85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>
      <c r="A742" s="85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>
      <c r="A743" s="85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>
      <c r="A744" s="85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>
      <c r="A745" s="85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>
      <c r="A746" s="85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>
      <c r="A747" s="85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>
      <c r="A748" s="85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>
      <c r="A749" s="85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>
      <c r="A750" s="85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>
      <c r="A751" s="85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>
      <c r="A752" s="85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>
      <c r="A753" s="85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>
      <c r="A754" s="85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>
      <c r="A755" s="85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>
      <c r="A756" s="85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>
      <c r="A757" s="85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>
      <c r="A758" s="85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>
      <c r="A759" s="85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>
      <c r="A760" s="85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>
      <c r="A761" s="85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>
      <c r="A762" s="85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>
      <c r="A763" s="85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>
      <c r="A764" s="85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>
      <c r="A765" s="85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>
      <c r="A766" s="85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>
      <c r="A767" s="85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>
      <c r="A768" s="85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>
      <c r="A769" s="85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>
      <c r="A770" s="85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>
      <c r="A771" s="85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>
      <c r="A772" s="85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>
      <c r="A773" s="85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>
      <c r="A774" s="85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>
      <c r="A775" s="85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>
      <c r="A776" s="85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>
      <c r="A777" s="85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>
      <c r="A778" s="85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>
      <c r="A779" s="85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>
      <c r="A780" s="85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>
      <c r="A781" s="85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>
      <c r="A782" s="85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>
      <c r="A783" s="85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>
      <c r="A784" s="85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>
      <c r="A785" s="85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>
      <c r="A786" s="85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>
      <c r="A787" s="85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>
      <c r="A788" s="85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>
      <c r="A789" s="85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>
      <c r="A790" s="85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>
      <c r="A791" s="85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>
      <c r="A792" s="85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>
      <c r="A793" s="85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>
      <c r="A794" s="85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>
      <c r="A795" s="85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>
      <c r="A796" s="85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>
      <c r="A797" s="85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>
      <c r="A798" s="85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>
      <c r="A799" s="85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>
      <c r="A800" s="85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>
      <c r="A801" s="85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>
      <c r="A802" s="85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>
      <c r="A803" s="85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>
      <c r="A804" s="85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>
      <c r="A805" s="85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>
      <c r="A806" s="85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>
      <c r="A807" s="85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>
      <c r="A808" s="85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>
      <c r="A809" s="85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>
      <c r="A810" s="85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>
      <c r="A811" s="85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>
      <c r="A812" s="85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>
      <c r="A813" s="85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>
      <c r="A814" s="85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>
      <c r="A815" s="85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>
      <c r="A816" s="85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>
      <c r="A817" s="85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>
      <c r="A818" s="85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>
      <c r="A819" s="85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>
      <c r="A820" s="85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>
      <c r="A821" s="85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>
      <c r="A822" s="85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>
      <c r="A823" s="85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>
      <c r="A824" s="85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>
      <c r="A825" s="85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>
      <c r="A826" s="85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>
      <c r="A827" s="85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>
      <c r="A828" s="85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>
      <c r="A829" s="85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>
      <c r="A830" s="85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>
      <c r="A831" s="85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>
      <c r="A832" s="85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>
      <c r="A833" s="85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>
      <c r="A834" s="85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>
      <c r="A835" s="85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>
      <c r="A836" s="85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>
      <c r="A837" s="85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>
      <c r="A838" s="85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>
      <c r="A839" s="85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>
      <c r="A840" s="85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>
      <c r="A841" s="85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>
      <c r="A842" s="85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>
      <c r="A843" s="85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>
      <c r="A844" s="85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>
      <c r="A845" s="85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>
      <c r="A846" s="85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>
      <c r="A847" s="85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>
      <c r="A848" s="85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>
      <c r="A849" s="85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>
      <c r="A850" s="85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>
      <c r="A851" s="85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>
      <c r="A852" s="85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>
      <c r="A853" s="85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>
      <c r="A854" s="85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>
      <c r="A855" s="85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>
      <c r="A856" s="85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>
      <c r="A857" s="85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>
      <c r="A858" s="85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>
      <c r="A859" s="85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>
      <c r="A860" s="85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>
      <c r="A861" s="85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>
      <c r="A862" s="85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>
      <c r="A863" s="85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>
      <c r="A864" s="85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>
      <c r="A865" s="85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>
      <c r="A866" s="85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>
      <c r="A867" s="85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>
      <c r="A868" s="85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>
      <c r="A869" s="85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>
      <c r="A870" s="85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>
      <c r="A871" s="85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>
      <c r="A872" s="85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>
      <c r="A873" s="85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>
      <c r="A874" s="85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>
      <c r="A875" s="85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>
      <c r="A876" s="85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>
      <c r="A877" s="85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>
      <c r="A878" s="85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>
      <c r="A879" s="85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>
      <c r="A880" s="85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>
      <c r="A881" s="85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>
      <c r="A882" s="85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>
      <c r="A883" s="85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>
      <c r="A884" s="85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>
      <c r="A885" s="85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>
      <c r="A886" s="85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>
      <c r="A887" s="85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>
      <c r="A888" s="85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>
      <c r="A889" s="85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>
      <c r="A890" s="85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>
      <c r="A891" s="85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>
      <c r="A892" s="85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>
      <c r="A893" s="85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>
      <c r="A894" s="85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>
      <c r="A895" s="85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>
      <c r="A896" s="85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>
      <c r="A897" s="85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>
      <c r="A898" s="85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>
      <c r="A899" s="85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>
      <c r="A900" s="85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>
      <c r="A901" s="85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>
      <c r="A902" s="85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>
      <c r="A903" s="85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>
      <c r="A904" s="85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>
      <c r="A905" s="85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>
      <c r="A906" s="85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>
      <c r="A907" s="85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>
      <c r="A908" s="85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>
      <c r="A909" s="85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>
      <c r="A910" s="85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>
      <c r="A911" s="85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>
      <c r="A912" s="85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>
      <c r="A913" s="85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>
      <c r="A914" s="85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>
      <c r="A915" s="85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>
      <c r="A916" s="85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>
      <c r="A917" s="85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>
      <c r="A918" s="85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>
      <c r="A919" s="85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>
      <c r="A920" s="85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>
      <c r="A921" s="85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>
      <c r="A922" s="85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>
      <c r="A923" s="85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>
      <c r="A924" s="85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>
      <c r="A925" s="85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>
      <c r="A926" s="85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>
      <c r="A927" s="85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>
      <c r="A928" s="85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>
      <c r="A929" s="85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>
      <c r="A930" s="85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>
      <c r="A931" s="85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>
      <c r="A932" s="85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>
      <c r="A933" s="85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>
      <c r="A934" s="85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>
      <c r="A935" s="85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>
      <c r="A936" s="85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>
      <c r="A937" s="85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>
      <c r="A938" s="85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>
      <c r="A939" s="85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>
      <c r="A940" s="85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>
      <c r="A941" s="85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>
      <c r="A942" s="85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>
      <c r="A943" s="85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>
      <c r="A944" s="85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>
      <c r="A945" s="85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>
      <c r="A946" s="85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>
      <c r="A947" s="85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>
      <c r="A948" s="85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>
      <c r="A949" s="85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>
      <c r="A950" s="85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>
      <c r="A951" s="85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>
      <c r="A952" s="85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>
      <c r="A953" s="85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>
      <c r="A954" s="85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>
      <c r="A955" s="85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>
      <c r="A956" s="85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>
      <c r="A957" s="85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>
      <c r="A958" s="85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>
      <c r="A959" s="85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>
      <c r="A960" s="85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>
      <c r="A961" s="85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>
      <c r="A962" s="85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>
      <c r="A963" s="85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>
      <c r="A964" s="85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>
      <c r="A965" s="85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>
      <c r="A966" s="85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>
      <c r="A967" s="85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>
      <c r="A968" s="85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>
      <c r="A969" s="85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>
      <c r="A970" s="85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>
      <c r="A971" s="85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>
      <c r="A972" s="85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>
      <c r="A973" s="85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>
      <c r="A974" s="85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>
      <c r="A975" s="85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>
      <c r="A976" s="85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>
      <c r="A977" s="85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>
      <c r="A978" s="85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>
      <c r="A979" s="85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>
      <c r="A980" s="85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>
      <c r="A981" s="85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>
      <c r="A982" s="85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>
      <c r="A983" s="85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>
      <c r="A984" s="85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>
      <c r="A985" s="85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>
      <c r="A986" s="85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>
      <c r="A987" s="85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>
      <c r="A988" s="85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>
      <c r="A989" s="85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>
      <c r="A990" s="85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>
      <c r="A991" s="85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>
      <c r="A992" s="85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>
      <c r="A993" s="85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>
      <c r="A994" s="85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>
      <c r="A995" s="85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>
      <c r="A996" s="85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>
      <c r="A997" s="85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  <row r="998">
      <c r="A998" s="85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</row>
    <row r="999">
      <c r="A999" s="85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</row>
    <row r="1000">
      <c r="A1000" s="85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</row>
    <row r="1001">
      <c r="A1001" s="85"/>
      <c r="B1001" s="89"/>
      <c r="C1001" s="89"/>
      <c r="D1001" s="89"/>
      <c r="E1001" s="89"/>
      <c r="F1001" s="89"/>
      <c r="G1001" s="89"/>
      <c r="H1001" s="89"/>
      <c r="I1001" s="89"/>
      <c r="J1001" s="89"/>
      <c r="K1001" s="89"/>
      <c r="L1001" s="89"/>
      <c r="M1001" s="89"/>
      <c r="N1001" s="89"/>
      <c r="O1001" s="89"/>
      <c r="P1001" s="89"/>
      <c r="Q1001" s="89"/>
      <c r="R1001" s="89"/>
      <c r="S1001" s="89"/>
      <c r="T1001" s="89"/>
      <c r="U1001" s="89"/>
      <c r="V1001" s="89"/>
      <c r="W1001" s="89"/>
      <c r="X1001" s="89"/>
      <c r="Y1001" s="89"/>
      <c r="Z1001" s="8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5.88"/>
    <col customWidth="1" min="2" max="2" width="15.63"/>
    <col customWidth="1" min="3" max="3" width="25.5"/>
    <col customWidth="1" min="4" max="4" width="25.63"/>
    <col customWidth="1" min="5" max="5" width="25.5"/>
    <col customWidth="1" min="6" max="6" width="25.88"/>
    <col customWidth="1" min="7" max="7" width="25.25"/>
    <col customWidth="1" min="8" max="8" width="19.75"/>
    <col customWidth="1" min="9" max="9" width="22.75"/>
    <col customWidth="1" min="10" max="10" width="16.38"/>
  </cols>
  <sheetData>
    <row r="2">
      <c r="B2" s="68" t="s">
        <v>123</v>
      </c>
      <c r="C2" s="68" t="s">
        <v>23</v>
      </c>
      <c r="D2" s="68" t="s">
        <v>24</v>
      </c>
      <c r="E2" s="68" t="s">
        <v>25</v>
      </c>
      <c r="F2" s="68" t="s">
        <v>26</v>
      </c>
      <c r="G2" s="68" t="s">
        <v>27</v>
      </c>
      <c r="H2" s="68" t="s">
        <v>28</v>
      </c>
    </row>
    <row r="3">
      <c r="A3" s="31" t="s">
        <v>15</v>
      </c>
      <c r="C3" s="69">
        <f>'Assumption and Dashboard'!D19</f>
        <v>50000</v>
      </c>
      <c r="D3" s="69">
        <f>'Assumption and Dashboard'!D20</f>
        <v>200000</v>
      </c>
      <c r="E3" s="69">
        <f>'Assumption and Dashboard'!D21</f>
        <v>400000</v>
      </c>
      <c r="F3" s="69">
        <f>'Assumption and Dashboard'!D22</f>
        <v>2000000</v>
      </c>
      <c r="G3" s="69">
        <f>'Assumption and Dashboard'!D23</f>
        <v>6000000</v>
      </c>
      <c r="H3" s="69">
        <f>'Assumption and Dashboard'!D24</f>
        <v>10000000</v>
      </c>
    </row>
    <row r="4">
      <c r="A4" s="31" t="s">
        <v>124</v>
      </c>
      <c r="C4" s="69">
        <f>'Assumption and Dashboard'!C19</f>
        <v>0</v>
      </c>
      <c r="D4" s="69">
        <f>'Assumption and Dashboard'!C20</f>
        <v>50000</v>
      </c>
      <c r="E4" s="69">
        <f>'Assumption and Dashboard'!C21</f>
        <v>245000</v>
      </c>
      <c r="F4" s="69">
        <f>'Assumption and Dashboard'!C22</f>
        <v>635000</v>
      </c>
      <c r="G4" s="69">
        <f>'Assumption and Dashboard'!C23</f>
        <v>2585000</v>
      </c>
      <c r="H4" s="69">
        <f>'Assumption and Dashboard'!C24</f>
        <v>8435000</v>
      </c>
    </row>
    <row r="5">
      <c r="A5" s="31" t="s">
        <v>16</v>
      </c>
      <c r="C5" s="69">
        <f>'Assumption and Dashboard'!E19</f>
        <v>25000</v>
      </c>
      <c r="D5" s="69">
        <f>'Assumption and Dashboard'!E20</f>
        <v>100000</v>
      </c>
      <c r="E5" s="69">
        <f>'Assumption and Dashboard'!E21</f>
        <v>200000</v>
      </c>
      <c r="F5" s="69">
        <f>'Assumption and Dashboard'!E22</f>
        <v>1000000</v>
      </c>
      <c r="G5" s="69">
        <f>'Assumption and Dashboard'!E23</f>
        <v>3000000</v>
      </c>
      <c r="H5" s="69">
        <f>'Assumption and Dashboard'!E24</f>
        <v>5000000</v>
      </c>
    </row>
    <row r="6">
      <c r="A6" s="31" t="s">
        <v>125</v>
      </c>
      <c r="D6" s="13">
        <f t="shared" ref="D6:H6" si="1">(D5-C5)/C5</f>
        <v>3</v>
      </c>
      <c r="E6" s="13">
        <f t="shared" si="1"/>
        <v>1</v>
      </c>
      <c r="F6" s="13">
        <f t="shared" si="1"/>
        <v>4</v>
      </c>
      <c r="G6" s="13">
        <f t="shared" si="1"/>
        <v>2</v>
      </c>
      <c r="H6" s="13">
        <f t="shared" si="1"/>
        <v>0.6666666667</v>
      </c>
    </row>
    <row r="7">
      <c r="A7" s="31" t="s">
        <v>126</v>
      </c>
      <c r="C7" s="69">
        <f>C5</f>
        <v>25000</v>
      </c>
      <c r="D7" s="69">
        <f t="shared" ref="D7:H7" si="2">D5-C5</f>
        <v>75000</v>
      </c>
      <c r="E7" s="69">
        <f t="shared" si="2"/>
        <v>100000</v>
      </c>
      <c r="F7" s="69">
        <f t="shared" si="2"/>
        <v>800000</v>
      </c>
      <c r="G7" s="69">
        <f t="shared" si="2"/>
        <v>2000000</v>
      </c>
      <c r="H7" s="69">
        <f t="shared" si="2"/>
        <v>2000000</v>
      </c>
    </row>
    <row r="8">
      <c r="A8" s="31" t="s">
        <v>127</v>
      </c>
      <c r="B8" s="42">
        <v>0.02</v>
      </c>
      <c r="C8" s="69">
        <f t="shared" ref="C8:H8" si="3">$B$8*C5</f>
        <v>500</v>
      </c>
      <c r="D8" s="69">
        <f t="shared" si="3"/>
        <v>2000</v>
      </c>
      <c r="E8" s="69">
        <f t="shared" si="3"/>
        <v>4000</v>
      </c>
      <c r="F8" s="69">
        <f t="shared" si="3"/>
        <v>20000</v>
      </c>
      <c r="G8" s="69">
        <f t="shared" si="3"/>
        <v>60000</v>
      </c>
      <c r="H8" s="69">
        <f t="shared" si="3"/>
        <v>100000</v>
      </c>
    </row>
    <row r="9">
      <c r="A9" s="31" t="s">
        <v>125</v>
      </c>
      <c r="C9" s="42"/>
      <c r="D9" s="13">
        <f t="shared" ref="D9:H9" si="4">(D8-C8)/C8</f>
        <v>3</v>
      </c>
      <c r="E9" s="13">
        <f t="shared" si="4"/>
        <v>1</v>
      </c>
      <c r="F9" s="13">
        <f t="shared" si="4"/>
        <v>4</v>
      </c>
      <c r="G9" s="13">
        <f t="shared" si="4"/>
        <v>2</v>
      </c>
      <c r="H9" s="13">
        <f t="shared" si="4"/>
        <v>0.6666666667</v>
      </c>
    </row>
    <row r="10">
      <c r="A10" s="31" t="s">
        <v>126</v>
      </c>
      <c r="C10" s="50">
        <f>C8</f>
        <v>500</v>
      </c>
      <c r="D10" s="69">
        <f t="shared" ref="D10:H10" si="5">D8-C8</f>
        <v>1500</v>
      </c>
      <c r="E10" s="69">
        <f t="shared" si="5"/>
        <v>2000</v>
      </c>
      <c r="F10" s="69">
        <f t="shared" si="5"/>
        <v>16000</v>
      </c>
      <c r="G10" s="69">
        <f t="shared" si="5"/>
        <v>40000</v>
      </c>
      <c r="H10" s="69">
        <f t="shared" si="5"/>
        <v>40000</v>
      </c>
    </row>
    <row r="11">
      <c r="A11" s="31"/>
      <c r="C11" s="42"/>
    </row>
    <row r="13">
      <c r="B13" s="68" t="s">
        <v>123</v>
      </c>
      <c r="C13" s="68" t="s">
        <v>23</v>
      </c>
      <c r="D13" s="68" t="s">
        <v>24</v>
      </c>
      <c r="E13" s="68" t="s">
        <v>25</v>
      </c>
      <c r="F13" s="68" t="s">
        <v>26</v>
      </c>
      <c r="G13" s="68" t="s">
        <v>27</v>
      </c>
      <c r="H13" s="68" t="s">
        <v>28</v>
      </c>
    </row>
    <row r="14">
      <c r="A14" s="1" t="s">
        <v>128</v>
      </c>
    </row>
    <row r="15">
      <c r="A15" s="31" t="s">
        <v>86</v>
      </c>
    </row>
    <row r="16">
      <c r="A16" s="31" t="s">
        <v>87</v>
      </c>
      <c r="B16" s="50">
        <v>150.0</v>
      </c>
      <c r="C16" s="69">
        <f>'Financial Projection'!C16</f>
        <v>67500000</v>
      </c>
      <c r="D16" s="69">
        <f>'Financial Projection'!D16</f>
        <v>540000000</v>
      </c>
      <c r="E16" s="69">
        <f>'Financial Projection'!E16</f>
        <v>1080000000</v>
      </c>
      <c r="F16" s="69">
        <f>'Financial Projection'!F16</f>
        <v>5400000000</v>
      </c>
      <c r="G16" s="69">
        <f>'Financial Projection'!G16</f>
        <v>16200000000</v>
      </c>
      <c r="H16" s="69">
        <f>'Financial Projection'!H16</f>
        <v>27000000000</v>
      </c>
    </row>
    <row r="17">
      <c r="A17" s="31" t="s">
        <v>88</v>
      </c>
      <c r="B17" s="50">
        <v>47000.0</v>
      </c>
      <c r="C17" s="69">
        <f>'Financial Projection'!C17</f>
        <v>211500000</v>
      </c>
      <c r="D17" s="69">
        <f>'Financial Projection'!D17</f>
        <v>1692000000</v>
      </c>
      <c r="E17" s="69">
        <f>'Financial Projection'!E17</f>
        <v>3384000000</v>
      </c>
      <c r="F17" s="69">
        <f>'Financial Projection'!F17</f>
        <v>16920000000</v>
      </c>
      <c r="G17" s="69">
        <f>'Financial Projection'!G17</f>
        <v>50760000000</v>
      </c>
      <c r="H17" s="69">
        <f>'Financial Projection'!H17</f>
        <v>84600000000</v>
      </c>
    </row>
    <row r="18">
      <c r="A18" s="31" t="s">
        <v>189</v>
      </c>
      <c r="B18" s="50">
        <v>10000.0</v>
      </c>
      <c r="C18" s="69">
        <f>'Financial Projection'!C18</f>
        <v>75000000</v>
      </c>
      <c r="D18" s="69">
        <f>'Financial Projection'!D18</f>
        <v>300000000</v>
      </c>
      <c r="E18" s="69">
        <f>'Financial Projection'!E18</f>
        <v>600000000</v>
      </c>
      <c r="F18" s="69">
        <f>'Financial Projection'!F18</f>
        <v>3000000000</v>
      </c>
      <c r="G18" s="69">
        <f>'Financial Projection'!G18</f>
        <v>9000000000</v>
      </c>
      <c r="H18" s="69">
        <f>'Financial Projection'!H18</f>
        <v>15000000000</v>
      </c>
    </row>
    <row r="19">
      <c r="A19" s="1" t="s">
        <v>129</v>
      </c>
      <c r="C19" s="138">
        <v>1.84E8</v>
      </c>
      <c r="D19" s="138">
        <v>2.167E9</v>
      </c>
      <c r="E19" s="138">
        <v>2.338E9</v>
      </c>
      <c r="F19" s="70">
        <f t="shared" ref="F19:H19" si="6">SUM(F16:F18)</f>
        <v>25320000000</v>
      </c>
      <c r="G19" s="70">
        <f t="shared" si="6"/>
        <v>75960000000</v>
      </c>
      <c r="H19" s="70">
        <f t="shared" si="6"/>
        <v>126600000000</v>
      </c>
      <c r="I19" s="31" t="s">
        <v>130</v>
      </c>
      <c r="J19" s="69">
        <f>sum(C19:H19)</f>
        <v>232569000000</v>
      </c>
    </row>
    <row r="21">
      <c r="A21" s="1" t="s">
        <v>131</v>
      </c>
      <c r="B21" s="71"/>
      <c r="C21" s="70">
        <f>'Financial Projection'!C21</f>
        <v>75000000</v>
      </c>
      <c r="D21" s="70">
        <f>'Financial Projection'!D21</f>
        <v>300000000</v>
      </c>
      <c r="E21" s="70">
        <f>'Financial Projection'!E21</f>
        <v>600000000</v>
      </c>
      <c r="F21" s="70">
        <f>'Financial Projection'!F21</f>
        <v>3000000000</v>
      </c>
      <c r="G21" s="70">
        <f>'Financial Projection'!G21</f>
        <v>9000000000</v>
      </c>
      <c r="H21" s="70">
        <f>'Financial Projection'!H21</f>
        <v>15000000000</v>
      </c>
    </row>
    <row r="23">
      <c r="A23" s="72" t="s">
        <v>132</v>
      </c>
      <c r="G23" s="31"/>
      <c r="H23" s="31"/>
    </row>
    <row r="24">
      <c r="A24" s="73" t="s">
        <v>133</v>
      </c>
      <c r="B24" s="50">
        <v>0.0</v>
      </c>
      <c r="C24" s="69">
        <f>'Financial Projection'!C24</f>
        <v>0</v>
      </c>
    </row>
    <row r="25">
      <c r="A25" s="73" t="s">
        <v>134</v>
      </c>
      <c r="B25" s="50">
        <v>0.0</v>
      </c>
      <c r="C25" s="69">
        <f>'Financial Projection'!C25</f>
        <v>0</v>
      </c>
    </row>
    <row r="26">
      <c r="A26" s="73" t="s">
        <v>135</v>
      </c>
      <c r="B26" s="50">
        <v>0.0</v>
      </c>
      <c r="C26" s="69">
        <f>'Financial Projection'!C26</f>
        <v>0</v>
      </c>
      <c r="E26" s="31" t="s">
        <v>136</v>
      </c>
      <c r="F26" s="50">
        <v>1.0E9</v>
      </c>
    </row>
    <row r="27">
      <c r="A27" s="73" t="s">
        <v>137</v>
      </c>
      <c r="C27" s="69">
        <f>'Financial Projection'!C27</f>
        <v>0</v>
      </c>
    </row>
    <row r="28">
      <c r="A28" s="73" t="s">
        <v>138</v>
      </c>
      <c r="C28" s="69">
        <f>'Financial Projection'!C28</f>
        <v>8000000</v>
      </c>
    </row>
    <row r="29">
      <c r="A29" s="73" t="s">
        <v>139</v>
      </c>
      <c r="C29" s="69">
        <f>'Financial Projection'!C29</f>
        <v>2000000</v>
      </c>
    </row>
    <row r="30">
      <c r="A30" s="73" t="s">
        <v>140</v>
      </c>
      <c r="B30" s="69"/>
      <c r="C30" s="69">
        <f>'Financial Projection'!C30</f>
        <v>45200000</v>
      </c>
    </row>
    <row r="31">
      <c r="A31" s="73" t="s">
        <v>141</v>
      </c>
      <c r="B31" s="69"/>
      <c r="C31" s="69">
        <f>'Financial Projection'!C31</f>
        <v>94600000</v>
      </c>
    </row>
    <row r="32">
      <c r="A32" s="72" t="s">
        <v>142</v>
      </c>
      <c r="B32" s="69"/>
      <c r="C32" s="70">
        <f>SUM(C24:C31)</f>
        <v>149800000</v>
      </c>
    </row>
    <row r="34">
      <c r="A34" s="1"/>
      <c r="B34" s="68" t="s">
        <v>123</v>
      </c>
      <c r="C34" s="68" t="s">
        <v>23</v>
      </c>
      <c r="D34" s="68" t="s">
        <v>24</v>
      </c>
      <c r="E34" s="68" t="s">
        <v>25</v>
      </c>
      <c r="F34" s="68" t="s">
        <v>26</v>
      </c>
      <c r="G34" s="68" t="s">
        <v>27</v>
      </c>
      <c r="H34" s="68" t="s">
        <v>28</v>
      </c>
    </row>
    <row r="35">
      <c r="A35" s="1" t="s">
        <v>58</v>
      </c>
    </row>
    <row r="36">
      <c r="A36" s="73" t="s">
        <v>100</v>
      </c>
      <c r="B36" s="50">
        <v>1.0E7</v>
      </c>
      <c r="C36" s="69">
        <f>'Financial Projection'!C36</f>
        <v>0</v>
      </c>
      <c r="D36" s="69">
        <f>'Financial Projection'!D36</f>
        <v>36000000</v>
      </c>
      <c r="E36" s="69">
        <f>'Financial Projection'!E36</f>
        <v>36000000</v>
      </c>
      <c r="F36" s="69">
        <f>'Financial Projection'!F36</f>
        <v>400000000</v>
      </c>
      <c r="G36" s="69">
        <f>'Financial Projection'!G36</f>
        <v>800000000</v>
      </c>
      <c r="H36" s="69">
        <f>'Financial Projection'!H36</f>
        <v>1600000000</v>
      </c>
    </row>
    <row r="37">
      <c r="A37" s="73" t="s">
        <v>101</v>
      </c>
      <c r="B37" s="50">
        <v>7500000.0</v>
      </c>
      <c r="C37" s="69">
        <f>'Financial Projection'!C37</f>
        <v>4800000</v>
      </c>
      <c r="D37" s="69">
        <f>'Financial Projection'!D37</f>
        <v>7200000</v>
      </c>
      <c r="E37" s="69">
        <f>'Financial Projection'!E37</f>
        <v>7200000</v>
      </c>
      <c r="F37" s="69">
        <f>'Financial Projection'!F37</f>
        <v>7200000</v>
      </c>
      <c r="G37" s="69">
        <f>'Financial Projection'!G37</f>
        <v>7200000</v>
      </c>
      <c r="H37" s="69">
        <f>'Financial Projection'!H37</f>
        <v>7200000</v>
      </c>
    </row>
    <row r="38">
      <c r="A38" s="73" t="s">
        <v>102</v>
      </c>
      <c r="B38" s="50">
        <v>800000.0</v>
      </c>
      <c r="C38" s="69">
        <f>'Financial Projection'!C38</f>
        <v>2400000</v>
      </c>
      <c r="D38" s="69">
        <f>'Financial Projection'!D38</f>
        <v>3600000</v>
      </c>
      <c r="E38" s="69">
        <f>'Financial Projection'!E38</f>
        <v>3600000</v>
      </c>
      <c r="F38" s="69">
        <f>'Financial Projection'!F38</f>
        <v>3600000</v>
      </c>
      <c r="G38" s="69">
        <f>'Financial Projection'!G38</f>
        <v>3600000</v>
      </c>
      <c r="H38" s="69">
        <f>'Financial Projection'!H38</f>
        <v>3600000</v>
      </c>
    </row>
    <row r="39">
      <c r="A39" s="73" t="s">
        <v>103</v>
      </c>
      <c r="B39" s="50">
        <v>5000000.0</v>
      </c>
      <c r="C39" s="69">
        <f>'Financial Projection'!C39</f>
        <v>1000000</v>
      </c>
      <c r="D39" s="69">
        <f>'Financial Projection'!D39</f>
        <v>2000000</v>
      </c>
      <c r="E39" s="69">
        <f>'Financial Projection'!E39</f>
        <v>3000000</v>
      </c>
      <c r="F39" s="69">
        <f>'Financial Projection'!F39</f>
        <v>7000000</v>
      </c>
      <c r="G39" s="69">
        <f>'Financial Projection'!G39</f>
        <v>5000000</v>
      </c>
      <c r="H39" s="69">
        <f>'Financial Projection'!H39</f>
        <v>5000000</v>
      </c>
    </row>
    <row r="40">
      <c r="A40" s="73" t="s">
        <v>104</v>
      </c>
      <c r="B40" s="50">
        <v>2500000.0</v>
      </c>
      <c r="C40" s="69">
        <f>'Financial Projection'!C40</f>
        <v>1000000</v>
      </c>
      <c r="D40" s="69">
        <f>'Financial Projection'!D40</f>
        <v>4000000</v>
      </c>
      <c r="E40" s="69">
        <f>'Financial Projection'!E40</f>
        <v>4000000</v>
      </c>
      <c r="F40" s="69">
        <f>'Financial Projection'!F40</f>
        <v>6000000</v>
      </c>
      <c r="G40" s="69">
        <f>'Financial Projection'!G40</f>
        <v>6000000</v>
      </c>
      <c r="H40" s="69">
        <f>'Financial Projection'!H40</f>
        <v>6000000</v>
      </c>
    </row>
    <row r="41">
      <c r="A41" s="73" t="s">
        <v>105</v>
      </c>
      <c r="B41" s="50">
        <v>5000000.0</v>
      </c>
      <c r="C41" s="69">
        <f>'Financial Projection'!C41</f>
        <v>36000000</v>
      </c>
      <c r="D41" s="69">
        <f>'Financial Projection'!D41</f>
        <v>840000000</v>
      </c>
      <c r="E41" s="69">
        <f>'Financial Projection'!E41</f>
        <v>1304100000</v>
      </c>
      <c r="F41" s="69">
        <f>'Financial Projection'!F41</f>
        <v>1478290500</v>
      </c>
      <c r="G41" s="69">
        <f>'Financial Projection'!G41</f>
        <v>1754666550</v>
      </c>
      <c r="H41" s="69">
        <f>'Financial Projection'!H41</f>
        <v>3509333100</v>
      </c>
    </row>
    <row r="42">
      <c r="A42" s="74" t="s">
        <v>56</v>
      </c>
      <c r="B42" s="50"/>
      <c r="C42" s="69">
        <f>'Financial Projection'!C42</f>
        <v>0</v>
      </c>
      <c r="D42" s="69">
        <f>'Financial Projection'!D42</f>
        <v>79800000</v>
      </c>
      <c r="E42" s="69">
        <f>'Financial Projection'!E42</f>
        <v>123889500</v>
      </c>
      <c r="F42" s="69">
        <f>'Financial Projection'!F42</f>
        <v>140437597.5</v>
      </c>
      <c r="G42" s="69">
        <f>'Financial Projection'!G42</f>
        <v>166693322.3</v>
      </c>
      <c r="H42" s="69">
        <f>'Financial Projection'!H42</f>
        <v>333386644.5</v>
      </c>
      <c r="I42" s="69"/>
      <c r="J42" s="69"/>
    </row>
    <row r="43">
      <c r="A43" s="31" t="s">
        <v>106</v>
      </c>
      <c r="B43" s="50">
        <v>2500000.0</v>
      </c>
      <c r="C43" s="69">
        <f>'Financial Projection'!C43</f>
        <v>0</v>
      </c>
      <c r="D43" s="69">
        <f>'Financial Projection'!D43</f>
        <v>30000000</v>
      </c>
      <c r="E43" s="69">
        <f>'Financial Projection'!E43</f>
        <v>30600000</v>
      </c>
      <c r="F43" s="69">
        <f>'Financial Projection'!F43</f>
        <v>31212000</v>
      </c>
      <c r="G43" s="69">
        <f>'Financial Projection'!G43</f>
        <v>318362400</v>
      </c>
      <c r="H43" s="69">
        <f>'Financial Projection'!H43</f>
        <v>636724800</v>
      </c>
    </row>
    <row r="44">
      <c r="A44" s="31" t="s">
        <v>107</v>
      </c>
      <c r="B44" s="50">
        <v>5000000.0</v>
      </c>
      <c r="C44" s="69">
        <f>'Financial Projection'!C44</f>
        <v>0</v>
      </c>
      <c r="D44" s="69">
        <f>'Financial Projection'!D44</f>
        <v>48000000</v>
      </c>
      <c r="E44" s="69">
        <f>'Financial Projection'!E44</f>
        <v>48000000</v>
      </c>
      <c r="F44" s="69">
        <f>'Financial Projection'!F44</f>
        <v>48000000</v>
      </c>
      <c r="G44" s="69">
        <f>'Financial Projection'!G44</f>
        <v>240000000</v>
      </c>
      <c r="H44" s="69">
        <f>'Financial Projection'!H44</f>
        <v>480000000</v>
      </c>
    </row>
    <row r="45">
      <c r="A45" s="1" t="s">
        <v>108</v>
      </c>
      <c r="C45" s="139">
        <v>3.0E7</v>
      </c>
      <c r="D45" s="138">
        <v>2.0E8</v>
      </c>
      <c r="E45" s="138">
        <v>2.61E8</v>
      </c>
      <c r="F45" s="70">
        <f t="shared" ref="F45:H45" si="7">sum(F36:F44)</f>
        <v>2121740098</v>
      </c>
      <c r="G45" s="70">
        <f t="shared" si="7"/>
        <v>3301522272</v>
      </c>
      <c r="H45" s="70">
        <f t="shared" si="7"/>
        <v>6581244545</v>
      </c>
    </row>
    <row r="46">
      <c r="A46" s="1"/>
      <c r="C46" s="59">
        <f t="shared" ref="C46:H46" si="8">C45/C19</f>
        <v>0.1630434783</v>
      </c>
      <c r="D46" s="59">
        <f t="shared" si="8"/>
        <v>0.09229349331</v>
      </c>
      <c r="E46" s="59">
        <f t="shared" si="8"/>
        <v>0.1116338751</v>
      </c>
      <c r="F46" s="59">
        <f t="shared" si="8"/>
        <v>0.08379700227</v>
      </c>
      <c r="G46" s="59">
        <f t="shared" si="8"/>
        <v>0.0434639583</v>
      </c>
      <c r="H46" s="59">
        <f t="shared" si="8"/>
        <v>0.05198455406</v>
      </c>
    </row>
    <row r="47">
      <c r="A47" s="1" t="s">
        <v>66</v>
      </c>
    </row>
    <row r="48">
      <c r="A48" s="31" t="s">
        <v>109</v>
      </c>
      <c r="B48" s="69">
        <f>3000000+3000000+10000000+12000000+10000000+10000000</f>
        <v>48000000</v>
      </c>
      <c r="C48" s="69">
        <f>'Financial Projection'!C48</f>
        <v>23000000</v>
      </c>
      <c r="D48" s="69">
        <f>'Financial Projection'!D48</f>
        <v>33000000</v>
      </c>
      <c r="E48" s="69">
        <f>'Financial Projection'!E48</f>
        <v>46000000</v>
      </c>
      <c r="F48" s="69">
        <f>'Financial Projection'!F48</f>
        <v>100000000</v>
      </c>
      <c r="G48" s="69">
        <f>'Financial Projection'!G48</f>
        <v>1000000000</v>
      </c>
      <c r="H48" s="69">
        <f>'Financial Projection'!H48</f>
        <v>2000000000</v>
      </c>
    </row>
    <row r="49">
      <c r="A49" s="31" t="s">
        <v>110</v>
      </c>
      <c r="B49" s="50">
        <v>1000000.0</v>
      </c>
      <c r="C49" s="69">
        <f>'Financial Projection'!C49</f>
        <v>8000000</v>
      </c>
      <c r="D49" s="69">
        <f>'Financial Projection'!D49</f>
        <v>48000000</v>
      </c>
      <c r="E49" s="69">
        <f>'Financial Projection'!E49</f>
        <v>48000000</v>
      </c>
      <c r="F49" s="69">
        <f>'Financial Projection'!F49</f>
        <v>135000000</v>
      </c>
      <c r="G49" s="69">
        <f>'Financial Projection'!G49</f>
        <v>1350000000</v>
      </c>
      <c r="H49" s="69">
        <f>'Financial Projection'!H49</f>
        <v>2700000000</v>
      </c>
    </row>
    <row r="50">
      <c r="A50" s="73" t="s">
        <v>111</v>
      </c>
      <c r="B50" s="50">
        <v>4000000.0</v>
      </c>
      <c r="C50" s="69">
        <f>'Financial Projection'!C50</f>
        <v>16000000</v>
      </c>
      <c r="D50" s="69">
        <f>'Financial Projection'!D50</f>
        <v>48000000</v>
      </c>
      <c r="E50" s="69">
        <f>'Financial Projection'!E50</f>
        <v>48000000</v>
      </c>
      <c r="F50" s="69">
        <f>'Financial Projection'!F50</f>
        <v>80000000</v>
      </c>
      <c r="G50" s="69">
        <f>'Financial Projection'!G50</f>
        <v>950000000</v>
      </c>
      <c r="H50" s="69">
        <f>'Financial Projection'!H50</f>
        <v>1900000000</v>
      </c>
    </row>
    <row r="51">
      <c r="A51" s="73" t="s">
        <v>112</v>
      </c>
      <c r="B51" s="50">
        <v>300000.0</v>
      </c>
      <c r="C51" s="69">
        <f>'Financial Projection'!C51</f>
        <v>18000000</v>
      </c>
      <c r="D51" s="69">
        <f>'Financial Projection'!D51</f>
        <v>108000000</v>
      </c>
      <c r="E51" s="69">
        <f>'Financial Projection'!E51</f>
        <v>108000000</v>
      </c>
      <c r="F51" s="69">
        <f>'Financial Projection'!F51</f>
        <v>170000000</v>
      </c>
      <c r="G51" s="69">
        <f>'Financial Projection'!G51</f>
        <v>1190000000</v>
      </c>
      <c r="H51" s="69">
        <f>'Financial Projection'!H51</f>
        <v>2380000000</v>
      </c>
    </row>
    <row r="52">
      <c r="A52" s="73" t="s">
        <v>113</v>
      </c>
      <c r="B52" s="50">
        <v>1500000.0</v>
      </c>
      <c r="C52" s="69">
        <f>'Financial Projection'!C52</f>
        <v>5600000</v>
      </c>
      <c r="D52" s="69">
        <f>'Financial Projection'!D52</f>
        <v>9600000</v>
      </c>
      <c r="E52" s="69">
        <f>'Financial Projection'!E52</f>
        <v>67200000</v>
      </c>
      <c r="F52" s="69">
        <f>'Financial Projection'!F52</f>
        <v>145000000</v>
      </c>
      <c r="G52" s="69">
        <f>'Financial Projection'!G52</f>
        <v>1015000000</v>
      </c>
      <c r="H52" s="69">
        <f>'Financial Projection'!H52</f>
        <v>2030000000</v>
      </c>
    </row>
    <row r="53">
      <c r="A53" s="73" t="s">
        <v>114</v>
      </c>
      <c r="B53" s="50">
        <v>5.0E7</v>
      </c>
      <c r="C53" s="69">
        <f>'Financial Projection'!C53</f>
        <v>24000000</v>
      </c>
      <c r="D53" s="69">
        <f>'Financial Projection'!D53</f>
        <v>96000000</v>
      </c>
      <c r="E53" s="69">
        <f>'Financial Projection'!E53</f>
        <v>96000000</v>
      </c>
      <c r="F53" s="69">
        <f>'Financial Projection'!F53</f>
        <v>250000000</v>
      </c>
      <c r="G53" s="69">
        <f>'Financial Projection'!G53</f>
        <v>1500000000</v>
      </c>
      <c r="H53" s="69">
        <f>'Financial Projection'!H53</f>
        <v>3000000000</v>
      </c>
    </row>
    <row r="54">
      <c r="A54" s="72" t="s">
        <v>115</v>
      </c>
      <c r="B54" s="71"/>
      <c r="C54" s="70">
        <f t="shared" ref="C54:H54" si="9">SUM(C48:C53)</f>
        <v>94600000</v>
      </c>
      <c r="D54" s="70">
        <f t="shared" si="9"/>
        <v>342600000</v>
      </c>
      <c r="E54" s="70">
        <f t="shared" si="9"/>
        <v>413200000</v>
      </c>
      <c r="F54" s="70">
        <f t="shared" si="9"/>
        <v>880000000</v>
      </c>
      <c r="G54" s="70">
        <f t="shared" si="9"/>
        <v>7005000000</v>
      </c>
      <c r="H54" s="70">
        <f t="shared" si="9"/>
        <v>14010000000</v>
      </c>
    </row>
    <row r="55">
      <c r="C55" s="59">
        <f t="shared" ref="C55:H55" si="10">C54/C19</f>
        <v>0.5141304348</v>
      </c>
      <c r="D55" s="59">
        <f t="shared" si="10"/>
        <v>0.158098754</v>
      </c>
      <c r="E55" s="59">
        <f t="shared" si="10"/>
        <v>0.1767322498</v>
      </c>
      <c r="F55" s="59">
        <f t="shared" si="10"/>
        <v>0.03475513428</v>
      </c>
      <c r="G55" s="59">
        <f t="shared" si="10"/>
        <v>0.09221958926</v>
      </c>
      <c r="H55" s="59">
        <f t="shared" si="10"/>
        <v>0.1106635071</v>
      </c>
    </row>
    <row r="56">
      <c r="A56" s="1" t="s">
        <v>116</v>
      </c>
      <c r="C56" s="70">
        <f t="shared" ref="C56:H56" si="11">C45+C54</f>
        <v>124600000</v>
      </c>
      <c r="D56" s="70">
        <f t="shared" si="11"/>
        <v>542600000</v>
      </c>
      <c r="E56" s="70">
        <f t="shared" si="11"/>
        <v>674200000</v>
      </c>
      <c r="F56" s="70">
        <f t="shared" si="11"/>
        <v>3001740098</v>
      </c>
      <c r="G56" s="70">
        <f t="shared" si="11"/>
        <v>10306522272</v>
      </c>
      <c r="H56" s="70">
        <f t="shared" si="11"/>
        <v>20591244545</v>
      </c>
      <c r="I56" s="31" t="s">
        <v>143</v>
      </c>
      <c r="J56" s="69">
        <f>sum(C56:I56)</f>
        <v>35240906914</v>
      </c>
    </row>
    <row r="57">
      <c r="C57" s="59"/>
    </row>
    <row r="58">
      <c r="A58" s="1" t="s">
        <v>144</v>
      </c>
      <c r="C58" s="70">
        <f t="shared" ref="C58:H58" si="12">C19-C56</f>
        <v>59400000</v>
      </c>
      <c r="D58" s="70">
        <f t="shared" si="12"/>
        <v>1624400000</v>
      </c>
      <c r="E58" s="70">
        <f t="shared" si="12"/>
        <v>1663800000</v>
      </c>
      <c r="F58" s="70">
        <f t="shared" si="12"/>
        <v>22318259903</v>
      </c>
      <c r="G58" s="70">
        <f t="shared" si="12"/>
        <v>65653477728</v>
      </c>
      <c r="H58" s="70">
        <f t="shared" si="12"/>
        <v>106008755456</v>
      </c>
    </row>
    <row r="59">
      <c r="A59" s="31" t="s">
        <v>145</v>
      </c>
      <c r="C59" s="77">
        <f>'Financing Schedule'!H26</f>
        <v>24000000</v>
      </c>
      <c r="D59" s="77">
        <f>'Financing Schedule'!I26</f>
        <v>36743292.27</v>
      </c>
      <c r="E59" s="77">
        <f>'Financing Schedule'!J26</f>
        <v>42099474.98</v>
      </c>
      <c r="F59" s="77">
        <f>'Financing Schedule'!K26</f>
        <v>67879770.34</v>
      </c>
      <c r="G59" s="77">
        <f>'Financing Schedule'!L26</f>
        <v>58953545.69</v>
      </c>
      <c r="H59" s="77">
        <f>'Financing Schedule'!M26</f>
        <v>49313223.07</v>
      </c>
    </row>
    <row r="60">
      <c r="A60" s="1" t="s">
        <v>146</v>
      </c>
      <c r="C60" s="70">
        <f t="shared" ref="C60:H60" si="13">C58-C59</f>
        <v>35400000</v>
      </c>
      <c r="D60" s="70">
        <f t="shared" si="13"/>
        <v>1587656708</v>
      </c>
      <c r="E60" s="70">
        <f t="shared" si="13"/>
        <v>1621700525</v>
      </c>
      <c r="F60" s="70">
        <f t="shared" si="13"/>
        <v>22250380132</v>
      </c>
      <c r="G60" s="70">
        <f t="shared" si="13"/>
        <v>65594524182</v>
      </c>
      <c r="H60" s="70">
        <f t="shared" si="13"/>
        <v>105959442232</v>
      </c>
    </row>
    <row r="61">
      <c r="A61" s="31" t="s">
        <v>147</v>
      </c>
      <c r="B61" s="42">
        <v>0.22</v>
      </c>
      <c r="C61" s="50">
        <v>920000.0</v>
      </c>
      <c r="D61" s="50">
        <v>1.0835E7</v>
      </c>
      <c r="E61" s="50">
        <v>1.2E7</v>
      </c>
      <c r="F61" s="69">
        <f t="shared" ref="F61:H61" si="14">F60*$B$61</f>
        <v>4895083629</v>
      </c>
      <c r="G61" s="69">
        <f t="shared" si="14"/>
        <v>14430795320</v>
      </c>
      <c r="H61" s="69">
        <f t="shared" si="14"/>
        <v>23311077291</v>
      </c>
    </row>
    <row r="62">
      <c r="C62" s="71"/>
    </row>
    <row r="63">
      <c r="A63" s="78" t="s">
        <v>148</v>
      </c>
      <c r="B63" s="79"/>
      <c r="C63" s="80">
        <f t="shared" ref="C63:H63" si="15">C60-C61</f>
        <v>34480000</v>
      </c>
      <c r="D63" s="80">
        <f t="shared" si="15"/>
        <v>1576821708</v>
      </c>
      <c r="E63" s="80">
        <f t="shared" si="15"/>
        <v>1609700525</v>
      </c>
      <c r="F63" s="80">
        <f t="shared" si="15"/>
        <v>17355296503</v>
      </c>
      <c r="G63" s="80">
        <f t="shared" si="15"/>
        <v>51163728862</v>
      </c>
      <c r="H63" s="80">
        <f t="shared" si="15"/>
        <v>82648364941</v>
      </c>
    </row>
    <row r="64">
      <c r="C64" s="71"/>
    </row>
    <row r="65">
      <c r="A65" s="1" t="s">
        <v>144</v>
      </c>
      <c r="C65" s="59">
        <f t="shared" ref="C65:C70" si="16">C58/$C$19</f>
        <v>0.322826087</v>
      </c>
      <c r="D65" s="59">
        <f t="shared" ref="D65:D70" si="17">D58/$D$19</f>
        <v>0.7496077527</v>
      </c>
      <c r="E65" s="59">
        <f t="shared" ref="E65:E70" si="18">E58/$E$19</f>
        <v>0.7116338751</v>
      </c>
      <c r="F65" s="59">
        <f t="shared" ref="F65:F70" si="19">F58/$F$19</f>
        <v>0.8814478634</v>
      </c>
      <c r="G65" s="59">
        <f t="shared" ref="G65:G70" si="20">G58/$G$19</f>
        <v>0.8643164524</v>
      </c>
      <c r="H65" s="59">
        <f t="shared" ref="H65:H70" si="21">H58/$H$19</f>
        <v>0.8373519388</v>
      </c>
    </row>
    <row r="66">
      <c r="A66" s="31" t="s">
        <v>145</v>
      </c>
      <c r="C66" s="59">
        <f t="shared" si="16"/>
        <v>0.1304347826</v>
      </c>
      <c r="D66" s="59">
        <f t="shared" si="17"/>
        <v>0.016955834</v>
      </c>
      <c r="E66" s="59">
        <f t="shared" si="18"/>
        <v>0.0180066189</v>
      </c>
      <c r="F66" s="59">
        <f t="shared" si="19"/>
        <v>0.002680875606</v>
      </c>
      <c r="G66" s="59">
        <f t="shared" si="20"/>
        <v>0.0007761130291</v>
      </c>
      <c r="H66" s="59">
        <f t="shared" si="21"/>
        <v>0.0003895199294</v>
      </c>
    </row>
    <row r="67">
      <c r="A67" s="1" t="s">
        <v>146</v>
      </c>
      <c r="B67" s="13"/>
      <c r="C67" s="59">
        <f t="shared" si="16"/>
        <v>0.1923913043</v>
      </c>
      <c r="D67" s="59">
        <f t="shared" si="17"/>
        <v>0.7326519187</v>
      </c>
      <c r="E67" s="59">
        <f t="shared" si="18"/>
        <v>0.6936272562</v>
      </c>
      <c r="F67" s="59">
        <f t="shared" si="19"/>
        <v>0.8787669878</v>
      </c>
      <c r="G67" s="59">
        <f t="shared" si="20"/>
        <v>0.8635403394</v>
      </c>
      <c r="H67" s="59">
        <f t="shared" si="21"/>
        <v>0.8369624189</v>
      </c>
    </row>
    <row r="68">
      <c r="A68" s="31" t="s">
        <v>147</v>
      </c>
      <c r="C68" s="59">
        <f t="shared" si="16"/>
        <v>0.005</v>
      </c>
      <c r="D68" s="59">
        <f t="shared" si="17"/>
        <v>0.005</v>
      </c>
      <c r="E68" s="59">
        <f t="shared" si="18"/>
        <v>0.005132591959</v>
      </c>
      <c r="F68" s="59">
        <f t="shared" si="19"/>
        <v>0.1933287373</v>
      </c>
      <c r="G68" s="59">
        <f t="shared" si="20"/>
        <v>0.1899788747</v>
      </c>
      <c r="H68" s="59">
        <f t="shared" si="21"/>
        <v>0.1841317322</v>
      </c>
    </row>
    <row r="69">
      <c r="C69" s="59">
        <f t="shared" si="16"/>
        <v>0</v>
      </c>
      <c r="D69" s="59">
        <f t="shared" si="17"/>
        <v>0</v>
      </c>
      <c r="E69" s="59">
        <f t="shared" si="18"/>
        <v>0</v>
      </c>
      <c r="F69" s="59">
        <f t="shared" si="19"/>
        <v>0</v>
      </c>
      <c r="G69" s="59">
        <f t="shared" si="20"/>
        <v>0</v>
      </c>
      <c r="H69" s="59">
        <f t="shared" si="21"/>
        <v>0</v>
      </c>
    </row>
    <row r="70">
      <c r="C70" s="59">
        <f t="shared" si="16"/>
        <v>0.1873913043</v>
      </c>
      <c r="D70" s="59">
        <f t="shared" si="17"/>
        <v>0.7276519187</v>
      </c>
      <c r="E70" s="59">
        <f t="shared" si="18"/>
        <v>0.6884946643</v>
      </c>
      <c r="F70" s="59">
        <f t="shared" si="19"/>
        <v>0.6854382505</v>
      </c>
      <c r="G70" s="59">
        <f t="shared" si="20"/>
        <v>0.6735614647</v>
      </c>
      <c r="H70" s="59">
        <f t="shared" si="21"/>
        <v>0.6528306867</v>
      </c>
    </row>
    <row r="73">
      <c r="C73" s="83"/>
      <c r="D73" s="83"/>
      <c r="E73" s="83"/>
      <c r="F73" s="83"/>
      <c r="G73" s="83"/>
      <c r="H73" s="8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7.5"/>
    <col customWidth="1" min="3" max="3" width="14.63"/>
    <col customWidth="1" min="4" max="4" width="14.13"/>
    <col customWidth="1" min="5" max="5" width="13.88"/>
    <col customWidth="1" min="6" max="6" width="15.38"/>
    <col customWidth="1" min="7" max="7" width="15.0"/>
    <col customWidth="1" min="8" max="8" width="15.13"/>
  </cols>
  <sheetData>
    <row r="2">
      <c r="A2" s="1" t="s">
        <v>190</v>
      </c>
      <c r="C2" s="140" t="s">
        <v>191</v>
      </c>
      <c r="D2" s="140" t="s">
        <v>192</v>
      </c>
      <c r="E2" s="140" t="s">
        <v>193</v>
      </c>
      <c r="F2" s="140" t="s">
        <v>194</v>
      </c>
      <c r="G2" s="140" t="s">
        <v>195</v>
      </c>
      <c r="H2" s="140" t="s">
        <v>196</v>
      </c>
    </row>
    <row r="3">
      <c r="C3" s="141"/>
      <c r="D3" s="141"/>
      <c r="E3" s="141"/>
      <c r="F3" s="141"/>
      <c r="G3" s="141"/>
      <c r="H3" s="141"/>
    </row>
    <row r="4">
      <c r="A4" s="1" t="s">
        <v>197</v>
      </c>
      <c r="C4" s="142"/>
      <c r="D4" s="143"/>
      <c r="E4" s="143"/>
      <c r="F4" s="143"/>
      <c r="G4" s="143"/>
      <c r="H4" s="143"/>
    </row>
    <row r="5">
      <c r="A5" s="1" t="s">
        <v>198</v>
      </c>
      <c r="C5" s="141"/>
      <c r="D5" s="141"/>
      <c r="E5" s="143"/>
      <c r="F5" s="141"/>
      <c r="G5" s="141"/>
      <c r="H5" s="143"/>
    </row>
    <row r="6">
      <c r="A6" s="31" t="s">
        <v>199</v>
      </c>
      <c r="C6" s="144">
        <f>'Financial Projection'!C19</f>
        <v>354000000</v>
      </c>
      <c r="D6" s="144">
        <f>'Financial Projection'!D16</f>
        <v>540000000</v>
      </c>
      <c r="E6" s="144">
        <f>'Financial Projection'!E17</f>
        <v>3384000000</v>
      </c>
      <c r="F6" s="144">
        <f>'Financial Projection'!F17</f>
        <v>16920000000</v>
      </c>
      <c r="G6" s="144">
        <f>'Financial Projection'!G17</f>
        <v>50760000000</v>
      </c>
      <c r="H6" s="144">
        <f>'Financial Projection'!H17</f>
        <v>84600000000</v>
      </c>
    </row>
    <row r="7">
      <c r="A7" s="31" t="s">
        <v>200</v>
      </c>
      <c r="C7" s="145">
        <v>0.0</v>
      </c>
      <c r="D7" s="145">
        <v>0.0</v>
      </c>
      <c r="E7" s="145">
        <v>0.0</v>
      </c>
      <c r="F7" s="145">
        <v>0.0</v>
      </c>
      <c r="G7" s="145">
        <v>0.0</v>
      </c>
      <c r="H7" s="145">
        <v>0.0</v>
      </c>
    </row>
    <row r="8">
      <c r="A8" s="31" t="s">
        <v>201</v>
      </c>
      <c r="C8" s="146">
        <v>0.0</v>
      </c>
      <c r="D8" s="146">
        <v>0.0</v>
      </c>
      <c r="E8" s="146">
        <v>0.0</v>
      </c>
      <c r="F8" s="146">
        <v>0.0</v>
      </c>
      <c r="G8" s="146">
        <v>0.0</v>
      </c>
      <c r="H8" s="146">
        <v>0.0</v>
      </c>
    </row>
    <row r="9">
      <c r="A9" s="1" t="s">
        <v>202</v>
      </c>
      <c r="C9" s="147">
        <f t="shared" ref="C9:H9" si="1">sum(C6:C8)</f>
        <v>354000000</v>
      </c>
      <c r="D9" s="147">
        <f t="shared" si="1"/>
        <v>540000000</v>
      </c>
      <c r="E9" s="147">
        <f t="shared" si="1"/>
        <v>3384000000</v>
      </c>
      <c r="F9" s="147">
        <f t="shared" si="1"/>
        <v>16920000000</v>
      </c>
      <c r="G9" s="147">
        <f t="shared" si="1"/>
        <v>50760000000</v>
      </c>
      <c r="H9" s="147">
        <f t="shared" si="1"/>
        <v>84600000000</v>
      </c>
    </row>
    <row r="11">
      <c r="A11" s="1" t="s">
        <v>203</v>
      </c>
    </row>
    <row r="12">
      <c r="A12" s="31" t="s">
        <v>204</v>
      </c>
      <c r="C12" s="146">
        <v>0.0</v>
      </c>
      <c r="D12" s="148">
        <f>'Financing Schedule'!I10</f>
        <v>186029377</v>
      </c>
      <c r="E12" s="148">
        <f>'Financing Schedule'!J12</f>
        <v>0</v>
      </c>
      <c r="F12" s="148">
        <f>'Financing Schedule'!K13</f>
        <v>0</v>
      </c>
      <c r="G12" s="148">
        <f>'Financing Schedule'!L15</f>
        <v>0</v>
      </c>
      <c r="H12" s="148">
        <f>'Financing Schedule'!M16</f>
        <v>0</v>
      </c>
    </row>
    <row r="13">
      <c r="A13" s="31" t="s">
        <v>205</v>
      </c>
      <c r="C13" s="149">
        <f>'Financing Schedule'!H32+8847</f>
        <v>279300000.4</v>
      </c>
      <c r="D13" s="149">
        <f>'Financing Schedule'!I32</f>
        <v>264170623</v>
      </c>
      <c r="E13" s="149">
        <f>'Financing Schedule'!J32</f>
        <v>411469960.5</v>
      </c>
      <c r="F13" s="149">
        <f>'Financing Schedule'!K32</f>
        <v>374542254.6</v>
      </c>
      <c r="G13" s="149">
        <f>'Financing Schedule'!L32</f>
        <v>328938401.7</v>
      </c>
      <c r="H13" s="149">
        <f>'Financing Schedule'!M32</f>
        <v>373396712.7</v>
      </c>
    </row>
    <row r="14">
      <c r="A14" s="1" t="s">
        <v>206</v>
      </c>
      <c r="C14" s="147">
        <f t="shared" ref="C14:H14" si="2">sum(C12:C13)</f>
        <v>279300000.4</v>
      </c>
      <c r="D14" s="147">
        <f t="shared" si="2"/>
        <v>450200000</v>
      </c>
      <c r="E14" s="147">
        <f t="shared" si="2"/>
        <v>411469960.5</v>
      </c>
      <c r="F14" s="147">
        <f t="shared" si="2"/>
        <v>374542254.6</v>
      </c>
      <c r="G14" s="147">
        <f t="shared" si="2"/>
        <v>328938401.7</v>
      </c>
      <c r="H14" s="147">
        <f t="shared" si="2"/>
        <v>373396712.7</v>
      </c>
    </row>
    <row r="15">
      <c r="A15" s="1"/>
    </row>
    <row r="16">
      <c r="A16" s="1" t="s">
        <v>207</v>
      </c>
    </row>
    <row r="17">
      <c r="A17" s="150" t="s">
        <v>208</v>
      </c>
      <c r="C17" s="151">
        <f>'Financing Schedule'!H39</f>
        <v>-160200000</v>
      </c>
      <c r="D17" s="151">
        <f>'Financing Schedule'!I39</f>
        <v>-160200000</v>
      </c>
      <c r="E17" s="151">
        <f>'Financing Schedule'!J39</f>
        <v>1839800000</v>
      </c>
      <c r="F17" s="151">
        <f>'Financing Schedule'!K39</f>
        <v>2500000000</v>
      </c>
      <c r="G17" s="151">
        <f>'Financing Schedule'!L39</f>
        <v>1000000000</v>
      </c>
      <c r="H17" s="148">
        <f>'Financing Schedule'!M39</f>
        <v>5000000000</v>
      </c>
    </row>
    <row r="18">
      <c r="A18" s="31" t="s">
        <v>209</v>
      </c>
      <c r="C18" s="152">
        <v>0.0</v>
      </c>
      <c r="D18" s="152">
        <v>0.0</v>
      </c>
      <c r="E18" s="153">
        <f>round(D18+'Income Statement'!E63-'Financing Schedule'!J42,-2)</f>
        <v>1490816400</v>
      </c>
      <c r="F18" s="153">
        <f>round(E18+'Income Statement'!F63-'Financing Schedule'!K42,-2)</f>
        <v>16242818400</v>
      </c>
      <c r="G18" s="153">
        <f>round(F18+'Income Statement'!G63-'Financing Schedule'!L42,-2)</f>
        <v>57173801500</v>
      </c>
      <c r="H18" s="153">
        <f>round(G18+'Income Statement'!G63-'Financing Schedule'!M42,-2)</f>
        <v>87675439200</v>
      </c>
    </row>
    <row r="19">
      <c r="A19" s="1" t="s">
        <v>210</v>
      </c>
      <c r="C19" s="154">
        <f t="shared" ref="C19:H19" si="3">sum(C17:C18)</f>
        <v>-160200000</v>
      </c>
      <c r="D19" s="154">
        <f t="shared" si="3"/>
        <v>-160200000</v>
      </c>
      <c r="E19" s="154">
        <f t="shared" si="3"/>
        <v>3330616400</v>
      </c>
      <c r="F19" s="154">
        <f t="shared" si="3"/>
        <v>18742818400</v>
      </c>
      <c r="G19" s="154">
        <f t="shared" si="3"/>
        <v>58173801500</v>
      </c>
      <c r="H19" s="154">
        <f t="shared" si="3"/>
        <v>92675439200</v>
      </c>
    </row>
    <row r="21">
      <c r="A21" s="1" t="s">
        <v>211</v>
      </c>
      <c r="C21" s="147">
        <f t="shared" ref="C21:H21" si="4">C14+C19</f>
        <v>119100000.4</v>
      </c>
      <c r="D21" s="147">
        <f t="shared" si="4"/>
        <v>290000000</v>
      </c>
      <c r="E21" s="147">
        <f t="shared" si="4"/>
        <v>3742086360</v>
      </c>
      <c r="F21" s="147">
        <f t="shared" si="4"/>
        <v>19117360655</v>
      </c>
      <c r="G21" s="147">
        <f t="shared" si="4"/>
        <v>58502739902</v>
      </c>
      <c r="H21" s="147">
        <f t="shared" si="4"/>
        <v>93048835913</v>
      </c>
    </row>
    <row r="24">
      <c r="A24" s="155" t="s">
        <v>212</v>
      </c>
      <c r="B24" s="156"/>
      <c r="C24" s="157">
        <f t="shared" ref="C24:H24" si="5">C9-C21</f>
        <v>234899999.6</v>
      </c>
      <c r="D24" s="157">
        <f t="shared" si="5"/>
        <v>250000000</v>
      </c>
      <c r="E24" s="157">
        <f t="shared" si="5"/>
        <v>-358086360.5</v>
      </c>
      <c r="F24" s="157">
        <f t="shared" si="5"/>
        <v>-2197360655</v>
      </c>
      <c r="G24" s="157">
        <f t="shared" si="5"/>
        <v>-7742739902</v>
      </c>
      <c r="H24" s="157">
        <f t="shared" si="5"/>
        <v>-8448835913</v>
      </c>
      <c r="I24" s="15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3" max="3" width="15.38"/>
    <col customWidth="1" min="4" max="4" width="15.25"/>
    <col customWidth="1" min="5" max="5" width="15.0"/>
    <col customWidth="1" min="6" max="6" width="14.25"/>
    <col customWidth="1" min="7" max="7" width="15.63"/>
    <col customWidth="1" min="8" max="8" width="16.88"/>
  </cols>
  <sheetData>
    <row r="2" ht="33.0" customHeight="1">
      <c r="A2" s="141"/>
      <c r="B2" s="158"/>
      <c r="C2" s="140" t="s">
        <v>191</v>
      </c>
      <c r="D2" s="140" t="s">
        <v>192</v>
      </c>
      <c r="E2" s="140" t="s">
        <v>193</v>
      </c>
      <c r="F2" s="140" t="s">
        <v>194</v>
      </c>
      <c r="G2" s="140" t="s">
        <v>195</v>
      </c>
      <c r="H2" s="140" t="s">
        <v>196</v>
      </c>
    </row>
    <row r="3">
      <c r="A3" s="159" t="s">
        <v>213</v>
      </c>
      <c r="B3" s="141"/>
      <c r="C3" s="141"/>
      <c r="D3" s="141"/>
      <c r="E3" s="141"/>
      <c r="F3" s="141"/>
      <c r="G3" s="141"/>
      <c r="H3" s="141"/>
    </row>
    <row r="4">
      <c r="A4" s="143" t="s">
        <v>214</v>
      </c>
      <c r="B4" s="141"/>
      <c r="C4" s="144">
        <f>140000000</f>
        <v>140000000</v>
      </c>
      <c r="D4" s="144">
        <f t="shared" ref="D4:H4" si="1">C26</f>
        <v>211844000</v>
      </c>
      <c r="E4" s="144">
        <f t="shared" si="1"/>
        <v>1396153183</v>
      </c>
      <c r="F4" s="144">
        <f t="shared" si="1"/>
        <v>5713635783</v>
      </c>
      <c r="G4" s="144">
        <f t="shared" si="1"/>
        <v>25688932286</v>
      </c>
      <c r="H4" s="144">
        <f t="shared" si="1"/>
        <v>77852661148</v>
      </c>
    </row>
    <row r="5">
      <c r="A5" s="159" t="s">
        <v>215</v>
      </c>
      <c r="B5" s="141"/>
      <c r="C5" s="141"/>
      <c r="D5" s="141"/>
      <c r="E5" s="141"/>
      <c r="F5" s="141"/>
      <c r="G5" s="141"/>
      <c r="H5" s="141"/>
    </row>
    <row r="6">
      <c r="A6" s="143" t="s">
        <v>216</v>
      </c>
      <c r="B6" s="141"/>
      <c r="C6" s="160">
        <f>'Sales and Collections'!$B$18</f>
        <v>354000000</v>
      </c>
      <c r="D6" s="160">
        <f>'Sales and Collections'!$C$18</f>
        <v>2532000000</v>
      </c>
      <c r="E6" s="160">
        <f>'Sales and Collections'!$D$18</f>
        <v>5064000000</v>
      </c>
      <c r="F6" s="160">
        <f>'Sales and Collections'!$E$18</f>
        <v>25320000000</v>
      </c>
      <c r="G6" s="160">
        <f>'Sales and Collections'!$F$18</f>
        <v>75960000000</v>
      </c>
      <c r="H6" s="160">
        <f>'Sales and Collections'!$G$18</f>
        <v>126600000000</v>
      </c>
    </row>
    <row r="7">
      <c r="A7" s="159" t="s">
        <v>217</v>
      </c>
      <c r="B7" s="158"/>
      <c r="C7" s="161">
        <f t="shared" ref="C7:H7" si="2">C4+C6</f>
        <v>494000000</v>
      </c>
      <c r="D7" s="161">
        <f t="shared" si="2"/>
        <v>2743844000</v>
      </c>
      <c r="E7" s="161">
        <f t="shared" si="2"/>
        <v>6460153183</v>
      </c>
      <c r="F7" s="161">
        <f t="shared" si="2"/>
        <v>31033635783</v>
      </c>
      <c r="G7" s="161">
        <f t="shared" si="2"/>
        <v>101648932286</v>
      </c>
      <c r="H7" s="161">
        <f t="shared" si="2"/>
        <v>204452661148</v>
      </c>
    </row>
    <row r="8">
      <c r="A8" s="159" t="s">
        <v>218</v>
      </c>
      <c r="B8" s="141"/>
      <c r="C8" s="141"/>
      <c r="D8" s="141"/>
      <c r="E8" s="141"/>
      <c r="F8" s="141"/>
      <c r="G8" s="141"/>
      <c r="H8" s="141"/>
    </row>
    <row r="9">
      <c r="A9" s="143" t="s">
        <v>219</v>
      </c>
      <c r="B9" s="141"/>
      <c r="C9" s="144">
        <f>Expenses!$B$15</f>
        <v>45200000</v>
      </c>
      <c r="D9" s="144">
        <f>Expenses!$C$15</f>
        <v>1050600000</v>
      </c>
      <c r="E9" s="144">
        <f>Expenses!$D$15</f>
        <v>1560389500</v>
      </c>
      <c r="F9" s="144">
        <f>Expenses!$E$15</f>
        <v>2121740098</v>
      </c>
      <c r="G9" s="144">
        <f>Expenses!$F$15</f>
        <v>3301522272</v>
      </c>
      <c r="H9" s="144">
        <f>Expenses!$G$15</f>
        <v>6581244545</v>
      </c>
    </row>
    <row r="10">
      <c r="A10" s="143" t="s">
        <v>220</v>
      </c>
      <c r="B10" s="141"/>
      <c r="C10" s="144">
        <f>Expenses!$B$24</f>
        <v>94600000</v>
      </c>
      <c r="D10" s="144">
        <f>Expenses!$C$24</f>
        <v>342600000</v>
      </c>
      <c r="E10" s="144">
        <f>Expenses!$D$24</f>
        <v>413200000</v>
      </c>
      <c r="F10" s="144">
        <f>Expenses!$E$24</f>
        <v>880000000</v>
      </c>
      <c r="G10" s="144">
        <f>Expenses!$F$24</f>
        <v>7005000000</v>
      </c>
      <c r="H10" s="144">
        <f>Expenses!$G$24</f>
        <v>14010000000</v>
      </c>
    </row>
    <row r="11">
      <c r="A11" s="143" t="s">
        <v>221</v>
      </c>
      <c r="B11" s="141"/>
      <c r="C11" s="144">
        <f>'Financial Projection'!$C$61</f>
        <v>-41844000</v>
      </c>
      <c r="D11" s="144">
        <f>'Financial Projection'!$D$61</f>
        <v>-242452475.7</v>
      </c>
      <c r="E11" s="144">
        <f>'Financial Projection'!$E$61</f>
        <v>670628425.5</v>
      </c>
      <c r="F11" s="144">
        <f>'Financial Projection'!$F$61</f>
        <v>4895083629</v>
      </c>
      <c r="G11" s="144">
        <f>'Financial Projection'!$G$61</f>
        <v>14430795320</v>
      </c>
      <c r="H11" s="144">
        <f>'Financial Projection'!$H$61</f>
        <v>23311077291</v>
      </c>
    </row>
    <row r="12">
      <c r="A12" s="159" t="s">
        <v>222</v>
      </c>
      <c r="B12" s="141"/>
      <c r="C12" s="162">
        <f t="shared" ref="C12:H12" si="3">sum(C9:C11)</f>
        <v>97956000</v>
      </c>
      <c r="D12" s="162">
        <f t="shared" si="3"/>
        <v>1150747524</v>
      </c>
      <c r="E12" s="162">
        <f t="shared" si="3"/>
        <v>2644217926</v>
      </c>
      <c r="F12" s="162">
        <f t="shared" si="3"/>
        <v>7896823727</v>
      </c>
      <c r="G12" s="162">
        <f t="shared" si="3"/>
        <v>24737317592</v>
      </c>
      <c r="H12" s="162">
        <f t="shared" si="3"/>
        <v>43902321836</v>
      </c>
    </row>
    <row r="13">
      <c r="A13" s="141"/>
      <c r="B13" s="141"/>
      <c r="C13" s="141"/>
      <c r="D13" s="141"/>
      <c r="E13" s="141"/>
      <c r="F13" s="141"/>
      <c r="G13" s="141"/>
      <c r="H13" s="141"/>
    </row>
    <row r="14">
      <c r="A14" s="143" t="s">
        <v>223</v>
      </c>
      <c r="B14" s="141"/>
      <c r="C14" s="163">
        <v>1.5E8</v>
      </c>
      <c r="D14" s="163">
        <v>1.5E8</v>
      </c>
      <c r="E14" s="163">
        <v>1.5E8</v>
      </c>
      <c r="F14" s="163">
        <v>1.5E8</v>
      </c>
      <c r="G14" s="163">
        <v>1.5E8</v>
      </c>
      <c r="H14" s="163">
        <v>1.5E8</v>
      </c>
    </row>
    <row r="15">
      <c r="A15" s="159" t="s">
        <v>224</v>
      </c>
      <c r="B15" s="141"/>
      <c r="C15" s="161">
        <f t="shared" ref="C15:H15" si="4">C12+C14</f>
        <v>247956000</v>
      </c>
      <c r="D15" s="161">
        <f t="shared" si="4"/>
        <v>1300747524</v>
      </c>
      <c r="E15" s="161">
        <f t="shared" si="4"/>
        <v>2794217926</v>
      </c>
      <c r="F15" s="161">
        <f t="shared" si="4"/>
        <v>8046823727</v>
      </c>
      <c r="G15" s="161">
        <f t="shared" si="4"/>
        <v>24887317592</v>
      </c>
      <c r="H15" s="161">
        <f t="shared" si="4"/>
        <v>44052321836</v>
      </c>
    </row>
    <row r="16">
      <c r="A16" s="158"/>
      <c r="B16" s="158"/>
      <c r="C16" s="158"/>
      <c r="D16" s="158"/>
      <c r="E16" s="158"/>
      <c r="F16" s="158"/>
      <c r="G16" s="158"/>
      <c r="H16" s="158"/>
    </row>
    <row r="17">
      <c r="A17" s="159" t="s">
        <v>225</v>
      </c>
      <c r="B17" s="141"/>
      <c r="C17" s="141"/>
      <c r="D17" s="141"/>
      <c r="E17" s="141"/>
      <c r="F17" s="141"/>
      <c r="G17" s="141"/>
      <c r="H17" s="141"/>
    </row>
    <row r="18">
      <c r="A18" s="159" t="s">
        <v>226</v>
      </c>
      <c r="B18" s="141"/>
      <c r="C18" s="161">
        <f t="shared" ref="C18:H18" si="5">C7-C15</f>
        <v>246044000</v>
      </c>
      <c r="D18" s="161">
        <f t="shared" si="5"/>
        <v>1443096476</v>
      </c>
      <c r="E18" s="161">
        <f t="shared" si="5"/>
        <v>3665935258</v>
      </c>
      <c r="F18" s="161">
        <f t="shared" si="5"/>
        <v>22986812056</v>
      </c>
      <c r="G18" s="161">
        <f t="shared" si="5"/>
        <v>76761614694</v>
      </c>
      <c r="H18" s="161">
        <f t="shared" si="5"/>
        <v>160400339312</v>
      </c>
    </row>
    <row r="19">
      <c r="A19" s="159" t="s">
        <v>227</v>
      </c>
      <c r="B19" s="141"/>
      <c r="C19" s="141"/>
      <c r="D19" s="141"/>
      <c r="E19" s="141"/>
      <c r="F19" s="141"/>
      <c r="G19" s="141"/>
      <c r="H19" s="141"/>
    </row>
    <row r="20">
      <c r="A20" s="143" t="s">
        <v>228</v>
      </c>
      <c r="B20" s="141"/>
      <c r="C20" s="164">
        <f>'Financing Schedule'!$H$39</f>
        <v>-160200000</v>
      </c>
      <c r="D20" s="164">
        <f>'Financing Schedule'!$I$39</f>
        <v>-160200000</v>
      </c>
      <c r="E20" s="164">
        <f>'Financing Schedule'!$J$39</f>
        <v>1839800000</v>
      </c>
      <c r="F20" s="164">
        <f>'Financing Schedule'!$K$39</f>
        <v>2500000000</v>
      </c>
      <c r="G20" s="164">
        <f>'Financing Schedule'!$L$39</f>
        <v>1000000000</v>
      </c>
      <c r="H20" s="164">
        <f>'Financing Schedule'!$M$39</f>
        <v>5000000000</v>
      </c>
    </row>
    <row r="21">
      <c r="A21" s="143" t="s">
        <v>229</v>
      </c>
      <c r="B21" s="141"/>
      <c r="C21" s="144">
        <v>0.0</v>
      </c>
      <c r="D21" s="144">
        <v>0.0</v>
      </c>
      <c r="E21" s="144">
        <f>'Financing Schedule'!$C$11</f>
        <v>200000000</v>
      </c>
      <c r="F21" s="144">
        <f>'Financing Schedule'!$C$14</f>
        <v>120000000</v>
      </c>
      <c r="G21" s="144">
        <v>0.0</v>
      </c>
      <c r="H21" s="144">
        <v>0.0</v>
      </c>
    </row>
    <row r="22">
      <c r="A22" s="143" t="s">
        <v>169</v>
      </c>
      <c r="B22" s="141"/>
      <c r="C22" s="144">
        <v>0.0</v>
      </c>
      <c r="D22" s="144">
        <v>0.0</v>
      </c>
      <c r="E22" s="144">
        <v>-1.0E8</v>
      </c>
      <c r="F22" s="144">
        <v>0.0</v>
      </c>
      <c r="G22" s="144">
        <v>0.0</v>
      </c>
      <c r="H22" s="144">
        <v>-1.5E8</v>
      </c>
    </row>
    <row r="23">
      <c r="A23" s="143" t="s">
        <v>230</v>
      </c>
      <c r="B23" s="141"/>
      <c r="C23" s="160">
        <f>-'Financing Schedule'!$H$26</f>
        <v>-24000000</v>
      </c>
      <c r="D23" s="160">
        <f>-'Financing Schedule'!$I$26</f>
        <v>-36743292.27</v>
      </c>
      <c r="E23" s="160">
        <f>-'Financing Schedule'!$J$26</f>
        <v>-42099474.98</v>
      </c>
      <c r="F23" s="160">
        <f>-'Financing Schedule'!$K$26</f>
        <v>-67879770.34</v>
      </c>
      <c r="G23" s="160">
        <f>-'Financing Schedule'!$L$26</f>
        <v>-58953545.69</v>
      </c>
      <c r="H23" s="160">
        <f>-'Financing Schedule'!$M$26</f>
        <v>-49313223.07</v>
      </c>
    </row>
    <row r="24">
      <c r="A24" s="159" t="s">
        <v>231</v>
      </c>
      <c r="B24" s="158"/>
      <c r="C24" s="162">
        <f t="shared" ref="C24:H24" si="6">C20+C21+C22+C23</f>
        <v>-184200000</v>
      </c>
      <c r="D24" s="162">
        <f t="shared" si="6"/>
        <v>-196943292.3</v>
      </c>
      <c r="E24" s="162">
        <f t="shared" si="6"/>
        <v>1897700525</v>
      </c>
      <c r="F24" s="162">
        <f t="shared" si="6"/>
        <v>2552120230</v>
      </c>
      <c r="G24" s="162">
        <f t="shared" si="6"/>
        <v>941046454.3</v>
      </c>
      <c r="H24" s="162">
        <f t="shared" si="6"/>
        <v>4800686777</v>
      </c>
    </row>
    <row r="25">
      <c r="A25" s="141"/>
      <c r="B25" s="141"/>
      <c r="C25" s="141"/>
      <c r="D25" s="141"/>
      <c r="E25" s="141"/>
      <c r="F25" s="141"/>
      <c r="G25" s="141"/>
      <c r="H25" s="141"/>
    </row>
    <row r="26">
      <c r="A26" s="159" t="s">
        <v>232</v>
      </c>
      <c r="B26" s="158"/>
      <c r="C26" s="162">
        <f t="shared" ref="C26:H26" si="7">C7-C12+C24</f>
        <v>211844000</v>
      </c>
      <c r="D26" s="162">
        <f t="shared" si="7"/>
        <v>1396153183</v>
      </c>
      <c r="E26" s="162">
        <f t="shared" si="7"/>
        <v>5713635783</v>
      </c>
      <c r="F26" s="162">
        <f t="shared" si="7"/>
        <v>25688932286</v>
      </c>
      <c r="G26" s="162">
        <f t="shared" si="7"/>
        <v>77852661148</v>
      </c>
      <c r="H26" s="162">
        <f t="shared" si="7"/>
        <v>165351026089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5.88"/>
    <col customWidth="1" min="2" max="2" width="18.13"/>
    <col customWidth="1" min="3" max="3" width="15.63"/>
    <col customWidth="1" min="4" max="4" width="15.0"/>
    <col customWidth="1" min="5" max="5" width="14.63"/>
    <col customWidth="1" min="6" max="6" width="15.5"/>
    <col customWidth="1" min="7" max="7" width="15.25"/>
  </cols>
  <sheetData>
    <row r="2">
      <c r="A2" s="141"/>
      <c r="B2" s="165" t="s">
        <v>191</v>
      </c>
      <c r="C2" s="165" t="s">
        <v>192</v>
      </c>
      <c r="D2" s="165" t="s">
        <v>193</v>
      </c>
      <c r="E2" s="165" t="s">
        <v>194</v>
      </c>
      <c r="F2" s="165" t="s">
        <v>195</v>
      </c>
      <c r="G2" s="165" t="s">
        <v>196</v>
      </c>
    </row>
    <row r="3">
      <c r="A3" s="159" t="s">
        <v>233</v>
      </c>
      <c r="B3" s="141"/>
      <c r="C3" s="141"/>
      <c r="D3" s="141"/>
      <c r="E3" s="141"/>
      <c r="F3" s="141"/>
      <c r="G3" s="141"/>
    </row>
    <row r="4">
      <c r="A4" s="159" t="s">
        <v>234</v>
      </c>
      <c r="B4" s="141"/>
      <c r="C4" s="141"/>
      <c r="D4" s="141"/>
      <c r="E4" s="141"/>
      <c r="F4" s="141"/>
      <c r="G4" s="141"/>
    </row>
    <row r="5">
      <c r="A5" s="143" t="s">
        <v>235</v>
      </c>
      <c r="B5" s="144">
        <f>'Cash Budget'!C6</f>
        <v>354000000</v>
      </c>
      <c r="C5" s="144">
        <f>'Cash Budget'!D6</f>
        <v>2532000000</v>
      </c>
      <c r="D5" s="144">
        <f>'Cash Budget'!E6</f>
        <v>5064000000</v>
      </c>
      <c r="E5" s="144">
        <f>'Cash Budget'!F6</f>
        <v>25320000000</v>
      </c>
      <c r="F5" s="144">
        <f>'Cash Budget'!G6</f>
        <v>75960000000</v>
      </c>
      <c r="G5" s="144">
        <f>'Cash Budget'!H6</f>
        <v>126600000000</v>
      </c>
    </row>
    <row r="6">
      <c r="A6" s="143" t="s">
        <v>236</v>
      </c>
      <c r="B6" s="144">
        <f>-'Cash Budget'!C9</f>
        <v>-45200000</v>
      </c>
      <c r="C6" s="144">
        <f>-'Cash Budget'!D9</f>
        <v>-1050600000</v>
      </c>
      <c r="D6" s="144">
        <f>-'Cash Budget'!E9</f>
        <v>-1560389500</v>
      </c>
      <c r="E6" s="144">
        <f>-'Cash Budget'!F9</f>
        <v>-2121740098</v>
      </c>
      <c r="F6" s="144">
        <f>-'Cash Budget'!G9</f>
        <v>-3301522272</v>
      </c>
      <c r="G6" s="144">
        <f>-'Cash Budget'!H9</f>
        <v>-6581244545</v>
      </c>
    </row>
    <row r="7">
      <c r="A7" s="143" t="s">
        <v>237</v>
      </c>
      <c r="B7" s="144">
        <f>-'Cash Budget'!C10</f>
        <v>-94600000</v>
      </c>
      <c r="C7" s="144">
        <f>-'Cash Budget'!D10</f>
        <v>-342600000</v>
      </c>
      <c r="D7" s="144">
        <f>-'Cash Budget'!E10</f>
        <v>-413200000</v>
      </c>
      <c r="E7" s="144">
        <f>-'Cash Budget'!F10</f>
        <v>-880000000</v>
      </c>
      <c r="F7" s="144">
        <f>-'Cash Budget'!G10</f>
        <v>-7005000000</v>
      </c>
      <c r="G7" s="144">
        <f>-'Cash Budget'!H10</f>
        <v>-14010000000</v>
      </c>
    </row>
    <row r="8">
      <c r="A8" s="143" t="s">
        <v>238</v>
      </c>
      <c r="B8" s="144">
        <f>'Cash Budget'!C23</f>
        <v>-24000000</v>
      </c>
      <c r="C8" s="144">
        <f>'Cash Budget'!D23</f>
        <v>-36743292.27</v>
      </c>
      <c r="D8" s="144">
        <f>'Cash Budget'!E23</f>
        <v>-42099474.98</v>
      </c>
      <c r="E8" s="144">
        <f>'Cash Budget'!F23</f>
        <v>-67879770.34</v>
      </c>
      <c r="F8" s="144">
        <f>'Cash Budget'!G23</f>
        <v>-58953545.69</v>
      </c>
      <c r="G8" s="144">
        <f>'Cash Budget'!H23</f>
        <v>-49313223.07</v>
      </c>
    </row>
    <row r="9">
      <c r="A9" s="143" t="s">
        <v>239</v>
      </c>
      <c r="B9" s="144">
        <f>-'Cash Budget'!C11</f>
        <v>41844000</v>
      </c>
      <c r="C9" s="144">
        <f>-'Cash Budget'!D11</f>
        <v>242452475.7</v>
      </c>
      <c r="D9" s="144">
        <f>-'Cash Budget'!E11</f>
        <v>-670628425.5</v>
      </c>
      <c r="E9" s="144">
        <f>-'Cash Budget'!F11</f>
        <v>-4895083629</v>
      </c>
      <c r="F9" s="144">
        <f>-'Cash Budget'!G11</f>
        <v>-14430795320</v>
      </c>
      <c r="G9" s="144">
        <f>-'Cash Budget'!H11</f>
        <v>-23311077291</v>
      </c>
    </row>
    <row r="10">
      <c r="A10" s="166" t="s">
        <v>240</v>
      </c>
      <c r="B10" s="167">
        <f t="shared" ref="B10:G10" si="1">sum(B5:B9)</f>
        <v>232044000</v>
      </c>
      <c r="C10" s="167">
        <f t="shared" si="1"/>
        <v>1344509183</v>
      </c>
      <c r="D10" s="167">
        <f t="shared" si="1"/>
        <v>2377682600</v>
      </c>
      <c r="E10" s="167">
        <f t="shared" si="1"/>
        <v>17355296503</v>
      </c>
      <c r="F10" s="167">
        <f t="shared" si="1"/>
        <v>51163728862</v>
      </c>
      <c r="G10" s="167">
        <f t="shared" si="1"/>
        <v>82648364941</v>
      </c>
    </row>
    <row r="11">
      <c r="A11" s="158"/>
      <c r="B11" s="141"/>
      <c r="C11" s="141"/>
      <c r="D11" s="141"/>
      <c r="E11" s="141"/>
      <c r="F11" s="141"/>
      <c r="G11" s="141"/>
    </row>
    <row r="12">
      <c r="A12" s="159" t="s">
        <v>241</v>
      </c>
      <c r="B12" s="141"/>
      <c r="C12" s="141"/>
      <c r="D12" s="141"/>
      <c r="E12" s="141"/>
      <c r="F12" s="141"/>
      <c r="G12" s="141"/>
    </row>
    <row r="13">
      <c r="A13" s="143" t="s">
        <v>242</v>
      </c>
      <c r="B13" s="144">
        <f>'Cash Budget'!C21</f>
        <v>0</v>
      </c>
      <c r="C13" s="144">
        <f>'Cash Budget'!D21</f>
        <v>0</v>
      </c>
      <c r="D13" s="144">
        <f>'Cash Budget'!E21</f>
        <v>200000000</v>
      </c>
      <c r="E13" s="144">
        <f>'Cash Budget'!F21</f>
        <v>120000000</v>
      </c>
      <c r="F13" s="144">
        <f>'Cash Budget'!G21</f>
        <v>0</v>
      </c>
      <c r="G13" s="144">
        <f>'Cash Budget'!H21</f>
        <v>0</v>
      </c>
    </row>
    <row r="14">
      <c r="A14" s="143" t="s">
        <v>243</v>
      </c>
      <c r="B14" s="168">
        <f>'Cash Budget'!C20</f>
        <v>-160200000</v>
      </c>
      <c r="C14" s="168">
        <f>'Cash Budget'!D20</f>
        <v>-160200000</v>
      </c>
      <c r="D14" s="168">
        <f>'Cash Budget'!E20</f>
        <v>1839800000</v>
      </c>
      <c r="E14" s="168">
        <f>'Cash Budget'!F20</f>
        <v>2500000000</v>
      </c>
      <c r="F14" s="168">
        <f>'Cash Budget'!G20</f>
        <v>1000000000</v>
      </c>
      <c r="G14" s="168">
        <f>'Cash Budget'!H20</f>
        <v>5000000000</v>
      </c>
    </row>
    <row r="15">
      <c r="A15" s="143" t="s">
        <v>244</v>
      </c>
      <c r="B15" s="160">
        <f>'Cash Budget'!C22</f>
        <v>0</v>
      </c>
      <c r="C15" s="160">
        <f>'Cash Budget'!D22</f>
        <v>0</v>
      </c>
      <c r="D15" s="160">
        <f>'Cash Budget'!E22</f>
        <v>-100000000</v>
      </c>
      <c r="E15" s="160">
        <f>'Cash Budget'!F22</f>
        <v>0</v>
      </c>
      <c r="F15" s="160">
        <f>'Cash Budget'!G22</f>
        <v>0</v>
      </c>
      <c r="G15" s="160">
        <f>'Cash Budget'!H22</f>
        <v>-150000000</v>
      </c>
    </row>
    <row r="16">
      <c r="A16" s="166" t="s">
        <v>245</v>
      </c>
      <c r="B16" s="162">
        <f t="shared" ref="B16:G16" si="2">sum(B13:B15)</f>
        <v>-160200000</v>
      </c>
      <c r="C16" s="162">
        <f t="shared" si="2"/>
        <v>-160200000</v>
      </c>
      <c r="D16" s="162">
        <f t="shared" si="2"/>
        <v>1939800000</v>
      </c>
      <c r="E16" s="162">
        <f t="shared" si="2"/>
        <v>2620000000</v>
      </c>
      <c r="F16" s="162">
        <f t="shared" si="2"/>
        <v>1000000000</v>
      </c>
      <c r="G16" s="162">
        <f t="shared" si="2"/>
        <v>4850000000</v>
      </c>
    </row>
    <row r="17">
      <c r="A17" s="141"/>
      <c r="B17" s="141"/>
      <c r="C17" s="141"/>
      <c r="D17" s="141"/>
      <c r="E17" s="141"/>
      <c r="F17" s="141"/>
      <c r="G17" s="141"/>
    </row>
    <row r="18">
      <c r="A18" s="159" t="s">
        <v>246</v>
      </c>
      <c r="B18" s="162">
        <f t="shared" ref="B18:G18" si="3">B10+B16</f>
        <v>71844000</v>
      </c>
      <c r="C18" s="162">
        <f t="shared" si="3"/>
        <v>1184309183</v>
      </c>
      <c r="D18" s="162">
        <f t="shared" si="3"/>
        <v>4317482600</v>
      </c>
      <c r="E18" s="162">
        <f t="shared" si="3"/>
        <v>19975296503</v>
      </c>
      <c r="F18" s="162">
        <f t="shared" si="3"/>
        <v>52163728862</v>
      </c>
      <c r="G18" s="162">
        <f t="shared" si="3"/>
        <v>87498364941</v>
      </c>
    </row>
    <row r="19">
      <c r="A19" s="143" t="s">
        <v>247</v>
      </c>
      <c r="B19" s="160">
        <f>'Cash Budget'!C4</f>
        <v>140000000</v>
      </c>
      <c r="C19" s="160">
        <f t="shared" ref="C19:G19" si="4">B20</f>
        <v>211844000</v>
      </c>
      <c r="D19" s="160">
        <f t="shared" si="4"/>
        <v>1396153183</v>
      </c>
      <c r="E19" s="160">
        <f t="shared" si="4"/>
        <v>5713635783</v>
      </c>
      <c r="F19" s="160">
        <f t="shared" si="4"/>
        <v>25688932286</v>
      </c>
      <c r="G19" s="160">
        <f t="shared" si="4"/>
        <v>77852661148</v>
      </c>
    </row>
    <row r="20">
      <c r="A20" s="169" t="s">
        <v>248</v>
      </c>
      <c r="B20" s="170">
        <f t="shared" ref="B20:G20" si="5">B18+B19</f>
        <v>211844000</v>
      </c>
      <c r="C20" s="170">
        <f t="shared" si="5"/>
        <v>1396153183</v>
      </c>
      <c r="D20" s="170">
        <f t="shared" si="5"/>
        <v>5713635783</v>
      </c>
      <c r="E20" s="170">
        <f t="shared" si="5"/>
        <v>25688932286</v>
      </c>
      <c r="F20" s="170">
        <f t="shared" si="5"/>
        <v>77852661148</v>
      </c>
      <c r="G20" s="170">
        <f t="shared" si="5"/>
        <v>165351026089</v>
      </c>
    </row>
    <row r="23">
      <c r="B23" s="171"/>
      <c r="C23" s="171"/>
      <c r="D23" s="171"/>
      <c r="E23" s="171"/>
      <c r="F23" s="171"/>
      <c r="G23" s="171"/>
    </row>
    <row r="24">
      <c r="B24" s="171"/>
      <c r="C24" s="171"/>
      <c r="D24" s="171"/>
      <c r="E24" s="171"/>
      <c r="F24" s="171"/>
      <c r="G24" s="171"/>
    </row>
    <row r="25">
      <c r="F25" s="172"/>
      <c r="G25" s="17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63"/>
    <col customWidth="1" min="2" max="2" width="16.13"/>
    <col customWidth="1" min="3" max="3" width="17.25"/>
    <col customWidth="1" min="4" max="4" width="15.88"/>
    <col customWidth="1" min="5" max="5" width="16.0"/>
    <col customWidth="1" min="6" max="6" width="15.5"/>
    <col customWidth="1" min="7" max="7" width="15.38"/>
  </cols>
  <sheetData>
    <row r="1">
      <c r="A1" s="141"/>
      <c r="B1" s="173"/>
      <c r="C1" s="173"/>
      <c r="D1" s="173"/>
      <c r="E1" s="173"/>
      <c r="F1" s="173"/>
      <c r="G1" s="173"/>
    </row>
    <row r="2">
      <c r="A2" s="141"/>
      <c r="B2" s="140" t="s">
        <v>191</v>
      </c>
      <c r="C2" s="140" t="s">
        <v>192</v>
      </c>
      <c r="D2" s="140" t="s">
        <v>193</v>
      </c>
      <c r="E2" s="140" t="s">
        <v>194</v>
      </c>
      <c r="F2" s="140" t="s">
        <v>195</v>
      </c>
      <c r="G2" s="140" t="s">
        <v>196</v>
      </c>
    </row>
    <row r="3">
      <c r="A3" s="159" t="s">
        <v>249</v>
      </c>
    </row>
    <row r="4">
      <c r="A4" s="159" t="s">
        <v>234</v>
      </c>
    </row>
    <row r="5">
      <c r="A5" s="143" t="s">
        <v>148</v>
      </c>
      <c r="B5" s="174">
        <f>'Financial Projection'!C63</f>
        <v>232044000</v>
      </c>
      <c r="C5" s="174">
        <f>'Financial Projection'!D63</f>
        <v>1344509183</v>
      </c>
      <c r="D5" s="174">
        <f>'Financial Projection'!E63</f>
        <v>2377682600</v>
      </c>
      <c r="E5" s="174">
        <f>'Financial Projection'!F63</f>
        <v>17355296503</v>
      </c>
      <c r="F5" s="174">
        <f>'Financial Projection'!G63</f>
        <v>51163728862</v>
      </c>
      <c r="G5" s="174">
        <f>'Financial Projection'!H63</f>
        <v>82648364941</v>
      </c>
    </row>
    <row r="6">
      <c r="A6" s="175" t="s">
        <v>250</v>
      </c>
      <c r="B6" s="176"/>
      <c r="C6" s="176"/>
      <c r="D6" s="176"/>
      <c r="E6" s="176"/>
      <c r="F6" s="176"/>
      <c r="G6" s="176"/>
    </row>
    <row r="7">
      <c r="A7" s="166" t="s">
        <v>240</v>
      </c>
      <c r="B7" s="177">
        <f t="shared" ref="B7:G7" si="1">B5</f>
        <v>232044000</v>
      </c>
      <c r="C7" s="177">
        <f t="shared" si="1"/>
        <v>1344509183</v>
      </c>
      <c r="D7" s="177">
        <f t="shared" si="1"/>
        <v>2377682600</v>
      </c>
      <c r="E7" s="177">
        <f t="shared" si="1"/>
        <v>17355296503</v>
      </c>
      <c r="F7" s="177">
        <f t="shared" si="1"/>
        <v>51163728862</v>
      </c>
      <c r="G7" s="177">
        <f t="shared" si="1"/>
        <v>82648364941</v>
      </c>
    </row>
    <row r="8">
      <c r="A8" s="158"/>
    </row>
    <row r="9">
      <c r="A9" s="159" t="s">
        <v>241</v>
      </c>
    </row>
    <row r="10">
      <c r="A10" s="143" t="s">
        <v>243</v>
      </c>
      <c r="B10" s="178">
        <f>'Cash Budget'!C20</f>
        <v>-160200000</v>
      </c>
      <c r="C10" s="178">
        <f>'Cash Budget'!D20</f>
        <v>-160200000</v>
      </c>
      <c r="D10" s="178">
        <f>'Cash Budget'!E20</f>
        <v>1839800000</v>
      </c>
      <c r="E10" s="178">
        <f>'Cash Budget'!F20</f>
        <v>2500000000</v>
      </c>
      <c r="F10" s="178">
        <f>'Cash Budget'!G20</f>
        <v>1000000000</v>
      </c>
      <c r="G10" s="178">
        <f>'Cash Budget'!H20</f>
        <v>5000000000</v>
      </c>
    </row>
    <row r="11">
      <c r="A11" s="143" t="s">
        <v>242</v>
      </c>
      <c r="B11" s="179">
        <f>'Cash Budget'!C21</f>
        <v>0</v>
      </c>
      <c r="C11" s="179">
        <f>'Cash Budget'!D21</f>
        <v>0</v>
      </c>
      <c r="D11" s="179">
        <f>'Cash Budget'!E21</f>
        <v>200000000</v>
      </c>
      <c r="E11" s="179">
        <f>'Cash Budget'!F21</f>
        <v>120000000</v>
      </c>
      <c r="F11" s="179">
        <f>'Cash Budget'!G21</f>
        <v>0</v>
      </c>
      <c r="G11" s="179">
        <f>'Cash Budget'!H21</f>
        <v>0</v>
      </c>
    </row>
    <row r="12">
      <c r="A12" s="143" t="s">
        <v>251</v>
      </c>
      <c r="B12" s="174">
        <f>'Cash Budget'!C22</f>
        <v>0</v>
      </c>
      <c r="C12" s="174">
        <f>'Cash Budget'!D22</f>
        <v>0</v>
      </c>
      <c r="D12" s="174">
        <f>'Cash Budget'!E22</f>
        <v>-100000000</v>
      </c>
      <c r="E12" s="174">
        <f>'Cash Budget'!F22</f>
        <v>0</v>
      </c>
      <c r="F12" s="174">
        <f>'Cash Budget'!G22</f>
        <v>0</v>
      </c>
      <c r="G12" s="174">
        <f>'Cash Budget'!H22</f>
        <v>-150000000</v>
      </c>
    </row>
    <row r="13">
      <c r="A13" s="166" t="s">
        <v>245</v>
      </c>
      <c r="B13" s="180">
        <f t="shared" ref="B13:G13" si="2">sum(B10:B12)</f>
        <v>-160200000</v>
      </c>
      <c r="C13" s="180">
        <f t="shared" si="2"/>
        <v>-160200000</v>
      </c>
      <c r="D13" s="180">
        <f t="shared" si="2"/>
        <v>1939800000</v>
      </c>
      <c r="E13" s="180">
        <f t="shared" si="2"/>
        <v>2620000000</v>
      </c>
      <c r="F13" s="180">
        <f t="shared" si="2"/>
        <v>1000000000</v>
      </c>
      <c r="G13" s="180">
        <f t="shared" si="2"/>
        <v>4850000000</v>
      </c>
    </row>
    <row r="14">
      <c r="A14" s="141"/>
    </row>
    <row r="15">
      <c r="A15" s="159" t="s">
        <v>246</v>
      </c>
      <c r="B15" s="147">
        <f t="shared" ref="B15:G15" si="3">B7+B13</f>
        <v>71844000</v>
      </c>
      <c r="C15" s="147">
        <f t="shared" si="3"/>
        <v>1184309183</v>
      </c>
      <c r="D15" s="147">
        <f t="shared" si="3"/>
        <v>4317482600</v>
      </c>
      <c r="E15" s="147">
        <f t="shared" si="3"/>
        <v>19975296503</v>
      </c>
      <c r="F15" s="147">
        <f t="shared" si="3"/>
        <v>52163728862</v>
      </c>
      <c r="G15" s="147">
        <f t="shared" si="3"/>
        <v>87498364941</v>
      </c>
    </row>
    <row r="16">
      <c r="A16" s="143" t="s">
        <v>247</v>
      </c>
      <c r="B16" s="179">
        <f>'Cash Flow Statement - Direct'!B19</f>
        <v>140000000</v>
      </c>
      <c r="C16" s="179">
        <f t="shared" ref="C16:G16" si="4">B17</f>
        <v>211844000</v>
      </c>
      <c r="D16" s="179">
        <f t="shared" si="4"/>
        <v>1396153183</v>
      </c>
      <c r="E16" s="179">
        <f t="shared" si="4"/>
        <v>5713635783</v>
      </c>
      <c r="F16" s="179">
        <f t="shared" si="4"/>
        <v>25688932286</v>
      </c>
      <c r="G16" s="179">
        <f t="shared" si="4"/>
        <v>77852661148</v>
      </c>
    </row>
    <row r="17">
      <c r="A17" s="159" t="s">
        <v>248</v>
      </c>
      <c r="B17" s="177">
        <f t="shared" ref="B17:G17" si="5">B15+B16</f>
        <v>211844000</v>
      </c>
      <c r="C17" s="177">
        <f t="shared" si="5"/>
        <v>1396153183</v>
      </c>
      <c r="D17" s="177">
        <f t="shared" si="5"/>
        <v>5713635783</v>
      </c>
      <c r="E17" s="177">
        <f t="shared" si="5"/>
        <v>25688932286</v>
      </c>
      <c r="F17" s="177">
        <f t="shared" si="5"/>
        <v>77852661148</v>
      </c>
      <c r="G17" s="177">
        <f t="shared" si="5"/>
        <v>165351026089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41.88"/>
    <col customWidth="1" min="3" max="4" width="14.88"/>
    <col customWidth="1" min="5" max="5" width="14.75"/>
    <col customWidth="1" min="6" max="7" width="14.38"/>
    <col customWidth="1" min="8" max="8" width="13.5"/>
    <col customWidth="1" min="9" max="9" width="16.13"/>
  </cols>
  <sheetData>
    <row r="1">
      <c r="B1" s="181"/>
    </row>
    <row r="2">
      <c r="B2" s="182" t="s">
        <v>252</v>
      </c>
      <c r="C2" s="140" t="s">
        <v>191</v>
      </c>
      <c r="D2" s="140" t="s">
        <v>192</v>
      </c>
      <c r="E2" s="140" t="s">
        <v>193</v>
      </c>
      <c r="F2" s="140" t="s">
        <v>194</v>
      </c>
      <c r="G2" s="140" t="s">
        <v>195</v>
      </c>
      <c r="H2" s="140" t="s">
        <v>196</v>
      </c>
    </row>
    <row r="3">
      <c r="B3" s="181"/>
    </row>
    <row r="4">
      <c r="A4" s="159" t="s">
        <v>253</v>
      </c>
      <c r="B4" s="181"/>
    </row>
    <row r="5">
      <c r="A5" s="143" t="s">
        <v>254</v>
      </c>
      <c r="B5" s="9" t="s">
        <v>255</v>
      </c>
      <c r="C5" s="146">
        <v>0.0</v>
      </c>
      <c r="D5" s="183">
        <f>'Balance Sheet'!D6/'Balance Sheet'!D12</f>
        <v>2.902767341</v>
      </c>
      <c r="E5" s="146">
        <v>0.0</v>
      </c>
      <c r="F5" s="146">
        <v>0.0</v>
      </c>
      <c r="G5" s="146">
        <v>0.0</v>
      </c>
      <c r="H5" s="146">
        <v>0.0</v>
      </c>
    </row>
    <row r="6">
      <c r="A6" s="143" t="s">
        <v>256</v>
      </c>
      <c r="B6" s="9" t="s">
        <v>257</v>
      </c>
      <c r="C6" s="146">
        <v>0.0</v>
      </c>
      <c r="D6" s="183">
        <f>'Cash Flow Statement - Direct'!C10/'Balance Sheet'!D12</f>
        <v>7.227402495</v>
      </c>
      <c r="E6" s="146">
        <v>0.0</v>
      </c>
      <c r="F6" s="146">
        <v>0.0</v>
      </c>
      <c r="G6" s="146">
        <v>0.0</v>
      </c>
      <c r="H6" s="146">
        <v>0.0</v>
      </c>
    </row>
    <row r="7">
      <c r="A7" s="141"/>
      <c r="B7" s="181"/>
    </row>
    <row r="8">
      <c r="A8" s="159" t="s">
        <v>258</v>
      </c>
      <c r="B8" s="181"/>
    </row>
    <row r="9">
      <c r="A9" s="143" t="s">
        <v>259</v>
      </c>
      <c r="B9" s="9" t="s">
        <v>260</v>
      </c>
      <c r="C9" s="184">
        <f>'Balance Sheet'!C14/'Balance Sheet'!C9</f>
        <v>0.788983052</v>
      </c>
      <c r="D9" s="184">
        <f>'Balance Sheet'!D14/'Balance Sheet'!D9</f>
        <v>0.8337037037</v>
      </c>
      <c r="E9" s="184">
        <f>'Balance Sheet'!E14/'Balance Sheet'!E9</f>
        <v>0.1215927779</v>
      </c>
      <c r="F9" s="184">
        <f>'Balance Sheet'!F14/'Balance Sheet'!F9</f>
        <v>0.02213606706</v>
      </c>
      <c r="G9" s="184">
        <f>'Balance Sheet'!G14/'Balance Sheet'!G9</f>
        <v>0.006480267962</v>
      </c>
      <c r="H9" s="184">
        <f>'Balance Sheet'!H14/'Balance Sheet'!H9</f>
        <v>0.004413672727</v>
      </c>
    </row>
    <row r="10">
      <c r="A10" s="143" t="s">
        <v>261</v>
      </c>
      <c r="B10" s="9" t="s">
        <v>262</v>
      </c>
      <c r="C10" s="183">
        <f>'Balance Sheet'!C14/'Balance Sheet'!C19</f>
        <v>-1.743445695</v>
      </c>
      <c r="D10" s="183">
        <f>'Balance Sheet'!D14/'Balance Sheet'!D19</f>
        <v>-2.810237203</v>
      </c>
      <c r="E10" s="183">
        <f>'Balance Sheet'!E14/'Balance Sheet'!E19</f>
        <v>0.1235416845</v>
      </c>
      <c r="F10" s="183">
        <f>'Balance Sheet'!F14/'Balance Sheet'!F19</f>
        <v>0.01998324087</v>
      </c>
      <c r="G10" s="183">
        <f>'Balance Sheet'!G14/'Balance Sheet'!G19</f>
        <v>0.005654407882</v>
      </c>
      <c r="H10" s="185">
        <f>'Balance Sheet'!H14/'Balance Sheet'!H19</f>
        <v>0.004029079505</v>
      </c>
    </row>
    <row r="11">
      <c r="A11" s="143" t="s">
        <v>263</v>
      </c>
      <c r="B11" s="9" t="s">
        <v>264</v>
      </c>
      <c r="C11" s="183">
        <f>IFERROR('Financial Projection'!C58/'Financial Projection'!C59,"N/A")</f>
        <v>8.925</v>
      </c>
      <c r="D11" s="183">
        <f>IFERROR('Financial Projection'!D58/'Financial Projection'!D59,"N/A")</f>
        <v>30.99341212</v>
      </c>
      <c r="E11" s="183">
        <f>IFERROR('Financial Projection'!E58/'Financial Projection'!E59,"N/A")</f>
        <v>73.40734063</v>
      </c>
      <c r="F11" s="183">
        <f>IFERROR('Financial Projection'!F58/'Financial Projection'!F59,"N/A")</f>
        <v>328.7910344</v>
      </c>
      <c r="G11" s="183">
        <f>IFERROR('Financial Projection'!G58/'Financial Projection'!G59,"N/A")</f>
        <v>1113.647652</v>
      </c>
      <c r="H11" s="183">
        <f>IFERROR('Financial Projection'!H58/'Financial Projection'!H59,"N/A")</f>
        <v>2149.70243</v>
      </c>
    </row>
    <row r="12">
      <c r="A12" s="143" t="s">
        <v>265</v>
      </c>
      <c r="B12" s="9" t="s">
        <v>266</v>
      </c>
      <c r="C12" s="183">
        <f>'Financial Projection'!C58/(-'Cash Budget'!C23-'Cash Budget'!C22)</f>
        <v>8.925</v>
      </c>
      <c r="D12" s="183">
        <f>'Financial Projection'!D58/(-'Cash Budget'!D23-'Cash Budget'!D22)</f>
        <v>30.99341212</v>
      </c>
      <c r="E12" s="183">
        <f>'Financial Projection'!E58/(-'Cash Budget'!E23-'Cash Budget'!E22)</f>
        <v>21.74821899</v>
      </c>
      <c r="F12" s="183">
        <f>'Financial Projection'!F58/(-'Cash Budget'!F23-'Cash Budget'!F22)</f>
        <v>328.7910344</v>
      </c>
      <c r="G12" s="183">
        <f>'Financial Projection'!G58/(-'Cash Budget'!G23-'Cash Budget'!G22)</f>
        <v>1113.647652</v>
      </c>
      <c r="H12" s="183">
        <f>'Financial Projection'!H58/(-'Cash Budget'!H23-'Cash Budget'!H22)</f>
        <v>531.8701581</v>
      </c>
      <c r="I12" s="9" t="s">
        <v>267</v>
      </c>
    </row>
    <row r="13">
      <c r="A13" s="143" t="s">
        <v>268</v>
      </c>
      <c r="B13" s="9" t="s">
        <v>269</v>
      </c>
      <c r="C13" s="183">
        <f>'Balance Sheet'!C9/'Balance Sheet'!C19</f>
        <v>-2.209737828</v>
      </c>
      <c r="D13" s="183">
        <f>'Balance Sheet'!D9/'Balance Sheet'!D19</f>
        <v>-3.370786517</v>
      </c>
      <c r="E13" s="183">
        <f>'Balance Sheet'!E9/'Balance Sheet'!E19</f>
        <v>1.016028144</v>
      </c>
      <c r="F13" s="183">
        <f>'Balance Sheet'!F9/'Balance Sheet'!F19</f>
        <v>0.9027457685</v>
      </c>
      <c r="G13" s="183">
        <f>'Balance Sheet'!G9/'Balance Sheet'!G19</f>
        <v>0.8725577269</v>
      </c>
      <c r="H13" s="183">
        <f>'Balance Sheet'!H9/'Balance Sheet'!H19</f>
        <v>0.9128632217</v>
      </c>
      <c r="I13" s="9"/>
    </row>
    <row r="14">
      <c r="A14" s="141"/>
      <c r="B14" s="181"/>
    </row>
    <row r="15">
      <c r="A15" s="159" t="s">
        <v>270</v>
      </c>
      <c r="B15" s="181"/>
    </row>
    <row r="16">
      <c r="A16" s="143" t="s">
        <v>271</v>
      </c>
      <c r="B16" s="9" t="s">
        <v>272</v>
      </c>
      <c r="C16" s="183">
        <f>'Income Statement'!C21/(('Balance Sheet'!C9+'Balance Sheet'!D9)/2)</f>
        <v>0.1677852349</v>
      </c>
      <c r="D16" s="183">
        <f>'Income Statement'!D21/(('Balance Sheet'!D9+'Balance Sheet'!E9)/2)</f>
        <v>0.1529051988</v>
      </c>
      <c r="E16" s="183">
        <f>'Income Statement'!E21/(('Balance Sheet'!E9+'Balance Sheet'!F9)/2)</f>
        <v>0.05910165485</v>
      </c>
      <c r="F16" s="183">
        <f>'Income Statement'!F21/(('Balance Sheet'!F9+'Balance Sheet'!G9)/2)</f>
        <v>0.08865248227</v>
      </c>
      <c r="G16" s="183">
        <f>'Income Statement'!G21/(('Balance Sheet'!G9+'Balance Sheet'!H9)/2)</f>
        <v>0.1329787234</v>
      </c>
      <c r="H16" s="183">
        <f>'Income Statement'!H21/(('Balance Sheet'!H9+'Balance Sheet'!I9)/2)</f>
        <v>0.3546099291</v>
      </c>
    </row>
    <row r="17">
      <c r="A17" s="141"/>
      <c r="B17" s="181"/>
    </row>
    <row r="18">
      <c r="A18" s="159" t="s">
        <v>273</v>
      </c>
      <c r="B18" s="181"/>
    </row>
    <row r="19">
      <c r="A19" s="143" t="s">
        <v>274</v>
      </c>
      <c r="B19" s="9" t="s">
        <v>275</v>
      </c>
      <c r="C19" s="186">
        <f>'Income Statement'!C58/'Income Statement'!C21</f>
        <v>0.792</v>
      </c>
      <c r="D19" s="186">
        <f>'Income Statement'!D58/'Income Statement'!D21</f>
        <v>5.414666667</v>
      </c>
      <c r="E19" s="186">
        <f>'Income Statement'!E58/'Income Statement'!E21</f>
        <v>2.773</v>
      </c>
      <c r="F19" s="186">
        <f>'Income Statement'!F58/'Income Statement'!F21</f>
        <v>7.439419968</v>
      </c>
      <c r="G19" s="186">
        <f>'Income Statement'!G58/'Income Statement'!G21</f>
        <v>7.294830859</v>
      </c>
      <c r="H19" s="186">
        <f>'Income Statement'!H58/'Income Statement'!H21</f>
        <v>7.067250364</v>
      </c>
    </row>
    <row r="20">
      <c r="A20" s="143" t="s">
        <v>276</v>
      </c>
      <c r="B20" s="9" t="s">
        <v>277</v>
      </c>
      <c r="C20" s="186">
        <f>'Income Statement'!C63/'Income Statement'!C21</f>
        <v>0.4597333333</v>
      </c>
      <c r="D20" s="186">
        <f>'Income Statement'!D63/'Income Statement'!D21</f>
        <v>5.256072359</v>
      </c>
      <c r="E20" s="186">
        <f>'Income Statement'!E63/'Income Statement'!E21</f>
        <v>2.682834208</v>
      </c>
      <c r="F20" s="186">
        <f>'Income Statement'!F63/'Income Statement'!F21</f>
        <v>5.785098834</v>
      </c>
      <c r="G20" s="186">
        <f>'Income Statement'!G63/'Income Statement'!G21</f>
        <v>5.684858762</v>
      </c>
      <c r="H20" s="186">
        <f>'Income Statement'!H63/'Income Statement'!H21</f>
        <v>5.509890996</v>
      </c>
    </row>
    <row r="21">
      <c r="A21" s="143" t="s">
        <v>278</v>
      </c>
      <c r="B21" s="9" t="s">
        <v>279</v>
      </c>
      <c r="C21" s="186">
        <f>'Income Statement'!C63/(('Balance Sheet'!C9+'Balance Sheet'!D9)/2)</f>
        <v>0.07713646532</v>
      </c>
      <c r="D21" s="186">
        <f>'Income Statement'!D63/(('Balance Sheet'!D9+'Balance Sheet'!E9)/2)</f>
        <v>0.8036807889</v>
      </c>
      <c r="E21" s="186">
        <f>'Income Statement'!E63/(('Balance Sheet'!E9+'Balance Sheet'!F9)/2)</f>
        <v>0.1585599414</v>
      </c>
      <c r="F21" s="186">
        <f>'Income Statement'!F63/(('Balance Sheet'!F9+'Balance Sheet'!G9)/2)</f>
        <v>0.5128633718</v>
      </c>
      <c r="G21" s="186">
        <f>'Income Statement'!G63/(('Balance Sheet'!G9+'Balance Sheet'!H9)/2)</f>
        <v>0.755965261</v>
      </c>
      <c r="H21" s="186">
        <f>'Income Statement'!H63/(('Balance Sheet'!H9+'Balance Sheet'!I9)/2)</f>
        <v>1.953862055</v>
      </c>
    </row>
    <row r="22">
      <c r="A22" s="143" t="s">
        <v>280</v>
      </c>
      <c r="B22" s="9" t="s">
        <v>281</v>
      </c>
      <c r="C22" s="186">
        <f>'Income Statement'!C63/'Balance Sheet'!C19</f>
        <v>-0.2152309613</v>
      </c>
      <c r="D22" s="186">
        <f>'Income Statement'!D63/'Balance Sheet'!D19</f>
        <v>-9.842832133</v>
      </c>
      <c r="E22" s="186">
        <f>'Income Statement'!E63/'Balance Sheet'!E19</f>
        <v>0.483304089</v>
      </c>
      <c r="F22" s="186">
        <f>'Income Statement'!F63/'Balance Sheet'!F19</f>
        <v>0.9259704775</v>
      </c>
      <c r="G22" s="186">
        <f>'Income Statement'!G63/'Balance Sheet'!G19</f>
        <v>0.8794977729</v>
      </c>
      <c r="H22" s="186">
        <f>'Income Statement'!H63/'Balance Sheet'!H19</f>
        <v>0.8918044053</v>
      </c>
    </row>
    <row r="23">
      <c r="B23" s="181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181"/>
    </row>
    <row r="35">
      <c r="B35" s="181"/>
    </row>
    <row r="36">
      <c r="B36" s="181"/>
    </row>
    <row r="37">
      <c r="B37" s="181"/>
    </row>
    <row r="38">
      <c r="B38" s="181"/>
    </row>
    <row r="39">
      <c r="B39" s="181"/>
    </row>
    <row r="40">
      <c r="B40" s="181"/>
    </row>
    <row r="41">
      <c r="B41" s="181"/>
    </row>
    <row r="42">
      <c r="B42" s="181"/>
    </row>
    <row r="43">
      <c r="B43" s="181"/>
    </row>
    <row r="44">
      <c r="B44" s="181"/>
    </row>
    <row r="45">
      <c r="B45" s="181"/>
    </row>
    <row r="46">
      <c r="B46" s="181"/>
    </row>
    <row r="47">
      <c r="B47" s="181"/>
    </row>
    <row r="48">
      <c r="B48" s="181"/>
    </row>
    <row r="49">
      <c r="B49" s="181"/>
    </row>
    <row r="50">
      <c r="B50" s="181"/>
    </row>
    <row r="51">
      <c r="B51" s="181"/>
    </row>
    <row r="52">
      <c r="B52" s="181"/>
    </row>
    <row r="53">
      <c r="B53" s="181"/>
    </row>
    <row r="54">
      <c r="B54" s="181"/>
    </row>
    <row r="55">
      <c r="B55" s="181"/>
    </row>
    <row r="56">
      <c r="B56" s="181"/>
    </row>
    <row r="57">
      <c r="B57" s="181"/>
    </row>
    <row r="58">
      <c r="B58" s="181"/>
    </row>
    <row r="59">
      <c r="B59" s="181"/>
    </row>
    <row r="60">
      <c r="B60" s="181"/>
    </row>
    <row r="61">
      <c r="B61" s="181"/>
    </row>
    <row r="62">
      <c r="B62" s="181"/>
    </row>
    <row r="63">
      <c r="B63" s="181"/>
    </row>
    <row r="64">
      <c r="B64" s="181"/>
    </row>
    <row r="65">
      <c r="B65" s="181"/>
    </row>
    <row r="66">
      <c r="B66" s="181"/>
    </row>
    <row r="67">
      <c r="B67" s="181"/>
    </row>
    <row r="68">
      <c r="B68" s="181"/>
    </row>
    <row r="69">
      <c r="B69" s="181"/>
    </row>
    <row r="70">
      <c r="B70" s="181"/>
    </row>
    <row r="71">
      <c r="B71" s="181"/>
    </row>
    <row r="72">
      <c r="B72" s="181"/>
    </row>
    <row r="73">
      <c r="B73" s="181"/>
    </row>
    <row r="74">
      <c r="B74" s="181"/>
    </row>
    <row r="75">
      <c r="B75" s="181"/>
    </row>
    <row r="76">
      <c r="B76" s="181"/>
    </row>
    <row r="77">
      <c r="B77" s="181"/>
    </row>
    <row r="78">
      <c r="B78" s="181"/>
    </row>
    <row r="79">
      <c r="B79" s="181"/>
    </row>
    <row r="80">
      <c r="B80" s="181"/>
    </row>
    <row r="81">
      <c r="B81" s="181"/>
    </row>
    <row r="82">
      <c r="B82" s="181"/>
    </row>
    <row r="83">
      <c r="B83" s="181"/>
    </row>
    <row r="84">
      <c r="B84" s="181"/>
    </row>
    <row r="85">
      <c r="B85" s="181"/>
    </row>
    <row r="86">
      <c r="B86" s="181"/>
    </row>
    <row r="87">
      <c r="B87" s="181"/>
    </row>
    <row r="88">
      <c r="B88" s="181"/>
    </row>
    <row r="89">
      <c r="B89" s="181"/>
    </row>
    <row r="90">
      <c r="B90" s="181"/>
    </row>
    <row r="91">
      <c r="B91" s="181"/>
    </row>
    <row r="92">
      <c r="B92" s="181"/>
    </row>
    <row r="93">
      <c r="B93" s="181"/>
    </row>
    <row r="94">
      <c r="B94" s="181"/>
    </row>
    <row r="95">
      <c r="B95" s="181"/>
    </row>
    <row r="96">
      <c r="B96" s="181"/>
    </row>
    <row r="97">
      <c r="B97" s="181"/>
    </row>
    <row r="98">
      <c r="B98" s="181"/>
    </row>
    <row r="99">
      <c r="B99" s="181"/>
    </row>
    <row r="100">
      <c r="B100" s="181"/>
    </row>
    <row r="101">
      <c r="B101" s="181"/>
    </row>
    <row r="102">
      <c r="B102" s="181"/>
    </row>
    <row r="103">
      <c r="B103" s="181"/>
    </row>
    <row r="104">
      <c r="B104" s="181"/>
    </row>
    <row r="105">
      <c r="B105" s="181"/>
    </row>
    <row r="106">
      <c r="B106" s="181"/>
    </row>
    <row r="107">
      <c r="B107" s="181"/>
    </row>
    <row r="108">
      <c r="B108" s="181"/>
    </row>
    <row r="109">
      <c r="B109" s="181"/>
    </row>
    <row r="110">
      <c r="B110" s="181"/>
    </row>
    <row r="111">
      <c r="B111" s="181"/>
    </row>
    <row r="112">
      <c r="B112" s="181"/>
    </row>
    <row r="113">
      <c r="B113" s="181"/>
    </row>
    <row r="114">
      <c r="B114" s="181"/>
    </row>
    <row r="115">
      <c r="B115" s="181"/>
    </row>
    <row r="116">
      <c r="B116" s="181"/>
    </row>
    <row r="117">
      <c r="B117" s="181"/>
    </row>
    <row r="118">
      <c r="B118" s="181"/>
    </row>
    <row r="119">
      <c r="B119" s="181"/>
    </row>
    <row r="120">
      <c r="B120" s="181"/>
    </row>
    <row r="121">
      <c r="B121" s="181"/>
    </row>
    <row r="122">
      <c r="B122" s="181"/>
    </row>
    <row r="123">
      <c r="B123" s="181"/>
    </row>
    <row r="124">
      <c r="B124" s="181"/>
    </row>
    <row r="125">
      <c r="B125" s="181"/>
    </row>
    <row r="126">
      <c r="B126" s="181"/>
    </row>
    <row r="127">
      <c r="B127" s="181"/>
    </row>
    <row r="128">
      <c r="B128" s="181"/>
    </row>
    <row r="129">
      <c r="B129" s="181"/>
    </row>
    <row r="130">
      <c r="B130" s="181"/>
    </row>
    <row r="131">
      <c r="B131" s="181"/>
    </row>
    <row r="132">
      <c r="B132" s="181"/>
    </row>
    <row r="133">
      <c r="B133" s="181"/>
    </row>
    <row r="134">
      <c r="B134" s="181"/>
    </row>
    <row r="135">
      <c r="B135" s="181"/>
    </row>
    <row r="136">
      <c r="B136" s="181"/>
    </row>
    <row r="137">
      <c r="B137" s="181"/>
    </row>
    <row r="138">
      <c r="B138" s="181"/>
    </row>
    <row r="139">
      <c r="B139" s="181"/>
    </row>
    <row r="140">
      <c r="B140" s="181"/>
    </row>
    <row r="141">
      <c r="B141" s="181"/>
    </row>
    <row r="142">
      <c r="B142" s="181"/>
    </row>
    <row r="143">
      <c r="B143" s="181"/>
    </row>
    <row r="144">
      <c r="B144" s="181"/>
    </row>
    <row r="145">
      <c r="B145" s="181"/>
    </row>
    <row r="146">
      <c r="B146" s="181"/>
    </row>
    <row r="147">
      <c r="B147" s="181"/>
    </row>
    <row r="148">
      <c r="B148" s="181"/>
    </row>
    <row r="149">
      <c r="B149" s="181"/>
    </row>
    <row r="150">
      <c r="B150" s="181"/>
    </row>
    <row r="151">
      <c r="B151" s="181"/>
    </row>
    <row r="152">
      <c r="B152" s="181"/>
    </row>
    <row r="153">
      <c r="B153" s="181"/>
    </row>
    <row r="154">
      <c r="B154" s="181"/>
    </row>
    <row r="155">
      <c r="B155" s="181"/>
    </row>
    <row r="156">
      <c r="B156" s="181"/>
    </row>
    <row r="157">
      <c r="B157" s="181"/>
    </row>
    <row r="158">
      <c r="B158" s="181"/>
    </row>
    <row r="159">
      <c r="B159" s="181"/>
    </row>
    <row r="160">
      <c r="B160" s="181"/>
    </row>
    <row r="161">
      <c r="B161" s="181"/>
    </row>
    <row r="162">
      <c r="B162" s="181"/>
    </row>
    <row r="163">
      <c r="B163" s="181"/>
    </row>
    <row r="164">
      <c r="B164" s="181"/>
    </row>
    <row r="165">
      <c r="B165" s="181"/>
    </row>
    <row r="166">
      <c r="B166" s="181"/>
    </row>
    <row r="167">
      <c r="B167" s="181"/>
    </row>
    <row r="168">
      <c r="B168" s="181"/>
    </row>
    <row r="169">
      <c r="B169" s="181"/>
    </row>
    <row r="170">
      <c r="B170" s="181"/>
    </row>
    <row r="171">
      <c r="B171" s="181"/>
    </row>
    <row r="172">
      <c r="B172" s="181"/>
    </row>
    <row r="173">
      <c r="B173" s="181"/>
    </row>
    <row r="174">
      <c r="B174" s="181"/>
    </row>
    <row r="175">
      <c r="B175" s="181"/>
    </row>
    <row r="176">
      <c r="B176" s="181"/>
    </row>
    <row r="177">
      <c r="B177" s="181"/>
    </row>
    <row r="178">
      <c r="B178" s="181"/>
    </row>
    <row r="179">
      <c r="B179" s="181"/>
    </row>
    <row r="180">
      <c r="B180" s="181"/>
    </row>
    <row r="181">
      <c r="B181" s="181"/>
    </row>
    <row r="182">
      <c r="B182" s="181"/>
    </row>
    <row r="183">
      <c r="B183" s="181"/>
    </row>
    <row r="184">
      <c r="B184" s="181"/>
    </row>
    <row r="185">
      <c r="B185" s="181"/>
    </row>
    <row r="186">
      <c r="B186" s="181"/>
    </row>
    <row r="187">
      <c r="B187" s="181"/>
    </row>
    <row r="188">
      <c r="B188" s="181"/>
    </row>
    <row r="189">
      <c r="B189" s="181"/>
    </row>
    <row r="190">
      <c r="B190" s="181"/>
    </row>
    <row r="191">
      <c r="B191" s="181"/>
    </row>
    <row r="192">
      <c r="B192" s="181"/>
    </row>
    <row r="193">
      <c r="B193" s="181"/>
    </row>
    <row r="194">
      <c r="B194" s="181"/>
    </row>
    <row r="195">
      <c r="B195" s="181"/>
    </row>
    <row r="196">
      <c r="B196" s="181"/>
    </row>
    <row r="197">
      <c r="B197" s="181"/>
    </row>
    <row r="198">
      <c r="B198" s="181"/>
    </row>
    <row r="199">
      <c r="B199" s="181"/>
    </row>
    <row r="200">
      <c r="B200" s="181"/>
    </row>
    <row r="201">
      <c r="B201" s="181"/>
    </row>
    <row r="202">
      <c r="B202" s="181"/>
    </row>
    <row r="203">
      <c r="B203" s="181"/>
    </row>
    <row r="204">
      <c r="B204" s="181"/>
    </row>
    <row r="205">
      <c r="B205" s="181"/>
    </row>
    <row r="206">
      <c r="B206" s="181"/>
    </row>
    <row r="207">
      <c r="B207" s="181"/>
    </row>
    <row r="208">
      <c r="B208" s="181"/>
    </row>
    <row r="209">
      <c r="B209" s="181"/>
    </row>
    <row r="210">
      <c r="B210" s="181"/>
    </row>
    <row r="211">
      <c r="B211" s="181"/>
    </row>
    <row r="212">
      <c r="B212" s="181"/>
    </row>
    <row r="213">
      <c r="B213" s="181"/>
    </row>
    <row r="214">
      <c r="B214" s="181"/>
    </row>
    <row r="215">
      <c r="B215" s="181"/>
    </row>
    <row r="216">
      <c r="B216" s="181"/>
    </row>
    <row r="217">
      <c r="B217" s="181"/>
    </row>
    <row r="218">
      <c r="B218" s="181"/>
    </row>
    <row r="219">
      <c r="B219" s="181"/>
    </row>
    <row r="220">
      <c r="B220" s="181"/>
    </row>
    <row r="221">
      <c r="B221" s="181"/>
    </row>
    <row r="222">
      <c r="B222" s="181"/>
    </row>
    <row r="223">
      <c r="B223" s="181"/>
    </row>
    <row r="224">
      <c r="B224" s="181"/>
    </row>
    <row r="225">
      <c r="B225" s="181"/>
    </row>
    <row r="226">
      <c r="B226" s="181"/>
    </row>
    <row r="227">
      <c r="B227" s="181"/>
    </row>
    <row r="228">
      <c r="B228" s="181"/>
    </row>
    <row r="229">
      <c r="B229" s="181"/>
    </row>
    <row r="230">
      <c r="B230" s="181"/>
    </row>
    <row r="231">
      <c r="B231" s="181"/>
    </row>
    <row r="232">
      <c r="B232" s="181"/>
    </row>
    <row r="233">
      <c r="B233" s="181"/>
    </row>
    <row r="234">
      <c r="B234" s="181"/>
    </row>
    <row r="235">
      <c r="B235" s="181"/>
    </row>
    <row r="236">
      <c r="B236" s="181"/>
    </row>
    <row r="237">
      <c r="B237" s="181"/>
    </row>
    <row r="238">
      <c r="B238" s="181"/>
    </row>
    <row r="239">
      <c r="B239" s="181"/>
    </row>
    <row r="240">
      <c r="B240" s="181"/>
    </row>
    <row r="241">
      <c r="B241" s="181"/>
    </row>
    <row r="242">
      <c r="B242" s="181"/>
    </row>
    <row r="243">
      <c r="B243" s="181"/>
    </row>
    <row r="244">
      <c r="B244" s="181"/>
    </row>
    <row r="245">
      <c r="B245" s="181"/>
    </row>
    <row r="246">
      <c r="B246" s="181"/>
    </row>
    <row r="247">
      <c r="B247" s="181"/>
    </row>
    <row r="248">
      <c r="B248" s="181"/>
    </row>
    <row r="249">
      <c r="B249" s="181"/>
    </row>
    <row r="250">
      <c r="B250" s="181"/>
    </row>
    <row r="251">
      <c r="B251" s="181"/>
    </row>
    <row r="252">
      <c r="B252" s="181"/>
    </row>
    <row r="253">
      <c r="B253" s="181"/>
    </row>
    <row r="254">
      <c r="B254" s="181"/>
    </row>
    <row r="255">
      <c r="B255" s="181"/>
    </row>
    <row r="256">
      <c r="B256" s="181"/>
    </row>
    <row r="257">
      <c r="B257" s="181"/>
    </row>
    <row r="258">
      <c r="B258" s="181"/>
    </row>
    <row r="259">
      <c r="B259" s="181"/>
    </row>
    <row r="260">
      <c r="B260" s="181"/>
    </row>
    <row r="261">
      <c r="B261" s="181"/>
    </row>
    <row r="262">
      <c r="B262" s="181"/>
    </row>
    <row r="263">
      <c r="B263" s="181"/>
    </row>
    <row r="264">
      <c r="B264" s="181"/>
    </row>
    <row r="265">
      <c r="B265" s="181"/>
    </row>
    <row r="266">
      <c r="B266" s="181"/>
    </row>
    <row r="267">
      <c r="B267" s="181"/>
    </row>
    <row r="268">
      <c r="B268" s="181"/>
    </row>
    <row r="269">
      <c r="B269" s="181"/>
    </row>
    <row r="270">
      <c r="B270" s="181"/>
    </row>
    <row r="271">
      <c r="B271" s="181"/>
    </row>
    <row r="272">
      <c r="B272" s="181"/>
    </row>
    <row r="273">
      <c r="B273" s="181"/>
    </row>
    <row r="274">
      <c r="B274" s="181"/>
    </row>
    <row r="275">
      <c r="B275" s="181"/>
    </row>
    <row r="276">
      <c r="B276" s="181"/>
    </row>
    <row r="277">
      <c r="B277" s="181"/>
    </row>
    <row r="278">
      <c r="B278" s="181"/>
    </row>
    <row r="279">
      <c r="B279" s="181"/>
    </row>
    <row r="280">
      <c r="B280" s="181"/>
    </row>
    <row r="281">
      <c r="B281" s="181"/>
    </row>
    <row r="282">
      <c r="B282" s="181"/>
    </row>
    <row r="283">
      <c r="B283" s="181"/>
    </row>
    <row r="284">
      <c r="B284" s="181"/>
    </row>
    <row r="285">
      <c r="B285" s="181"/>
    </row>
    <row r="286">
      <c r="B286" s="181"/>
    </row>
    <row r="287">
      <c r="B287" s="181"/>
    </row>
    <row r="288">
      <c r="B288" s="181"/>
    </row>
    <row r="289">
      <c r="B289" s="181"/>
    </row>
    <row r="290">
      <c r="B290" s="181"/>
    </row>
    <row r="291">
      <c r="B291" s="181"/>
    </row>
    <row r="292">
      <c r="B292" s="181"/>
    </row>
    <row r="293">
      <c r="B293" s="181"/>
    </row>
    <row r="294">
      <c r="B294" s="181"/>
    </row>
    <row r="295">
      <c r="B295" s="181"/>
    </row>
    <row r="296">
      <c r="B296" s="181"/>
    </row>
    <row r="297">
      <c r="B297" s="181"/>
    </row>
    <row r="298">
      <c r="B298" s="181"/>
    </row>
    <row r="299">
      <c r="B299" s="181"/>
    </row>
    <row r="300">
      <c r="B300" s="181"/>
    </row>
    <row r="301">
      <c r="B301" s="181"/>
    </row>
    <row r="302">
      <c r="B302" s="181"/>
    </row>
    <row r="303">
      <c r="B303" s="181"/>
    </row>
    <row r="304">
      <c r="B304" s="181"/>
    </row>
    <row r="305">
      <c r="B305" s="181"/>
    </row>
    <row r="306">
      <c r="B306" s="181"/>
    </row>
    <row r="307">
      <c r="B307" s="181"/>
    </row>
    <row r="308">
      <c r="B308" s="181"/>
    </row>
    <row r="309">
      <c r="B309" s="181"/>
    </row>
    <row r="310">
      <c r="B310" s="181"/>
    </row>
    <row r="311">
      <c r="B311" s="181"/>
    </row>
    <row r="312">
      <c r="B312" s="181"/>
    </row>
    <row r="313">
      <c r="B313" s="181"/>
    </row>
    <row r="314">
      <c r="B314" s="181"/>
    </row>
    <row r="315">
      <c r="B315" s="181"/>
    </row>
    <row r="316">
      <c r="B316" s="181"/>
    </row>
    <row r="317">
      <c r="B317" s="181"/>
    </row>
    <row r="318">
      <c r="B318" s="181"/>
    </row>
    <row r="319">
      <c r="B319" s="181"/>
    </row>
    <row r="320">
      <c r="B320" s="181"/>
    </row>
    <row r="321">
      <c r="B321" s="181"/>
    </row>
    <row r="322">
      <c r="B322" s="181"/>
    </row>
    <row r="323">
      <c r="B323" s="181"/>
    </row>
    <row r="324">
      <c r="B324" s="181"/>
    </row>
    <row r="325">
      <c r="B325" s="181"/>
    </row>
    <row r="326">
      <c r="B326" s="181"/>
    </row>
    <row r="327">
      <c r="B327" s="181"/>
    </row>
    <row r="328">
      <c r="B328" s="181"/>
    </row>
    <row r="329">
      <c r="B329" s="181"/>
    </row>
    <row r="330">
      <c r="B330" s="181"/>
    </row>
    <row r="331">
      <c r="B331" s="181"/>
    </row>
    <row r="332">
      <c r="B332" s="181"/>
    </row>
    <row r="333">
      <c r="B333" s="181"/>
    </row>
    <row r="334">
      <c r="B334" s="181"/>
    </row>
    <row r="335">
      <c r="B335" s="181"/>
    </row>
    <row r="336">
      <c r="B336" s="181"/>
    </row>
    <row r="337">
      <c r="B337" s="181"/>
    </row>
    <row r="338">
      <c r="B338" s="181"/>
    </row>
    <row r="339">
      <c r="B339" s="181"/>
    </row>
    <row r="340">
      <c r="B340" s="181"/>
    </row>
    <row r="341">
      <c r="B341" s="181"/>
    </row>
    <row r="342">
      <c r="B342" s="181"/>
    </row>
    <row r="343">
      <c r="B343" s="181"/>
    </row>
    <row r="344">
      <c r="B344" s="181"/>
    </row>
    <row r="345">
      <c r="B345" s="181"/>
    </row>
    <row r="346">
      <c r="B346" s="181"/>
    </row>
    <row r="347">
      <c r="B347" s="181"/>
    </row>
    <row r="348">
      <c r="B348" s="181"/>
    </row>
    <row r="349">
      <c r="B349" s="181"/>
    </row>
    <row r="350">
      <c r="B350" s="181"/>
    </row>
    <row r="351">
      <c r="B351" s="181"/>
    </row>
    <row r="352">
      <c r="B352" s="181"/>
    </row>
    <row r="353">
      <c r="B353" s="181"/>
    </row>
    <row r="354">
      <c r="B354" s="181"/>
    </row>
    <row r="355">
      <c r="B355" s="181"/>
    </row>
    <row r="356">
      <c r="B356" s="181"/>
    </row>
    <row r="357">
      <c r="B357" s="181"/>
    </row>
    <row r="358">
      <c r="B358" s="181"/>
    </row>
    <row r="359">
      <c r="B359" s="181"/>
    </row>
    <row r="360">
      <c r="B360" s="181"/>
    </row>
    <row r="361">
      <c r="B361" s="181"/>
    </row>
    <row r="362">
      <c r="B362" s="181"/>
    </row>
    <row r="363">
      <c r="B363" s="181"/>
    </row>
    <row r="364">
      <c r="B364" s="181"/>
    </row>
    <row r="365">
      <c r="B365" s="181"/>
    </row>
    <row r="366">
      <c r="B366" s="181"/>
    </row>
    <row r="367">
      <c r="B367" s="181"/>
    </row>
    <row r="368">
      <c r="B368" s="181"/>
    </row>
    <row r="369">
      <c r="B369" s="181"/>
    </row>
    <row r="370">
      <c r="B370" s="181"/>
    </row>
    <row r="371">
      <c r="B371" s="181"/>
    </row>
    <row r="372">
      <c r="B372" s="181"/>
    </row>
    <row r="373">
      <c r="B373" s="181"/>
    </row>
    <row r="374">
      <c r="B374" s="181"/>
    </row>
    <row r="375">
      <c r="B375" s="181"/>
    </row>
    <row r="376">
      <c r="B376" s="181"/>
    </row>
    <row r="377">
      <c r="B377" s="181"/>
    </row>
    <row r="378">
      <c r="B378" s="181"/>
    </row>
    <row r="379">
      <c r="B379" s="181"/>
    </row>
    <row r="380">
      <c r="B380" s="181"/>
    </row>
    <row r="381">
      <c r="B381" s="181"/>
    </row>
    <row r="382">
      <c r="B382" s="181"/>
    </row>
    <row r="383">
      <c r="B383" s="181"/>
    </row>
    <row r="384">
      <c r="B384" s="181"/>
    </row>
    <row r="385">
      <c r="B385" s="181"/>
    </row>
    <row r="386">
      <c r="B386" s="181"/>
    </row>
    <row r="387">
      <c r="B387" s="181"/>
    </row>
    <row r="388">
      <c r="B388" s="181"/>
    </row>
    <row r="389">
      <c r="B389" s="181"/>
    </row>
    <row r="390">
      <c r="B390" s="181"/>
    </row>
    <row r="391">
      <c r="B391" s="181"/>
    </row>
    <row r="392">
      <c r="B392" s="181"/>
    </row>
    <row r="393">
      <c r="B393" s="181"/>
    </row>
    <row r="394">
      <c r="B394" s="181"/>
    </row>
    <row r="395">
      <c r="B395" s="181"/>
    </row>
    <row r="396">
      <c r="B396" s="181"/>
    </row>
    <row r="397">
      <c r="B397" s="181"/>
    </row>
    <row r="398">
      <c r="B398" s="181"/>
    </row>
    <row r="399">
      <c r="B399" s="181"/>
    </row>
    <row r="400">
      <c r="B400" s="181"/>
    </row>
    <row r="401">
      <c r="B401" s="181"/>
    </row>
    <row r="402">
      <c r="B402" s="181"/>
    </row>
    <row r="403">
      <c r="B403" s="181"/>
    </row>
    <row r="404">
      <c r="B404" s="181"/>
    </row>
    <row r="405">
      <c r="B405" s="181"/>
    </row>
    <row r="406">
      <c r="B406" s="181"/>
    </row>
    <row r="407">
      <c r="B407" s="181"/>
    </row>
    <row r="408">
      <c r="B408" s="181"/>
    </row>
    <row r="409">
      <c r="B409" s="181"/>
    </row>
    <row r="410">
      <c r="B410" s="181"/>
    </row>
    <row r="411">
      <c r="B411" s="181"/>
    </row>
    <row r="412">
      <c r="B412" s="181"/>
    </row>
    <row r="413">
      <c r="B413" s="181"/>
    </row>
    <row r="414">
      <c r="B414" s="181"/>
    </row>
    <row r="415">
      <c r="B415" s="181"/>
    </row>
    <row r="416">
      <c r="B416" s="181"/>
    </row>
    <row r="417">
      <c r="B417" s="181"/>
    </row>
    <row r="418">
      <c r="B418" s="181"/>
    </row>
    <row r="419">
      <c r="B419" s="181"/>
    </row>
    <row r="420">
      <c r="B420" s="181"/>
    </row>
    <row r="421">
      <c r="B421" s="181"/>
    </row>
    <row r="422">
      <c r="B422" s="181"/>
    </row>
    <row r="423">
      <c r="B423" s="181"/>
    </row>
    <row r="424">
      <c r="B424" s="181"/>
    </row>
    <row r="425">
      <c r="B425" s="181"/>
    </row>
    <row r="426">
      <c r="B426" s="181"/>
    </row>
    <row r="427">
      <c r="B427" s="181"/>
    </row>
    <row r="428">
      <c r="B428" s="181"/>
    </row>
    <row r="429">
      <c r="B429" s="181"/>
    </row>
    <row r="430">
      <c r="B430" s="181"/>
    </row>
    <row r="431">
      <c r="B431" s="181"/>
    </row>
    <row r="432">
      <c r="B432" s="181"/>
    </row>
    <row r="433">
      <c r="B433" s="181"/>
    </row>
    <row r="434">
      <c r="B434" s="181"/>
    </row>
    <row r="435">
      <c r="B435" s="181"/>
    </row>
    <row r="436">
      <c r="B436" s="181"/>
    </row>
    <row r="437">
      <c r="B437" s="181"/>
    </row>
    <row r="438">
      <c r="B438" s="181"/>
    </row>
    <row r="439">
      <c r="B439" s="181"/>
    </row>
    <row r="440">
      <c r="B440" s="181"/>
    </row>
    <row r="441">
      <c r="B441" s="181"/>
    </row>
    <row r="442">
      <c r="B442" s="181"/>
    </row>
    <row r="443">
      <c r="B443" s="181"/>
    </row>
    <row r="444">
      <c r="B444" s="181"/>
    </row>
    <row r="445">
      <c r="B445" s="181"/>
    </row>
    <row r="446">
      <c r="B446" s="181"/>
    </row>
    <row r="447">
      <c r="B447" s="181"/>
    </row>
    <row r="448">
      <c r="B448" s="181"/>
    </row>
    <row r="449">
      <c r="B449" s="181"/>
    </row>
    <row r="450">
      <c r="B450" s="181"/>
    </row>
    <row r="451">
      <c r="B451" s="181"/>
    </row>
    <row r="452">
      <c r="B452" s="181"/>
    </row>
    <row r="453">
      <c r="B453" s="181"/>
    </row>
    <row r="454">
      <c r="B454" s="181"/>
    </row>
    <row r="455">
      <c r="B455" s="181"/>
    </row>
    <row r="456">
      <c r="B456" s="181"/>
    </row>
    <row r="457">
      <c r="B457" s="181"/>
    </row>
    <row r="458">
      <c r="B458" s="181"/>
    </row>
    <row r="459">
      <c r="B459" s="181"/>
    </row>
    <row r="460">
      <c r="B460" s="181"/>
    </row>
    <row r="461">
      <c r="B461" s="181"/>
    </row>
    <row r="462">
      <c r="B462" s="181"/>
    </row>
    <row r="463">
      <c r="B463" s="181"/>
    </row>
    <row r="464">
      <c r="B464" s="181"/>
    </row>
    <row r="465">
      <c r="B465" s="181"/>
    </row>
    <row r="466">
      <c r="B466" s="181"/>
    </row>
    <row r="467">
      <c r="B467" s="181"/>
    </row>
    <row r="468">
      <c r="B468" s="181"/>
    </row>
    <row r="469">
      <c r="B469" s="181"/>
    </row>
    <row r="470">
      <c r="B470" s="181"/>
    </row>
    <row r="471">
      <c r="B471" s="181"/>
    </row>
    <row r="472">
      <c r="B472" s="181"/>
    </row>
    <row r="473">
      <c r="B473" s="181"/>
    </row>
    <row r="474">
      <c r="B474" s="181"/>
    </row>
    <row r="475">
      <c r="B475" s="181"/>
    </row>
    <row r="476">
      <c r="B476" s="181"/>
    </row>
    <row r="477">
      <c r="B477" s="181"/>
    </row>
    <row r="478">
      <c r="B478" s="181"/>
    </row>
    <row r="479">
      <c r="B479" s="181"/>
    </row>
    <row r="480">
      <c r="B480" s="181"/>
    </row>
    <row r="481">
      <c r="B481" s="181"/>
    </row>
    <row r="482">
      <c r="B482" s="181"/>
    </row>
    <row r="483">
      <c r="B483" s="181"/>
    </row>
    <row r="484">
      <c r="B484" s="181"/>
    </row>
    <row r="485">
      <c r="B485" s="181"/>
    </row>
    <row r="486">
      <c r="B486" s="181"/>
    </row>
    <row r="487">
      <c r="B487" s="181"/>
    </row>
    <row r="488">
      <c r="B488" s="181"/>
    </row>
    <row r="489">
      <c r="B489" s="181"/>
    </row>
    <row r="490">
      <c r="B490" s="181"/>
    </row>
    <row r="491">
      <c r="B491" s="181"/>
    </row>
    <row r="492">
      <c r="B492" s="181"/>
    </row>
    <row r="493">
      <c r="B493" s="181"/>
    </row>
    <row r="494">
      <c r="B494" s="181"/>
    </row>
    <row r="495">
      <c r="B495" s="181"/>
    </row>
    <row r="496">
      <c r="B496" s="181"/>
    </row>
    <row r="497">
      <c r="B497" s="181"/>
    </row>
    <row r="498">
      <c r="B498" s="181"/>
    </row>
    <row r="499">
      <c r="B499" s="181"/>
    </row>
    <row r="500">
      <c r="B500" s="181"/>
    </row>
    <row r="501">
      <c r="B501" s="181"/>
    </row>
    <row r="502">
      <c r="B502" s="181"/>
    </row>
    <row r="503">
      <c r="B503" s="181"/>
    </row>
    <row r="504">
      <c r="B504" s="181"/>
    </row>
    <row r="505">
      <c r="B505" s="181"/>
    </row>
    <row r="506">
      <c r="B506" s="181"/>
    </row>
    <row r="507">
      <c r="B507" s="181"/>
    </row>
    <row r="508">
      <c r="B508" s="181"/>
    </row>
    <row r="509">
      <c r="B509" s="181"/>
    </row>
    <row r="510">
      <c r="B510" s="181"/>
    </row>
    <row r="511">
      <c r="B511" s="181"/>
    </row>
    <row r="512">
      <c r="B512" s="181"/>
    </row>
    <row r="513">
      <c r="B513" s="181"/>
    </row>
    <row r="514">
      <c r="B514" s="181"/>
    </row>
    <row r="515">
      <c r="B515" s="181"/>
    </row>
    <row r="516">
      <c r="B516" s="181"/>
    </row>
    <row r="517">
      <c r="B517" s="181"/>
    </row>
    <row r="518">
      <c r="B518" s="181"/>
    </row>
    <row r="519">
      <c r="B519" s="181"/>
    </row>
    <row r="520">
      <c r="B520" s="181"/>
    </row>
    <row r="521">
      <c r="B521" s="181"/>
    </row>
    <row r="522">
      <c r="B522" s="181"/>
    </row>
    <row r="523">
      <c r="B523" s="181"/>
    </row>
    <row r="524">
      <c r="B524" s="181"/>
    </row>
    <row r="525">
      <c r="B525" s="181"/>
    </row>
    <row r="526">
      <c r="B526" s="181"/>
    </row>
    <row r="527">
      <c r="B527" s="181"/>
    </row>
    <row r="528">
      <c r="B528" s="181"/>
    </row>
    <row r="529">
      <c r="B529" s="181"/>
    </row>
    <row r="530">
      <c r="B530" s="181"/>
    </row>
    <row r="531">
      <c r="B531" s="181"/>
    </row>
    <row r="532">
      <c r="B532" s="181"/>
    </row>
    <row r="533">
      <c r="B533" s="181"/>
    </row>
    <row r="534">
      <c r="B534" s="181"/>
    </row>
    <row r="535">
      <c r="B535" s="181"/>
    </row>
    <row r="536">
      <c r="B536" s="181"/>
    </row>
    <row r="537">
      <c r="B537" s="181"/>
    </row>
    <row r="538">
      <c r="B538" s="181"/>
    </row>
    <row r="539">
      <c r="B539" s="181"/>
    </row>
    <row r="540">
      <c r="B540" s="181"/>
    </row>
    <row r="541">
      <c r="B541" s="181"/>
    </row>
    <row r="542">
      <c r="B542" s="181"/>
    </row>
    <row r="543">
      <c r="B543" s="181"/>
    </row>
    <row r="544">
      <c r="B544" s="181"/>
    </row>
    <row r="545">
      <c r="B545" s="181"/>
    </row>
    <row r="546">
      <c r="B546" s="181"/>
    </row>
    <row r="547">
      <c r="B547" s="181"/>
    </row>
    <row r="548">
      <c r="B548" s="181"/>
    </row>
    <row r="549">
      <c r="B549" s="181"/>
    </row>
    <row r="550">
      <c r="B550" s="181"/>
    </row>
    <row r="551">
      <c r="B551" s="181"/>
    </row>
    <row r="552">
      <c r="B552" s="181"/>
    </row>
    <row r="553">
      <c r="B553" s="181"/>
    </row>
    <row r="554">
      <c r="B554" s="181"/>
    </row>
    <row r="555">
      <c r="B555" s="181"/>
    </row>
    <row r="556">
      <c r="B556" s="181"/>
    </row>
    <row r="557">
      <c r="B557" s="181"/>
    </row>
    <row r="558">
      <c r="B558" s="181"/>
    </row>
    <row r="559">
      <c r="B559" s="181"/>
    </row>
    <row r="560">
      <c r="B560" s="181"/>
    </row>
    <row r="561">
      <c r="B561" s="181"/>
    </row>
    <row r="562">
      <c r="B562" s="181"/>
    </row>
    <row r="563">
      <c r="B563" s="181"/>
    </row>
    <row r="564">
      <c r="B564" s="181"/>
    </row>
    <row r="565">
      <c r="B565" s="181"/>
    </row>
    <row r="566">
      <c r="B566" s="181"/>
    </row>
    <row r="567">
      <c r="B567" s="181"/>
    </row>
    <row r="568">
      <c r="B568" s="181"/>
    </row>
    <row r="569">
      <c r="B569" s="181"/>
    </row>
    <row r="570">
      <c r="B570" s="181"/>
    </row>
    <row r="571">
      <c r="B571" s="181"/>
    </row>
    <row r="572">
      <c r="B572" s="181"/>
    </row>
    <row r="573">
      <c r="B573" s="181"/>
    </row>
    <row r="574">
      <c r="B574" s="181"/>
    </row>
    <row r="575">
      <c r="B575" s="181"/>
    </row>
    <row r="576">
      <c r="B576" s="181"/>
    </row>
    <row r="577">
      <c r="B577" s="181"/>
    </row>
    <row r="578">
      <c r="B578" s="181"/>
    </row>
    <row r="579">
      <c r="B579" s="181"/>
    </row>
    <row r="580">
      <c r="B580" s="181"/>
    </row>
    <row r="581">
      <c r="B581" s="181"/>
    </row>
    <row r="582">
      <c r="B582" s="181"/>
    </row>
    <row r="583">
      <c r="B583" s="181"/>
    </row>
    <row r="584">
      <c r="B584" s="181"/>
    </row>
    <row r="585">
      <c r="B585" s="181"/>
    </row>
    <row r="586">
      <c r="B586" s="181"/>
    </row>
    <row r="587">
      <c r="B587" s="181"/>
    </row>
    <row r="588">
      <c r="B588" s="181"/>
    </row>
    <row r="589">
      <c r="B589" s="181"/>
    </row>
    <row r="590">
      <c r="B590" s="181"/>
    </row>
    <row r="591">
      <c r="B591" s="181"/>
    </row>
    <row r="592">
      <c r="B592" s="181"/>
    </row>
    <row r="593">
      <c r="B593" s="181"/>
    </row>
    <row r="594">
      <c r="B594" s="181"/>
    </row>
    <row r="595">
      <c r="B595" s="181"/>
    </row>
    <row r="596">
      <c r="B596" s="181"/>
    </row>
    <row r="597">
      <c r="B597" s="181"/>
    </row>
    <row r="598">
      <c r="B598" s="181"/>
    </row>
    <row r="599">
      <c r="B599" s="181"/>
    </row>
    <row r="600">
      <c r="B600" s="181"/>
    </row>
    <row r="601">
      <c r="B601" s="181"/>
    </row>
    <row r="602">
      <c r="B602" s="181"/>
    </row>
    <row r="603">
      <c r="B603" s="181"/>
    </row>
    <row r="604">
      <c r="B604" s="181"/>
    </row>
    <row r="605">
      <c r="B605" s="181"/>
    </row>
    <row r="606">
      <c r="B606" s="181"/>
    </row>
    <row r="607">
      <c r="B607" s="181"/>
    </row>
    <row r="608">
      <c r="B608" s="181"/>
    </row>
    <row r="609">
      <c r="B609" s="181"/>
    </row>
    <row r="610">
      <c r="B610" s="181"/>
    </row>
    <row r="611">
      <c r="B611" s="181"/>
    </row>
    <row r="612">
      <c r="B612" s="181"/>
    </row>
    <row r="613">
      <c r="B613" s="181"/>
    </row>
    <row r="614">
      <c r="B614" s="181"/>
    </row>
    <row r="615">
      <c r="B615" s="181"/>
    </row>
    <row r="616">
      <c r="B616" s="181"/>
    </row>
    <row r="617">
      <c r="B617" s="181"/>
    </row>
    <row r="618">
      <c r="B618" s="181"/>
    </row>
    <row r="619">
      <c r="B619" s="181"/>
    </row>
    <row r="620">
      <c r="B620" s="181"/>
    </row>
    <row r="621">
      <c r="B621" s="181"/>
    </row>
    <row r="622">
      <c r="B622" s="181"/>
    </row>
    <row r="623">
      <c r="B623" s="181"/>
    </row>
    <row r="624">
      <c r="B624" s="181"/>
    </row>
    <row r="625">
      <c r="B625" s="181"/>
    </row>
    <row r="626">
      <c r="B626" s="181"/>
    </row>
    <row r="627">
      <c r="B627" s="181"/>
    </row>
    <row r="628">
      <c r="B628" s="181"/>
    </row>
    <row r="629">
      <c r="B629" s="181"/>
    </row>
    <row r="630">
      <c r="B630" s="181"/>
    </row>
    <row r="631">
      <c r="B631" s="181"/>
    </row>
    <row r="632">
      <c r="B632" s="181"/>
    </row>
    <row r="633">
      <c r="B633" s="181"/>
    </row>
    <row r="634">
      <c r="B634" s="181"/>
    </row>
    <row r="635">
      <c r="B635" s="181"/>
    </row>
    <row r="636">
      <c r="B636" s="181"/>
    </row>
    <row r="637">
      <c r="B637" s="181"/>
    </row>
    <row r="638">
      <c r="B638" s="181"/>
    </row>
    <row r="639">
      <c r="B639" s="181"/>
    </row>
    <row r="640">
      <c r="B640" s="181"/>
    </row>
    <row r="641">
      <c r="B641" s="181"/>
    </row>
    <row r="642">
      <c r="B642" s="181"/>
    </row>
    <row r="643">
      <c r="B643" s="181"/>
    </row>
    <row r="644">
      <c r="B644" s="181"/>
    </row>
    <row r="645">
      <c r="B645" s="181"/>
    </row>
    <row r="646">
      <c r="B646" s="181"/>
    </row>
    <row r="647">
      <c r="B647" s="181"/>
    </row>
    <row r="648">
      <c r="B648" s="181"/>
    </row>
    <row r="649">
      <c r="B649" s="181"/>
    </row>
    <row r="650">
      <c r="B650" s="181"/>
    </row>
    <row r="651">
      <c r="B651" s="181"/>
    </row>
    <row r="652">
      <c r="B652" s="181"/>
    </row>
    <row r="653">
      <c r="B653" s="181"/>
    </row>
    <row r="654">
      <c r="B654" s="181"/>
    </row>
    <row r="655">
      <c r="B655" s="181"/>
    </row>
    <row r="656">
      <c r="B656" s="181"/>
    </row>
    <row r="657">
      <c r="B657" s="181"/>
    </row>
    <row r="658">
      <c r="B658" s="181"/>
    </row>
    <row r="659">
      <c r="B659" s="181"/>
    </row>
    <row r="660">
      <c r="B660" s="181"/>
    </row>
    <row r="661">
      <c r="B661" s="181"/>
    </row>
    <row r="662">
      <c r="B662" s="181"/>
    </row>
    <row r="663">
      <c r="B663" s="181"/>
    </row>
    <row r="664">
      <c r="B664" s="181"/>
    </row>
    <row r="665">
      <c r="B665" s="181"/>
    </row>
    <row r="666">
      <c r="B666" s="181"/>
    </row>
    <row r="667">
      <c r="B667" s="181"/>
    </row>
    <row r="668">
      <c r="B668" s="181"/>
    </row>
    <row r="669">
      <c r="B669" s="181"/>
    </row>
    <row r="670">
      <c r="B670" s="181"/>
    </row>
    <row r="671">
      <c r="B671" s="181"/>
    </row>
    <row r="672">
      <c r="B672" s="181"/>
    </row>
    <row r="673">
      <c r="B673" s="181"/>
    </row>
    <row r="674">
      <c r="B674" s="181"/>
    </row>
    <row r="675">
      <c r="B675" s="181"/>
    </row>
    <row r="676">
      <c r="B676" s="181"/>
    </row>
    <row r="677">
      <c r="B677" s="181"/>
    </row>
    <row r="678">
      <c r="B678" s="181"/>
    </row>
    <row r="679">
      <c r="B679" s="181"/>
    </row>
    <row r="680">
      <c r="B680" s="181"/>
    </row>
    <row r="681">
      <c r="B681" s="181"/>
    </row>
    <row r="682">
      <c r="B682" s="181"/>
    </row>
    <row r="683">
      <c r="B683" s="181"/>
    </row>
    <row r="684">
      <c r="B684" s="181"/>
    </row>
    <row r="685">
      <c r="B685" s="181"/>
    </row>
    <row r="686">
      <c r="B686" s="181"/>
    </row>
    <row r="687">
      <c r="B687" s="181"/>
    </row>
    <row r="688">
      <c r="B688" s="181"/>
    </row>
    <row r="689">
      <c r="B689" s="181"/>
    </row>
    <row r="690">
      <c r="B690" s="181"/>
    </row>
    <row r="691">
      <c r="B691" s="181"/>
    </row>
    <row r="692">
      <c r="B692" s="181"/>
    </row>
    <row r="693">
      <c r="B693" s="181"/>
    </row>
    <row r="694">
      <c r="B694" s="181"/>
    </row>
    <row r="695">
      <c r="B695" s="181"/>
    </row>
    <row r="696">
      <c r="B696" s="181"/>
    </row>
    <row r="697">
      <c r="B697" s="181"/>
    </row>
    <row r="698">
      <c r="B698" s="181"/>
    </row>
    <row r="699">
      <c r="B699" s="181"/>
    </row>
    <row r="700">
      <c r="B700" s="181"/>
    </row>
    <row r="701">
      <c r="B701" s="181"/>
    </row>
    <row r="702">
      <c r="B702" s="181"/>
    </row>
    <row r="703">
      <c r="B703" s="181"/>
    </row>
    <row r="704">
      <c r="B704" s="181"/>
    </row>
    <row r="705">
      <c r="B705" s="181"/>
    </row>
    <row r="706">
      <c r="B706" s="181"/>
    </row>
    <row r="707">
      <c r="B707" s="181"/>
    </row>
    <row r="708">
      <c r="B708" s="181"/>
    </row>
    <row r="709">
      <c r="B709" s="181"/>
    </row>
    <row r="710">
      <c r="B710" s="181"/>
    </row>
    <row r="711">
      <c r="B711" s="181"/>
    </row>
    <row r="712">
      <c r="B712" s="181"/>
    </row>
    <row r="713">
      <c r="B713" s="181"/>
    </row>
    <row r="714">
      <c r="B714" s="181"/>
    </row>
    <row r="715">
      <c r="B715" s="181"/>
    </row>
    <row r="716">
      <c r="B716" s="181"/>
    </row>
    <row r="717">
      <c r="B717" s="181"/>
    </row>
    <row r="718">
      <c r="B718" s="181"/>
    </row>
    <row r="719">
      <c r="B719" s="181"/>
    </row>
    <row r="720">
      <c r="B720" s="181"/>
    </row>
    <row r="721">
      <c r="B721" s="181"/>
    </row>
    <row r="722">
      <c r="B722" s="181"/>
    </row>
    <row r="723">
      <c r="B723" s="181"/>
    </row>
    <row r="724">
      <c r="B724" s="181"/>
    </row>
    <row r="725">
      <c r="B725" s="181"/>
    </row>
    <row r="726">
      <c r="B726" s="181"/>
    </row>
    <row r="727">
      <c r="B727" s="181"/>
    </row>
    <row r="728">
      <c r="B728" s="181"/>
    </row>
    <row r="729">
      <c r="B729" s="181"/>
    </row>
    <row r="730">
      <c r="B730" s="181"/>
    </row>
    <row r="731">
      <c r="B731" s="181"/>
    </row>
    <row r="732">
      <c r="B732" s="181"/>
    </row>
    <row r="733">
      <c r="B733" s="181"/>
    </row>
    <row r="734">
      <c r="B734" s="181"/>
    </row>
    <row r="735">
      <c r="B735" s="181"/>
    </row>
    <row r="736">
      <c r="B736" s="181"/>
    </row>
    <row r="737">
      <c r="B737" s="181"/>
    </row>
    <row r="738">
      <c r="B738" s="181"/>
    </row>
    <row r="739">
      <c r="B739" s="181"/>
    </row>
    <row r="740">
      <c r="B740" s="181"/>
    </row>
    <row r="741">
      <c r="B741" s="181"/>
    </row>
    <row r="742">
      <c r="B742" s="181"/>
    </row>
    <row r="743">
      <c r="B743" s="181"/>
    </row>
    <row r="744">
      <c r="B744" s="181"/>
    </row>
    <row r="745">
      <c r="B745" s="181"/>
    </row>
    <row r="746">
      <c r="B746" s="181"/>
    </row>
    <row r="747">
      <c r="B747" s="181"/>
    </row>
    <row r="748">
      <c r="B748" s="181"/>
    </row>
    <row r="749">
      <c r="B749" s="181"/>
    </row>
    <row r="750">
      <c r="B750" s="181"/>
    </row>
    <row r="751">
      <c r="B751" s="181"/>
    </row>
    <row r="752">
      <c r="B752" s="181"/>
    </row>
    <row r="753">
      <c r="B753" s="181"/>
    </row>
    <row r="754">
      <c r="B754" s="181"/>
    </row>
    <row r="755">
      <c r="B755" s="181"/>
    </row>
    <row r="756">
      <c r="B756" s="181"/>
    </row>
    <row r="757">
      <c r="B757" s="181"/>
    </row>
    <row r="758">
      <c r="B758" s="181"/>
    </row>
    <row r="759">
      <c r="B759" s="181"/>
    </row>
    <row r="760">
      <c r="B760" s="181"/>
    </row>
    <row r="761">
      <c r="B761" s="181"/>
    </row>
    <row r="762">
      <c r="B762" s="181"/>
    </row>
    <row r="763">
      <c r="B763" s="181"/>
    </row>
    <row r="764">
      <c r="B764" s="181"/>
    </row>
    <row r="765">
      <c r="B765" s="181"/>
    </row>
    <row r="766">
      <c r="B766" s="181"/>
    </row>
    <row r="767">
      <c r="B767" s="181"/>
    </row>
    <row r="768">
      <c r="B768" s="181"/>
    </row>
    <row r="769">
      <c r="B769" s="181"/>
    </row>
    <row r="770">
      <c r="B770" s="181"/>
    </row>
    <row r="771">
      <c r="B771" s="181"/>
    </row>
    <row r="772">
      <c r="B772" s="181"/>
    </row>
    <row r="773">
      <c r="B773" s="181"/>
    </row>
    <row r="774">
      <c r="B774" s="181"/>
    </row>
    <row r="775">
      <c r="B775" s="181"/>
    </row>
    <row r="776">
      <c r="B776" s="181"/>
    </row>
    <row r="777">
      <c r="B777" s="181"/>
    </row>
    <row r="778">
      <c r="B778" s="181"/>
    </row>
    <row r="779">
      <c r="B779" s="181"/>
    </row>
    <row r="780">
      <c r="B780" s="181"/>
    </row>
    <row r="781">
      <c r="B781" s="181"/>
    </row>
    <row r="782">
      <c r="B782" s="181"/>
    </row>
    <row r="783">
      <c r="B783" s="181"/>
    </row>
    <row r="784">
      <c r="B784" s="181"/>
    </row>
    <row r="785">
      <c r="B785" s="181"/>
    </row>
    <row r="786">
      <c r="B786" s="181"/>
    </row>
    <row r="787">
      <c r="B787" s="181"/>
    </row>
    <row r="788">
      <c r="B788" s="181"/>
    </row>
    <row r="789">
      <c r="B789" s="181"/>
    </row>
    <row r="790">
      <c r="B790" s="181"/>
    </row>
    <row r="791">
      <c r="B791" s="181"/>
    </row>
    <row r="792">
      <c r="B792" s="181"/>
    </row>
    <row r="793">
      <c r="B793" s="181"/>
    </row>
    <row r="794">
      <c r="B794" s="181"/>
    </row>
    <row r="795">
      <c r="B795" s="181"/>
    </row>
    <row r="796">
      <c r="B796" s="181"/>
    </row>
    <row r="797">
      <c r="B797" s="181"/>
    </row>
    <row r="798">
      <c r="B798" s="181"/>
    </row>
    <row r="799">
      <c r="B799" s="181"/>
    </row>
    <row r="800">
      <c r="B800" s="181"/>
    </row>
    <row r="801">
      <c r="B801" s="181"/>
    </row>
    <row r="802">
      <c r="B802" s="181"/>
    </row>
    <row r="803">
      <c r="B803" s="181"/>
    </row>
    <row r="804">
      <c r="B804" s="181"/>
    </row>
    <row r="805">
      <c r="B805" s="181"/>
    </row>
    <row r="806">
      <c r="B806" s="181"/>
    </row>
    <row r="807">
      <c r="B807" s="181"/>
    </row>
    <row r="808">
      <c r="B808" s="181"/>
    </row>
    <row r="809">
      <c r="B809" s="181"/>
    </row>
    <row r="810">
      <c r="B810" s="181"/>
    </row>
    <row r="811">
      <c r="B811" s="181"/>
    </row>
    <row r="812">
      <c r="B812" s="181"/>
    </row>
    <row r="813">
      <c r="B813" s="181"/>
    </row>
    <row r="814">
      <c r="B814" s="181"/>
    </row>
    <row r="815">
      <c r="B815" s="181"/>
    </row>
    <row r="816">
      <c r="B816" s="181"/>
    </row>
    <row r="817">
      <c r="B817" s="181"/>
    </row>
    <row r="818">
      <c r="B818" s="181"/>
    </row>
    <row r="819">
      <c r="B819" s="181"/>
    </row>
    <row r="820">
      <c r="B820" s="181"/>
    </row>
    <row r="821">
      <c r="B821" s="181"/>
    </row>
    <row r="822">
      <c r="B822" s="181"/>
    </row>
    <row r="823">
      <c r="B823" s="181"/>
    </row>
    <row r="824">
      <c r="B824" s="181"/>
    </row>
    <row r="825">
      <c r="B825" s="181"/>
    </row>
    <row r="826">
      <c r="B826" s="181"/>
    </row>
    <row r="827">
      <c r="B827" s="181"/>
    </row>
    <row r="828">
      <c r="B828" s="181"/>
    </row>
    <row r="829">
      <c r="B829" s="181"/>
    </row>
    <row r="830">
      <c r="B830" s="181"/>
    </row>
    <row r="831">
      <c r="B831" s="181"/>
    </row>
    <row r="832">
      <c r="B832" s="181"/>
    </row>
    <row r="833">
      <c r="B833" s="181"/>
    </row>
    <row r="834">
      <c r="B834" s="181"/>
    </row>
    <row r="835">
      <c r="B835" s="181"/>
    </row>
    <row r="836">
      <c r="B836" s="181"/>
    </row>
    <row r="837">
      <c r="B837" s="181"/>
    </row>
    <row r="838">
      <c r="B838" s="181"/>
    </row>
    <row r="839">
      <c r="B839" s="181"/>
    </row>
    <row r="840">
      <c r="B840" s="181"/>
    </row>
    <row r="841">
      <c r="B841" s="181"/>
    </row>
    <row r="842">
      <c r="B842" s="181"/>
    </row>
    <row r="843">
      <c r="B843" s="181"/>
    </row>
    <row r="844">
      <c r="B844" s="181"/>
    </row>
    <row r="845">
      <c r="B845" s="181"/>
    </row>
    <row r="846">
      <c r="B846" s="181"/>
    </row>
    <row r="847">
      <c r="B847" s="181"/>
    </row>
    <row r="848">
      <c r="B848" s="181"/>
    </row>
    <row r="849">
      <c r="B849" s="181"/>
    </row>
    <row r="850">
      <c r="B850" s="181"/>
    </row>
    <row r="851">
      <c r="B851" s="181"/>
    </row>
    <row r="852">
      <c r="B852" s="181"/>
    </row>
    <row r="853">
      <c r="B853" s="181"/>
    </row>
    <row r="854">
      <c r="B854" s="181"/>
    </row>
    <row r="855">
      <c r="B855" s="181"/>
    </row>
    <row r="856">
      <c r="B856" s="181"/>
    </row>
    <row r="857">
      <c r="B857" s="181"/>
    </row>
    <row r="858">
      <c r="B858" s="181"/>
    </row>
    <row r="859">
      <c r="B859" s="181"/>
    </row>
    <row r="860">
      <c r="B860" s="181"/>
    </row>
    <row r="861">
      <c r="B861" s="181"/>
    </row>
    <row r="862">
      <c r="B862" s="181"/>
    </row>
    <row r="863">
      <c r="B863" s="181"/>
    </row>
    <row r="864">
      <c r="B864" s="181"/>
    </row>
    <row r="865">
      <c r="B865" s="181"/>
    </row>
    <row r="866">
      <c r="B866" s="181"/>
    </row>
    <row r="867">
      <c r="B867" s="181"/>
    </row>
    <row r="868">
      <c r="B868" s="181"/>
    </row>
    <row r="869">
      <c r="B869" s="181"/>
    </row>
    <row r="870">
      <c r="B870" s="181"/>
    </row>
    <row r="871">
      <c r="B871" s="181"/>
    </row>
    <row r="872">
      <c r="B872" s="181"/>
    </row>
    <row r="873">
      <c r="B873" s="181"/>
    </row>
    <row r="874">
      <c r="B874" s="181"/>
    </row>
    <row r="875">
      <c r="B875" s="181"/>
    </row>
    <row r="876">
      <c r="B876" s="181"/>
    </row>
    <row r="877">
      <c r="B877" s="181"/>
    </row>
    <row r="878">
      <c r="B878" s="181"/>
    </row>
    <row r="879">
      <c r="B879" s="181"/>
    </row>
    <row r="880">
      <c r="B880" s="181"/>
    </row>
    <row r="881">
      <c r="B881" s="181"/>
    </row>
    <row r="882">
      <c r="B882" s="181"/>
    </row>
    <row r="883">
      <c r="B883" s="181"/>
    </row>
    <row r="884">
      <c r="B884" s="181"/>
    </row>
    <row r="885">
      <c r="B885" s="181"/>
    </row>
    <row r="886">
      <c r="B886" s="181"/>
    </row>
    <row r="887">
      <c r="B887" s="181"/>
    </row>
    <row r="888">
      <c r="B888" s="181"/>
    </row>
    <row r="889">
      <c r="B889" s="181"/>
    </row>
    <row r="890">
      <c r="B890" s="181"/>
    </row>
    <row r="891">
      <c r="B891" s="181"/>
    </row>
    <row r="892">
      <c r="B892" s="181"/>
    </row>
    <row r="893">
      <c r="B893" s="181"/>
    </row>
    <row r="894">
      <c r="B894" s="181"/>
    </row>
    <row r="895">
      <c r="B895" s="181"/>
    </row>
    <row r="896">
      <c r="B896" s="181"/>
    </row>
    <row r="897">
      <c r="B897" s="181"/>
    </row>
    <row r="898">
      <c r="B898" s="181"/>
    </row>
    <row r="899">
      <c r="B899" s="181"/>
    </row>
    <row r="900">
      <c r="B900" s="181"/>
    </row>
    <row r="901">
      <c r="B901" s="181"/>
    </row>
    <row r="902">
      <c r="B902" s="181"/>
    </row>
    <row r="903">
      <c r="B903" s="181"/>
    </row>
    <row r="904">
      <c r="B904" s="181"/>
    </row>
    <row r="905">
      <c r="B905" s="181"/>
    </row>
    <row r="906">
      <c r="B906" s="181"/>
    </row>
    <row r="907">
      <c r="B907" s="181"/>
    </row>
    <row r="908">
      <c r="B908" s="181"/>
    </row>
    <row r="909">
      <c r="B909" s="181"/>
    </row>
    <row r="910">
      <c r="B910" s="181"/>
    </row>
    <row r="911">
      <c r="B911" s="181"/>
    </row>
    <row r="912">
      <c r="B912" s="181"/>
    </row>
    <row r="913">
      <c r="B913" s="181"/>
    </row>
    <row r="914">
      <c r="B914" s="181"/>
    </row>
    <row r="915">
      <c r="B915" s="181"/>
    </row>
    <row r="916">
      <c r="B916" s="181"/>
    </row>
    <row r="917">
      <c r="B917" s="181"/>
    </row>
    <row r="918">
      <c r="B918" s="181"/>
    </row>
    <row r="919">
      <c r="B919" s="181"/>
    </row>
    <row r="920">
      <c r="B920" s="181"/>
    </row>
    <row r="921">
      <c r="B921" s="181"/>
    </row>
    <row r="922">
      <c r="B922" s="181"/>
    </row>
    <row r="923">
      <c r="B923" s="181"/>
    </row>
    <row r="924">
      <c r="B924" s="181"/>
    </row>
    <row r="925">
      <c r="B925" s="181"/>
    </row>
    <row r="926">
      <c r="B926" s="181"/>
    </row>
    <row r="927">
      <c r="B927" s="181"/>
    </row>
    <row r="928">
      <c r="B928" s="181"/>
    </row>
    <row r="929">
      <c r="B929" s="181"/>
    </row>
    <row r="930">
      <c r="B930" s="181"/>
    </row>
    <row r="931">
      <c r="B931" s="181"/>
    </row>
    <row r="932">
      <c r="B932" s="181"/>
    </row>
    <row r="933">
      <c r="B933" s="181"/>
    </row>
    <row r="934">
      <c r="B934" s="181"/>
    </row>
    <row r="935">
      <c r="B935" s="181"/>
    </row>
    <row r="936">
      <c r="B936" s="181"/>
    </row>
    <row r="937">
      <c r="B937" s="181"/>
    </row>
    <row r="938">
      <c r="B938" s="181"/>
    </row>
    <row r="939">
      <c r="B939" s="181"/>
    </row>
    <row r="940">
      <c r="B940" s="181"/>
    </row>
    <row r="941">
      <c r="B941" s="181"/>
    </row>
    <row r="942">
      <c r="B942" s="181"/>
    </row>
    <row r="943">
      <c r="B943" s="181"/>
    </row>
    <row r="944">
      <c r="B944" s="181"/>
    </row>
    <row r="945">
      <c r="B945" s="181"/>
    </row>
    <row r="946">
      <c r="B946" s="181"/>
    </row>
    <row r="947">
      <c r="B947" s="181"/>
    </row>
    <row r="948">
      <c r="B948" s="181"/>
    </row>
    <row r="949">
      <c r="B949" s="181"/>
    </row>
    <row r="950">
      <c r="B950" s="181"/>
    </row>
    <row r="951">
      <c r="B951" s="181"/>
    </row>
    <row r="952">
      <c r="B952" s="181"/>
    </row>
    <row r="953">
      <c r="B953" s="181"/>
    </row>
    <row r="954">
      <c r="B954" s="181"/>
    </row>
    <row r="955">
      <c r="B955" s="181"/>
    </row>
    <row r="956">
      <c r="B956" s="181"/>
    </row>
    <row r="957">
      <c r="B957" s="181"/>
    </row>
    <row r="958">
      <c r="B958" s="181"/>
    </row>
    <row r="959">
      <c r="B959" s="181"/>
    </row>
    <row r="960">
      <c r="B960" s="181"/>
    </row>
    <row r="961">
      <c r="B961" s="181"/>
    </row>
    <row r="962">
      <c r="B962" s="181"/>
    </row>
    <row r="963">
      <c r="B963" s="181"/>
    </row>
    <row r="964">
      <c r="B964" s="181"/>
    </row>
    <row r="965">
      <c r="B965" s="181"/>
    </row>
    <row r="966">
      <c r="B966" s="181"/>
    </row>
    <row r="967">
      <c r="B967" s="181"/>
    </row>
    <row r="968">
      <c r="B968" s="181"/>
    </row>
    <row r="969">
      <c r="B969" s="181"/>
    </row>
    <row r="970">
      <c r="B970" s="181"/>
    </row>
    <row r="971">
      <c r="B971" s="181"/>
    </row>
    <row r="972">
      <c r="B972" s="181"/>
    </row>
    <row r="973">
      <c r="B973" s="181"/>
    </row>
    <row r="974">
      <c r="B974" s="181"/>
    </row>
    <row r="975">
      <c r="B975" s="181"/>
    </row>
    <row r="976">
      <c r="B976" s="181"/>
    </row>
    <row r="977">
      <c r="B977" s="181"/>
    </row>
    <row r="978">
      <c r="B978" s="181"/>
    </row>
    <row r="979">
      <c r="B979" s="181"/>
    </row>
    <row r="980">
      <c r="B980" s="181"/>
    </row>
    <row r="981">
      <c r="B981" s="181"/>
    </row>
    <row r="982">
      <c r="B982" s="181"/>
    </row>
    <row r="983">
      <c r="B983" s="181"/>
    </row>
    <row r="984">
      <c r="B984" s="181"/>
    </row>
    <row r="985">
      <c r="B985" s="181"/>
    </row>
    <row r="986">
      <c r="B986" s="181"/>
    </row>
    <row r="987">
      <c r="B987" s="181"/>
    </row>
    <row r="988">
      <c r="B988" s="181"/>
    </row>
    <row r="989">
      <c r="B989" s="181"/>
    </row>
    <row r="990">
      <c r="B990" s="181"/>
    </row>
    <row r="991">
      <c r="B991" s="181"/>
    </row>
    <row r="992">
      <c r="B992" s="181"/>
    </row>
    <row r="993">
      <c r="B993" s="181"/>
    </row>
    <row r="994">
      <c r="B994" s="181"/>
    </row>
    <row r="995">
      <c r="B995" s="181"/>
    </row>
    <row r="996">
      <c r="B996" s="18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3" max="3" width="15.38"/>
    <col customWidth="1" min="4" max="4" width="15.25"/>
    <col customWidth="1" min="5" max="5" width="15.0"/>
    <col customWidth="1" min="6" max="6" width="14.25"/>
    <col customWidth="1" min="8" max="8" width="15.25"/>
  </cols>
  <sheetData>
    <row r="2" ht="33.0" customHeight="1">
      <c r="A2" s="141"/>
      <c r="B2" s="158"/>
      <c r="C2" s="140" t="s">
        <v>282</v>
      </c>
      <c r="D2" s="140" t="s">
        <v>283</v>
      </c>
      <c r="E2" s="140" t="s">
        <v>284</v>
      </c>
      <c r="F2" s="140" t="s">
        <v>285</v>
      </c>
      <c r="H2" s="140" t="s">
        <v>286</v>
      </c>
    </row>
    <row r="3">
      <c r="A3" s="159" t="s">
        <v>213</v>
      </c>
      <c r="B3" s="141"/>
      <c r="C3" s="141"/>
      <c r="D3" s="141"/>
      <c r="E3" s="141"/>
      <c r="F3" s="141"/>
      <c r="H3" s="141"/>
    </row>
    <row r="4">
      <c r="A4" s="143" t="s">
        <v>214</v>
      </c>
      <c r="B4" s="141"/>
      <c r="C4" s="144" t="str">
        <f>'Cash Budget 2022'!H27</f>
        <v>#REF!</v>
      </c>
      <c r="D4" s="144">
        <v>0.0</v>
      </c>
      <c r="E4" s="144">
        <v>0.0</v>
      </c>
      <c r="F4" s="144">
        <v>0.0</v>
      </c>
      <c r="G4" s="69"/>
      <c r="H4" s="144" t="str">
        <f>C4</f>
        <v>#REF!</v>
      </c>
    </row>
    <row r="5">
      <c r="A5" s="159" t="s">
        <v>215</v>
      </c>
      <c r="B5" s="141"/>
      <c r="C5" s="187"/>
      <c r="D5" s="187"/>
      <c r="E5" s="187"/>
      <c r="F5" s="187"/>
      <c r="G5" s="69"/>
      <c r="H5" s="187"/>
    </row>
    <row r="6">
      <c r="A6" s="143" t="s">
        <v>216</v>
      </c>
      <c r="B6" s="141"/>
      <c r="C6" s="160">
        <f>'Cash Budget'!D6/4</f>
        <v>633000000</v>
      </c>
      <c r="D6" s="160">
        <f>'Cash Budget'!D6/4</f>
        <v>633000000</v>
      </c>
      <c r="E6" s="160">
        <f>'Cash Budget'!D6/4</f>
        <v>633000000</v>
      </c>
      <c r="F6" s="160">
        <f>'Cash Budget'!D6/4</f>
        <v>633000000</v>
      </c>
      <c r="G6" s="69"/>
      <c r="H6" s="160">
        <f t="shared" ref="H6:H7" si="2">sum(C6:F6)</f>
        <v>2532000000</v>
      </c>
    </row>
    <row r="7">
      <c r="A7" s="159" t="s">
        <v>217</v>
      </c>
      <c r="B7" s="158"/>
      <c r="C7" s="161" t="str">
        <f t="shared" ref="C7:F7" si="1">C4+C6</f>
        <v>#REF!</v>
      </c>
      <c r="D7" s="161">
        <f t="shared" si="1"/>
        <v>633000000</v>
      </c>
      <c r="E7" s="161">
        <f t="shared" si="1"/>
        <v>633000000</v>
      </c>
      <c r="F7" s="161">
        <f t="shared" si="1"/>
        <v>633000000</v>
      </c>
      <c r="G7" s="69"/>
      <c r="H7" s="161" t="str">
        <f t="shared" si="2"/>
        <v>#REF!</v>
      </c>
    </row>
    <row r="8">
      <c r="A8" s="159" t="s">
        <v>218</v>
      </c>
      <c r="B8" s="141"/>
      <c r="C8" s="187"/>
      <c r="D8" s="187"/>
      <c r="E8" s="187"/>
      <c r="F8" s="187"/>
      <c r="G8" s="69"/>
      <c r="H8" s="187"/>
    </row>
    <row r="9">
      <c r="A9" s="143" t="s">
        <v>219</v>
      </c>
      <c r="B9" s="141"/>
      <c r="C9" s="144">
        <f>'Cash Budget'!D9/4</f>
        <v>262650000</v>
      </c>
      <c r="D9" s="144">
        <f>'Cash Budget'!D9/4</f>
        <v>262650000</v>
      </c>
      <c r="E9" s="144">
        <f>'Cash Budget'!D9/4</f>
        <v>262650000</v>
      </c>
      <c r="F9" s="144">
        <f>'Cash Budget'!D9/4</f>
        <v>262650000</v>
      </c>
      <c r="G9" s="69"/>
      <c r="H9" s="144">
        <f t="shared" ref="H9:H13" si="3">sum(C9:F9)</f>
        <v>1050600000</v>
      </c>
    </row>
    <row r="10">
      <c r="A10" s="143" t="s">
        <v>220</v>
      </c>
      <c r="B10" s="141"/>
      <c r="C10" s="144">
        <f>'Cash Budget'!D10/4</f>
        <v>85650000</v>
      </c>
      <c r="D10" s="144">
        <f>'Cash Budget'!D10/4</f>
        <v>85650000</v>
      </c>
      <c r="E10" s="144">
        <f>'Cash Budget'!D10/4</f>
        <v>85650000</v>
      </c>
      <c r="F10" s="144">
        <f>'Cash Budget'!D10/4</f>
        <v>85650000</v>
      </c>
      <c r="G10" s="69"/>
      <c r="H10" s="144">
        <f t="shared" si="3"/>
        <v>342600000</v>
      </c>
    </row>
    <row r="11">
      <c r="A11" s="143" t="s">
        <v>221</v>
      </c>
      <c r="B11" s="141"/>
      <c r="C11" s="144">
        <v>0.0</v>
      </c>
      <c r="D11" s="144">
        <v>0.0</v>
      </c>
      <c r="E11" s="144">
        <v>0.0</v>
      </c>
      <c r="F11" s="144">
        <f>'Cash Budget'!D11</f>
        <v>-242452475.7</v>
      </c>
      <c r="G11" s="69"/>
      <c r="H11" s="144">
        <f t="shared" si="3"/>
        <v>-242452475.7</v>
      </c>
    </row>
    <row r="12">
      <c r="A12" s="143" t="s">
        <v>287</v>
      </c>
      <c r="B12" s="141"/>
      <c r="C12" s="144" t="str">
        <f>#REF!</f>
        <v>#REF!</v>
      </c>
      <c r="D12" s="144">
        <v>0.0</v>
      </c>
      <c r="E12" s="144">
        <v>0.0</v>
      </c>
      <c r="F12" s="144">
        <v>0.0</v>
      </c>
      <c r="G12" s="69"/>
      <c r="H12" s="160" t="str">
        <f t="shared" si="3"/>
        <v>#REF!</v>
      </c>
    </row>
    <row r="13">
      <c r="A13" s="159" t="s">
        <v>222</v>
      </c>
      <c r="B13" s="141"/>
      <c r="C13" s="167" t="str">
        <f t="shared" ref="C13:F13" si="4">SUM(C9:C12)</f>
        <v>#REF!</v>
      </c>
      <c r="D13" s="167">
        <f t="shared" si="4"/>
        <v>348300000</v>
      </c>
      <c r="E13" s="167">
        <f t="shared" si="4"/>
        <v>348300000</v>
      </c>
      <c r="F13" s="167">
        <f t="shared" si="4"/>
        <v>105847524.3</v>
      </c>
      <c r="G13" s="69"/>
      <c r="H13" s="162" t="str">
        <f t="shared" si="3"/>
        <v>#REF!</v>
      </c>
    </row>
    <row r="14">
      <c r="A14" s="141"/>
      <c r="B14" s="141"/>
      <c r="C14" s="187"/>
      <c r="D14" s="187"/>
      <c r="E14" s="187"/>
      <c r="F14" s="187"/>
      <c r="G14" s="69"/>
      <c r="H14" s="187"/>
    </row>
    <row r="15">
      <c r="A15" s="143" t="s">
        <v>223</v>
      </c>
      <c r="B15" s="141"/>
      <c r="C15" s="163">
        <f>'Cash Budget'!D14/4</f>
        <v>37500000</v>
      </c>
      <c r="D15" s="163">
        <f>'Cash Budget'!D14/4</f>
        <v>37500000</v>
      </c>
      <c r="E15" s="163">
        <f>'Cash Budget'!D14/4</f>
        <v>37500000</v>
      </c>
      <c r="F15" s="163">
        <f>'Cash Budget'!D14/4</f>
        <v>37500000</v>
      </c>
      <c r="G15" s="69"/>
      <c r="H15" s="163">
        <f t="shared" ref="H15:H16" si="6">sum(C15:F15)</f>
        <v>150000000</v>
      </c>
    </row>
    <row r="16">
      <c r="A16" s="159" t="s">
        <v>224</v>
      </c>
      <c r="B16" s="141"/>
      <c r="C16" s="161" t="str">
        <f t="shared" ref="C16:F16" si="5">C13+C15</f>
        <v>#REF!</v>
      </c>
      <c r="D16" s="161">
        <f t="shared" si="5"/>
        <v>385800000</v>
      </c>
      <c r="E16" s="161">
        <f t="shared" si="5"/>
        <v>385800000</v>
      </c>
      <c r="F16" s="161">
        <f t="shared" si="5"/>
        <v>143347524.3</v>
      </c>
      <c r="G16" s="69"/>
      <c r="H16" s="161" t="str">
        <f t="shared" si="6"/>
        <v>#REF!</v>
      </c>
    </row>
    <row r="17">
      <c r="A17" s="158"/>
      <c r="B17" s="158"/>
      <c r="C17" s="188"/>
      <c r="D17" s="188"/>
      <c r="E17" s="188"/>
      <c r="F17" s="188"/>
      <c r="G17" s="69"/>
      <c r="H17" s="188"/>
    </row>
    <row r="18">
      <c r="A18" s="159" t="s">
        <v>225</v>
      </c>
      <c r="B18" s="141"/>
      <c r="C18" s="187"/>
      <c r="D18" s="187"/>
      <c r="E18" s="187"/>
      <c r="F18" s="187"/>
      <c r="G18" s="69"/>
      <c r="H18" s="187"/>
    </row>
    <row r="19">
      <c r="A19" s="159" t="s">
        <v>226</v>
      </c>
      <c r="B19" s="141"/>
      <c r="C19" s="161" t="str">
        <f t="shared" ref="C19:F19" si="7">C7-C16</f>
        <v>#REF!</v>
      </c>
      <c r="D19" s="161">
        <f t="shared" si="7"/>
        <v>247200000</v>
      </c>
      <c r="E19" s="161">
        <f t="shared" si="7"/>
        <v>247200000</v>
      </c>
      <c r="F19" s="161">
        <f t="shared" si="7"/>
        <v>489652475.7</v>
      </c>
      <c r="G19" s="69"/>
      <c r="H19" s="161" t="str">
        <f>H7-H16</f>
        <v>#REF!</v>
      </c>
    </row>
    <row r="20">
      <c r="A20" s="159" t="s">
        <v>227</v>
      </c>
      <c r="B20" s="141"/>
      <c r="C20" s="187"/>
      <c r="D20" s="187"/>
      <c r="E20" s="187"/>
      <c r="F20" s="187"/>
      <c r="G20" s="69"/>
      <c r="H20" s="187"/>
    </row>
    <row r="21">
      <c r="A21" s="143" t="s">
        <v>228</v>
      </c>
      <c r="B21" s="141"/>
      <c r="C21" s="189">
        <f>'Cash Budget'!D20</f>
        <v>-160200000</v>
      </c>
      <c r="D21" s="189">
        <v>0.0</v>
      </c>
      <c r="E21" s="189">
        <v>0.0</v>
      </c>
      <c r="F21" s="189">
        <v>0.0</v>
      </c>
      <c r="G21" s="69"/>
      <c r="H21" s="189">
        <f>sum(C21:F21)</f>
        <v>-160200000</v>
      </c>
    </row>
    <row r="22">
      <c r="A22" s="143" t="s">
        <v>229</v>
      </c>
      <c r="B22" s="141"/>
      <c r="C22" s="189">
        <f>'Cash Budget'!D21</f>
        <v>0</v>
      </c>
      <c r="D22" s="189">
        <v>0.0</v>
      </c>
      <c r="E22" s="189">
        <v>0.0</v>
      </c>
      <c r="F22" s="189">
        <v>0.0</v>
      </c>
      <c r="G22" s="69"/>
      <c r="H22" s="144">
        <v>0.0</v>
      </c>
    </row>
    <row r="23">
      <c r="A23" s="143" t="s">
        <v>169</v>
      </c>
      <c r="B23" s="141"/>
      <c r="C23" s="189">
        <f>'Cash Budget'!D22</f>
        <v>0</v>
      </c>
      <c r="D23" s="189">
        <v>0.0</v>
      </c>
      <c r="E23" s="189">
        <v>0.0</v>
      </c>
      <c r="F23" s="189">
        <v>0.0</v>
      </c>
      <c r="G23" s="69"/>
      <c r="H23" s="144">
        <v>0.0</v>
      </c>
    </row>
    <row r="24">
      <c r="A24" s="143" t="s">
        <v>230</v>
      </c>
      <c r="B24" s="141"/>
      <c r="C24" s="190">
        <f>'Cash Budget'!D23/4</f>
        <v>-9185823.068</v>
      </c>
      <c r="D24" s="160">
        <f>'Cash Budget'!D23/4</f>
        <v>-9185823.068</v>
      </c>
      <c r="E24" s="160">
        <f>'Cash Budget'!D23/4</f>
        <v>-9185823.068</v>
      </c>
      <c r="F24" s="160">
        <f>'Cash Budget'!D23/4</f>
        <v>-9185823.068</v>
      </c>
      <c r="G24" s="69"/>
      <c r="H24" s="160">
        <f>sum(C24:F24)</f>
        <v>-36743292.27</v>
      </c>
    </row>
    <row r="25">
      <c r="A25" s="159" t="s">
        <v>231</v>
      </c>
      <c r="B25" s="158"/>
      <c r="C25" s="162">
        <f t="shared" ref="C25:F25" si="8">SUM(C21:C24)</f>
        <v>-169385823.1</v>
      </c>
      <c r="D25" s="162">
        <f t="shared" si="8"/>
        <v>-9185823.068</v>
      </c>
      <c r="E25" s="162">
        <f t="shared" si="8"/>
        <v>-9185823.068</v>
      </c>
      <c r="F25" s="162">
        <f t="shared" si="8"/>
        <v>-9185823.068</v>
      </c>
      <c r="G25" s="69"/>
      <c r="H25" s="162">
        <f>SUM(C25:F25)</f>
        <v>-196943292.3</v>
      </c>
    </row>
    <row r="26">
      <c r="A26" s="141"/>
      <c r="B26" s="141"/>
      <c r="C26" s="187"/>
      <c r="D26" s="187"/>
      <c r="E26" s="187"/>
      <c r="F26" s="187"/>
      <c r="G26" s="69"/>
      <c r="H26" s="187"/>
    </row>
    <row r="27">
      <c r="A27" s="159" t="s">
        <v>232</v>
      </c>
      <c r="B27" s="158"/>
      <c r="C27" s="162" t="str">
        <f t="shared" ref="C27:F27" si="9">C7-C13+C25</f>
        <v>#REF!</v>
      </c>
      <c r="D27" s="162">
        <f t="shared" si="9"/>
        <v>275514176.9</v>
      </c>
      <c r="E27" s="162">
        <f t="shared" si="9"/>
        <v>275514176.9</v>
      </c>
      <c r="F27" s="162">
        <f t="shared" si="9"/>
        <v>517966652.6</v>
      </c>
      <c r="G27" s="69"/>
      <c r="H27" s="162" t="str">
        <f>sum(C27:F27)</f>
        <v>#REF!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3" max="3" width="15.38"/>
    <col customWidth="1" min="4" max="4" width="15.25"/>
    <col customWidth="1" min="5" max="5" width="15.0"/>
    <col customWidth="1" min="6" max="6" width="14.25"/>
    <col customWidth="1" min="8" max="8" width="15.0"/>
  </cols>
  <sheetData>
    <row r="2" ht="33.0" customHeight="1">
      <c r="A2" s="141"/>
      <c r="B2" s="158"/>
      <c r="C2" s="140" t="s">
        <v>288</v>
      </c>
      <c r="D2" s="140" t="s">
        <v>289</v>
      </c>
      <c r="E2" s="140" t="s">
        <v>290</v>
      </c>
      <c r="F2" s="140" t="s">
        <v>291</v>
      </c>
      <c r="H2" s="140" t="s">
        <v>292</v>
      </c>
    </row>
    <row r="3">
      <c r="A3" s="159" t="s">
        <v>213</v>
      </c>
      <c r="B3" s="141"/>
      <c r="C3" s="141"/>
      <c r="D3" s="141"/>
      <c r="E3" s="141"/>
      <c r="F3" s="141"/>
      <c r="H3" s="141"/>
    </row>
    <row r="4">
      <c r="A4" s="143" t="s">
        <v>214</v>
      </c>
      <c r="B4" s="141"/>
      <c r="C4" s="144">
        <f>'Cash Budget'!E4</f>
        <v>1396153183</v>
      </c>
      <c r="D4" s="144">
        <v>0.0</v>
      </c>
      <c r="E4" s="144">
        <v>0.0</v>
      </c>
      <c r="F4" s="144">
        <v>0.0</v>
      </c>
      <c r="G4" s="69"/>
      <c r="H4" s="144">
        <f>sum(C4:F4)</f>
        <v>1396153183</v>
      </c>
    </row>
    <row r="5">
      <c r="A5" s="159" t="s">
        <v>215</v>
      </c>
      <c r="B5" s="141"/>
      <c r="C5" s="187"/>
      <c r="D5" s="187"/>
      <c r="E5" s="187"/>
      <c r="F5" s="187"/>
      <c r="G5" s="69"/>
      <c r="H5" s="187"/>
    </row>
    <row r="6">
      <c r="A6" s="143" t="s">
        <v>216</v>
      </c>
      <c r="B6" s="141"/>
      <c r="C6" s="160">
        <f>'Cash Budget'!$E$6/4</f>
        <v>1266000000</v>
      </c>
      <c r="D6" s="160">
        <f>'Cash Budget'!$E$6/4</f>
        <v>1266000000</v>
      </c>
      <c r="E6" s="160">
        <f>'Cash Budget'!$E$6/4</f>
        <v>1266000000</v>
      </c>
      <c r="F6" s="160">
        <f>'Cash Budget'!$E$6/4</f>
        <v>1266000000</v>
      </c>
      <c r="G6" s="69"/>
      <c r="H6" s="160">
        <f t="shared" ref="H6:H7" si="2">sum(C6:F6)</f>
        <v>5064000000</v>
      </c>
    </row>
    <row r="7">
      <c r="A7" s="159" t="s">
        <v>217</v>
      </c>
      <c r="B7" s="158"/>
      <c r="C7" s="161">
        <f t="shared" ref="C7:F7" si="1">C4+C6</f>
        <v>2662153183</v>
      </c>
      <c r="D7" s="161">
        <f t="shared" si="1"/>
        <v>1266000000</v>
      </c>
      <c r="E7" s="161">
        <f t="shared" si="1"/>
        <v>1266000000</v>
      </c>
      <c r="F7" s="161">
        <f t="shared" si="1"/>
        <v>1266000000</v>
      </c>
      <c r="G7" s="69"/>
      <c r="H7" s="161">
        <f t="shared" si="2"/>
        <v>6460153183</v>
      </c>
    </row>
    <row r="8">
      <c r="A8" s="159" t="s">
        <v>218</v>
      </c>
      <c r="B8" s="141"/>
      <c r="C8" s="187"/>
      <c r="D8" s="187"/>
      <c r="E8" s="187"/>
      <c r="F8" s="187"/>
      <c r="G8" s="69"/>
      <c r="H8" s="187"/>
    </row>
    <row r="9">
      <c r="A9" s="143" t="s">
        <v>219</v>
      </c>
      <c r="B9" s="141"/>
      <c r="C9" s="144">
        <f>'Cash Budget'!$E$9/4</f>
        <v>390097375</v>
      </c>
      <c r="D9" s="144">
        <f>'Cash Budget'!$E$9/4</f>
        <v>390097375</v>
      </c>
      <c r="E9" s="144">
        <f>'Cash Budget'!$E$9/4</f>
        <v>390097375</v>
      </c>
      <c r="F9" s="144">
        <f>'Cash Budget'!$E$9/4</f>
        <v>390097375</v>
      </c>
      <c r="G9" s="69"/>
      <c r="H9" s="144">
        <f t="shared" ref="H9:H13" si="3">sum(C9:F9)</f>
        <v>1560389500</v>
      </c>
    </row>
    <row r="10">
      <c r="A10" s="143" t="s">
        <v>220</v>
      </c>
      <c r="B10" s="141"/>
      <c r="C10" s="144">
        <f>'Cash Budget'!$E$10/4</f>
        <v>103300000</v>
      </c>
      <c r="D10" s="144">
        <f>'Cash Budget'!$E$10/4</f>
        <v>103300000</v>
      </c>
      <c r="E10" s="144">
        <f>'Cash Budget'!$E$10/4</f>
        <v>103300000</v>
      </c>
      <c r="F10" s="144">
        <f>'Cash Budget'!$E$10/4</f>
        <v>103300000</v>
      </c>
      <c r="G10" s="69"/>
      <c r="H10" s="144">
        <f t="shared" si="3"/>
        <v>413200000</v>
      </c>
    </row>
    <row r="11">
      <c r="A11" s="143" t="s">
        <v>221</v>
      </c>
      <c r="B11" s="141"/>
      <c r="C11" s="144">
        <v>0.0</v>
      </c>
      <c r="D11" s="144">
        <v>0.0</v>
      </c>
      <c r="E11" s="144">
        <v>0.0</v>
      </c>
      <c r="F11" s="144">
        <f>'Cash Budget'!$E$11</f>
        <v>670628425.5</v>
      </c>
      <c r="G11" s="69"/>
      <c r="H11" s="144">
        <f t="shared" si="3"/>
        <v>670628425.5</v>
      </c>
    </row>
    <row r="12">
      <c r="A12" s="143" t="s">
        <v>287</v>
      </c>
      <c r="B12" s="141"/>
      <c r="C12" s="160" t="str">
        <f>#REF!</f>
        <v>#REF!</v>
      </c>
      <c r="D12" s="160">
        <v>0.0</v>
      </c>
      <c r="E12" s="160">
        <v>0.0</v>
      </c>
      <c r="F12" s="160">
        <v>0.0</v>
      </c>
      <c r="G12" s="69"/>
      <c r="H12" s="160" t="str">
        <f t="shared" si="3"/>
        <v>#REF!</v>
      </c>
    </row>
    <row r="13">
      <c r="A13" s="159" t="s">
        <v>222</v>
      </c>
      <c r="B13" s="141"/>
      <c r="C13" s="162" t="str">
        <f t="shared" ref="C13:F13" si="4">sum(C9:C12)</f>
        <v>#REF!</v>
      </c>
      <c r="D13" s="162">
        <f t="shared" si="4"/>
        <v>493397375</v>
      </c>
      <c r="E13" s="162">
        <f t="shared" si="4"/>
        <v>493397375</v>
      </c>
      <c r="F13" s="162">
        <f t="shared" si="4"/>
        <v>1164025801</v>
      </c>
      <c r="G13" s="69"/>
      <c r="H13" s="162" t="str">
        <f t="shared" si="3"/>
        <v>#REF!</v>
      </c>
    </row>
    <row r="14">
      <c r="A14" s="141"/>
      <c r="B14" s="141"/>
      <c r="C14" s="187"/>
      <c r="D14" s="187"/>
      <c r="E14" s="187"/>
      <c r="F14" s="187"/>
      <c r="G14" s="69"/>
      <c r="H14" s="187"/>
    </row>
    <row r="15">
      <c r="A15" s="143" t="s">
        <v>223</v>
      </c>
      <c r="B15" s="141"/>
      <c r="C15" s="163">
        <f>'Cash Budget'!$E$14/4</f>
        <v>37500000</v>
      </c>
      <c r="D15" s="163">
        <f>'Cash Budget'!$E$14/4</f>
        <v>37500000</v>
      </c>
      <c r="E15" s="163">
        <f>'Cash Budget'!$E$14/4</f>
        <v>37500000</v>
      </c>
      <c r="F15" s="163">
        <f>'Cash Budget'!$E$14/4</f>
        <v>37500000</v>
      </c>
      <c r="G15" s="69"/>
      <c r="H15" s="163">
        <f t="shared" ref="H15:H16" si="6">sum(C15:F15)</f>
        <v>150000000</v>
      </c>
    </row>
    <row r="16">
      <c r="A16" s="159" t="s">
        <v>224</v>
      </c>
      <c r="B16" s="141"/>
      <c r="C16" s="161" t="str">
        <f t="shared" ref="C16:F16" si="5">C13+C15</f>
        <v>#REF!</v>
      </c>
      <c r="D16" s="161">
        <f t="shared" si="5"/>
        <v>530897375</v>
      </c>
      <c r="E16" s="161">
        <f t="shared" si="5"/>
        <v>530897375</v>
      </c>
      <c r="F16" s="161">
        <f t="shared" si="5"/>
        <v>1201525801</v>
      </c>
      <c r="G16" s="69"/>
      <c r="H16" s="161" t="str">
        <f t="shared" si="6"/>
        <v>#REF!</v>
      </c>
    </row>
    <row r="17">
      <c r="A17" s="158"/>
      <c r="B17" s="158"/>
      <c r="C17" s="188"/>
      <c r="D17" s="188"/>
      <c r="E17" s="188"/>
      <c r="F17" s="188"/>
      <c r="G17" s="69"/>
      <c r="H17" s="188"/>
    </row>
    <row r="18">
      <c r="A18" s="159" t="s">
        <v>225</v>
      </c>
      <c r="B18" s="141"/>
      <c r="C18" s="187"/>
      <c r="D18" s="187"/>
      <c r="E18" s="187"/>
      <c r="F18" s="187"/>
      <c r="G18" s="69"/>
      <c r="H18" s="187"/>
    </row>
    <row r="19">
      <c r="A19" s="159" t="s">
        <v>226</v>
      </c>
      <c r="B19" s="141"/>
      <c r="C19" s="161" t="str">
        <f t="shared" ref="C19:F19" si="7">C7-C16</f>
        <v>#REF!</v>
      </c>
      <c r="D19" s="161">
        <f t="shared" si="7"/>
        <v>735102625</v>
      </c>
      <c r="E19" s="161">
        <f t="shared" si="7"/>
        <v>735102625</v>
      </c>
      <c r="F19" s="161">
        <f t="shared" si="7"/>
        <v>64474199.5</v>
      </c>
      <c r="G19" s="69"/>
      <c r="H19" s="161" t="str">
        <f>sum(C19:F19)</f>
        <v>#REF!</v>
      </c>
    </row>
    <row r="20">
      <c r="A20" s="159" t="s">
        <v>227</v>
      </c>
      <c r="B20" s="141"/>
      <c r="C20" s="187"/>
      <c r="D20" s="187"/>
      <c r="E20" s="187"/>
      <c r="F20" s="187"/>
      <c r="G20" s="69"/>
      <c r="H20" s="187"/>
    </row>
    <row r="21">
      <c r="A21" s="143" t="s">
        <v>228</v>
      </c>
      <c r="B21" s="141"/>
      <c r="C21" s="189">
        <f>'Cash Budget'!E20</f>
        <v>1839800000</v>
      </c>
      <c r="D21" s="189">
        <v>0.0</v>
      </c>
      <c r="E21" s="189">
        <v>0.0</v>
      </c>
      <c r="F21" s="189">
        <v>0.0</v>
      </c>
      <c r="G21" s="69"/>
      <c r="H21" s="189">
        <f t="shared" ref="H21:H25" si="8">sum(C21:F21)</f>
        <v>1839800000</v>
      </c>
    </row>
    <row r="22">
      <c r="A22" s="143" t="s">
        <v>229</v>
      </c>
      <c r="B22" s="141"/>
      <c r="C22" s="144">
        <f>'Cash Budget'!E21</f>
        <v>200000000</v>
      </c>
      <c r="D22" s="189">
        <v>0.0</v>
      </c>
      <c r="E22" s="189">
        <v>0.0</v>
      </c>
      <c r="F22" s="189">
        <v>0.0</v>
      </c>
      <c r="G22" s="69"/>
      <c r="H22" s="189">
        <f t="shared" si="8"/>
        <v>200000000</v>
      </c>
    </row>
    <row r="23">
      <c r="A23" s="143" t="s">
        <v>169</v>
      </c>
      <c r="B23" s="141"/>
      <c r="C23" s="144">
        <f>'Cash Budget'!E22</f>
        <v>-100000000</v>
      </c>
      <c r="D23" s="189">
        <v>0.0</v>
      </c>
      <c r="E23" s="189">
        <v>0.0</v>
      </c>
      <c r="F23" s="189">
        <v>0.0</v>
      </c>
      <c r="G23" s="69"/>
      <c r="H23" s="189">
        <f t="shared" si="8"/>
        <v>-100000000</v>
      </c>
    </row>
    <row r="24">
      <c r="A24" s="143" t="s">
        <v>230</v>
      </c>
      <c r="B24" s="141"/>
      <c r="C24" s="160">
        <f>'Cash Budget'!$E$23/4</f>
        <v>-10524868.74</v>
      </c>
      <c r="D24" s="160">
        <f>'Cash Budget'!$E$23/4</f>
        <v>-10524868.74</v>
      </c>
      <c r="E24" s="160">
        <f>'Cash Budget'!$E$23/4</f>
        <v>-10524868.74</v>
      </c>
      <c r="F24" s="160">
        <f>'Cash Budget'!$E$23/4</f>
        <v>-10524868.74</v>
      </c>
      <c r="G24" s="69"/>
      <c r="H24" s="190">
        <f t="shared" si="8"/>
        <v>-42099474.98</v>
      </c>
    </row>
    <row r="25">
      <c r="A25" s="159" t="s">
        <v>231</v>
      </c>
      <c r="B25" s="158"/>
      <c r="C25" s="162">
        <f t="shared" ref="C25:F25" si="9">sum(C21:C24)</f>
        <v>1929275131</v>
      </c>
      <c r="D25" s="162">
        <f t="shared" si="9"/>
        <v>-10524868.74</v>
      </c>
      <c r="E25" s="162">
        <f t="shared" si="9"/>
        <v>-10524868.74</v>
      </c>
      <c r="F25" s="162">
        <f t="shared" si="9"/>
        <v>-10524868.74</v>
      </c>
      <c r="G25" s="69"/>
      <c r="H25" s="162">
        <f t="shared" si="8"/>
        <v>1897700525</v>
      </c>
    </row>
    <row r="26">
      <c r="A26" s="141"/>
      <c r="B26" s="141"/>
      <c r="C26" s="187"/>
      <c r="D26" s="187"/>
      <c r="E26" s="187"/>
      <c r="F26" s="187"/>
      <c r="G26" s="69"/>
      <c r="H26" s="187"/>
    </row>
    <row r="27">
      <c r="A27" s="159" t="s">
        <v>232</v>
      </c>
      <c r="B27" s="158"/>
      <c r="C27" s="162" t="str">
        <f t="shared" ref="C27:F27" si="10">C7-C13+C25</f>
        <v>#REF!</v>
      </c>
      <c r="D27" s="162">
        <f t="shared" si="10"/>
        <v>762077756.3</v>
      </c>
      <c r="E27" s="162">
        <f t="shared" si="10"/>
        <v>762077756.3</v>
      </c>
      <c r="F27" s="162">
        <f t="shared" si="10"/>
        <v>91449330.75</v>
      </c>
      <c r="G27" s="69"/>
      <c r="H27" s="162" t="str">
        <f>sum(C27:F27)</f>
        <v>#REF!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3" max="3" width="15.38"/>
    <col customWidth="1" min="4" max="4" width="15.25"/>
    <col customWidth="1" min="5" max="5" width="15.0"/>
    <col customWidth="1" min="6" max="6" width="14.25"/>
    <col customWidth="1" min="8" max="8" width="14.25"/>
  </cols>
  <sheetData>
    <row r="2" ht="33.0" customHeight="1">
      <c r="A2" s="141"/>
      <c r="B2" s="158"/>
      <c r="C2" s="140" t="s">
        <v>293</v>
      </c>
      <c r="D2" s="140" t="s">
        <v>294</v>
      </c>
      <c r="E2" s="140" t="s">
        <v>295</v>
      </c>
      <c r="F2" s="140" t="s">
        <v>296</v>
      </c>
      <c r="H2" s="140" t="s">
        <v>297</v>
      </c>
    </row>
    <row r="3">
      <c r="A3" s="159" t="s">
        <v>213</v>
      </c>
      <c r="B3" s="141"/>
      <c r="C3" s="141"/>
      <c r="D3" s="141"/>
      <c r="E3" s="141"/>
      <c r="F3" s="141"/>
      <c r="H3" s="141"/>
    </row>
    <row r="4">
      <c r="A4" s="143" t="s">
        <v>214</v>
      </c>
      <c r="B4" s="141"/>
      <c r="C4" s="144">
        <f>'Cash Budget'!F4</f>
        <v>5713635783</v>
      </c>
      <c r="D4" s="191">
        <v>0.0</v>
      </c>
      <c r="E4" s="191">
        <v>0.0</v>
      </c>
      <c r="F4" s="191">
        <v>0.0</v>
      </c>
      <c r="H4" s="144">
        <f>sum(C4:F4)</f>
        <v>5713635783</v>
      </c>
    </row>
    <row r="5">
      <c r="A5" s="159" t="s">
        <v>215</v>
      </c>
      <c r="B5" s="141"/>
      <c r="C5" s="141"/>
      <c r="D5" s="141"/>
      <c r="E5" s="141"/>
      <c r="F5" s="141"/>
      <c r="H5" s="141"/>
    </row>
    <row r="6">
      <c r="A6" s="143" t="s">
        <v>216</v>
      </c>
      <c r="B6" s="141"/>
      <c r="C6" s="160">
        <f>'Cash Budget'!$F$6/4</f>
        <v>6330000000</v>
      </c>
      <c r="D6" s="160">
        <f>'Cash Budget'!$F$6/4</f>
        <v>6330000000</v>
      </c>
      <c r="E6" s="160">
        <f>'Cash Budget'!$F$6/4</f>
        <v>6330000000</v>
      </c>
      <c r="F6" s="160">
        <f>'Cash Budget'!$F$6/4</f>
        <v>6330000000</v>
      </c>
      <c r="H6" s="160">
        <f t="shared" ref="H6:H7" si="2">sum(C6:F6)</f>
        <v>25320000000</v>
      </c>
    </row>
    <row r="7">
      <c r="A7" s="159" t="s">
        <v>217</v>
      </c>
      <c r="B7" s="158"/>
      <c r="C7" s="161">
        <f t="shared" ref="C7:F7" si="1">sum(C4:C6)</f>
        <v>12043635783</v>
      </c>
      <c r="D7" s="161">
        <f t="shared" si="1"/>
        <v>6330000000</v>
      </c>
      <c r="E7" s="161">
        <f t="shared" si="1"/>
        <v>6330000000</v>
      </c>
      <c r="F7" s="161">
        <f t="shared" si="1"/>
        <v>6330000000</v>
      </c>
      <c r="H7" s="161">
        <f t="shared" si="2"/>
        <v>31033635783</v>
      </c>
    </row>
    <row r="8">
      <c r="A8" s="159" t="s">
        <v>218</v>
      </c>
      <c r="B8" s="141"/>
      <c r="C8" s="141"/>
      <c r="D8" s="141"/>
      <c r="E8" s="141"/>
      <c r="F8" s="141"/>
      <c r="H8" s="141"/>
    </row>
    <row r="9">
      <c r="A9" s="143" t="s">
        <v>219</v>
      </c>
      <c r="B9" s="141"/>
      <c r="C9" s="144">
        <f>'Cash Budget'!$F$9/4</f>
        <v>530435024.4</v>
      </c>
      <c r="D9" s="144">
        <f>'Cash Budget'!$F$9/4</f>
        <v>530435024.4</v>
      </c>
      <c r="E9" s="144">
        <f>'Cash Budget'!$F$9/4</f>
        <v>530435024.4</v>
      </c>
      <c r="F9" s="144">
        <f>'Cash Budget'!$F$9/4</f>
        <v>530435024.4</v>
      </c>
      <c r="H9" s="144">
        <f t="shared" ref="H9:H13" si="3">sum(C9:F9)</f>
        <v>2121740098</v>
      </c>
    </row>
    <row r="10">
      <c r="A10" s="143" t="s">
        <v>220</v>
      </c>
      <c r="B10" s="141"/>
      <c r="C10" s="144">
        <f>'Cash Budget'!$F$10/4</f>
        <v>220000000</v>
      </c>
      <c r="D10" s="144">
        <f>'Cash Budget'!$F$10/4</f>
        <v>220000000</v>
      </c>
      <c r="E10" s="144">
        <f>'Cash Budget'!$F$10/4</f>
        <v>220000000</v>
      </c>
      <c r="F10" s="144">
        <f>'Cash Budget'!$F$10/4</f>
        <v>220000000</v>
      </c>
      <c r="H10" s="144">
        <f t="shared" si="3"/>
        <v>880000000</v>
      </c>
    </row>
    <row r="11">
      <c r="A11" s="143" t="s">
        <v>221</v>
      </c>
      <c r="B11" s="141"/>
      <c r="C11" s="144">
        <v>0.0</v>
      </c>
      <c r="D11" s="144">
        <v>0.0</v>
      </c>
      <c r="E11" s="144">
        <v>0.0</v>
      </c>
      <c r="F11" s="144">
        <f>'Cash Budget'!F11</f>
        <v>4895083629</v>
      </c>
      <c r="H11" s="144">
        <f t="shared" si="3"/>
        <v>4895083629</v>
      </c>
    </row>
    <row r="12">
      <c r="A12" s="143" t="s">
        <v>287</v>
      </c>
      <c r="B12" s="141"/>
      <c r="C12" s="160" t="str">
        <f>#REF!</f>
        <v>#REF!</v>
      </c>
      <c r="D12" s="160">
        <v>0.0</v>
      </c>
      <c r="E12" s="160">
        <v>0.0</v>
      </c>
      <c r="F12" s="160">
        <v>0.0</v>
      </c>
      <c r="H12" s="160" t="str">
        <f t="shared" si="3"/>
        <v>#REF!</v>
      </c>
    </row>
    <row r="13">
      <c r="A13" s="159" t="s">
        <v>222</v>
      </c>
      <c r="B13" s="141"/>
      <c r="C13" s="162" t="str">
        <f t="shared" ref="C13:F13" si="4">sum(C9:C12)</f>
        <v>#REF!</v>
      </c>
      <c r="D13" s="162">
        <f t="shared" si="4"/>
        <v>750435024.4</v>
      </c>
      <c r="E13" s="162">
        <f t="shared" si="4"/>
        <v>750435024.4</v>
      </c>
      <c r="F13" s="162">
        <f t="shared" si="4"/>
        <v>5645518653</v>
      </c>
      <c r="H13" s="192" t="str">
        <f t="shared" si="3"/>
        <v>#REF!</v>
      </c>
    </row>
    <row r="14">
      <c r="A14" s="141"/>
      <c r="B14" s="141"/>
      <c r="C14" s="193"/>
      <c r="D14" s="193"/>
      <c r="E14" s="193"/>
      <c r="F14" s="193"/>
      <c r="H14" s="141"/>
    </row>
    <row r="15">
      <c r="A15" s="143" t="s">
        <v>223</v>
      </c>
      <c r="B15" s="141"/>
      <c r="C15" s="163">
        <f>'Cash Budget'!$F$14/4</f>
        <v>37500000</v>
      </c>
      <c r="D15" s="163">
        <f>'Cash Budget'!$F$14/4</f>
        <v>37500000</v>
      </c>
      <c r="E15" s="163">
        <f>'Cash Budget'!$F$14/4</f>
        <v>37500000</v>
      </c>
      <c r="F15" s="163">
        <f>'Cash Budget'!$F$14/4</f>
        <v>37500000</v>
      </c>
      <c r="H15" s="163">
        <f t="shared" ref="H15:H16" si="6">sum(C15:F15)</f>
        <v>150000000</v>
      </c>
    </row>
    <row r="16">
      <c r="A16" s="159" t="s">
        <v>224</v>
      </c>
      <c r="B16" s="141"/>
      <c r="C16" s="161" t="str">
        <f t="shared" ref="C16:F16" si="5">sum(C13:C15)</f>
        <v>#REF!</v>
      </c>
      <c r="D16" s="161">
        <f t="shared" si="5"/>
        <v>787935024.4</v>
      </c>
      <c r="E16" s="161">
        <f t="shared" si="5"/>
        <v>787935024.4</v>
      </c>
      <c r="F16" s="161">
        <f t="shared" si="5"/>
        <v>5683018653</v>
      </c>
      <c r="H16" s="194" t="str">
        <f t="shared" si="6"/>
        <v>#REF!</v>
      </c>
    </row>
    <row r="17">
      <c r="A17" s="158"/>
      <c r="B17" s="158"/>
      <c r="C17" s="195"/>
      <c r="D17" s="195"/>
      <c r="E17" s="195"/>
      <c r="F17" s="195"/>
      <c r="H17" s="158"/>
    </row>
    <row r="18">
      <c r="A18" s="159" t="s">
        <v>225</v>
      </c>
      <c r="B18" s="141"/>
      <c r="C18" s="193"/>
      <c r="D18" s="193"/>
      <c r="E18" s="193"/>
      <c r="F18" s="193"/>
      <c r="H18" s="141"/>
    </row>
    <row r="19">
      <c r="A19" s="159" t="s">
        <v>226</v>
      </c>
      <c r="B19" s="141"/>
      <c r="C19" s="161" t="str">
        <f t="shared" ref="C19:F19" si="7">C7-C16</f>
        <v>#REF!</v>
      </c>
      <c r="D19" s="161">
        <f t="shared" si="7"/>
        <v>5542064976</v>
      </c>
      <c r="E19" s="161">
        <f t="shared" si="7"/>
        <v>5542064976</v>
      </c>
      <c r="F19" s="161">
        <f t="shared" si="7"/>
        <v>646981346.5</v>
      </c>
      <c r="H19" s="194" t="str">
        <f>sum(C19:F19)</f>
        <v>#REF!</v>
      </c>
    </row>
    <row r="20">
      <c r="A20" s="159" t="s">
        <v>227</v>
      </c>
      <c r="B20" s="141"/>
      <c r="C20" s="193"/>
      <c r="D20" s="193"/>
      <c r="E20" s="193"/>
      <c r="F20" s="193"/>
      <c r="H20" s="141"/>
    </row>
    <row r="21">
      <c r="A21" s="143" t="s">
        <v>228</v>
      </c>
      <c r="B21" s="141"/>
      <c r="C21" s="189">
        <f>'Cash Budget'!F20</f>
        <v>2500000000</v>
      </c>
      <c r="D21" s="189">
        <v>0.0</v>
      </c>
      <c r="E21" s="189">
        <v>0.0</v>
      </c>
      <c r="F21" s="189">
        <v>0.0</v>
      </c>
      <c r="H21" s="164">
        <f t="shared" ref="H21:H25" si="8">sum(C21:F21)</f>
        <v>2500000000</v>
      </c>
    </row>
    <row r="22">
      <c r="A22" s="143" t="s">
        <v>229</v>
      </c>
      <c r="B22" s="141"/>
      <c r="C22" s="144">
        <f>'Cash Budget'!F21</f>
        <v>120000000</v>
      </c>
      <c r="D22" s="144">
        <v>0.0</v>
      </c>
      <c r="E22" s="144">
        <v>0.0</v>
      </c>
      <c r="F22" s="144">
        <v>0.0</v>
      </c>
      <c r="H22" s="144">
        <f t="shared" si="8"/>
        <v>120000000</v>
      </c>
    </row>
    <row r="23">
      <c r="A23" s="143" t="s">
        <v>169</v>
      </c>
      <c r="B23" s="141"/>
      <c r="C23" s="144">
        <f>'Cash Budget'!F22</f>
        <v>0</v>
      </c>
      <c r="D23" s="144">
        <v>0.0</v>
      </c>
      <c r="E23" s="144">
        <v>0.0</v>
      </c>
      <c r="F23" s="144">
        <v>0.0</v>
      </c>
      <c r="H23" s="144">
        <f t="shared" si="8"/>
        <v>0</v>
      </c>
    </row>
    <row r="24">
      <c r="A24" s="143" t="s">
        <v>230</v>
      </c>
      <c r="B24" s="141"/>
      <c r="C24" s="160">
        <f>'Cash Budget'!$F$23/4</f>
        <v>-16969942.58</v>
      </c>
      <c r="D24" s="160">
        <f>'Cash Budget'!$F$23/4</f>
        <v>-16969942.58</v>
      </c>
      <c r="E24" s="160">
        <f>'Cash Budget'!$F$23/4</f>
        <v>-16969942.58</v>
      </c>
      <c r="F24" s="160">
        <f>'Cash Budget'!$F$23/4</f>
        <v>-16969942.58</v>
      </c>
      <c r="H24" s="160">
        <f t="shared" si="8"/>
        <v>-67879770.34</v>
      </c>
    </row>
    <row r="25">
      <c r="A25" s="159" t="s">
        <v>231</v>
      </c>
      <c r="B25" s="158"/>
      <c r="C25" s="162">
        <f t="shared" ref="C25:F25" si="9">sum(C21:C24)</f>
        <v>2603030057</v>
      </c>
      <c r="D25" s="162">
        <f t="shared" si="9"/>
        <v>-16969942.58</v>
      </c>
      <c r="E25" s="162">
        <f t="shared" si="9"/>
        <v>-16969942.58</v>
      </c>
      <c r="F25" s="162">
        <f t="shared" si="9"/>
        <v>-16969942.58</v>
      </c>
      <c r="H25" s="162">
        <f t="shared" si="8"/>
        <v>2552120230</v>
      </c>
    </row>
    <row r="26">
      <c r="A26" s="141"/>
      <c r="B26" s="141"/>
      <c r="C26" s="193"/>
      <c r="D26" s="193"/>
      <c r="E26" s="193"/>
      <c r="F26" s="193"/>
      <c r="H26" s="141"/>
    </row>
    <row r="27">
      <c r="A27" s="159" t="s">
        <v>232</v>
      </c>
      <c r="B27" s="158"/>
      <c r="C27" s="162" t="str">
        <f t="shared" ref="C27:F27" si="10">C7-C13+C25</f>
        <v>#REF!</v>
      </c>
      <c r="D27" s="162">
        <f t="shared" si="10"/>
        <v>5562595033</v>
      </c>
      <c r="E27" s="162">
        <f t="shared" si="10"/>
        <v>5562595033</v>
      </c>
      <c r="F27" s="162">
        <f t="shared" si="10"/>
        <v>667511404</v>
      </c>
      <c r="H27" s="192" t="str">
        <f>SUM(C27:F27)</f>
        <v>#REF!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3" max="3" width="15.38"/>
    <col customWidth="1" min="4" max="4" width="15.25"/>
    <col customWidth="1" min="5" max="5" width="15.0"/>
    <col customWidth="1" min="6" max="6" width="14.25"/>
    <col customWidth="1" min="8" max="8" width="15.63"/>
  </cols>
  <sheetData>
    <row r="2" ht="33.0" customHeight="1">
      <c r="A2" s="141"/>
      <c r="B2" s="158"/>
      <c r="C2" s="140" t="s">
        <v>298</v>
      </c>
      <c r="D2" s="140" t="s">
        <v>299</v>
      </c>
      <c r="E2" s="140" t="s">
        <v>300</v>
      </c>
      <c r="F2" s="140" t="s">
        <v>301</v>
      </c>
      <c r="H2" s="140" t="s">
        <v>302</v>
      </c>
    </row>
    <row r="3">
      <c r="A3" s="159" t="s">
        <v>213</v>
      </c>
      <c r="B3" s="141"/>
      <c r="C3" s="141"/>
      <c r="D3" s="141"/>
      <c r="E3" s="141"/>
      <c r="F3" s="141"/>
      <c r="H3" s="141"/>
    </row>
    <row r="4">
      <c r="A4" s="143" t="s">
        <v>214</v>
      </c>
      <c r="B4" s="141"/>
      <c r="C4" s="144" t="str">
        <f>'Cash Budget 2025'!H27</f>
        <v>#REF!</v>
      </c>
      <c r="D4" s="191">
        <v>0.0</v>
      </c>
      <c r="E4" s="191">
        <v>0.0</v>
      </c>
      <c r="F4" s="191">
        <v>0.0</v>
      </c>
      <c r="H4" s="191" t="str">
        <f>sum(C4:F4)</f>
        <v>#REF!</v>
      </c>
    </row>
    <row r="5">
      <c r="A5" s="159" t="s">
        <v>215</v>
      </c>
      <c r="B5" s="141"/>
      <c r="C5" s="141"/>
      <c r="D5" s="141"/>
      <c r="E5" s="141"/>
      <c r="F5" s="141"/>
      <c r="H5" s="141"/>
    </row>
    <row r="6">
      <c r="A6" s="143" t="s">
        <v>216</v>
      </c>
      <c r="B6" s="141"/>
      <c r="C6" s="160">
        <f>'Cash Budget'!$G$6/4</f>
        <v>18990000000</v>
      </c>
      <c r="D6" s="160">
        <f>'Cash Budget'!$G$6/4</f>
        <v>18990000000</v>
      </c>
      <c r="E6" s="160">
        <f>'Cash Budget'!$G$6/4</f>
        <v>18990000000</v>
      </c>
      <c r="F6" s="160">
        <f>'Cash Budget'!$G$6/4</f>
        <v>18990000000</v>
      </c>
      <c r="H6" s="160">
        <f t="shared" ref="H6:H7" si="2">SUM(C6:F6)</f>
        <v>75960000000</v>
      </c>
    </row>
    <row r="7">
      <c r="A7" s="159" t="s">
        <v>217</v>
      </c>
      <c r="B7" s="158"/>
      <c r="C7" s="194" t="str">
        <f t="shared" ref="C7:F7" si="1">C4+C6</f>
        <v>#REF!</v>
      </c>
      <c r="D7" s="161">
        <f t="shared" si="1"/>
        <v>18990000000</v>
      </c>
      <c r="E7" s="161">
        <f t="shared" si="1"/>
        <v>18990000000</v>
      </c>
      <c r="F7" s="161">
        <f t="shared" si="1"/>
        <v>18990000000</v>
      </c>
      <c r="H7" s="194" t="str">
        <f t="shared" si="2"/>
        <v>#REF!</v>
      </c>
    </row>
    <row r="8">
      <c r="A8" s="159" t="s">
        <v>218</v>
      </c>
      <c r="B8" s="141"/>
      <c r="C8" s="141"/>
      <c r="D8" s="141"/>
      <c r="E8" s="141"/>
      <c r="F8" s="141"/>
      <c r="H8" s="141"/>
    </row>
    <row r="9">
      <c r="A9" s="143" t="s">
        <v>219</v>
      </c>
      <c r="B9" s="141"/>
      <c r="C9" s="144">
        <f>'Cash Budget'!$G$9/4</f>
        <v>825380568.1</v>
      </c>
      <c r="D9" s="144">
        <f>'Cash Budget'!$G$9/4</f>
        <v>825380568.1</v>
      </c>
      <c r="E9" s="144">
        <f>'Cash Budget'!$G$9/4</f>
        <v>825380568.1</v>
      </c>
      <c r="F9" s="144">
        <f>'Cash Budget'!$G$9/4</f>
        <v>825380568.1</v>
      </c>
      <c r="H9" s="144">
        <f>sum(C9:F9)</f>
        <v>3301522272</v>
      </c>
    </row>
    <row r="10">
      <c r="A10" s="143" t="s">
        <v>220</v>
      </c>
      <c r="B10" s="141"/>
      <c r="C10" s="144">
        <f>'Cash Budget'!$G$10/4</f>
        <v>1751250000</v>
      </c>
      <c r="D10" s="144">
        <f>'Cash Budget'!$G$10/4</f>
        <v>1751250000</v>
      </c>
      <c r="E10" s="144">
        <f>'Cash Budget'!$G$10/4</f>
        <v>1751250000</v>
      </c>
      <c r="F10" s="144">
        <f>'Cash Budget'!$G$10/4</f>
        <v>1751250000</v>
      </c>
      <c r="H10" s="144">
        <f t="shared" ref="H10:H12" si="3">SUM(C10:F10)</f>
        <v>7005000000</v>
      </c>
    </row>
    <row r="11">
      <c r="A11" s="143" t="s">
        <v>221</v>
      </c>
      <c r="B11" s="141"/>
      <c r="C11" s="144">
        <v>0.0</v>
      </c>
      <c r="D11" s="144">
        <v>0.0</v>
      </c>
      <c r="E11" s="144">
        <v>0.0</v>
      </c>
      <c r="F11" s="144">
        <f>'Cash Budget'!G$11</f>
        <v>14430795320</v>
      </c>
      <c r="H11" s="144">
        <f t="shared" si="3"/>
        <v>14430795320</v>
      </c>
    </row>
    <row r="12">
      <c r="A12" s="143" t="s">
        <v>287</v>
      </c>
      <c r="B12" s="141"/>
      <c r="C12" s="160" t="str">
        <f>#REF!</f>
        <v>#REF!</v>
      </c>
      <c r="D12" s="160">
        <v>0.0</v>
      </c>
      <c r="E12" s="160">
        <v>0.0</v>
      </c>
      <c r="F12" s="160">
        <v>0.0</v>
      </c>
      <c r="H12" s="160" t="str">
        <f t="shared" si="3"/>
        <v>#REF!</v>
      </c>
    </row>
    <row r="13">
      <c r="A13" s="159" t="s">
        <v>222</v>
      </c>
      <c r="B13" s="141"/>
      <c r="C13" s="192" t="str">
        <f t="shared" ref="C13:F13" si="4">SUM(C9:C12)</f>
        <v>#REF!</v>
      </c>
      <c r="D13" s="162">
        <f t="shared" si="4"/>
        <v>2576630568</v>
      </c>
      <c r="E13" s="162">
        <f t="shared" si="4"/>
        <v>2576630568</v>
      </c>
      <c r="F13" s="162">
        <f t="shared" si="4"/>
        <v>17007425888</v>
      </c>
      <c r="H13" s="192" t="str">
        <f>sum(H9:H12)</f>
        <v>#REF!</v>
      </c>
    </row>
    <row r="14">
      <c r="A14" s="141"/>
      <c r="B14" s="141"/>
      <c r="C14" s="141"/>
      <c r="D14" s="141"/>
      <c r="E14" s="141"/>
      <c r="F14" s="141"/>
      <c r="H14" s="141"/>
    </row>
    <row r="15">
      <c r="A15" s="143" t="s">
        <v>223</v>
      </c>
      <c r="B15" s="141"/>
      <c r="C15" s="163">
        <f>'Cash Budget'!$G$14/4</f>
        <v>37500000</v>
      </c>
      <c r="D15" s="163">
        <f>'Cash Budget'!$G$14/4</f>
        <v>37500000</v>
      </c>
      <c r="E15" s="163">
        <f>'Cash Budget'!$G$14/4</f>
        <v>37500000</v>
      </c>
      <c r="F15" s="163">
        <f>'Cash Budget'!$G$14/4</f>
        <v>37500000</v>
      </c>
      <c r="H15" s="163">
        <f t="shared" ref="H15:H16" si="6">SUM(C15:F15)</f>
        <v>150000000</v>
      </c>
    </row>
    <row r="16">
      <c r="A16" s="159" t="s">
        <v>224</v>
      </c>
      <c r="B16" s="141"/>
      <c r="C16" s="194" t="str">
        <f t="shared" ref="C16:F16" si="5">C13+C15</f>
        <v>#REF!</v>
      </c>
      <c r="D16" s="161">
        <f t="shared" si="5"/>
        <v>2614130568</v>
      </c>
      <c r="E16" s="161">
        <f t="shared" si="5"/>
        <v>2614130568</v>
      </c>
      <c r="F16" s="161">
        <f t="shared" si="5"/>
        <v>17044925888</v>
      </c>
      <c r="H16" s="194" t="str">
        <f t="shared" si="6"/>
        <v>#REF!</v>
      </c>
    </row>
    <row r="17">
      <c r="A17" s="158"/>
      <c r="B17" s="158"/>
      <c r="C17" s="158"/>
      <c r="D17" s="158"/>
      <c r="E17" s="158"/>
      <c r="F17" s="158"/>
      <c r="H17" s="158"/>
    </row>
    <row r="18">
      <c r="A18" s="159" t="s">
        <v>225</v>
      </c>
      <c r="B18" s="141"/>
      <c r="C18" s="141"/>
      <c r="D18" s="141"/>
      <c r="E18" s="141"/>
      <c r="F18" s="141"/>
      <c r="H18" s="141"/>
    </row>
    <row r="19">
      <c r="A19" s="159" t="s">
        <v>226</v>
      </c>
      <c r="B19" s="141"/>
      <c r="C19" s="194" t="str">
        <f t="shared" ref="C19:F19" si="7">C7-C16</f>
        <v>#REF!</v>
      </c>
      <c r="D19" s="161">
        <f t="shared" si="7"/>
        <v>16375869432</v>
      </c>
      <c r="E19" s="161">
        <f t="shared" si="7"/>
        <v>16375869432</v>
      </c>
      <c r="F19" s="161">
        <f t="shared" si="7"/>
        <v>1945074112</v>
      </c>
      <c r="H19" s="194" t="str">
        <f>sum(C19:F19)</f>
        <v>#REF!</v>
      </c>
    </row>
    <row r="20">
      <c r="A20" s="159" t="s">
        <v>227</v>
      </c>
      <c r="B20" s="141"/>
      <c r="C20" s="141"/>
      <c r="D20" s="141"/>
      <c r="E20" s="141"/>
      <c r="F20" s="141"/>
      <c r="H20" s="141"/>
    </row>
    <row r="21">
      <c r="A21" s="143" t="s">
        <v>228</v>
      </c>
      <c r="B21" s="141"/>
      <c r="C21" s="164">
        <f>'Cash Budget'!G20</f>
        <v>1000000000</v>
      </c>
      <c r="D21" s="164">
        <v>0.0</v>
      </c>
      <c r="E21" s="164">
        <v>0.0</v>
      </c>
      <c r="F21" s="164">
        <v>0.0</v>
      </c>
      <c r="H21" s="164">
        <f t="shared" ref="H21:H24" si="8">SUM(C21:F21)</f>
        <v>1000000000</v>
      </c>
    </row>
    <row r="22">
      <c r="A22" s="143" t="s">
        <v>229</v>
      </c>
      <c r="B22" s="141"/>
      <c r="C22" s="144">
        <v>0.0</v>
      </c>
      <c r="D22" s="144">
        <v>0.0</v>
      </c>
      <c r="E22" s="144">
        <v>0.0</v>
      </c>
      <c r="F22" s="144">
        <v>0.0</v>
      </c>
      <c r="H22" s="164">
        <f t="shared" si="8"/>
        <v>0</v>
      </c>
    </row>
    <row r="23">
      <c r="A23" s="143" t="s">
        <v>169</v>
      </c>
      <c r="B23" s="141"/>
      <c r="C23" s="144">
        <v>0.0</v>
      </c>
      <c r="D23" s="144">
        <v>0.0</v>
      </c>
      <c r="E23" s="144">
        <v>0.0</v>
      </c>
      <c r="F23" s="144">
        <v>0.0</v>
      </c>
      <c r="H23" s="164">
        <f t="shared" si="8"/>
        <v>0</v>
      </c>
    </row>
    <row r="24">
      <c r="A24" s="143" t="s">
        <v>230</v>
      </c>
      <c r="B24" s="141"/>
      <c r="C24" s="160">
        <f>'Cash Budget'!$G$23/4</f>
        <v>-14738386.42</v>
      </c>
      <c r="D24" s="160">
        <f>'Cash Budget'!$G$23/4</f>
        <v>-14738386.42</v>
      </c>
      <c r="E24" s="160">
        <f>'Cash Budget'!$G$23/4</f>
        <v>-14738386.42</v>
      </c>
      <c r="F24" s="160">
        <f>'Cash Budget'!$G$23/4</f>
        <v>-14738386.42</v>
      </c>
      <c r="H24" s="164">
        <f t="shared" si="8"/>
        <v>-58953545.69</v>
      </c>
    </row>
    <row r="25">
      <c r="A25" s="159" t="s">
        <v>231</v>
      </c>
      <c r="B25" s="158"/>
      <c r="C25" s="162">
        <f t="shared" ref="C25:F25" si="9">SUM(C21:C24)</f>
        <v>985261613.6</v>
      </c>
      <c r="D25" s="162">
        <f t="shared" si="9"/>
        <v>-14738386.42</v>
      </c>
      <c r="E25" s="162">
        <f t="shared" si="9"/>
        <v>-14738386.42</v>
      </c>
      <c r="F25" s="162">
        <f t="shared" si="9"/>
        <v>-14738386.42</v>
      </c>
      <c r="H25" s="162">
        <f>sum(C25:F25)</f>
        <v>941046454.3</v>
      </c>
    </row>
    <row r="26">
      <c r="A26" s="141"/>
      <c r="B26" s="141"/>
      <c r="C26" s="141"/>
      <c r="D26" s="141"/>
      <c r="E26" s="141"/>
      <c r="F26" s="141"/>
      <c r="H26" s="141"/>
    </row>
    <row r="27">
      <c r="A27" s="159" t="s">
        <v>232</v>
      </c>
      <c r="B27" s="158"/>
      <c r="C27" s="192" t="str">
        <f t="shared" ref="C27:F27" si="10">C7-C13+C25</f>
        <v>#REF!</v>
      </c>
      <c r="D27" s="162">
        <f t="shared" si="10"/>
        <v>16398631046</v>
      </c>
      <c r="E27" s="162">
        <f t="shared" si="10"/>
        <v>16398631046</v>
      </c>
      <c r="F27" s="162">
        <f t="shared" si="10"/>
        <v>1967835725</v>
      </c>
      <c r="H27" s="192" t="str">
        <f>SUM(C27:F27)</f>
        <v>#REF!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8.75"/>
    <col customWidth="1" min="3" max="3" width="15.38"/>
    <col customWidth="1" min="4" max="4" width="15.25"/>
    <col customWidth="1" min="5" max="5" width="15.0"/>
    <col customWidth="1" min="6" max="6" width="14.25"/>
    <col customWidth="1" min="8" max="8" width="16.88"/>
  </cols>
  <sheetData>
    <row r="2" ht="33.0" customHeight="1">
      <c r="A2" s="141"/>
      <c r="B2" s="158"/>
      <c r="C2" s="140" t="s">
        <v>303</v>
      </c>
      <c r="D2" s="140" t="s">
        <v>304</v>
      </c>
      <c r="E2" s="140" t="s">
        <v>305</v>
      </c>
      <c r="F2" s="140" t="s">
        <v>306</v>
      </c>
      <c r="H2" s="140" t="s">
        <v>307</v>
      </c>
    </row>
    <row r="3">
      <c r="A3" s="159" t="s">
        <v>213</v>
      </c>
      <c r="B3" s="141"/>
      <c r="C3" s="141"/>
      <c r="D3" s="141"/>
      <c r="E3" s="141"/>
      <c r="F3" s="141"/>
      <c r="H3" s="141"/>
    </row>
    <row r="4">
      <c r="A4" s="143" t="s">
        <v>214</v>
      </c>
      <c r="B4" s="141"/>
      <c r="C4" s="144" t="str">
        <f>'Cash Budget 2026'!H27</f>
        <v>#REF!</v>
      </c>
      <c r="D4" s="144">
        <v>0.0</v>
      </c>
      <c r="E4" s="144">
        <v>0.0</v>
      </c>
      <c r="F4" s="144">
        <v>0.0</v>
      </c>
      <c r="G4" s="69"/>
      <c r="H4" s="144" t="str">
        <f>sum(C4:F4)</f>
        <v>#REF!</v>
      </c>
    </row>
    <row r="5">
      <c r="A5" s="159" t="s">
        <v>215</v>
      </c>
      <c r="B5" s="141"/>
      <c r="C5" s="187"/>
      <c r="D5" s="187"/>
      <c r="E5" s="187"/>
      <c r="F5" s="187"/>
      <c r="G5" s="69"/>
      <c r="H5" s="187"/>
    </row>
    <row r="6">
      <c r="A6" s="143" t="s">
        <v>216</v>
      </c>
      <c r="B6" s="141"/>
      <c r="C6" s="160">
        <f>'Cash Budget'!H6/4</f>
        <v>31650000000</v>
      </c>
      <c r="D6" s="160">
        <f>'Cash Budget'!H6/4</f>
        <v>31650000000</v>
      </c>
      <c r="E6" s="160">
        <f>'Cash Budget'!H6/4</f>
        <v>31650000000</v>
      </c>
      <c r="F6" s="160">
        <f>'Cash Budget'!H6/4</f>
        <v>31650000000</v>
      </c>
      <c r="G6" s="69"/>
      <c r="H6" s="160">
        <f t="shared" ref="H6:H7" si="2">sum(C6:F6)</f>
        <v>126600000000</v>
      </c>
    </row>
    <row r="7">
      <c r="A7" s="159" t="s">
        <v>217</v>
      </c>
      <c r="B7" s="158"/>
      <c r="C7" s="161" t="str">
        <f t="shared" ref="C7:F7" si="1">sum(C4:C6)</f>
        <v>#REF!</v>
      </c>
      <c r="D7" s="161">
        <f t="shared" si="1"/>
        <v>31650000000</v>
      </c>
      <c r="E7" s="161">
        <f t="shared" si="1"/>
        <v>31650000000</v>
      </c>
      <c r="F7" s="161">
        <f t="shared" si="1"/>
        <v>31650000000</v>
      </c>
      <c r="G7" s="69"/>
      <c r="H7" s="161" t="str">
        <f t="shared" si="2"/>
        <v>#REF!</v>
      </c>
    </row>
    <row r="8">
      <c r="A8" s="159" t="s">
        <v>218</v>
      </c>
      <c r="B8" s="141"/>
      <c r="C8" s="187"/>
      <c r="D8" s="187"/>
      <c r="E8" s="187"/>
      <c r="F8" s="187"/>
      <c r="G8" s="69"/>
      <c r="H8" s="187"/>
    </row>
    <row r="9">
      <c r="A9" s="143" t="s">
        <v>219</v>
      </c>
      <c r="B9" s="141"/>
      <c r="C9" s="144">
        <f>'Cash Budget'!H9/4</f>
        <v>1645311136</v>
      </c>
      <c r="D9" s="144">
        <f>'Cash Budget'!H9/4</f>
        <v>1645311136</v>
      </c>
      <c r="E9" s="144">
        <f>'Cash Budget'!H9/4</f>
        <v>1645311136</v>
      </c>
      <c r="F9" s="144">
        <f>'Cash Budget'!H9/4</f>
        <v>1645311136</v>
      </c>
      <c r="G9" s="69"/>
      <c r="H9" s="144">
        <f t="shared" ref="H9:H13" si="3">sum(C9:F9)</f>
        <v>6581244545</v>
      </c>
    </row>
    <row r="10">
      <c r="A10" s="143" t="s">
        <v>220</v>
      </c>
      <c r="B10" s="141"/>
      <c r="C10" s="144">
        <f>'Cash Budget'!H10/4</f>
        <v>3502500000</v>
      </c>
      <c r="D10" s="144">
        <f>'Cash Budget'!H10/4</f>
        <v>3502500000</v>
      </c>
      <c r="E10" s="144">
        <f>'Cash Budget'!H10/4</f>
        <v>3502500000</v>
      </c>
      <c r="F10" s="144">
        <f>'Cash Budget'!H10/4</f>
        <v>3502500000</v>
      </c>
      <c r="G10" s="69"/>
      <c r="H10" s="144">
        <f t="shared" si="3"/>
        <v>14010000000</v>
      </c>
    </row>
    <row r="11">
      <c r="A11" s="143" t="s">
        <v>221</v>
      </c>
      <c r="B11" s="141"/>
      <c r="C11" s="144">
        <v>0.0</v>
      </c>
      <c r="D11" s="144">
        <v>0.0</v>
      </c>
      <c r="E11" s="144">
        <v>0.0</v>
      </c>
      <c r="F11" s="144">
        <f>'Cash Budget'!H11</f>
        <v>23311077291</v>
      </c>
      <c r="G11" s="69"/>
      <c r="H11" s="144">
        <f t="shared" si="3"/>
        <v>23311077291</v>
      </c>
    </row>
    <row r="12">
      <c r="A12" s="143" t="s">
        <v>287</v>
      </c>
      <c r="B12" s="141"/>
      <c r="C12" s="160" t="str">
        <f>#REF!</f>
        <v>#REF!</v>
      </c>
      <c r="D12" s="160">
        <v>0.0</v>
      </c>
      <c r="E12" s="160">
        <v>0.0</v>
      </c>
      <c r="F12" s="160">
        <v>0.0</v>
      </c>
      <c r="G12" s="69"/>
      <c r="H12" s="160" t="str">
        <f t="shared" si="3"/>
        <v>#REF!</v>
      </c>
    </row>
    <row r="13">
      <c r="A13" s="159" t="s">
        <v>222</v>
      </c>
      <c r="B13" s="141"/>
      <c r="C13" s="162" t="str">
        <f t="shared" ref="C13:F13" si="4">sum(C9:C12)</f>
        <v>#REF!</v>
      </c>
      <c r="D13" s="162">
        <f t="shared" si="4"/>
        <v>5147811136</v>
      </c>
      <c r="E13" s="162">
        <f t="shared" si="4"/>
        <v>5147811136</v>
      </c>
      <c r="F13" s="162">
        <f t="shared" si="4"/>
        <v>28458888427</v>
      </c>
      <c r="G13" s="69"/>
      <c r="H13" s="162" t="str">
        <f t="shared" si="3"/>
        <v>#REF!</v>
      </c>
    </row>
    <row r="14">
      <c r="A14" s="141"/>
      <c r="B14" s="141"/>
      <c r="C14" s="187"/>
      <c r="D14" s="187"/>
      <c r="E14" s="187"/>
      <c r="F14" s="187"/>
      <c r="G14" s="69"/>
      <c r="H14" s="187"/>
    </row>
    <row r="15">
      <c r="A15" s="143" t="s">
        <v>223</v>
      </c>
      <c r="B15" s="141"/>
      <c r="C15" s="163">
        <f>'Cash Budget'!H14/4</f>
        <v>37500000</v>
      </c>
      <c r="D15" s="163">
        <f>'Cash Budget'!H14/4</f>
        <v>37500000</v>
      </c>
      <c r="E15" s="163">
        <f>'Cash Budget'!H14/4</f>
        <v>37500000</v>
      </c>
      <c r="F15" s="163">
        <f>'Cash Budget'!H14/4</f>
        <v>37500000</v>
      </c>
      <c r="G15" s="69"/>
      <c r="H15" s="163">
        <f t="shared" ref="H15:H16" si="6">sum(C15:F15)</f>
        <v>150000000</v>
      </c>
    </row>
    <row r="16">
      <c r="A16" s="159" t="s">
        <v>224</v>
      </c>
      <c r="B16" s="141"/>
      <c r="C16" s="161" t="str">
        <f t="shared" ref="C16:F16" si="5">C13+C15</f>
        <v>#REF!</v>
      </c>
      <c r="D16" s="161">
        <f t="shared" si="5"/>
        <v>5185311136</v>
      </c>
      <c r="E16" s="161">
        <f t="shared" si="5"/>
        <v>5185311136</v>
      </c>
      <c r="F16" s="161">
        <f t="shared" si="5"/>
        <v>28496388427</v>
      </c>
      <c r="G16" s="69"/>
      <c r="H16" s="161" t="str">
        <f t="shared" si="6"/>
        <v>#REF!</v>
      </c>
    </row>
    <row r="17">
      <c r="A17" s="158"/>
      <c r="B17" s="158"/>
      <c r="C17" s="188"/>
      <c r="D17" s="188"/>
      <c r="E17" s="188"/>
      <c r="F17" s="188"/>
      <c r="G17" s="69"/>
      <c r="H17" s="188"/>
    </row>
    <row r="18">
      <c r="A18" s="159" t="s">
        <v>225</v>
      </c>
      <c r="B18" s="141"/>
      <c r="C18" s="187"/>
      <c r="D18" s="187"/>
      <c r="E18" s="187"/>
      <c r="F18" s="187"/>
      <c r="G18" s="69"/>
      <c r="H18" s="187"/>
    </row>
    <row r="19">
      <c r="A19" s="159" t="s">
        <v>226</v>
      </c>
      <c r="B19" s="141"/>
      <c r="C19" s="161" t="str">
        <f t="shared" ref="C19:F19" si="7">C7-C16</f>
        <v>#REF!</v>
      </c>
      <c r="D19" s="161">
        <f t="shared" si="7"/>
        <v>26464688864</v>
      </c>
      <c r="E19" s="161">
        <f t="shared" si="7"/>
        <v>26464688864</v>
      </c>
      <c r="F19" s="161">
        <f t="shared" si="7"/>
        <v>3153611573</v>
      </c>
      <c r="G19" s="69"/>
      <c r="H19" s="161" t="str">
        <f>sum(C19:F19)</f>
        <v>#REF!</v>
      </c>
    </row>
    <row r="20">
      <c r="A20" s="159" t="s">
        <v>227</v>
      </c>
      <c r="B20" s="141"/>
      <c r="C20" s="187"/>
      <c r="D20" s="187"/>
      <c r="E20" s="187"/>
      <c r="F20" s="187"/>
      <c r="G20" s="69"/>
      <c r="H20" s="187"/>
    </row>
    <row r="21">
      <c r="A21" s="143" t="s">
        <v>228</v>
      </c>
      <c r="B21" s="141"/>
      <c r="C21" s="189">
        <f>'Cash Budget'!H20</f>
        <v>5000000000</v>
      </c>
      <c r="D21" s="189">
        <v>0.0</v>
      </c>
      <c r="E21" s="189">
        <v>0.0</v>
      </c>
      <c r="F21" s="189">
        <v>0.0</v>
      </c>
      <c r="G21" s="69"/>
      <c r="H21" s="189">
        <f t="shared" ref="H21:H25" si="8">sum(C21:F21)</f>
        <v>5000000000</v>
      </c>
    </row>
    <row r="22">
      <c r="A22" s="143" t="s">
        <v>229</v>
      </c>
      <c r="B22" s="141"/>
      <c r="C22" s="144">
        <v>0.0</v>
      </c>
      <c r="D22" s="144">
        <v>0.0</v>
      </c>
      <c r="E22" s="144">
        <v>0.0</v>
      </c>
      <c r="F22" s="144">
        <v>0.0</v>
      </c>
      <c r="G22" s="69"/>
      <c r="H22" s="189">
        <f t="shared" si="8"/>
        <v>0</v>
      </c>
    </row>
    <row r="23">
      <c r="A23" s="143" t="s">
        <v>169</v>
      </c>
      <c r="B23" s="141"/>
      <c r="C23" s="144">
        <f>'Cash Budget'!H22</f>
        <v>-150000000</v>
      </c>
      <c r="D23" s="144">
        <v>0.0</v>
      </c>
      <c r="E23" s="144">
        <v>0.0</v>
      </c>
      <c r="F23" s="144">
        <v>0.0</v>
      </c>
      <c r="G23" s="69"/>
      <c r="H23" s="189">
        <f t="shared" si="8"/>
        <v>-150000000</v>
      </c>
    </row>
    <row r="24">
      <c r="A24" s="143" t="s">
        <v>230</v>
      </c>
      <c r="B24" s="141"/>
      <c r="C24" s="160">
        <f>'Cash Budget'!H23/4</f>
        <v>-12328305.77</v>
      </c>
      <c r="D24" s="160">
        <f>'Cash Budget'!H23/4</f>
        <v>-12328305.77</v>
      </c>
      <c r="E24" s="160">
        <f>'Cash Budget'!H23/4</f>
        <v>-12328305.77</v>
      </c>
      <c r="F24" s="160">
        <f>'Cash Budget'!H23/4</f>
        <v>-12328305.77</v>
      </c>
      <c r="G24" s="69"/>
      <c r="H24" s="189">
        <f t="shared" si="8"/>
        <v>-49313223.07</v>
      </c>
    </row>
    <row r="25">
      <c r="A25" s="159" t="s">
        <v>231</v>
      </c>
      <c r="B25" s="158"/>
      <c r="C25" s="162">
        <f t="shared" ref="C25:F25" si="9">sum(C21:C24)</f>
        <v>4837671694</v>
      </c>
      <c r="D25" s="162">
        <f t="shared" si="9"/>
        <v>-12328305.77</v>
      </c>
      <c r="E25" s="162">
        <f t="shared" si="9"/>
        <v>-12328305.77</v>
      </c>
      <c r="F25" s="162">
        <f t="shared" si="9"/>
        <v>-12328305.77</v>
      </c>
      <c r="G25" s="69"/>
      <c r="H25" s="196">
        <f t="shared" si="8"/>
        <v>4800686777</v>
      </c>
    </row>
    <row r="26">
      <c r="A26" s="141"/>
      <c r="B26" s="141"/>
      <c r="C26" s="187"/>
      <c r="D26" s="187"/>
      <c r="E26" s="187"/>
      <c r="F26" s="187"/>
      <c r="G26" s="69"/>
      <c r="H26" s="187"/>
    </row>
    <row r="27">
      <c r="A27" s="159" t="s">
        <v>232</v>
      </c>
      <c r="B27" s="158"/>
      <c r="C27" s="162" t="str">
        <f t="shared" ref="C27:F27" si="10">C7-C13+C25</f>
        <v>#REF!</v>
      </c>
      <c r="D27" s="162">
        <f t="shared" si="10"/>
        <v>26489860558</v>
      </c>
      <c r="E27" s="162">
        <f t="shared" si="10"/>
        <v>26489860558</v>
      </c>
      <c r="F27" s="162">
        <f t="shared" si="10"/>
        <v>3178783267</v>
      </c>
      <c r="G27" s="69"/>
      <c r="H27" s="162" t="str">
        <f>sum(C27:F27)</f>
        <v>#REF!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3.38"/>
    <col customWidth="1" min="3" max="3" width="14.38"/>
    <col customWidth="1" min="4" max="4" width="14.25"/>
    <col customWidth="1" min="5" max="5" width="15.38"/>
    <col customWidth="1" min="6" max="6" width="14.38"/>
    <col customWidth="1" min="7" max="7" width="14.5"/>
    <col customWidth="1" min="8" max="8" width="15.63"/>
    <col customWidth="1" min="9" max="9" width="15.5"/>
    <col customWidth="1" min="10" max="10" width="15.75"/>
  </cols>
  <sheetData>
    <row r="1">
      <c r="A1" s="1" t="s">
        <v>308</v>
      </c>
    </row>
    <row r="2">
      <c r="E2" s="3" t="s">
        <v>309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</row>
    <row r="3">
      <c r="A3" s="31" t="s">
        <v>310</v>
      </c>
      <c r="B3" s="197" t="s">
        <v>148</v>
      </c>
      <c r="E3" s="69">
        <f>'Financial Projection'!C63</f>
        <v>232044000</v>
      </c>
      <c r="F3" s="69">
        <f>'Financial Projection'!D63</f>
        <v>1344509183</v>
      </c>
      <c r="G3" s="69">
        <f>'Financial Projection'!E63</f>
        <v>2377682600</v>
      </c>
      <c r="H3" s="69">
        <f>'Financial Projection'!F63</f>
        <v>17355296503</v>
      </c>
      <c r="I3" s="69">
        <f>'Financial Projection'!G63</f>
        <v>51163728862</v>
      </c>
      <c r="J3" s="69">
        <f>'Financial Projection'!H63</f>
        <v>82648364941</v>
      </c>
    </row>
    <row r="4">
      <c r="B4" s="198" t="s">
        <v>128</v>
      </c>
      <c r="E4" s="69">
        <f>'Sales and Collections'!B10</f>
        <v>354000000</v>
      </c>
      <c r="F4" s="69">
        <f>'Sales and Collections'!C10</f>
        <v>2532000000</v>
      </c>
      <c r="G4" s="69">
        <f>'Sales and Collections'!D10</f>
        <v>5064000000</v>
      </c>
      <c r="H4" s="69">
        <f>'Sales and Collections'!E10</f>
        <v>25320000000</v>
      </c>
      <c r="I4" s="69">
        <f>'Sales and Collections'!F10</f>
        <v>75960000000</v>
      </c>
      <c r="J4" s="69">
        <f>'Sales and Collections'!G10</f>
        <v>126600000000</v>
      </c>
    </row>
    <row r="5">
      <c r="D5" s="1" t="s">
        <v>311</v>
      </c>
      <c r="E5" s="199">
        <f t="shared" ref="E5:J5" si="1">E3/E4</f>
        <v>0.6554915254</v>
      </c>
      <c r="F5" s="199">
        <f t="shared" si="1"/>
        <v>0.5310067865</v>
      </c>
      <c r="G5" s="199">
        <f t="shared" si="1"/>
        <v>0.4695265797</v>
      </c>
      <c r="H5" s="199">
        <f t="shared" si="1"/>
        <v>0.6854382505</v>
      </c>
      <c r="I5" s="199">
        <f t="shared" si="1"/>
        <v>0.6735614647</v>
      </c>
      <c r="J5" s="199">
        <f t="shared" si="1"/>
        <v>0.6528306867</v>
      </c>
    </row>
    <row r="6">
      <c r="D6" s="1"/>
    </row>
    <row r="7">
      <c r="A7" s="31" t="s">
        <v>312</v>
      </c>
      <c r="B7" s="197" t="s">
        <v>148</v>
      </c>
      <c r="E7" s="69">
        <f>'Financial Projection'!C63</f>
        <v>232044000</v>
      </c>
      <c r="F7" s="69">
        <f>'Financial Projection'!D63</f>
        <v>1344509183</v>
      </c>
      <c r="G7" s="69">
        <f>'Financial Projection'!E63</f>
        <v>2377682600</v>
      </c>
      <c r="H7" s="69">
        <f>'Financial Projection'!F63</f>
        <v>17355296503</v>
      </c>
      <c r="I7" s="69">
        <f>'Financial Projection'!G63</f>
        <v>51163728862</v>
      </c>
      <c r="J7" s="69">
        <f>'Financial Projection'!H63</f>
        <v>82648364941</v>
      </c>
    </row>
    <row r="8">
      <c r="B8" s="198" t="s">
        <v>313</v>
      </c>
    </row>
    <row r="9">
      <c r="D9" s="1" t="s">
        <v>314</v>
      </c>
    </row>
    <row r="11">
      <c r="A11" s="31" t="s">
        <v>315</v>
      </c>
      <c r="B11" s="197" t="s">
        <v>148</v>
      </c>
      <c r="C11" s="64"/>
      <c r="E11" s="69">
        <f>'Financial Projection'!C63</f>
        <v>232044000</v>
      </c>
      <c r="F11" s="69">
        <f>'Financial Projection'!D63</f>
        <v>1344509183</v>
      </c>
      <c r="G11" s="69">
        <f>'Financial Projection'!E63</f>
        <v>2377682600</v>
      </c>
      <c r="H11" s="69">
        <f>'Financial Projection'!F63</f>
        <v>17355296503</v>
      </c>
      <c r="I11" s="69">
        <f>'Financial Projection'!G63</f>
        <v>51163728862</v>
      </c>
      <c r="J11" s="69">
        <f>'Financial Projection'!H63</f>
        <v>82648364941</v>
      </c>
    </row>
    <row r="12">
      <c r="B12" s="198" t="s">
        <v>316</v>
      </c>
      <c r="E12" s="66" t="str">
        <f>'Financial Projection'!C81</f>
        <v/>
      </c>
      <c r="F12" s="66" t="str">
        <f>'Financial Projection'!D81</f>
        <v/>
      </c>
      <c r="G12" s="66" t="str">
        <f>'Financial Projection'!E81</f>
        <v/>
      </c>
      <c r="H12" s="66" t="str">
        <f>'Financial Projection'!F81</f>
        <v/>
      </c>
      <c r="I12" s="66" t="str">
        <f>'Financial Projection'!G81</f>
        <v/>
      </c>
      <c r="J12" s="66" t="str">
        <f>'Financial Projection'!H81</f>
        <v/>
      </c>
    </row>
    <row r="13">
      <c r="D13" s="1" t="s">
        <v>317</v>
      </c>
      <c r="E13" s="200" t="str">
        <f t="shared" ref="E13:J13" si="2">E11/E12</f>
        <v>#DIV/0!</v>
      </c>
      <c r="F13" s="199" t="str">
        <f t="shared" si="2"/>
        <v>#DIV/0!</v>
      </c>
      <c r="G13" s="199" t="str">
        <f t="shared" si="2"/>
        <v>#DIV/0!</v>
      </c>
      <c r="H13" s="199" t="str">
        <f t="shared" si="2"/>
        <v>#DIV/0!</v>
      </c>
      <c r="I13" s="199" t="str">
        <f t="shared" si="2"/>
        <v>#DIV/0!</v>
      </c>
      <c r="J13" s="199" t="str">
        <f t="shared" si="2"/>
        <v>#DIV/0!</v>
      </c>
    </row>
    <row r="15">
      <c r="A15" s="1" t="s">
        <v>159</v>
      </c>
    </row>
    <row r="16">
      <c r="A16" s="31" t="s">
        <v>318</v>
      </c>
    </row>
    <row r="17">
      <c r="A17" s="35" t="s">
        <v>319</v>
      </c>
      <c r="B17" s="6"/>
      <c r="D17" s="60"/>
      <c r="E17" s="201"/>
    </row>
    <row r="18">
      <c r="A18" s="29" t="s">
        <v>320</v>
      </c>
      <c r="B18" s="202">
        <v>0.074</v>
      </c>
      <c r="C18" s="203" t="s">
        <v>321</v>
      </c>
      <c r="D18" s="3"/>
      <c r="E18" s="204"/>
    </row>
    <row r="19">
      <c r="A19" s="205" t="s">
        <v>322</v>
      </c>
      <c r="B19" s="29">
        <v>1.35</v>
      </c>
      <c r="C19" s="206" t="s">
        <v>323</v>
      </c>
      <c r="D19" s="3"/>
      <c r="E19" s="204"/>
    </row>
    <row r="20">
      <c r="A20" s="205" t="s">
        <v>324</v>
      </c>
      <c r="B20" s="202">
        <v>0.0259</v>
      </c>
      <c r="C20" s="206" t="s">
        <v>325</v>
      </c>
      <c r="D20" s="3"/>
      <c r="E20" s="204"/>
    </row>
    <row r="21">
      <c r="A21" s="205" t="s">
        <v>326</v>
      </c>
      <c r="B21" s="207">
        <f>B18+B19*B20</f>
        <v>0.108965</v>
      </c>
      <c r="D21" s="3"/>
      <c r="E21" s="204"/>
    </row>
    <row r="22">
      <c r="A22" s="205" t="s">
        <v>327</v>
      </c>
      <c r="B22" s="207" t="str">
        <f>'Financing Schedule'!H30/('Financing Schedule'!H30+'Financing Schedule'!H23)</f>
        <v>#REF!</v>
      </c>
      <c r="D22" s="3"/>
      <c r="E22" s="204"/>
    </row>
    <row r="23">
      <c r="A23" s="208"/>
      <c r="B23" s="12"/>
      <c r="D23" s="3"/>
      <c r="E23" s="204"/>
    </row>
    <row r="24">
      <c r="A24" s="205" t="s">
        <v>328</v>
      </c>
      <c r="B24" s="12" t="str">
        <f>'Financing Schedule'!E9</f>
        <v>#REF!</v>
      </c>
      <c r="D24" s="3"/>
      <c r="E24" s="71"/>
    </row>
    <row r="25">
      <c r="A25" s="205" t="s">
        <v>329</v>
      </c>
      <c r="B25" s="30">
        <v>0.22</v>
      </c>
    </row>
    <row r="26">
      <c r="A26" s="209" t="s">
        <v>330</v>
      </c>
      <c r="B26" s="210" t="str">
        <f>B24*(1-B25)</f>
        <v>#REF!</v>
      </c>
    </row>
    <row r="27">
      <c r="A27" s="205" t="s">
        <v>331</v>
      </c>
      <c r="B27" s="211" t="str">
        <f>'Financing Schedule'!H23/('Financing Schedule'!H30+'Financing Schedule'!H23)</f>
        <v>#REF!</v>
      </c>
    </row>
    <row r="28">
      <c r="A28" s="212" t="s">
        <v>319</v>
      </c>
      <c r="B28" s="207" t="str">
        <f>B21*B22+B26*B27</f>
        <v>#REF!</v>
      </c>
    </row>
    <row r="30">
      <c r="A30" s="213"/>
      <c r="B30" s="214">
        <v>0.0</v>
      </c>
      <c r="C30" s="214">
        <v>1.0</v>
      </c>
      <c r="D30" s="214">
        <v>2.0</v>
      </c>
      <c r="E30" s="214">
        <v>3.0</v>
      </c>
      <c r="F30" s="214">
        <v>4.0</v>
      </c>
      <c r="G30" s="214">
        <v>5.0</v>
      </c>
    </row>
    <row r="31">
      <c r="A31" s="215" t="str">
        <f>A35</f>
        <v>Payback Period</v>
      </c>
      <c r="B31" s="216"/>
      <c r="C31" s="216"/>
      <c r="D31" s="216"/>
      <c r="E31" s="216"/>
      <c r="F31" s="216"/>
      <c r="G31" s="216"/>
    </row>
    <row r="32">
      <c r="A32" s="217" t="str">
        <f>'Financial Projection'!A65</f>
        <v>Net Cash Flow</v>
      </c>
      <c r="B32" s="218">
        <f>'Financial Projection'!C65</f>
        <v>232044000</v>
      </c>
      <c r="C32" s="218">
        <f>'Financial Projection'!D65</f>
        <v>1344509183</v>
      </c>
      <c r="D32" s="218">
        <f>'Financial Projection'!E65</f>
        <v>2377682600</v>
      </c>
      <c r="E32" s="218">
        <f>'Financial Projection'!F65</f>
        <v>17355296503</v>
      </c>
      <c r="F32" s="218">
        <f>'Financial Projection'!G65</f>
        <v>51163728862</v>
      </c>
      <c r="G32" s="218">
        <f>'Financial Projection'!H65</f>
        <v>82648364941</v>
      </c>
    </row>
    <row r="33">
      <c r="A33" s="219" t="str">
        <f>'Financial Projection'!A66</f>
        <v>Cumulative Net Cash Flow</v>
      </c>
      <c r="B33" s="218">
        <f>B32</f>
        <v>232044000</v>
      </c>
      <c r="C33" s="218">
        <f t="shared" ref="C33:G33" si="3">B33+C32</f>
        <v>1576553183</v>
      </c>
      <c r="D33" s="218">
        <f t="shared" si="3"/>
        <v>3954235783</v>
      </c>
      <c r="E33" s="218">
        <f t="shared" si="3"/>
        <v>21309532286</v>
      </c>
      <c r="F33" s="218">
        <f t="shared" si="3"/>
        <v>72473261148</v>
      </c>
      <c r="G33" s="218">
        <f t="shared" si="3"/>
        <v>155121626089</v>
      </c>
    </row>
    <row r="34">
      <c r="A34" s="220"/>
      <c r="B34" s="217"/>
      <c r="C34" s="217"/>
      <c r="D34" s="217"/>
      <c r="E34" s="217"/>
      <c r="F34" s="217"/>
      <c r="G34" s="217"/>
    </row>
    <row r="35">
      <c r="A35" s="221" t="s">
        <v>154</v>
      </c>
      <c r="B35" s="222">
        <f>3+-D33/E32</f>
        <v>2.77215971</v>
      </c>
      <c r="C35" s="216"/>
      <c r="D35" s="216"/>
      <c r="E35" s="216"/>
      <c r="F35" s="216"/>
      <c r="G35" s="216"/>
    </row>
    <row r="36">
      <c r="A36" s="217"/>
      <c r="B36" s="217"/>
      <c r="C36" s="217"/>
      <c r="D36" s="217"/>
      <c r="E36" s="217"/>
      <c r="F36" s="217"/>
      <c r="G36" s="217"/>
    </row>
    <row r="37">
      <c r="A37" s="221" t="s">
        <v>157</v>
      </c>
      <c r="B37" s="216"/>
      <c r="C37" s="216"/>
      <c r="D37" s="216"/>
      <c r="E37" s="216"/>
      <c r="F37" s="216"/>
      <c r="G37" s="216"/>
    </row>
    <row r="38">
      <c r="A38" s="217" t="str">
        <f t="shared" ref="A38:B38" si="4">A32</f>
        <v>Net Cash Flow</v>
      </c>
      <c r="B38" s="218">
        <f t="shared" si="4"/>
        <v>232044000</v>
      </c>
      <c r="C38" s="223" t="str">
        <f t="shared" ref="C38:G38" si="5">C32/(1+$B$28)^C30</f>
        <v>#REF!</v>
      </c>
      <c r="D38" s="223" t="str">
        <f t="shared" si="5"/>
        <v>#REF!</v>
      </c>
      <c r="E38" s="223" t="str">
        <f t="shared" si="5"/>
        <v>#REF!</v>
      </c>
      <c r="F38" s="223" t="str">
        <f t="shared" si="5"/>
        <v>#REF!</v>
      </c>
      <c r="G38" s="223" t="str">
        <f t="shared" si="5"/>
        <v>#REF!</v>
      </c>
    </row>
    <row r="39">
      <c r="A39" s="217" t="str">
        <f>A33</f>
        <v>Cumulative Net Cash Flow</v>
      </c>
      <c r="B39" s="218">
        <f>B38</f>
        <v>232044000</v>
      </c>
      <c r="C39" s="217" t="str">
        <f t="shared" ref="C39:G39" si="6">B39+C38</f>
        <v>#REF!</v>
      </c>
      <c r="D39" s="217" t="str">
        <f t="shared" si="6"/>
        <v>#REF!</v>
      </c>
      <c r="E39" s="217" t="str">
        <f t="shared" si="6"/>
        <v>#REF!</v>
      </c>
      <c r="F39" s="217" t="str">
        <f t="shared" si="6"/>
        <v>#REF!</v>
      </c>
      <c r="G39" s="217" t="str">
        <f t="shared" si="6"/>
        <v>#REF!</v>
      </c>
    </row>
    <row r="40">
      <c r="A40" s="217"/>
      <c r="B40" s="217"/>
      <c r="C40" s="217"/>
      <c r="D40" s="217"/>
      <c r="E40" s="217"/>
      <c r="F40" s="217"/>
      <c r="G40" s="217"/>
    </row>
    <row r="41">
      <c r="A41" s="221" t="s">
        <v>157</v>
      </c>
      <c r="B41" s="222" t="str">
        <f>3+-D39/E38</f>
        <v>#REF!</v>
      </c>
      <c r="C41" s="216"/>
      <c r="D41" s="216"/>
      <c r="E41" s="216"/>
      <c r="F41" s="216"/>
      <c r="G41" s="216"/>
    </row>
    <row r="43">
      <c r="A43" s="213"/>
      <c r="B43" s="214">
        <v>0.0</v>
      </c>
      <c r="C43" s="214">
        <v>1.0</v>
      </c>
      <c r="D43" s="214">
        <v>2.0</v>
      </c>
      <c r="E43" s="214">
        <v>3.0</v>
      </c>
      <c r="F43" s="214">
        <v>4.0</v>
      </c>
      <c r="G43" s="214">
        <v>5.0</v>
      </c>
    </row>
    <row r="44">
      <c r="A44" s="221" t="s">
        <v>332</v>
      </c>
      <c r="B44" s="216"/>
      <c r="C44" s="216"/>
      <c r="D44" s="216"/>
      <c r="E44" s="216"/>
      <c r="F44" s="216"/>
      <c r="G44" s="216"/>
    </row>
    <row r="45">
      <c r="A45" s="217" t="str">
        <f>A38</f>
        <v>Net Cash Flow</v>
      </c>
      <c r="B45" s="218">
        <f t="shared" ref="B45:G45" si="7">B32</f>
        <v>232044000</v>
      </c>
      <c r="C45" s="218">
        <f t="shared" si="7"/>
        <v>1344509183</v>
      </c>
      <c r="D45" s="218">
        <f t="shared" si="7"/>
        <v>2377682600</v>
      </c>
      <c r="E45" s="218">
        <f t="shared" si="7"/>
        <v>17355296503</v>
      </c>
      <c r="F45" s="218">
        <f t="shared" si="7"/>
        <v>51163728862</v>
      </c>
      <c r="G45" s="218">
        <f t="shared" si="7"/>
        <v>82648364941</v>
      </c>
    </row>
    <row r="46">
      <c r="A46" s="219"/>
      <c r="B46" s="217"/>
      <c r="C46" s="217"/>
      <c r="D46" s="217"/>
      <c r="E46" s="217"/>
      <c r="F46" s="217"/>
      <c r="G46" s="217"/>
    </row>
    <row r="47">
      <c r="A47" s="221" t="str">
        <f>A44</f>
        <v>Net Present Value</v>
      </c>
      <c r="B47" s="224" t="str">
        <f t="array" ref="B47">npv(B28,C45:G45)+B45</f>
        <v>#REF!</v>
      </c>
      <c r="C47" s="216"/>
      <c r="D47" s="216"/>
      <c r="E47" s="216"/>
      <c r="F47" s="216"/>
      <c r="G47" s="216"/>
    </row>
    <row r="54">
      <c r="A54" s="1" t="s">
        <v>333</v>
      </c>
    </row>
    <row r="55">
      <c r="A55" s="225" t="s">
        <v>13</v>
      </c>
      <c r="B55" s="226" t="s">
        <v>163</v>
      </c>
      <c r="C55" s="6"/>
      <c r="D55" s="226" t="s">
        <v>228</v>
      </c>
      <c r="E55" s="6"/>
      <c r="F55" s="225" t="s">
        <v>334</v>
      </c>
    </row>
    <row r="56">
      <c r="A56" s="29" t="s">
        <v>309</v>
      </c>
      <c r="B56" s="8">
        <v>3.0E8</v>
      </c>
      <c r="C56" s="207">
        <f t="shared" ref="C56:C58" si="8">B56/F56</f>
        <v>0.1589294512</v>
      </c>
      <c r="D56" s="8">
        <v>1.58763E9</v>
      </c>
      <c r="E56" s="207">
        <f t="shared" ref="E56:E58" si="9">D56/F56</f>
        <v>0.8410705488</v>
      </c>
      <c r="F56" s="10">
        <f t="shared" ref="F56:F58" si="10">B56+D56</f>
        <v>1887630000</v>
      </c>
    </row>
    <row r="57">
      <c r="A57" s="29" t="s">
        <v>24</v>
      </c>
      <c r="B57" s="8">
        <v>1.8E8</v>
      </c>
      <c r="C57" s="207">
        <f t="shared" si="8"/>
        <v>0.04182938977</v>
      </c>
      <c r="D57" s="8">
        <v>4.1231945E9</v>
      </c>
      <c r="E57" s="207">
        <f t="shared" si="9"/>
        <v>0.9581706102</v>
      </c>
      <c r="F57" s="10">
        <f t="shared" si="10"/>
        <v>4303194500</v>
      </c>
    </row>
    <row r="58">
      <c r="A58" s="29" t="s">
        <v>25</v>
      </c>
      <c r="B58" s="8">
        <v>1.2E8</v>
      </c>
      <c r="C58" s="207">
        <f t="shared" si="8"/>
        <v>0.01975630478</v>
      </c>
      <c r="D58" s="8">
        <v>5.954010365E9</v>
      </c>
      <c r="E58" s="207">
        <f t="shared" si="9"/>
        <v>0.9802436952</v>
      </c>
      <c r="F58" s="10">
        <f t="shared" si="10"/>
        <v>6074010365</v>
      </c>
    </row>
    <row r="67">
      <c r="A67" s="227"/>
      <c r="B67" s="228" t="s">
        <v>309</v>
      </c>
      <c r="C67" s="228" t="s">
        <v>23</v>
      </c>
      <c r="D67" s="228" t="s">
        <v>24</v>
      </c>
      <c r="E67" s="228" t="s">
        <v>25</v>
      </c>
      <c r="F67" s="228" t="s">
        <v>26</v>
      </c>
      <c r="G67" s="228" t="s">
        <v>27</v>
      </c>
    </row>
    <row r="68">
      <c r="A68" s="29" t="s">
        <v>129</v>
      </c>
      <c r="B68" s="10">
        <f>'Financial Projection'!C19</f>
        <v>354000000</v>
      </c>
      <c r="C68" s="10">
        <f>'Financial Projection'!D19</f>
        <v>2532000000</v>
      </c>
      <c r="D68" s="10">
        <f>'Financial Projection'!E19</f>
        <v>5064000000</v>
      </c>
      <c r="E68" s="10">
        <f>'Financial Projection'!F19</f>
        <v>25320000000</v>
      </c>
      <c r="F68" s="10">
        <f>'Financial Projection'!G19</f>
        <v>75960000000</v>
      </c>
      <c r="G68" s="10">
        <f>'Financial Projection'!H19</f>
        <v>126600000000</v>
      </c>
    </row>
    <row r="69">
      <c r="A69" s="29" t="s">
        <v>116</v>
      </c>
      <c r="B69" s="10">
        <f>'Financial Projection'!C56</f>
        <v>139800000</v>
      </c>
      <c r="C69" s="10">
        <f>'Financial Projection'!D56</f>
        <v>1393200000</v>
      </c>
      <c r="D69" s="10">
        <f>'Financial Projection'!E56</f>
        <v>1973589500</v>
      </c>
      <c r="E69" s="10">
        <f>'Financial Projection'!F56</f>
        <v>3001740098</v>
      </c>
      <c r="F69" s="10">
        <f>'Financial Projection'!G56</f>
        <v>10306522272</v>
      </c>
      <c r="G69" s="10">
        <f>'Financial Projection'!H56</f>
        <v>20591244545</v>
      </c>
    </row>
    <row r="70">
      <c r="A70" s="33" t="s">
        <v>144</v>
      </c>
      <c r="B70" s="37">
        <f>'Financial Projection'!C58</f>
        <v>214200000</v>
      </c>
      <c r="C70" s="37">
        <f>'Financial Projection'!D58</f>
        <v>1138800000</v>
      </c>
      <c r="D70" s="37">
        <f>'Financial Projection'!E58</f>
        <v>3090410500</v>
      </c>
      <c r="E70" s="37">
        <f>'Financial Projection'!F58</f>
        <v>22318259903</v>
      </c>
      <c r="F70" s="37">
        <f>'Financial Projection'!G58</f>
        <v>65653477728</v>
      </c>
      <c r="G70" s="37">
        <f>'Financial Projection'!H58</f>
        <v>106008755456</v>
      </c>
    </row>
    <row r="71">
      <c r="A71" s="29" t="s">
        <v>145</v>
      </c>
      <c r="B71" s="229">
        <f>'Financial Projection'!C59</f>
        <v>24000000</v>
      </c>
      <c r="C71" s="229">
        <f>'Financial Projection'!D59</f>
        <v>36743292.27</v>
      </c>
      <c r="D71" s="229">
        <f>'Financial Projection'!E59</f>
        <v>42099474.98</v>
      </c>
      <c r="E71" s="229">
        <f>'Financial Projection'!F59</f>
        <v>67879770.34</v>
      </c>
      <c r="F71" s="229">
        <f>'Financial Projection'!G59</f>
        <v>58953545.69</v>
      </c>
      <c r="G71" s="229">
        <f>'Financial Projection'!H59</f>
        <v>49313223.07</v>
      </c>
    </row>
    <row r="72">
      <c r="A72" s="33" t="s">
        <v>146</v>
      </c>
      <c r="B72" s="37">
        <f t="shared" ref="B72:G72" si="11">B70-B71</f>
        <v>190200000</v>
      </c>
      <c r="C72" s="37">
        <f t="shared" si="11"/>
        <v>1102056708</v>
      </c>
      <c r="D72" s="37">
        <f t="shared" si="11"/>
        <v>3048311025</v>
      </c>
      <c r="E72" s="37">
        <f t="shared" si="11"/>
        <v>22250380132</v>
      </c>
      <c r="F72" s="37">
        <f t="shared" si="11"/>
        <v>65594524182</v>
      </c>
      <c r="G72" s="37">
        <f t="shared" si="11"/>
        <v>105959442232</v>
      </c>
    </row>
    <row r="73">
      <c r="A73" s="29" t="s">
        <v>147</v>
      </c>
      <c r="B73" s="10">
        <f>'Financial Projection'!C61</f>
        <v>-41844000</v>
      </c>
      <c r="C73" s="10">
        <f>'Financial Projection'!D61</f>
        <v>-242452475.7</v>
      </c>
      <c r="D73" s="10">
        <f>'Financial Projection'!E61</f>
        <v>670628425.5</v>
      </c>
      <c r="E73" s="10">
        <f>'Financial Projection'!F61</f>
        <v>4895083629</v>
      </c>
      <c r="F73" s="10">
        <f>'Financial Projection'!G61</f>
        <v>14430795320</v>
      </c>
      <c r="G73" s="10">
        <f>'Financial Projection'!H61</f>
        <v>23311077291</v>
      </c>
    </row>
    <row r="74">
      <c r="A74" s="230" t="s">
        <v>148</v>
      </c>
      <c r="B74" s="231">
        <f t="shared" ref="B74:G74" si="12">B72-B73</f>
        <v>232044000</v>
      </c>
      <c r="C74" s="231">
        <f t="shared" si="12"/>
        <v>1344509183</v>
      </c>
      <c r="D74" s="231">
        <f t="shared" si="12"/>
        <v>2377682600</v>
      </c>
      <c r="E74" s="231">
        <f t="shared" si="12"/>
        <v>17355296503</v>
      </c>
      <c r="F74" s="231">
        <f t="shared" si="12"/>
        <v>51163728862</v>
      </c>
      <c r="G74" s="231">
        <f t="shared" si="12"/>
        <v>82648364941</v>
      </c>
    </row>
  </sheetData>
  <mergeCells count="5">
    <mergeCell ref="B11:C11"/>
    <mergeCell ref="B12:C12"/>
    <mergeCell ref="A17:B17"/>
    <mergeCell ref="B55:C55"/>
    <mergeCell ref="D55:E55"/>
  </mergeCells>
  <hyperlinks>
    <hyperlink r:id="rId2" ref="C18"/>
    <hyperlink r:id="rId3" ref="C19"/>
    <hyperlink r:id="rId4" ref="C20"/>
  </hyperlinks>
  <drawing r:id="rId5"/>
  <legacyDrawing r:id="rId6"/>
</worksheet>
</file>