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5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P15" i="13" l="1"/>
  <c r="P17" i="13"/>
  <c r="Q83" i="13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P86" i="13"/>
  <c r="Q16" i="13"/>
  <c r="Q15" i="13"/>
  <c r="Q86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9" i="13"/>
  <c r="F7" i="13"/>
  <c r="F4" i="13"/>
  <c r="D64" i="11"/>
  <c r="D63" i="11"/>
  <c r="D62" i="11"/>
  <c r="P87" i="13" l="1"/>
  <c r="P78" i="11"/>
  <c r="P75" i="11"/>
  <c r="P69" i="11"/>
  <c r="P70" i="11"/>
  <c r="P71" i="11"/>
  <c r="P72" i="11"/>
  <c r="P73" i="11"/>
  <c r="P74" i="11"/>
  <c r="P67" i="11"/>
  <c r="P68" i="11"/>
  <c r="W70" i="11" l="1"/>
  <c r="W39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47" i="11"/>
  <c r="AE64" i="11" s="1"/>
  <c r="W96" i="11"/>
  <c r="W95" i="11"/>
  <c r="W94" i="11"/>
  <c r="W93" i="11"/>
  <c r="W92" i="11"/>
  <c r="W91" i="11"/>
  <c r="P8" i="12" l="1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78" i="11" l="1"/>
  <c r="O79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85" i="11"/>
  <c r="W71" i="11"/>
  <c r="V84" i="11"/>
  <c r="G39" i="13"/>
  <c r="G70" i="13"/>
  <c r="W42" i="11"/>
  <c r="V48" i="11"/>
  <c r="V49" i="11"/>
  <c r="W97" i="11"/>
  <c r="V121" i="11"/>
  <c r="V122" i="11"/>
  <c r="G60" i="13"/>
</calcChain>
</file>

<file path=xl/sharedStrings.xml><?xml version="1.0" encoding="utf-8"?>
<sst xmlns="http://schemas.openxmlformats.org/spreadsheetml/2006/main" count="1757" uniqueCount="516">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</sst>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2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67" fontId="4" fillId="31" borderId="4" xfId="0" quotePrefix="1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0" borderId="25" xfId="0" applyFont="1" applyBorder="1" applyAlignment="1"/>
    <xf numFmtId="167" fontId="16" fillId="0" borderId="4" xfId="0" applyNumberFormat="1" applyFont="1" applyBorder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7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2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0" fontId="0" fillId="33" borderId="0" xfId="0" applyFont="1" applyFill="1" applyAlignment="1">
      <alignment horizontal="center"/>
    </xf>
    <xf numFmtId="167" fontId="4" fillId="0" borderId="80" xfId="0" applyNumberFormat="1" applyFont="1" applyBorder="1" applyAlignment="1">
      <alignment horizontal="center"/>
    </xf>
    <xf numFmtId="167" fontId="0" fillId="0" borderId="81" xfId="0" applyNumberFormat="1" applyFont="1" applyBorder="1" applyAlignment="1">
      <alignment horizontal="center"/>
    </xf>
    <xf numFmtId="0" fontId="0" fillId="15" borderId="0" xfId="0" applyFont="1" applyFill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/>
    </xf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33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03" t="s">
        <v>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</row>
    <row r="2" spans="1:21" x14ac:dyDescent="0.25">
      <c r="A2" s="405"/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</row>
    <row r="3" spans="1:21" x14ac:dyDescent="0.25">
      <c r="A3" s="405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</row>
    <row r="4" spans="1:21" x14ac:dyDescent="0.25">
      <c r="A4" s="405"/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</row>
    <row r="5" spans="1:21" x14ac:dyDescent="0.25">
      <c r="A5" s="405"/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</row>
    <row r="6" spans="1:21" x14ac:dyDescent="0.25">
      <c r="A6" s="405"/>
      <c r="B6" s="406"/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08" t="s">
        <v>65</v>
      </c>
      <c r="K79" s="409"/>
      <c r="L79" s="409"/>
      <c r="M79" s="409"/>
      <c r="N79" s="410"/>
      <c r="P79" s="416" t="s">
        <v>66</v>
      </c>
      <c r="Q79" s="409"/>
      <c r="R79" s="409"/>
      <c r="S79" s="410"/>
    </row>
    <row r="80" spans="1:21" ht="15.75" customHeight="1" x14ac:dyDescent="0.25">
      <c r="J80" s="411" t="s">
        <v>67</v>
      </c>
      <c r="K80" s="406"/>
      <c r="L80" s="406"/>
      <c r="M80" s="406"/>
      <c r="N80" s="412"/>
      <c r="P80" s="411" t="s">
        <v>68</v>
      </c>
      <c r="Q80" s="406"/>
      <c r="R80" s="406"/>
      <c r="S80" s="412"/>
    </row>
    <row r="81" spans="10:19" ht="15.75" customHeight="1" x14ac:dyDescent="0.25">
      <c r="J81" s="413"/>
      <c r="K81" s="414"/>
      <c r="L81" s="414"/>
      <c r="M81" s="414"/>
      <c r="N81" s="415"/>
      <c r="P81" s="413"/>
      <c r="Q81" s="414"/>
      <c r="R81" s="414"/>
      <c r="S81" s="415"/>
    </row>
    <row r="82" spans="10:19" ht="15.75" customHeight="1" x14ac:dyDescent="0.25">
      <c r="J82" s="407" t="s">
        <v>19</v>
      </c>
      <c r="K82" s="398"/>
      <c r="L82" s="399"/>
      <c r="M82" s="407" t="s">
        <v>69</v>
      </c>
      <c r="N82" s="399"/>
      <c r="P82" s="407"/>
      <c r="Q82" s="399"/>
      <c r="R82" s="3" t="s">
        <v>19</v>
      </c>
      <c r="S82" s="3" t="s">
        <v>69</v>
      </c>
    </row>
    <row r="83" spans="10:19" ht="15.75" customHeight="1" x14ac:dyDescent="0.25">
      <c r="J83" s="397" t="s">
        <v>70</v>
      </c>
      <c r="K83" s="398"/>
      <c r="L83" s="399"/>
      <c r="M83" s="400">
        <v>7350000</v>
      </c>
      <c r="N83" s="399"/>
      <c r="P83" s="401" t="s">
        <v>71</v>
      </c>
      <c r="Q83" s="399"/>
      <c r="R83" s="4"/>
      <c r="S83" s="5">
        <v>40000</v>
      </c>
    </row>
    <row r="84" spans="10:19" ht="15.75" customHeight="1" x14ac:dyDescent="0.25">
      <c r="J84" s="397" t="s">
        <v>72</v>
      </c>
      <c r="K84" s="398"/>
      <c r="L84" s="399"/>
      <c r="M84" s="402">
        <v>1100000</v>
      </c>
      <c r="N84" s="399"/>
      <c r="P84" s="401" t="s">
        <v>73</v>
      </c>
      <c r="Q84" s="399"/>
      <c r="R84" s="6" t="s">
        <v>74</v>
      </c>
      <c r="S84" s="5">
        <v>30000</v>
      </c>
    </row>
    <row r="85" spans="10:19" ht="15.75" customHeight="1" x14ac:dyDescent="0.25">
      <c r="J85" s="397" t="s">
        <v>75</v>
      </c>
      <c r="K85" s="398"/>
      <c r="L85" s="399"/>
      <c r="M85" s="400">
        <f>M83+M84</f>
        <v>8450000</v>
      </c>
      <c r="N85" s="399"/>
      <c r="P85" s="401" t="s">
        <v>76</v>
      </c>
      <c r="Q85" s="399"/>
      <c r="R85" s="4"/>
      <c r="S85" s="5">
        <v>0</v>
      </c>
    </row>
    <row r="86" spans="10:19" ht="15.75" customHeight="1" x14ac:dyDescent="0.25">
      <c r="J86" s="397" t="s">
        <v>77</v>
      </c>
      <c r="K86" s="398"/>
      <c r="L86" s="399"/>
      <c r="M86" s="400">
        <v>8411850</v>
      </c>
      <c r="N86" s="399"/>
      <c r="P86" s="401" t="s">
        <v>78</v>
      </c>
      <c r="Q86" s="399"/>
      <c r="R86" s="4"/>
      <c r="S86" s="5">
        <f>S83-S84+S85</f>
        <v>10000</v>
      </c>
    </row>
    <row r="87" spans="10:19" ht="15.75" customHeight="1" x14ac:dyDescent="0.25">
      <c r="J87" s="397" t="s">
        <v>79</v>
      </c>
      <c r="K87" s="398"/>
      <c r="L87" s="399"/>
      <c r="M87" s="400">
        <f>M85-M86</f>
        <v>38150</v>
      </c>
      <c r="N87" s="399"/>
      <c r="P87" s="401" t="s">
        <v>80</v>
      </c>
      <c r="Q87" s="39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557" t="s">
        <v>230</v>
      </c>
      <c r="D2" s="558"/>
      <c r="E2" s="558"/>
      <c r="F2" s="558"/>
      <c r="G2" s="558"/>
      <c r="H2" s="558"/>
      <c r="I2" s="558"/>
      <c r="J2" s="558"/>
      <c r="K2" s="558"/>
    </row>
    <row r="3" spans="3:11" x14ac:dyDescent="0.25">
      <c r="C3" s="558"/>
      <c r="D3" s="558"/>
      <c r="E3" s="558"/>
      <c r="F3" s="558"/>
      <c r="G3" s="558"/>
      <c r="H3" s="558"/>
      <c r="I3" s="558"/>
      <c r="J3" s="558"/>
      <c r="K3" s="55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559"/>
      <c r="E29" s="559"/>
      <c r="F29" s="560"/>
      <c r="G29" s="560"/>
      <c r="H29" s="139"/>
      <c r="I29" s="139"/>
      <c r="J29" s="139"/>
      <c r="K29" s="139"/>
    </row>
    <row r="30" spans="3:11" ht="15.75" thickBot="1" x14ac:dyDescent="0.3">
      <c r="C30" s="24"/>
      <c r="D30" s="561" t="s">
        <v>229</v>
      </c>
      <c r="E30" s="562"/>
      <c r="F30" s="563">
        <f>F27</f>
        <v>226000</v>
      </c>
      <c r="G30" s="56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555"/>
      <c r="E32" s="555"/>
      <c r="F32" s="556"/>
      <c r="G32" s="55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565" t="s">
        <v>122</v>
      </c>
      <c r="D4" s="566"/>
      <c r="E4" s="27"/>
      <c r="F4" s="33"/>
      <c r="G4" s="34"/>
      <c r="H4" s="565" t="s">
        <v>103</v>
      </c>
      <c r="I4" s="56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565" t="s">
        <v>144</v>
      </c>
      <c r="D17" s="566"/>
      <c r="E17" s="27"/>
      <c r="F17" s="26"/>
      <c r="G17" s="35"/>
      <c r="H17" s="565" t="s">
        <v>146</v>
      </c>
      <c r="I17" s="56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568" t="s">
        <v>275</v>
      </c>
      <c r="C2" s="569"/>
      <c r="D2" s="569"/>
      <c r="E2" s="569"/>
      <c r="F2" s="569"/>
      <c r="G2" s="569"/>
      <c r="H2" s="569"/>
      <c r="I2" s="569"/>
      <c r="J2" s="569"/>
    </row>
    <row r="3" spans="2:10" x14ac:dyDescent="0.25">
      <c r="B3" s="569"/>
      <c r="C3" s="569"/>
      <c r="D3" s="569"/>
      <c r="E3" s="569"/>
      <c r="F3" s="569"/>
      <c r="G3" s="569"/>
      <c r="H3" s="569"/>
      <c r="I3" s="569"/>
      <c r="J3" s="56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457" t="s">
        <v>280</v>
      </c>
      <c r="I6" s="430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570">
        <f>F7-G7</f>
        <v>380000</v>
      </c>
      <c r="I7" s="430"/>
    </row>
    <row r="8" spans="2:10" ht="15.75" thickBot="1" x14ac:dyDescent="0.3">
      <c r="B8" s="194"/>
      <c r="C8" s="194"/>
      <c r="D8" s="194"/>
      <c r="E8" s="195"/>
      <c r="F8" s="195"/>
      <c r="G8" s="195"/>
      <c r="H8" s="567"/>
      <c r="I8" s="56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571">
        <f>H7</f>
        <v>380000</v>
      </c>
      <c r="I9" s="470"/>
    </row>
    <row r="10" spans="2:10" x14ac:dyDescent="0.25">
      <c r="B10" s="194"/>
      <c r="C10" s="194"/>
      <c r="D10" s="194"/>
      <c r="E10" s="195"/>
      <c r="F10" s="195"/>
      <c r="G10" s="195"/>
      <c r="H10" s="567"/>
      <c r="I10" s="567"/>
    </row>
    <row r="11" spans="2:10" x14ac:dyDescent="0.25">
      <c r="B11" s="194"/>
      <c r="C11" s="194"/>
      <c r="D11" s="194"/>
      <c r="E11" s="195"/>
      <c r="F11" s="195"/>
      <c r="G11" s="195"/>
      <c r="H11" s="567"/>
      <c r="I11" s="567"/>
    </row>
    <row r="12" spans="2:10" x14ac:dyDescent="0.25">
      <c r="B12" s="194"/>
      <c r="C12" s="194"/>
      <c r="D12" s="194"/>
      <c r="E12" s="195"/>
      <c r="F12" s="195"/>
      <c r="G12" s="195"/>
      <c r="H12" s="567"/>
      <c r="I12" s="567"/>
    </row>
    <row r="13" spans="2:10" x14ac:dyDescent="0.25">
      <c r="B13" s="194"/>
      <c r="C13" s="194"/>
      <c r="D13" s="194"/>
      <c r="E13" s="195"/>
      <c r="F13" s="195"/>
      <c r="G13" s="195"/>
      <c r="H13" s="567"/>
      <c r="I13" s="567"/>
    </row>
    <row r="14" spans="2:10" x14ac:dyDescent="0.25">
      <c r="B14" s="194"/>
      <c r="C14" s="194"/>
      <c r="D14" s="194"/>
      <c r="E14" s="195"/>
      <c r="F14" s="195"/>
      <c r="G14" s="195"/>
      <c r="H14" s="567"/>
      <c r="I14" s="567"/>
    </row>
    <row r="15" spans="2:10" x14ac:dyDescent="0.25">
      <c r="B15" s="194"/>
      <c r="C15" s="194"/>
      <c r="D15" s="194"/>
      <c r="E15" s="195"/>
      <c r="F15" s="195"/>
      <c r="G15" s="195"/>
      <c r="H15" s="567"/>
      <c r="I15" s="567"/>
    </row>
    <row r="16" spans="2:10" x14ac:dyDescent="0.25">
      <c r="B16" s="194"/>
      <c r="C16" s="194"/>
      <c r="D16" s="194"/>
      <c r="E16" s="195"/>
      <c r="F16" s="195"/>
      <c r="G16" s="195"/>
      <c r="H16" s="567"/>
      <c r="I16" s="567"/>
    </row>
    <row r="17" spans="2:9" x14ac:dyDescent="0.25">
      <c r="B17" s="194"/>
      <c r="C17" s="194"/>
      <c r="D17" s="194"/>
      <c r="E17" s="195"/>
      <c r="F17" s="195"/>
      <c r="G17" s="195"/>
      <c r="H17" s="567"/>
      <c r="I17" s="567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R6" sqref="R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25" t="s">
        <v>81</v>
      </c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5"/>
      <c r="Q2" s="405"/>
      <c r="R2" s="405"/>
      <c r="S2" s="404"/>
      <c r="T2" s="404"/>
    </row>
    <row r="3" spans="1:65" ht="15.75" thickBot="1" x14ac:dyDescent="0.3">
      <c r="C3" s="405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31" t="s">
        <v>84</v>
      </c>
      <c r="Y5" s="398"/>
      <c r="Z5" s="398"/>
      <c r="AA5" s="398"/>
      <c r="AB5" s="398"/>
      <c r="AC5" s="398"/>
      <c r="AD5" s="398"/>
      <c r="AE5" s="398"/>
      <c r="AF5" s="398"/>
      <c r="AG5" s="398"/>
      <c r="AH5" s="398"/>
      <c r="AI5" s="398"/>
      <c r="AJ5" s="398"/>
      <c r="AK5" s="398"/>
      <c r="AL5" s="398"/>
      <c r="AM5" s="398"/>
      <c r="AN5" s="39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26" t="s">
        <v>1</v>
      </c>
      <c r="Y6" s="426" t="s">
        <v>85</v>
      </c>
      <c r="Z6" s="430" t="s">
        <v>86</v>
      </c>
      <c r="AA6" s="427"/>
      <c r="AB6" s="427"/>
      <c r="AC6" s="427"/>
      <c r="AD6" s="427"/>
      <c r="AE6" s="427"/>
      <c r="AF6" s="427"/>
      <c r="AG6" s="427"/>
      <c r="AH6" s="427"/>
      <c r="AI6" s="427"/>
      <c r="AJ6" s="427"/>
      <c r="AK6" s="427"/>
      <c r="AL6" s="427"/>
      <c r="AM6" s="427"/>
      <c r="AN6" s="42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27"/>
      <c r="Y7" s="427"/>
      <c r="Z7" s="430" t="s">
        <v>87</v>
      </c>
      <c r="AA7" s="427"/>
      <c r="AB7" s="427"/>
      <c r="AC7" s="427"/>
      <c r="AD7" s="430" t="s">
        <v>88</v>
      </c>
      <c r="AE7" s="427"/>
      <c r="AF7" s="427"/>
      <c r="AG7" s="427"/>
      <c r="AH7" s="427"/>
      <c r="AI7" s="427"/>
      <c r="AJ7" s="427"/>
      <c r="AK7" s="427"/>
      <c r="AL7" s="427"/>
      <c r="AM7" s="427"/>
      <c r="AN7" s="42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27"/>
      <c r="Y8" s="42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28" t="s">
        <v>142</v>
      </c>
      <c r="AB49" s="429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35" t="s">
        <v>170</v>
      </c>
      <c r="AJ50" s="436"/>
      <c r="AK50" s="436"/>
      <c r="AL50" s="43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32" t="s">
        <v>176</v>
      </c>
      <c r="AJ51" s="433"/>
      <c r="AK51" s="433"/>
      <c r="AL51" s="43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38"/>
      <c r="AD55" s="438"/>
      <c r="AI55" s="435" t="s">
        <v>174</v>
      </c>
      <c r="AJ55" s="436"/>
      <c r="AK55" s="436"/>
      <c r="AL55" s="43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17" t="s">
        <v>168</v>
      </c>
      <c r="AJ56" s="417"/>
      <c r="AK56" s="417"/>
      <c r="AL56" s="41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18" t="s">
        <v>177</v>
      </c>
      <c r="D69" s="419"/>
      <c r="E69" s="419"/>
      <c r="F69" s="419"/>
      <c r="G69" s="420"/>
      <c r="I69" s="424" t="s">
        <v>178</v>
      </c>
      <c r="J69" s="424"/>
      <c r="K69" s="424"/>
      <c r="L69" s="424"/>
      <c r="M69" s="424"/>
    </row>
    <row r="70" spans="3:19" ht="18.75" customHeight="1" x14ac:dyDescent="0.25">
      <c r="C70" s="421"/>
      <c r="D70" s="422"/>
      <c r="E70" s="422"/>
      <c r="F70" s="422"/>
      <c r="G70" s="423"/>
      <c r="I70" s="424"/>
      <c r="J70" s="424"/>
      <c r="K70" s="424"/>
      <c r="L70" s="424"/>
      <c r="M70" s="42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17" t="s">
        <v>214</v>
      </c>
      <c r="Q76" s="41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zoomScale="75" zoomScaleNormal="75" workbookViewId="0">
      <selection activeCell="O9" sqref="O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296"/>
      <c r="B3" s="296"/>
      <c r="C3" s="425" t="s">
        <v>469</v>
      </c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5"/>
      <c r="Q3" s="405"/>
      <c r="R3" s="405"/>
      <c r="S3" s="404"/>
      <c r="T3" s="404"/>
      <c r="U3" s="296"/>
      <c r="V3" s="296"/>
    </row>
    <row r="4" spans="1:22" ht="15.75" thickBot="1" x14ac:dyDescent="0.3">
      <c r="A4" s="296"/>
      <c r="B4" s="296"/>
      <c r="C4" s="405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296"/>
      <c r="V4" s="296"/>
    </row>
    <row r="5" spans="1:22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15" priority="5">
      <formula>IF(ISBLANK($B$4), 0, SEARCH($B$4,$B7))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39" t="s">
        <v>300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</row>
    <row r="3" spans="1:23" x14ac:dyDescent="0.25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</row>
    <row r="5" spans="1:23" x14ac:dyDescent="0.25">
      <c r="A5" s="424" t="s">
        <v>303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M5" s="450" t="s">
        <v>499</v>
      </c>
      <c r="N5" s="424"/>
      <c r="O5" s="424"/>
      <c r="P5" s="424"/>
      <c r="Q5" s="424"/>
      <c r="R5" s="424"/>
      <c r="S5" s="424"/>
      <c r="T5" s="424"/>
      <c r="U5" s="424"/>
      <c r="V5" s="424"/>
      <c r="W5" s="424"/>
    </row>
    <row r="6" spans="1:23" x14ac:dyDescent="0.25">
      <c r="A6" s="424"/>
      <c r="B6" s="424"/>
      <c r="C6" s="424"/>
      <c r="D6" s="424"/>
      <c r="E6" s="424"/>
      <c r="F6" s="424"/>
      <c r="G6" s="424"/>
      <c r="H6" s="424"/>
      <c r="I6" s="424"/>
      <c r="J6" s="424"/>
      <c r="K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444" t="s">
        <v>312</v>
      </c>
      <c r="C35" s="445"/>
      <c r="D35" s="446"/>
      <c r="E35" s="440">
        <f>E34-F34</f>
        <v>2610871.1799999997</v>
      </c>
      <c r="F35" s="441"/>
      <c r="M35" s="249"/>
      <c r="N35" s="444" t="s">
        <v>312</v>
      </c>
      <c r="O35" s="445"/>
      <c r="P35" s="446"/>
      <c r="Q35" s="440">
        <f>Q34-R34</f>
        <v>1853144.27</v>
      </c>
      <c r="R35" s="441"/>
      <c r="S35" s="249"/>
      <c r="T35" s="249"/>
      <c r="U35" s="249"/>
      <c r="V35" s="249"/>
      <c r="W35" s="249"/>
    </row>
    <row r="36" spans="2:23" ht="15.75" thickBot="1" x14ac:dyDescent="0.3">
      <c r="B36" s="447"/>
      <c r="C36" s="448"/>
      <c r="D36" s="449"/>
      <c r="E36" s="442"/>
      <c r="F36" s="443"/>
      <c r="M36" s="249"/>
      <c r="N36" s="447"/>
      <c r="O36" s="448"/>
      <c r="P36" s="449"/>
      <c r="Q36" s="442"/>
      <c r="R36" s="443"/>
      <c r="S36" s="249"/>
      <c r="T36" s="249"/>
      <c r="U36" s="249"/>
      <c r="V36" s="249"/>
      <c r="W36" s="249"/>
    </row>
    <row r="42" spans="2:23" x14ac:dyDescent="0.25">
      <c r="Q42" s="315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opLeftCell="M47" zoomScale="70" zoomScaleNormal="70" workbookViewId="0">
      <selection activeCell="J6" sqref="J6:P80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24" t="s">
        <v>365</v>
      </c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>IF(ISNUMBER(SEARCH("SENIOR DISKON",D4)),100000,IF(ISNUMBER(SEARCH("SENIOR",D4)),150000,IF(ISNUMBER(SEARCH("MABA",D4)),125000,0)))</f>
        <v>125000</v>
      </c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>IF(ISNUMBER(SEARCH("SENIOR DISKON",D6)),100000,IF(ISNUMBER(SEARCH("SENIOR",D6)),150000,IF(ISNUMBER(SEARCH("MABA",D6)),125000,0)))</f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466" t="s">
        <v>502</v>
      </c>
      <c r="S6" s="466"/>
      <c r="T6" s="467"/>
      <c r="U6" s="467"/>
      <c r="V6" s="467"/>
      <c r="W6" s="467"/>
      <c r="X6" s="467"/>
      <c r="Y6" s="467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>IF(ISNUMBER(SEARCH("SENIOR DISKON",D7)),100000,IF(ISNUMBER(SEARCH("SENIOR",D7)),150000,IF(ISNUMBER(SEARCH("MABA",D7)),125000,0)))</f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467"/>
      <c r="S7" s="467"/>
      <c r="T7" s="467"/>
      <c r="U7" s="467"/>
      <c r="V7" s="467"/>
      <c r="W7" s="467"/>
      <c r="X7" s="467"/>
      <c r="Y7" s="467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>IF(ISNUMBER(SEARCH("SENIOR DISKON",D8)),100000,IF(ISNUMBER(SEARCH("SENIOR",D8)),150000,IF(ISNUMBER(SEARCH("MABA",D8)),125000,0)))</f>
        <v>100000</v>
      </c>
      <c r="I8" s="277"/>
      <c r="J8" s="1">
        <v>2</v>
      </c>
      <c r="K8" s="329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0">M8*N8</f>
        <v>500000</v>
      </c>
      <c r="Q8" s="277"/>
      <c r="R8" s="467"/>
      <c r="S8" s="467"/>
      <c r="T8" s="467"/>
      <c r="U8" s="467"/>
      <c r="V8" s="467"/>
      <c r="W8" s="467"/>
      <c r="X8" s="467"/>
      <c r="Y8" s="467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>IF(ISNUMBER(SEARCH("SENIOR DISKON",D9)),100000,IF(ISNUMBER(SEARCH("SENIOR",D9)),150000,IF(ISNUMBER(SEARCH("MABA",D9)),125000,0)))</f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0"/>
        <v>0</v>
      </c>
      <c r="Q9" s="277"/>
      <c r="R9" s="467"/>
      <c r="S9" s="467"/>
      <c r="T9" s="467"/>
      <c r="U9" s="467"/>
      <c r="V9" s="467"/>
      <c r="W9" s="467"/>
      <c r="X9" s="467"/>
      <c r="Y9" s="467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>IF(ISNUMBER(SEARCH("SENIOR DISKON",D10)),100000,IF(ISNUMBER(SEARCH("SENIOR",D10)),150000,IF(ISNUMBER(SEARCH("MABA",D10)),125000,0)))</f>
        <v>125000</v>
      </c>
      <c r="I10" s="277"/>
      <c r="J10" s="1">
        <v>4</v>
      </c>
      <c r="K10" s="330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0"/>
        <v>1500</v>
      </c>
      <c r="Q10" s="277"/>
      <c r="R10" s="467"/>
      <c r="S10" s="467"/>
      <c r="T10" s="467"/>
      <c r="U10" s="467"/>
      <c r="V10" s="467"/>
      <c r="W10" s="467"/>
      <c r="X10" s="467"/>
      <c r="Y10" s="467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>IF(ISNUMBER(SEARCH("SENIOR DISKON",D11)),100000,IF(ISNUMBER(SEARCH("SENIOR",D11)),150000,IF(ISNUMBER(SEARCH("MABA",D11)),125000,0)))</f>
        <v>100000</v>
      </c>
      <c r="I11" s="277"/>
      <c r="J11" s="1">
        <v>5</v>
      </c>
      <c r="K11" s="330" t="s">
        <v>383</v>
      </c>
      <c r="L11" s="351" t="s">
        <v>385</v>
      </c>
      <c r="M11" s="352">
        <v>1</v>
      </c>
      <c r="N11" s="353">
        <v>25500</v>
      </c>
      <c r="O11" s="354"/>
      <c r="P11" s="347">
        <f t="shared" si="0"/>
        <v>25500</v>
      </c>
      <c r="Q11" s="277"/>
      <c r="R11" s="467"/>
      <c r="S11" s="467"/>
      <c r="T11" s="467"/>
      <c r="U11" s="467"/>
      <c r="V11" s="467"/>
      <c r="W11" s="467"/>
      <c r="X11" s="467"/>
      <c r="Y11" s="467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>IF(ISNUMBER(SEARCH("SENIOR DISKON",D12)),100000,IF(ISNUMBER(SEARCH("SENIOR",D12)),150000,IF(ISNUMBER(SEARCH("MABA",D12)),125000,0)))</f>
        <v>100000</v>
      </c>
      <c r="I12" s="277"/>
      <c r="J12" s="1">
        <v>6</v>
      </c>
      <c r="K12" s="331" t="s">
        <v>386</v>
      </c>
      <c r="L12" s="355" t="s">
        <v>387</v>
      </c>
      <c r="M12" s="344">
        <v>1</v>
      </c>
      <c r="N12" s="356">
        <v>13000</v>
      </c>
      <c r="O12" s="357"/>
      <c r="P12" s="347">
        <f t="shared" si="0"/>
        <v>13000</v>
      </c>
      <c r="Q12" s="277"/>
      <c r="R12" s="467"/>
      <c r="S12" s="467"/>
      <c r="T12" s="467"/>
      <c r="U12" s="467"/>
      <c r="V12" s="467"/>
      <c r="W12" s="467"/>
      <c r="X12" s="467"/>
      <c r="Y12" s="467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>IF(ISNUMBER(SEARCH("SENIOR DISKON",D13)),100000,IF(ISNUMBER(SEARCH("SENIOR",D13)),150000,IF(ISNUMBER(SEARCH("MABA",D13)),125000,0)))</f>
        <v>100000</v>
      </c>
      <c r="I13" s="277"/>
      <c r="J13" s="1">
        <v>7</v>
      </c>
      <c r="K13" s="332" t="s">
        <v>390</v>
      </c>
      <c r="L13" s="358" t="s">
        <v>493</v>
      </c>
      <c r="M13" s="348">
        <v>3</v>
      </c>
      <c r="N13" s="359">
        <v>750</v>
      </c>
      <c r="O13" s="357"/>
      <c r="P13" s="347">
        <f t="shared" si="0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>IF(ISNUMBER(SEARCH("SENIOR DISKON",D14)),100000,IF(ISNUMBER(SEARCH("SENIOR",D14)),150000,IF(ISNUMBER(SEARCH("MABA",D14)),125000,0)))</f>
        <v>150000</v>
      </c>
      <c r="I14" s="277"/>
      <c r="J14" s="1">
        <v>8</v>
      </c>
      <c r="K14" s="332" t="s">
        <v>391</v>
      </c>
      <c r="L14" s="358" t="s">
        <v>392</v>
      </c>
      <c r="M14" s="344">
        <v>6</v>
      </c>
      <c r="N14" s="356">
        <v>15000</v>
      </c>
      <c r="O14" s="347"/>
      <c r="P14" s="347">
        <f t="shared" si="0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>IF(ISNUMBER(SEARCH("SENIOR DISKON",D15)),100000,IF(ISNUMBER(SEARCH("SENIOR",D15)),150000,IF(ISNUMBER(SEARCH("MABA",D15)),125000,0)))</f>
        <v>125000</v>
      </c>
      <c r="I15" s="277"/>
      <c r="J15" s="1">
        <v>9</v>
      </c>
      <c r="K15" s="329" t="s">
        <v>394</v>
      </c>
      <c r="L15" s="358" t="s">
        <v>399</v>
      </c>
      <c r="M15" s="348">
        <v>8</v>
      </c>
      <c r="N15" s="359">
        <v>15000</v>
      </c>
      <c r="O15" s="347"/>
      <c r="P15" s="347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>IF(ISNUMBER(SEARCH("SENIOR DISKON",D16)),100000,IF(ISNUMBER(SEARCH("SENIOR",D16)),150000,IF(ISNUMBER(SEARCH("MABA",D16)),125000,0)))</f>
        <v>150000</v>
      </c>
      <c r="I16" s="277"/>
      <c r="J16" s="1">
        <v>10</v>
      </c>
      <c r="K16" s="329" t="s">
        <v>394</v>
      </c>
      <c r="L16" s="358" t="s">
        <v>398</v>
      </c>
      <c r="M16" s="348">
        <v>1</v>
      </c>
      <c r="N16" s="359">
        <v>3500</v>
      </c>
      <c r="O16" s="347"/>
      <c r="P16" s="347">
        <f>M16*N16</f>
        <v>3500</v>
      </c>
      <c r="Q16" s="277"/>
      <c r="R16" s="471" t="s">
        <v>409</v>
      </c>
      <c r="S16" s="471"/>
      <c r="T16" s="471"/>
      <c r="U16" s="471"/>
      <c r="V16" s="471"/>
      <c r="W16" s="471"/>
      <c r="X16" s="253"/>
      <c r="AA16" s="475" t="s">
        <v>454</v>
      </c>
      <c r="AB16" s="475"/>
      <c r="AC16" s="475"/>
      <c r="AD16" s="475"/>
      <c r="AE16" s="475"/>
      <c r="AF16" s="475"/>
      <c r="AG16" s="475"/>
      <c r="AH16" s="475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>IF(ISNUMBER(SEARCH("SENIOR DISKON",D17)),100000,IF(ISNUMBER(SEARCH("SENIOR",D17)),150000,IF(ISNUMBER(SEARCH("MABA",D17)),125000,0)))</f>
        <v>125000</v>
      </c>
      <c r="I17" s="277"/>
      <c r="J17" s="1">
        <v>11</v>
      </c>
      <c r="K17" s="329" t="s">
        <v>401</v>
      </c>
      <c r="L17" s="358" t="s">
        <v>402</v>
      </c>
      <c r="M17" s="348">
        <v>1</v>
      </c>
      <c r="N17" s="359">
        <v>3000</v>
      </c>
      <c r="O17" s="347"/>
      <c r="P17" s="347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595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>IF(ISNUMBER(SEARCH("SENIOR DISKON",D18)),100000,IF(ISNUMBER(SEARCH("SENIOR",D18)),150000,IF(ISNUMBER(SEARCH("MABA",D18)),125000,0)))</f>
        <v>125000</v>
      </c>
      <c r="I18" s="277"/>
      <c r="J18" s="1">
        <v>12</v>
      </c>
      <c r="K18" s="330" t="s">
        <v>408</v>
      </c>
      <c r="L18" s="358" t="s">
        <v>414</v>
      </c>
      <c r="M18" s="348">
        <v>2</v>
      </c>
      <c r="N18" s="359">
        <v>31000</v>
      </c>
      <c r="O18" s="357"/>
      <c r="P18" s="347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595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>IF(ISNUMBER(SEARCH("SENIOR DISKON",D19)),100000,IF(ISNUMBER(SEARCH("SENIOR",D19)),150000,IF(ISNUMBER(SEARCH("MABA",D19)),125000,0)))</f>
        <v>100000</v>
      </c>
      <c r="I19" s="277"/>
      <c r="J19" s="1">
        <v>13</v>
      </c>
      <c r="K19" s="330" t="s">
        <v>408</v>
      </c>
      <c r="L19" s="358" t="s">
        <v>415</v>
      </c>
      <c r="M19" s="344">
        <v>1</v>
      </c>
      <c r="N19" s="356">
        <v>15900</v>
      </c>
      <c r="O19" s="357"/>
      <c r="P19" s="347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4" si="1">U19*V19</f>
        <v>226800</v>
      </c>
      <c r="AA19" s="594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40" si="2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>IF(ISNUMBER(SEARCH("SENIOR DISKON",D20)),100000,IF(ISNUMBER(SEARCH("SENIOR",D20)),150000,IF(ISNUMBER(SEARCH("MABA",D20)),125000,0)))</f>
        <v>150000</v>
      </c>
      <c r="I20" s="277"/>
      <c r="J20" s="1">
        <v>14</v>
      </c>
      <c r="K20" s="59" t="s">
        <v>421</v>
      </c>
      <c r="L20" s="373" t="s">
        <v>452</v>
      </c>
      <c r="M20" s="366">
        <v>1</v>
      </c>
      <c r="N20" s="374">
        <v>70000</v>
      </c>
      <c r="O20" s="368"/>
      <c r="P20" s="369">
        <f t="shared" ref="P20:P26" si="3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1"/>
        <v>31000</v>
      </c>
      <c r="AA20" s="595">
        <v>3</v>
      </c>
      <c r="AB20" s="592" t="s">
        <v>45</v>
      </c>
      <c r="AC20" s="301" t="s">
        <v>465</v>
      </c>
      <c r="AD20" s="133"/>
      <c r="AE20" s="133">
        <v>1</v>
      </c>
      <c r="AF20" s="593">
        <f t="shared" ref="AF20:AF33" si="4">AD20*30000</f>
        <v>0</v>
      </c>
      <c r="AG20" s="593">
        <f t="shared" ref="AG20:AG40" si="5">AE20*100000</f>
        <v>100000</v>
      </c>
      <c r="AH20" s="593">
        <f t="shared" si="2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>IF(ISNUMBER(SEARCH("SENIOR DISKON",D21)),100000,IF(ISNUMBER(SEARCH("SENIOR",D21)),150000,IF(ISNUMBER(SEARCH("MABA",D21)),125000,0)))</f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3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1"/>
        <v>15500</v>
      </c>
      <c r="AA21" s="594">
        <v>4</v>
      </c>
      <c r="AB21" s="301" t="s">
        <v>44</v>
      </c>
      <c r="AC21" s="301" t="s">
        <v>466</v>
      </c>
      <c r="AD21" s="133">
        <v>1</v>
      </c>
      <c r="AE21" s="133"/>
      <c r="AF21" s="593">
        <f t="shared" si="4"/>
        <v>30000</v>
      </c>
      <c r="AG21" s="593">
        <f t="shared" si="5"/>
        <v>0</v>
      </c>
      <c r="AH21" s="593">
        <f t="shared" si="2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>IF(ISNUMBER(SEARCH("SENIOR DISKON",D22)),100000,IF(ISNUMBER(SEARCH("SENIOR",D22)),150000,IF(ISNUMBER(SEARCH("MABA",D22)),125000,0)))</f>
        <v>125000</v>
      </c>
      <c r="I22" s="277"/>
      <c r="J22" s="1">
        <v>16</v>
      </c>
      <c r="K22" s="59" t="s">
        <v>487</v>
      </c>
      <c r="L22" s="375" t="s">
        <v>485</v>
      </c>
      <c r="M22" s="376">
        <v>1</v>
      </c>
      <c r="N22" s="377">
        <v>30000</v>
      </c>
      <c r="O22" s="378"/>
      <c r="P22" s="379">
        <f t="shared" si="3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1"/>
        <v>31000</v>
      </c>
      <c r="AA22" s="595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4"/>
        <v>0</v>
      </c>
      <c r="AG22" s="303">
        <f t="shared" si="5"/>
        <v>400000</v>
      </c>
      <c r="AH22" s="303">
        <f t="shared" si="2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>IF(ISNUMBER(SEARCH("SENIOR DISKON",D23)),100000,IF(ISNUMBER(SEARCH("SENIOR",D23)),150000,IF(ISNUMBER(SEARCH("MABA",D23)),125000,0)))</f>
        <v>150000</v>
      </c>
      <c r="I23" s="277"/>
      <c r="J23" s="1">
        <v>17</v>
      </c>
      <c r="K23" s="59" t="s">
        <v>475</v>
      </c>
      <c r="L23" s="375" t="s">
        <v>486</v>
      </c>
      <c r="M23" s="376">
        <v>1</v>
      </c>
      <c r="N23" s="377">
        <v>100000</v>
      </c>
      <c r="O23" s="378"/>
      <c r="P23" s="379">
        <f t="shared" si="3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1"/>
        <v>750000</v>
      </c>
      <c r="AA23" s="594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4"/>
        <v>30000</v>
      </c>
      <c r="AG23" s="303">
        <f t="shared" si="5"/>
        <v>0</v>
      </c>
      <c r="AH23" s="303">
        <f t="shared" si="2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>IF(ISNUMBER(SEARCH("SENIOR DISKON",D24)),100000,IF(ISNUMBER(SEARCH("SENIOR",D24)),150000,IF(ISNUMBER(SEARCH("MABA",D24)),125000,0)))</f>
        <v>125000</v>
      </c>
      <c r="I24" s="277"/>
      <c r="J24" s="1">
        <v>18</v>
      </c>
      <c r="K24" s="59" t="s">
        <v>487</v>
      </c>
      <c r="L24" s="341" t="s">
        <v>488</v>
      </c>
      <c r="M24" s="334">
        <v>10</v>
      </c>
      <c r="N24" s="342">
        <v>8000</v>
      </c>
      <c r="O24" s="324"/>
      <c r="P24" s="337">
        <f t="shared" si="3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1"/>
        <v>600000</v>
      </c>
      <c r="AA24" s="596">
        <v>7</v>
      </c>
      <c r="AB24" s="141" t="s">
        <v>52</v>
      </c>
      <c r="AC24" s="141" t="s">
        <v>473</v>
      </c>
      <c r="AD24" s="23">
        <v>3</v>
      </c>
      <c r="AE24" s="23"/>
      <c r="AF24" s="588">
        <f t="shared" si="4"/>
        <v>90000</v>
      </c>
      <c r="AG24" s="588">
        <f t="shared" si="5"/>
        <v>0</v>
      </c>
      <c r="AH24" s="588">
        <f t="shared" si="2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>IF(ISNUMBER(SEARCH("SENIOR DISKON",D25)),100000,IF(ISNUMBER(SEARCH("SENIOR",D25)),150000,IF(ISNUMBER(SEARCH("MABA",D25)),125000,0)))</f>
        <v>125000</v>
      </c>
      <c r="I25" s="277"/>
      <c r="J25" s="1">
        <v>19</v>
      </c>
      <c r="K25" s="59" t="s">
        <v>487</v>
      </c>
      <c r="L25" s="360" t="s">
        <v>424</v>
      </c>
      <c r="M25" s="348">
        <v>1</v>
      </c>
      <c r="N25" s="359">
        <v>50000</v>
      </c>
      <c r="O25" s="361"/>
      <c r="P25" s="347">
        <f t="shared" si="3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1"/>
        <v>750000</v>
      </c>
      <c r="AA25" s="459" t="s">
        <v>15</v>
      </c>
      <c r="AB25" s="460"/>
      <c r="AC25" s="460"/>
      <c r="AD25" s="460"/>
      <c r="AE25" s="461"/>
      <c r="AF25" s="458">
        <f>SUM(AH18:AH40)</f>
        <v>970000</v>
      </c>
      <c r="AG25" s="430"/>
      <c r="AH25" s="430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>IF(ISNUMBER(SEARCH("SENIOR DISKON",D26)),100000,IF(ISNUMBER(SEARCH("SENIOR",D26)),150000,IF(ISNUMBER(SEARCH("MABA",D26)),125000,0)))</f>
        <v>150000</v>
      </c>
      <c r="I26" s="277"/>
      <c r="J26" s="1">
        <v>20</v>
      </c>
      <c r="K26" s="59" t="s">
        <v>487</v>
      </c>
      <c r="L26" s="360" t="s">
        <v>464</v>
      </c>
      <c r="M26" s="344">
        <v>3</v>
      </c>
      <c r="N26" s="356">
        <v>7000</v>
      </c>
      <c r="O26" s="346"/>
      <c r="P26" s="347">
        <f t="shared" si="3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1"/>
        <v>54000</v>
      </c>
      <c r="AA26" s="589"/>
      <c r="AB26" s="24"/>
      <c r="AC26" s="24"/>
      <c r="AD26" s="24"/>
      <c r="AE26" s="24"/>
      <c r="AF26" s="591"/>
      <c r="AG26" s="591"/>
      <c r="AH26" s="591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>IF(ISNUMBER(SEARCH("SENIOR DISKON",D27)),100000,IF(ISNUMBER(SEARCH("SENIOR",D27)),150000,IF(ISNUMBER(SEARCH("MABA",D27)),125000,0)))</f>
        <v>125000</v>
      </c>
      <c r="I27" s="277"/>
      <c r="J27" s="1">
        <v>21</v>
      </c>
      <c r="K27" s="59" t="s">
        <v>491</v>
      </c>
      <c r="L27" s="333" t="s">
        <v>404</v>
      </c>
      <c r="M27" s="334">
        <v>53</v>
      </c>
      <c r="N27" s="335">
        <v>2250</v>
      </c>
      <c r="O27" s="336"/>
      <c r="P27" s="337">
        <f t="shared" ref="P27:P68" si="6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1"/>
        <v>19200</v>
      </c>
      <c r="AA27" s="590"/>
      <c r="AB27" s="24"/>
      <c r="AC27" s="24"/>
      <c r="AD27" s="24"/>
      <c r="AE27" s="24"/>
      <c r="AF27" s="591"/>
      <c r="AG27" s="591"/>
      <c r="AH27" s="591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>IF(ISNUMBER(SEARCH("SENIOR DISKON",D28)),100000,IF(ISNUMBER(SEARCH("SENIOR",D28)),150000,IF(ISNUMBER(SEARCH("MABA",D28)),125000,0)))</f>
        <v>100000</v>
      </c>
      <c r="I28" s="277"/>
      <c r="J28" s="1">
        <v>22</v>
      </c>
      <c r="K28" s="59" t="s">
        <v>491</v>
      </c>
      <c r="L28" s="333" t="s">
        <v>441</v>
      </c>
      <c r="M28" s="334">
        <v>12</v>
      </c>
      <c r="N28" s="335">
        <v>18900</v>
      </c>
      <c r="O28" s="336"/>
      <c r="P28" s="337">
        <f t="shared" si="6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1"/>
        <v>18000</v>
      </c>
      <c r="AA28" s="589"/>
      <c r="AB28" s="24"/>
      <c r="AC28" s="24"/>
      <c r="AD28" s="24"/>
      <c r="AE28" s="24"/>
      <c r="AF28" s="591"/>
      <c r="AG28" s="591"/>
      <c r="AH28" s="591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>IF(ISNUMBER(SEARCH("SENIOR DISKON",D29)),100000,IF(ISNUMBER(SEARCH("SENIOR",D29)),150000,IF(ISNUMBER(SEARCH("MABA",D29)),125000,0)))</f>
        <v>150000</v>
      </c>
      <c r="I29" s="277"/>
      <c r="J29" s="1">
        <v>23</v>
      </c>
      <c r="K29" s="59" t="s">
        <v>491</v>
      </c>
      <c r="L29" s="333" t="s">
        <v>405</v>
      </c>
      <c r="M29" s="338">
        <v>2</v>
      </c>
      <c r="N29" s="339">
        <v>15500</v>
      </c>
      <c r="O29" s="336"/>
      <c r="P29" s="337">
        <f t="shared" si="6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1"/>
        <v>13400</v>
      </c>
      <c r="AA29" s="590"/>
      <c r="AB29" s="24"/>
      <c r="AC29" s="24"/>
      <c r="AD29" s="24"/>
      <c r="AE29" s="24"/>
      <c r="AF29" s="591"/>
      <c r="AG29" s="591"/>
      <c r="AH29" s="591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>IF(ISNUMBER(SEARCH("SENIOR DISKON",D30)),100000,IF(ISNUMBER(SEARCH("SENIOR",D30)),150000,IF(ISNUMBER(SEARCH("MABA",D30)),125000,0)))</f>
        <v>125000</v>
      </c>
      <c r="I30" s="277"/>
      <c r="J30" s="1">
        <v>24</v>
      </c>
      <c r="K30" s="59" t="s">
        <v>491</v>
      </c>
      <c r="L30" s="333" t="s">
        <v>406</v>
      </c>
      <c r="M30" s="338">
        <v>1</v>
      </c>
      <c r="N30" s="339">
        <v>15500</v>
      </c>
      <c r="O30" s="336"/>
      <c r="P30" s="337">
        <f t="shared" si="6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1"/>
        <v>5800</v>
      </c>
      <c r="AA30" s="589"/>
      <c r="AB30" s="24"/>
      <c r="AC30" s="24"/>
      <c r="AD30" s="24"/>
      <c r="AE30" s="24"/>
      <c r="AF30" s="591"/>
      <c r="AG30" s="591"/>
      <c r="AH30" s="591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>IF(ISNUMBER(SEARCH("SENIOR DISKON",D31)),100000,IF(ISNUMBER(SEARCH("SENIOR",D31)),150000,IF(ISNUMBER(SEARCH("MABA",D31)),125000,0)))</f>
        <v>150000</v>
      </c>
      <c r="I31" s="277"/>
      <c r="J31" s="1">
        <v>25</v>
      </c>
      <c r="K31" s="59" t="s">
        <v>491</v>
      </c>
      <c r="L31" s="340" t="s">
        <v>407</v>
      </c>
      <c r="M31" s="334">
        <v>2</v>
      </c>
      <c r="N31" s="335">
        <v>15500</v>
      </c>
      <c r="O31" s="336"/>
      <c r="P31" s="337">
        <f t="shared" si="6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1"/>
        <v>9400</v>
      </c>
      <c r="AA31" s="590"/>
      <c r="AB31" s="24"/>
      <c r="AC31" s="24"/>
      <c r="AD31" s="24"/>
      <c r="AE31" s="24"/>
      <c r="AF31" s="591"/>
      <c r="AG31" s="591"/>
      <c r="AH31" s="591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>IF(ISNUMBER(SEARCH("SENIOR DISKON",D32)),100000,IF(ISNUMBER(SEARCH("SENIOR",D32)),150000,IF(ISNUMBER(SEARCH("MABA",D32)),125000,0)))</f>
        <v>150000</v>
      </c>
      <c r="I32" s="277"/>
      <c r="J32" s="1">
        <v>26</v>
      </c>
      <c r="K32" s="59" t="s">
        <v>491</v>
      </c>
      <c r="L32" s="333" t="s">
        <v>439</v>
      </c>
      <c r="M32" s="334">
        <v>50</v>
      </c>
      <c r="N32" s="335">
        <v>15000</v>
      </c>
      <c r="O32" s="336"/>
      <c r="P32" s="337">
        <f t="shared" si="6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1"/>
        <v>8800</v>
      </c>
      <c r="AA32" s="589"/>
      <c r="AB32" s="24"/>
      <c r="AC32" s="24"/>
      <c r="AD32" s="24"/>
      <c r="AE32" s="24"/>
      <c r="AF32" s="591"/>
      <c r="AG32" s="591"/>
      <c r="AH32" s="591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>IF(ISNUMBER(SEARCH("SENIOR DISKON",D33)),100000,IF(ISNUMBER(SEARCH("SENIOR",D33)),150000,IF(ISNUMBER(SEARCH("MABA",D33)),125000,0)))</f>
        <v>100000</v>
      </c>
      <c r="I33" s="277"/>
      <c r="J33" s="1">
        <v>27</v>
      </c>
      <c r="K33" s="59" t="s">
        <v>491</v>
      </c>
      <c r="L33" s="333" t="s">
        <v>437</v>
      </c>
      <c r="M33" s="334">
        <v>50</v>
      </c>
      <c r="N33" s="335">
        <v>12000</v>
      </c>
      <c r="O33" s="336"/>
      <c r="P33" s="337">
        <f t="shared" si="6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1"/>
        <v>20900</v>
      </c>
      <c r="AA33" s="590"/>
      <c r="AB33" s="24"/>
      <c r="AC33" s="24"/>
      <c r="AD33" s="24"/>
      <c r="AE33" s="24"/>
      <c r="AF33" s="591"/>
      <c r="AG33" s="591"/>
      <c r="AH33" s="591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>IF(ISNUMBER(SEARCH("SENIOR DISKON",D34)),100000,IF(ISNUMBER(SEARCH("SENIOR",D34)),150000,IF(ISNUMBER(SEARCH("MABA",D34)),125000,0)))</f>
        <v>150000</v>
      </c>
      <c r="I34" s="277"/>
      <c r="J34" s="1">
        <v>28</v>
      </c>
      <c r="K34" s="59" t="s">
        <v>491</v>
      </c>
      <c r="L34" s="336" t="s">
        <v>438</v>
      </c>
      <c r="M34" s="334">
        <v>50</v>
      </c>
      <c r="N34" s="335">
        <v>15000</v>
      </c>
      <c r="O34" s="336"/>
      <c r="P34" s="337">
        <f t="shared" si="6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1"/>
        <v>10800</v>
      </c>
      <c r="AA34" s="589"/>
      <c r="AB34" s="24"/>
      <c r="AC34" s="24"/>
      <c r="AD34" s="24"/>
      <c r="AE34" s="24"/>
      <c r="AF34" s="386"/>
      <c r="AG34" s="591"/>
      <c r="AH34" s="591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>IF(ISNUMBER(SEARCH("SENIOR DISKON",D35)),100000,IF(ISNUMBER(SEARCH("SENIOR",D35)),150000,IF(ISNUMBER(SEARCH("MABA",D35)),125000,0)))</f>
        <v>100000</v>
      </c>
      <c r="J35" s="1">
        <v>29</v>
      </c>
      <c r="K35" s="59" t="s">
        <v>491</v>
      </c>
      <c r="L35" s="336" t="s">
        <v>425</v>
      </c>
      <c r="M35" s="334">
        <v>3</v>
      </c>
      <c r="N35" s="335">
        <v>18000</v>
      </c>
      <c r="O35" s="336"/>
      <c r="P35" s="337">
        <f t="shared" si="6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1"/>
        <v>5000</v>
      </c>
      <c r="AA35" s="590"/>
      <c r="AB35" s="24"/>
      <c r="AC35" s="24"/>
      <c r="AD35" s="24"/>
      <c r="AE35" s="24"/>
      <c r="AF35" s="386"/>
      <c r="AG35" s="591"/>
      <c r="AH35" s="591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6" t="s">
        <v>426</v>
      </c>
      <c r="M36" s="334">
        <v>4</v>
      </c>
      <c r="N36" s="335">
        <v>4800</v>
      </c>
      <c r="O36" s="336"/>
      <c r="P36" s="337">
        <f t="shared" si="6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1"/>
        <v>7500</v>
      </c>
      <c r="AA36" s="589"/>
      <c r="AB36" s="24"/>
      <c r="AC36" s="24"/>
      <c r="AD36" s="24"/>
      <c r="AE36" s="24"/>
      <c r="AF36" s="386"/>
      <c r="AG36" s="591"/>
      <c r="AH36" s="591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>IF(ISNUMBER(SEARCH("SENIOR DISKON",D37)),100000,IF(ISNUMBER(SEARCH("SENIOR",D37)),150000,IF(ISNUMBER(SEARCH("MABA",D37)),125000,0)))</f>
        <v>125000</v>
      </c>
      <c r="J37" s="1">
        <v>31</v>
      </c>
      <c r="K37" s="59" t="s">
        <v>491</v>
      </c>
      <c r="L37" s="336" t="s">
        <v>427</v>
      </c>
      <c r="M37" s="334">
        <v>2</v>
      </c>
      <c r="N37" s="335">
        <v>9000</v>
      </c>
      <c r="O37" s="336"/>
      <c r="P37" s="337">
        <f t="shared" si="6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1"/>
        <v>2600</v>
      </c>
      <c r="AA37" s="590"/>
      <c r="AB37" s="24"/>
      <c r="AC37" s="24"/>
      <c r="AD37" s="24"/>
      <c r="AE37" s="24"/>
      <c r="AF37" s="386"/>
      <c r="AG37" s="591"/>
      <c r="AH37" s="591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>IF(ISNUMBER(SEARCH("SENIOR DISKON",D38)),100000,IF(ISNUMBER(SEARCH("SENIOR",D38)),150000,IF(ISNUMBER(SEARCH("MABA",D38)),125000,0)))</f>
        <v>150000</v>
      </c>
      <c r="J38" s="1">
        <v>32</v>
      </c>
      <c r="K38" s="59" t="s">
        <v>491</v>
      </c>
      <c r="L38" s="336" t="s">
        <v>428</v>
      </c>
      <c r="M38" s="334">
        <v>1</v>
      </c>
      <c r="N38" s="335">
        <v>13400</v>
      </c>
      <c r="O38" s="336"/>
      <c r="P38" s="337">
        <f t="shared" si="6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1"/>
        <v>12500</v>
      </c>
      <c r="AA38" s="589"/>
      <c r="AB38" s="24"/>
      <c r="AC38" s="24"/>
      <c r="AD38" s="24"/>
      <c r="AE38" s="24"/>
      <c r="AF38" s="386"/>
      <c r="AG38" s="591"/>
      <c r="AH38" s="386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>IF(ISNUMBER(SEARCH("SENIOR DISKON",D39)),100000,IF(ISNUMBER(SEARCH("SENIOR",D39)),150000,IF(ISNUMBER(SEARCH("MABA",D39)),125000,0)))</f>
        <v>150000</v>
      </c>
      <c r="J39" s="1">
        <v>33</v>
      </c>
      <c r="K39" s="59" t="s">
        <v>491</v>
      </c>
      <c r="L39" s="336" t="s">
        <v>429</v>
      </c>
      <c r="M39" s="334">
        <v>1</v>
      </c>
      <c r="N39" s="335">
        <v>5800</v>
      </c>
      <c r="O39" s="336"/>
      <c r="P39" s="337">
        <f t="shared" si="6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1"/>
        <v>80000</v>
      </c>
      <c r="AA39" s="590"/>
      <c r="AB39" s="24"/>
      <c r="AC39" s="24"/>
      <c r="AD39" s="24"/>
      <c r="AE39" s="24"/>
      <c r="AF39" s="386"/>
      <c r="AG39" s="591"/>
      <c r="AH39" s="386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>IF(ISNUMBER(SEARCH("SENIOR DISKON",D40)),100000,IF(ISNUMBER(SEARCH("SENIOR",D40)),150000,IF(ISNUMBER(SEARCH("MABA",D40)),125000,0)))</f>
        <v>100000</v>
      </c>
      <c r="J40" s="1">
        <v>34</v>
      </c>
      <c r="K40" s="59" t="s">
        <v>491</v>
      </c>
      <c r="L40" s="336" t="s">
        <v>431</v>
      </c>
      <c r="M40" s="334">
        <v>2</v>
      </c>
      <c r="N40" s="335">
        <v>4700</v>
      </c>
      <c r="O40" s="336"/>
      <c r="P40" s="337">
        <f t="shared" si="6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1"/>
        <v>50000</v>
      </c>
      <c r="AA40" s="589"/>
      <c r="AB40" s="24"/>
      <c r="AC40" s="24"/>
      <c r="AD40" s="24"/>
      <c r="AE40" s="24"/>
      <c r="AF40" s="386"/>
      <c r="AG40" s="591"/>
      <c r="AH40" s="386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>IF(ISNUMBER(SEARCH("SENIOR DISKON",D41)),100000,IF(ISNUMBER(SEARCH("SENIOR",D41)),150000,IF(ISNUMBER(SEARCH("MABA",D41)),125000,0)))</f>
        <v>150000</v>
      </c>
      <c r="J41" s="1">
        <v>35</v>
      </c>
      <c r="K41" s="59" t="s">
        <v>491</v>
      </c>
      <c r="L41" s="336" t="s">
        <v>432</v>
      </c>
      <c r="M41" s="334">
        <v>2</v>
      </c>
      <c r="N41" s="335">
        <v>4400</v>
      </c>
      <c r="O41" s="336"/>
      <c r="P41" s="337">
        <f t="shared" si="6"/>
        <v>8800</v>
      </c>
      <c r="R41" s="141">
        <v>24</v>
      </c>
      <c r="S41" s="390" t="s">
        <v>421</v>
      </c>
      <c r="T41" s="390" t="s">
        <v>512</v>
      </c>
      <c r="U41" s="23">
        <v>3</v>
      </c>
      <c r="V41" s="67">
        <v>7000</v>
      </c>
      <c r="W41" s="61">
        <f t="shared" si="1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>IF(ISNUMBER(SEARCH("SENIOR DISKON",D42)),100000,IF(ISNUMBER(SEARCH("SENIOR",D42)),150000,IF(ISNUMBER(SEARCH("MABA",D42)),125000,0)))</f>
        <v>125000</v>
      </c>
      <c r="J42" s="1">
        <v>36</v>
      </c>
      <c r="K42" s="59" t="s">
        <v>491</v>
      </c>
      <c r="L42" s="336" t="s">
        <v>430</v>
      </c>
      <c r="M42" s="334">
        <v>1</v>
      </c>
      <c r="N42" s="335">
        <v>20900</v>
      </c>
      <c r="O42" s="336"/>
      <c r="P42" s="337">
        <f t="shared" si="6"/>
        <v>20900</v>
      </c>
      <c r="R42" s="457" t="s">
        <v>15</v>
      </c>
      <c r="S42" s="457"/>
      <c r="T42" s="457"/>
      <c r="U42" s="457"/>
      <c r="V42" s="457"/>
      <c r="W42" s="56">
        <f ca="1">SUM(W18:W44)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>IF(ISNUMBER(SEARCH("SENIOR DISKON",D43)),100000,IF(ISNUMBER(SEARCH("SENIOR",D43)),150000,IF(ISNUMBER(SEARCH("MABA",D43)),125000,0)))</f>
        <v>150000</v>
      </c>
      <c r="J43" s="1">
        <v>37</v>
      </c>
      <c r="K43" s="59" t="s">
        <v>491</v>
      </c>
      <c r="L43" s="336" t="s">
        <v>433</v>
      </c>
      <c r="M43" s="334">
        <v>2</v>
      </c>
      <c r="N43" s="335">
        <v>5400</v>
      </c>
      <c r="O43" s="336"/>
      <c r="P43" s="337">
        <f t="shared" si="6"/>
        <v>10800</v>
      </c>
      <c r="R43" s="24"/>
      <c r="S43" s="385"/>
      <c r="T43" s="24"/>
      <c r="U43" s="194"/>
      <c r="V43" s="597"/>
      <c r="W43" s="386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>IF(ISNUMBER(SEARCH("SENIOR DISKON",D44)),100000,IF(ISNUMBER(SEARCH("SENIOR",D44)),150000,IF(ISNUMBER(SEARCH("MABA",D44)),125000,0)))</f>
        <v>125000</v>
      </c>
      <c r="J44" s="1">
        <v>38</v>
      </c>
      <c r="K44" s="59" t="s">
        <v>491</v>
      </c>
      <c r="L44" s="336" t="s">
        <v>434</v>
      </c>
      <c r="M44" s="334">
        <v>2</v>
      </c>
      <c r="N44" s="335">
        <v>2500</v>
      </c>
      <c r="O44" s="336"/>
      <c r="P44" s="337">
        <f t="shared" si="6"/>
        <v>5000</v>
      </c>
      <c r="R44" s="24"/>
      <c r="S44" s="385"/>
      <c r="T44" s="24"/>
      <c r="U44" s="194"/>
      <c r="V44" s="597"/>
      <c r="W44" s="386"/>
      <c r="AA44" s="475" t="s">
        <v>482</v>
      </c>
      <c r="AB44" s="475"/>
      <c r="AC44" s="475"/>
      <c r="AD44" s="475"/>
      <c r="AE44" s="475"/>
      <c r="AF44" s="132"/>
      <c r="AG44" s="473" t="s">
        <v>489</v>
      </c>
      <c r="AH44" s="474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9" t="s">
        <v>491</v>
      </c>
      <c r="L45" s="336" t="s">
        <v>435</v>
      </c>
      <c r="M45" s="334">
        <v>3</v>
      </c>
      <c r="N45" s="335">
        <v>2500</v>
      </c>
      <c r="O45" s="336"/>
      <c r="P45" s="337">
        <f t="shared" si="6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9" t="s">
        <v>491</v>
      </c>
      <c r="L46" s="336" t="s">
        <v>436</v>
      </c>
      <c r="M46" s="334">
        <v>1</v>
      </c>
      <c r="N46" s="335">
        <v>2600</v>
      </c>
      <c r="O46" s="336"/>
      <c r="P46" s="337">
        <f t="shared" si="6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56" t="s">
        <v>474</v>
      </c>
      <c r="AD46" s="56" t="s">
        <v>483</v>
      </c>
      <c r="AE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9" t="s">
        <v>491</v>
      </c>
      <c r="L47" s="336" t="s">
        <v>440</v>
      </c>
      <c r="M47" s="334">
        <v>1</v>
      </c>
      <c r="N47" s="335">
        <v>12500</v>
      </c>
      <c r="O47" s="336"/>
      <c r="P47" s="337">
        <f t="shared" si="6"/>
        <v>12500</v>
      </c>
      <c r="R47" s="288"/>
      <c r="S47" s="459" t="s">
        <v>412</v>
      </c>
      <c r="T47" s="460"/>
      <c r="U47" s="461"/>
      <c r="V47" s="462">
        <v>2764000</v>
      </c>
      <c r="W47" s="463"/>
      <c r="AA47" s="325">
        <v>1</v>
      </c>
      <c r="AB47" s="326" t="s">
        <v>53</v>
      </c>
      <c r="AC47" s="326">
        <v>90000</v>
      </c>
      <c r="AD47" s="326">
        <v>40000</v>
      </c>
      <c r="AE47" s="326">
        <f>AC47-AD47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>IF(ISNUMBER(SEARCH("SENIOR DISKON",D48)),100000,IF(ISNUMBER(SEARCH("SENIOR",D48)),150000,IF(ISNUMBER(SEARCH("MABA",D48)),125000,0)))</f>
        <v>125000</v>
      </c>
      <c r="J48" s="1">
        <v>42</v>
      </c>
      <c r="K48" s="59" t="s">
        <v>491</v>
      </c>
      <c r="L48" s="343" t="s">
        <v>418</v>
      </c>
      <c r="M48" s="344">
        <v>24</v>
      </c>
      <c r="N48" s="345">
        <v>5000</v>
      </c>
      <c r="O48" s="346"/>
      <c r="P48" s="347">
        <f t="shared" si="6"/>
        <v>120000</v>
      </c>
      <c r="R48" s="288"/>
      <c r="S48" s="459" t="s">
        <v>65</v>
      </c>
      <c r="T48" s="460"/>
      <c r="U48" s="461"/>
      <c r="V48" s="462">
        <f ca="1">W42</f>
        <v>2862450</v>
      </c>
      <c r="W48" s="463"/>
      <c r="AA48" s="325">
        <v>2</v>
      </c>
      <c r="AB48" s="327" t="s">
        <v>484</v>
      </c>
      <c r="AC48" s="326">
        <v>230000</v>
      </c>
      <c r="AD48" s="326">
        <v>52000</v>
      </c>
      <c r="AE48" s="326">
        <f t="shared" ref="AE48:AE63" si="7">AC48-AD48</f>
        <v>178000</v>
      </c>
    </row>
    <row r="49" spans="2:31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>IF(ISNUMBER(SEARCH("SENIOR DISKON",D49)),100000,IF(ISNUMBER(SEARCH("SENIOR",D49)),150000,IF(ISNUMBER(SEARCH("MABA",D49)),125000,0)))</f>
        <v>150000</v>
      </c>
      <c r="J49" s="1">
        <v>43</v>
      </c>
      <c r="K49" s="59" t="s">
        <v>491</v>
      </c>
      <c r="L49" s="343" t="s">
        <v>419</v>
      </c>
      <c r="M49" s="344">
        <v>4</v>
      </c>
      <c r="N49" s="345">
        <v>1200</v>
      </c>
      <c r="O49" s="346"/>
      <c r="P49" s="347">
        <f t="shared" si="6"/>
        <v>4800</v>
      </c>
      <c r="R49" s="288"/>
      <c r="S49" s="459" t="s">
        <v>413</v>
      </c>
      <c r="T49" s="460"/>
      <c r="U49" s="461"/>
      <c r="V49" s="462">
        <f ca="1">V47-V48</f>
        <v>-98450</v>
      </c>
      <c r="W49" s="463"/>
      <c r="AA49" s="325">
        <v>3</v>
      </c>
      <c r="AB49" s="327" t="s">
        <v>52</v>
      </c>
      <c r="AC49" s="326">
        <v>90000</v>
      </c>
      <c r="AD49" s="326">
        <v>29000</v>
      </c>
      <c r="AE49" s="326">
        <f t="shared" si="7"/>
        <v>61000</v>
      </c>
    </row>
    <row r="50" spans="2:31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>IF(ISNUMBER(SEARCH("SENIOR DISKON",D50)),100000,IF(ISNUMBER(SEARCH("SENIOR",D50)),150000,IF(ISNUMBER(SEARCH("MABA",D50)),125000,0)))</f>
        <v>150000</v>
      </c>
      <c r="J50" s="1">
        <v>44</v>
      </c>
      <c r="K50" s="59" t="s">
        <v>491</v>
      </c>
      <c r="L50" s="343" t="s">
        <v>442</v>
      </c>
      <c r="M50" s="348">
        <v>3</v>
      </c>
      <c r="N50" s="349">
        <v>13500</v>
      </c>
      <c r="O50" s="346"/>
      <c r="P50" s="347">
        <f t="shared" si="6"/>
        <v>40500</v>
      </c>
      <c r="S50" s="288"/>
      <c r="AA50" s="325">
        <v>4</v>
      </c>
      <c r="AB50" s="327" t="s">
        <v>467</v>
      </c>
      <c r="AC50" s="328">
        <v>400000</v>
      </c>
      <c r="AD50" s="328">
        <v>0</v>
      </c>
      <c r="AE50" s="326">
        <f t="shared" si="7"/>
        <v>400000</v>
      </c>
    </row>
    <row r="51" spans="2:31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>IF(ISNUMBER(SEARCH("SENIOR DISKON",D51)),100000,IF(ISNUMBER(SEARCH("SENIOR",D51)),150000,IF(ISNUMBER(SEARCH("MABA",D51)),125000,0)))</f>
        <v>150000</v>
      </c>
      <c r="J51" s="1">
        <v>45</v>
      </c>
      <c r="K51" s="59" t="s">
        <v>491</v>
      </c>
      <c r="L51" s="343" t="s">
        <v>420</v>
      </c>
      <c r="M51" s="348">
        <v>5</v>
      </c>
      <c r="N51" s="349">
        <v>7000</v>
      </c>
      <c r="O51" s="346"/>
      <c r="P51" s="347">
        <f t="shared" si="6"/>
        <v>35000</v>
      </c>
      <c r="AA51" s="325">
        <v>5</v>
      </c>
      <c r="AB51" s="327" t="s">
        <v>31</v>
      </c>
      <c r="AC51" s="326">
        <v>30000</v>
      </c>
      <c r="AD51" s="326"/>
      <c r="AE51" s="326">
        <f t="shared" si="7"/>
        <v>30000</v>
      </c>
    </row>
    <row r="52" spans="2:31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>IF(ISNUMBER(SEARCH("SENIOR DISKON",D52)),100000,IF(ISNUMBER(SEARCH("SENIOR",D52)),150000,IF(ISNUMBER(SEARCH("MABA",D52)),125000,0)))</f>
        <v>150000</v>
      </c>
      <c r="J52" s="1">
        <v>46</v>
      </c>
      <c r="K52" s="59" t="s">
        <v>491</v>
      </c>
      <c r="L52" s="350" t="s">
        <v>422</v>
      </c>
      <c r="M52" s="344">
        <v>1</v>
      </c>
      <c r="N52" s="345">
        <v>18000</v>
      </c>
      <c r="O52" s="346"/>
      <c r="P52" s="347">
        <f t="shared" si="6"/>
        <v>18000</v>
      </c>
      <c r="R52" s="472" t="s">
        <v>416</v>
      </c>
      <c r="S52" s="472"/>
      <c r="T52" s="472"/>
      <c r="U52" s="472"/>
      <c r="V52" s="472"/>
      <c r="W52" s="472"/>
      <c r="AA52" s="317">
        <v>6</v>
      </c>
      <c r="AB52" s="56"/>
      <c r="AC52" s="56"/>
      <c r="AD52" s="56"/>
      <c r="AE52" s="56">
        <f t="shared" si="7"/>
        <v>0</v>
      </c>
    </row>
    <row r="53" spans="2:31" s="284" customFormat="1" x14ac:dyDescent="0.25">
      <c r="B53" s="57">
        <v>50</v>
      </c>
      <c r="C53" s="57"/>
      <c r="D53" s="57"/>
      <c r="E53" s="57"/>
      <c r="F53" s="57"/>
      <c r="G53" s="56">
        <f>IF(ISNUMBER(SEARCH("SENIOR DISKON",D53)),100000,IF(ISNUMBER(SEARCH("SENIOR",D53)),150000,IF(ISNUMBER(SEARCH("MABA",D53)),125000,0)))</f>
        <v>0</v>
      </c>
      <c r="J53" s="1">
        <v>47</v>
      </c>
      <c r="K53" s="59" t="s">
        <v>491</v>
      </c>
      <c r="L53" s="343" t="s">
        <v>423</v>
      </c>
      <c r="M53" s="344">
        <v>2</v>
      </c>
      <c r="N53" s="345">
        <v>18000</v>
      </c>
      <c r="O53" s="346"/>
      <c r="P53" s="347">
        <f t="shared" si="6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56"/>
      <c r="AD53" s="56"/>
      <c r="AE53" s="56">
        <f t="shared" si="7"/>
        <v>0</v>
      </c>
    </row>
    <row r="54" spans="2:31" s="284" customFormat="1" x14ac:dyDescent="0.25">
      <c r="B54" s="57">
        <v>51</v>
      </c>
      <c r="C54" s="57"/>
      <c r="D54" s="57"/>
      <c r="E54" s="57"/>
      <c r="F54" s="57"/>
      <c r="G54" s="56">
        <f>IF(ISNUMBER(SEARCH("SENIOR DISKON",D54)),100000,IF(ISNUMBER(SEARCH("SENIOR",D54)),150000,IF(ISNUMBER(SEARCH("MABA",D54)),125000,0)))</f>
        <v>0</v>
      </c>
      <c r="J54" s="1">
        <v>48</v>
      </c>
      <c r="K54" s="59" t="s">
        <v>491</v>
      </c>
      <c r="L54" s="343" t="s">
        <v>443</v>
      </c>
      <c r="M54" s="344">
        <v>1</v>
      </c>
      <c r="N54" s="345">
        <v>40000</v>
      </c>
      <c r="O54" s="346"/>
      <c r="P54" s="347">
        <f t="shared" si="6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56"/>
      <c r="AD54" s="56"/>
      <c r="AE54" s="56">
        <f t="shared" si="7"/>
        <v>0</v>
      </c>
    </row>
    <row r="55" spans="2:31" x14ac:dyDescent="0.25">
      <c r="B55" s="57">
        <v>52</v>
      </c>
      <c r="C55" s="57"/>
      <c r="D55" s="57"/>
      <c r="E55" s="57"/>
      <c r="F55" s="57"/>
      <c r="G55" s="56">
        <f>IF(ISNUMBER(SEARCH("SENIOR DISKON",D55)),100000,IF(ISNUMBER(SEARCH("SENIOR",D55)),150000,IF(ISNUMBER(SEARCH("MABA",D55)),125000,0)))</f>
        <v>0</v>
      </c>
      <c r="J55" s="1">
        <v>49</v>
      </c>
      <c r="K55" s="59" t="s">
        <v>491</v>
      </c>
      <c r="L55" s="346" t="s">
        <v>444</v>
      </c>
      <c r="M55" s="344">
        <v>2</v>
      </c>
      <c r="N55" s="345">
        <v>2000</v>
      </c>
      <c r="O55" s="346"/>
      <c r="P55" s="347">
        <f t="shared" si="6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8">U55*V55</f>
        <v>4800</v>
      </c>
      <c r="AA55" s="317">
        <v>9</v>
      </c>
      <c r="AB55" s="56"/>
      <c r="AC55" s="56"/>
      <c r="AD55" s="56"/>
      <c r="AE55" s="56">
        <f t="shared" si="7"/>
        <v>0</v>
      </c>
    </row>
    <row r="56" spans="2:31" ht="15.75" thickBot="1" x14ac:dyDescent="0.3">
      <c r="B56" s="57">
        <v>53</v>
      </c>
      <c r="C56" s="141"/>
      <c r="D56" s="141"/>
      <c r="E56" s="141"/>
      <c r="F56" s="141"/>
      <c r="G56" s="56">
        <f>IF(ISNUMBER(SEARCH("SENIOR DISKON",D56)),100000,IF(ISNUMBER(SEARCH("SENIOR",D56)),150000,IF(ISNUMBER(SEARCH("MABA",D56)),125000,0)))</f>
        <v>0</v>
      </c>
      <c r="J56" s="1">
        <v>50</v>
      </c>
      <c r="K56" s="59" t="s">
        <v>491</v>
      </c>
      <c r="L56" s="346" t="s">
        <v>445</v>
      </c>
      <c r="M56" s="344">
        <v>1</v>
      </c>
      <c r="N56" s="345">
        <v>2000</v>
      </c>
      <c r="O56" s="346"/>
      <c r="P56" s="347">
        <f t="shared" si="6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8"/>
        <v>40500</v>
      </c>
      <c r="AA56" s="317">
        <v>10</v>
      </c>
      <c r="AB56" s="56"/>
      <c r="AC56" s="56"/>
      <c r="AD56" s="56"/>
      <c r="AE56" s="56">
        <f t="shared" si="7"/>
        <v>0</v>
      </c>
    </row>
    <row r="57" spans="2:31" ht="15.75" thickBot="1" x14ac:dyDescent="0.3">
      <c r="B57" s="468" t="s">
        <v>15</v>
      </c>
      <c r="C57" s="469"/>
      <c r="D57" s="469"/>
      <c r="E57" s="469"/>
      <c r="F57" s="470"/>
      <c r="G57" s="281">
        <f>SUM(G4:G56)</f>
        <v>6350000</v>
      </c>
      <c r="J57" s="1">
        <v>51</v>
      </c>
      <c r="K57" s="59" t="s">
        <v>491</v>
      </c>
      <c r="L57" s="346" t="s">
        <v>446</v>
      </c>
      <c r="M57" s="344">
        <v>1</v>
      </c>
      <c r="N57" s="345">
        <v>2000</v>
      </c>
      <c r="O57" s="346"/>
      <c r="P57" s="347">
        <f t="shared" si="6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8"/>
        <v>35000</v>
      </c>
      <c r="AA57" s="317">
        <v>11</v>
      </c>
      <c r="AB57" s="56"/>
      <c r="AC57" s="56"/>
      <c r="AD57" s="56"/>
      <c r="AE57" s="56">
        <f t="shared" si="7"/>
        <v>0</v>
      </c>
    </row>
    <row r="58" spans="2:31" x14ac:dyDescent="0.25">
      <c r="J58" s="1">
        <v>52</v>
      </c>
      <c r="K58" s="59" t="s">
        <v>491</v>
      </c>
      <c r="L58" s="346" t="s">
        <v>447</v>
      </c>
      <c r="M58" s="344">
        <v>12</v>
      </c>
      <c r="N58" s="345">
        <v>3800</v>
      </c>
      <c r="O58" s="346"/>
      <c r="P58" s="347">
        <f t="shared" si="6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8"/>
        <v>18000</v>
      </c>
      <c r="AA58" s="317">
        <v>12</v>
      </c>
      <c r="AB58" s="56"/>
      <c r="AC58" s="56"/>
      <c r="AD58" s="56"/>
      <c r="AE58" s="56">
        <f t="shared" si="7"/>
        <v>0</v>
      </c>
    </row>
    <row r="59" spans="2:31" x14ac:dyDescent="0.25">
      <c r="J59" s="1">
        <v>53</v>
      </c>
      <c r="K59" s="59" t="s">
        <v>491</v>
      </c>
      <c r="L59" s="346" t="s">
        <v>448</v>
      </c>
      <c r="M59" s="344">
        <v>1</v>
      </c>
      <c r="N59" s="345">
        <v>4208</v>
      </c>
      <c r="O59" s="346"/>
      <c r="P59" s="347">
        <f t="shared" si="6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8"/>
        <v>36000</v>
      </c>
      <c r="AA59" s="317">
        <v>13</v>
      </c>
      <c r="AB59" s="56"/>
      <c r="AC59" s="56"/>
      <c r="AD59" s="56"/>
      <c r="AE59" s="56">
        <f t="shared" si="7"/>
        <v>0</v>
      </c>
    </row>
    <row r="60" spans="2:31" x14ac:dyDescent="0.25">
      <c r="J60" s="1">
        <v>54</v>
      </c>
      <c r="K60" s="59" t="s">
        <v>491</v>
      </c>
      <c r="L60" s="346" t="s">
        <v>449</v>
      </c>
      <c r="M60" s="344">
        <v>1</v>
      </c>
      <c r="N60" s="345">
        <v>26200</v>
      </c>
      <c r="O60" s="346"/>
      <c r="P60" s="347">
        <f t="shared" si="6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8"/>
        <v>40000</v>
      </c>
      <c r="AA60" s="317">
        <v>14</v>
      </c>
      <c r="AB60" s="56"/>
      <c r="AC60" s="56"/>
      <c r="AD60" s="56"/>
      <c r="AE60" s="56">
        <f t="shared" si="7"/>
        <v>0</v>
      </c>
    </row>
    <row r="61" spans="2:31" x14ac:dyDescent="0.25">
      <c r="J61" s="1">
        <v>55</v>
      </c>
      <c r="K61" s="59" t="s">
        <v>491</v>
      </c>
      <c r="L61" s="346" t="s">
        <v>450</v>
      </c>
      <c r="M61" s="344">
        <v>1</v>
      </c>
      <c r="N61" s="345">
        <v>26274</v>
      </c>
      <c r="O61" s="346"/>
      <c r="P61" s="347">
        <f t="shared" si="6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9">U61*V61</f>
        <v>4000</v>
      </c>
      <c r="AA61" s="317">
        <v>15</v>
      </c>
      <c r="AB61" s="56"/>
      <c r="AC61" s="56"/>
      <c r="AD61" s="56"/>
      <c r="AE61" s="56">
        <f t="shared" si="7"/>
        <v>0</v>
      </c>
    </row>
    <row r="62" spans="2:31" x14ac:dyDescent="0.25">
      <c r="D62" s="576">
        <f>COUNTIF(D4:D52,"MABA")</f>
        <v>20</v>
      </c>
      <c r="J62" s="1">
        <v>56</v>
      </c>
      <c r="K62" s="59" t="s">
        <v>491</v>
      </c>
      <c r="L62" s="346" t="s">
        <v>451</v>
      </c>
      <c r="M62" s="344">
        <v>1</v>
      </c>
      <c r="N62" s="345">
        <v>50000</v>
      </c>
      <c r="O62" s="346"/>
      <c r="P62" s="347">
        <f t="shared" si="6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9"/>
        <v>2000</v>
      </c>
      <c r="AA62" s="317">
        <v>16</v>
      </c>
      <c r="AB62" s="56"/>
      <c r="AC62" s="56"/>
      <c r="AD62" s="56"/>
      <c r="AE62" s="56">
        <f t="shared" si="7"/>
        <v>0</v>
      </c>
    </row>
    <row r="63" spans="2:31" ht="15.75" thickBot="1" x14ac:dyDescent="0.3">
      <c r="D63" s="578">
        <f>COUNTIF(D4:D52,"SENIOR")</f>
        <v>19</v>
      </c>
      <c r="J63" s="1">
        <v>57</v>
      </c>
      <c r="K63" s="59" t="s">
        <v>491</v>
      </c>
      <c r="L63" s="346" t="s">
        <v>481</v>
      </c>
      <c r="M63" s="344">
        <v>1</v>
      </c>
      <c r="N63" s="345">
        <v>5400</v>
      </c>
      <c r="O63" s="346"/>
      <c r="P63" s="347">
        <f t="shared" si="6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9"/>
        <v>2000</v>
      </c>
      <c r="AA63" s="317">
        <v>17</v>
      </c>
      <c r="AB63" s="61"/>
      <c r="AC63" s="61"/>
      <c r="AD63" s="61"/>
      <c r="AE63" s="61">
        <f t="shared" si="7"/>
        <v>0</v>
      </c>
    </row>
    <row r="64" spans="2:31" ht="15.75" thickBot="1" x14ac:dyDescent="0.3">
      <c r="D64" s="577">
        <f>COUNTIF(D4:D52,"SENIOR DISKON")</f>
        <v>10</v>
      </c>
      <c r="J64" s="1">
        <v>58</v>
      </c>
      <c r="K64" s="59" t="s">
        <v>491</v>
      </c>
      <c r="L64" s="365" t="s">
        <v>476</v>
      </c>
      <c r="M64" s="366">
        <v>40</v>
      </c>
      <c r="N64" s="367">
        <v>3500</v>
      </c>
      <c r="O64" s="368"/>
      <c r="P64" s="369">
        <f t="shared" si="6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9"/>
        <v>45600</v>
      </c>
      <c r="AB64" s="476" t="s">
        <v>15</v>
      </c>
      <c r="AC64" s="477"/>
      <c r="AD64" s="477"/>
      <c r="AE64" s="63">
        <f>SUM(AE47:AE63)</f>
        <v>719000</v>
      </c>
    </row>
    <row r="65" spans="10:31" x14ac:dyDescent="0.25">
      <c r="J65" s="1">
        <v>59</v>
      </c>
      <c r="K65" s="59" t="s">
        <v>491</v>
      </c>
      <c r="L65" s="365" t="s">
        <v>477</v>
      </c>
      <c r="M65" s="366">
        <v>1</v>
      </c>
      <c r="N65" s="367">
        <v>27000</v>
      </c>
      <c r="O65" s="368"/>
      <c r="P65" s="369">
        <f t="shared" si="6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9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5" t="s">
        <v>478</v>
      </c>
      <c r="M66" s="370">
        <v>1</v>
      </c>
      <c r="N66" s="371">
        <v>40000</v>
      </c>
      <c r="O66" s="368"/>
      <c r="P66" s="369">
        <f t="shared" si="6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9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5" t="s">
        <v>479</v>
      </c>
      <c r="M67" s="370">
        <v>50</v>
      </c>
      <c r="N67" s="371">
        <v>6200</v>
      </c>
      <c r="O67" s="368"/>
      <c r="P67" s="369">
        <f t="shared" si="6"/>
        <v>310000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9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2" t="s">
        <v>480</v>
      </c>
      <c r="M68" s="366">
        <v>1</v>
      </c>
      <c r="N68" s="367">
        <v>14000</v>
      </c>
      <c r="O68" s="368"/>
      <c r="P68" s="369">
        <f t="shared" si="6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9"/>
        <v>50000</v>
      </c>
    </row>
    <row r="69" spans="10:31" x14ac:dyDescent="0.25">
      <c r="J69" s="1">
        <v>63</v>
      </c>
      <c r="K69" s="59" t="s">
        <v>491</v>
      </c>
      <c r="L69" s="381" t="s">
        <v>494</v>
      </c>
      <c r="M69" s="362">
        <v>1</v>
      </c>
      <c r="N69" s="380">
        <v>50000</v>
      </c>
      <c r="O69" s="363"/>
      <c r="P69" s="364">
        <f t="shared" ref="P69:P75" si="10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9"/>
        <v>5400</v>
      </c>
    </row>
    <row r="70" spans="10:31" x14ac:dyDescent="0.25">
      <c r="J70" s="1">
        <v>64</v>
      </c>
      <c r="K70" s="59" t="s">
        <v>491</v>
      </c>
      <c r="L70" s="381" t="s">
        <v>495</v>
      </c>
      <c r="M70" s="362">
        <v>1</v>
      </c>
      <c r="N70" s="380">
        <v>178000</v>
      </c>
      <c r="O70" s="363"/>
      <c r="P70" s="364">
        <f t="shared" si="10"/>
        <v>178000</v>
      </c>
      <c r="R70" s="141">
        <v>17</v>
      </c>
      <c r="S70" s="390" t="s">
        <v>421</v>
      </c>
      <c r="T70" s="390" t="s">
        <v>489</v>
      </c>
      <c r="U70" s="23">
        <v>1</v>
      </c>
      <c r="V70" s="141">
        <v>300000</v>
      </c>
      <c r="W70" s="61">
        <f t="shared" ref="W70:W79" si="11">U70*V70</f>
        <v>300000</v>
      </c>
    </row>
    <row r="71" spans="10:31" x14ac:dyDescent="0.25">
      <c r="J71" s="1">
        <v>65</v>
      </c>
      <c r="K71" s="59" t="s">
        <v>491</v>
      </c>
      <c r="L71" s="381" t="s">
        <v>496</v>
      </c>
      <c r="M71" s="362">
        <v>1</v>
      </c>
      <c r="N71" s="380">
        <v>61000</v>
      </c>
      <c r="O71" s="363"/>
      <c r="P71" s="364">
        <f t="shared" si="10"/>
        <v>61000</v>
      </c>
      <c r="R71" s="457" t="s">
        <v>15</v>
      </c>
      <c r="S71" s="457"/>
      <c r="T71" s="457"/>
      <c r="U71" s="457"/>
      <c r="V71" s="457"/>
      <c r="W71" s="56">
        <f ca="1">SUM(W54:W80)</f>
        <v>759982</v>
      </c>
    </row>
    <row r="72" spans="10:31" x14ac:dyDescent="0.25">
      <c r="J72" s="1">
        <v>66</v>
      </c>
      <c r="K72" s="59" t="s">
        <v>491</v>
      </c>
      <c r="L72" s="381" t="s">
        <v>497</v>
      </c>
      <c r="M72" s="362">
        <v>1</v>
      </c>
      <c r="N72" s="380">
        <v>400000</v>
      </c>
      <c r="O72" s="363"/>
      <c r="P72" s="364">
        <f t="shared" si="10"/>
        <v>400000</v>
      </c>
      <c r="R72" s="24"/>
      <c r="S72" s="385"/>
      <c r="T72" s="24"/>
      <c r="U72" s="194"/>
      <c r="V72" s="597"/>
      <c r="W72" s="386"/>
    </row>
    <row r="73" spans="10:31" x14ac:dyDescent="0.25">
      <c r="J73" s="1">
        <v>67</v>
      </c>
      <c r="K73" s="59" t="s">
        <v>491</v>
      </c>
      <c r="L73" s="381" t="s">
        <v>498</v>
      </c>
      <c r="M73" s="362">
        <v>1</v>
      </c>
      <c r="N73" s="380">
        <v>30000</v>
      </c>
      <c r="O73" s="363"/>
      <c r="P73" s="364">
        <f t="shared" si="10"/>
        <v>30000</v>
      </c>
      <c r="R73" s="24"/>
      <c r="S73" s="385"/>
      <c r="T73" s="24"/>
      <c r="U73" s="194"/>
      <c r="V73" s="597"/>
      <c r="W73" s="386"/>
    </row>
    <row r="74" spans="10:31" x14ac:dyDescent="0.25">
      <c r="J74" s="1">
        <v>68</v>
      </c>
      <c r="K74" s="59" t="s">
        <v>491</v>
      </c>
      <c r="L74" s="384" t="s">
        <v>489</v>
      </c>
      <c r="M74" s="393">
        <v>1</v>
      </c>
      <c r="N74" s="394">
        <v>300000</v>
      </c>
      <c r="O74" s="383"/>
      <c r="P74" s="391">
        <f t="shared" si="10"/>
        <v>300000</v>
      </c>
      <c r="R74" s="24"/>
      <c r="S74" s="385"/>
      <c r="T74" s="24"/>
      <c r="U74" s="194"/>
      <c r="V74" s="597"/>
      <c r="W74" s="386"/>
    </row>
    <row r="75" spans="10:31" x14ac:dyDescent="0.25">
      <c r="J75" s="1">
        <v>69</v>
      </c>
      <c r="K75" s="59" t="s">
        <v>491</v>
      </c>
      <c r="L75" s="59" t="s">
        <v>500</v>
      </c>
      <c r="M75" s="1">
        <v>1</v>
      </c>
      <c r="N75" s="56">
        <v>73000</v>
      </c>
      <c r="O75" s="57"/>
      <c r="P75" s="382">
        <f t="shared" si="10"/>
        <v>73000</v>
      </c>
      <c r="R75" s="24"/>
      <c r="S75" s="24"/>
      <c r="T75" s="24"/>
      <c r="U75" s="194"/>
      <c r="V75" s="597"/>
      <c r="W75" s="386"/>
    </row>
    <row r="76" spans="10:31" ht="15.75" thickBot="1" x14ac:dyDescent="0.3">
      <c r="J76" s="23">
        <v>70</v>
      </c>
      <c r="K76" s="390" t="s">
        <v>491</v>
      </c>
      <c r="L76" s="141"/>
      <c r="M76" s="23"/>
      <c r="N76" s="61"/>
      <c r="O76" s="57"/>
      <c r="P76" s="382"/>
      <c r="R76" s="24"/>
      <c r="S76" s="24"/>
      <c r="T76" s="24"/>
      <c r="U76" s="194"/>
      <c r="V76" s="597"/>
      <c r="W76" s="386"/>
    </row>
    <row r="77" spans="10:31" ht="15.75" thickBot="1" x14ac:dyDescent="0.3">
      <c r="J77" s="454" t="s">
        <v>299</v>
      </c>
      <c r="K77" s="455"/>
      <c r="L77" s="455"/>
      <c r="M77" s="455"/>
      <c r="N77" s="456"/>
      <c r="O77" s="395"/>
      <c r="P77" s="396">
        <v>393908</v>
      </c>
      <c r="R77" s="24"/>
      <c r="S77" s="24"/>
      <c r="T77" s="24"/>
      <c r="U77" s="194"/>
      <c r="V77" s="597"/>
      <c r="W77" s="386"/>
    </row>
    <row r="78" spans="10:31" ht="15.75" thickBot="1" x14ac:dyDescent="0.3">
      <c r="J78" s="451" t="s">
        <v>364</v>
      </c>
      <c r="K78" s="452"/>
      <c r="L78" s="452"/>
      <c r="M78" s="452"/>
      <c r="N78" s="453"/>
      <c r="O78" s="389">
        <f>SUM(O7:O74)</f>
        <v>8350000</v>
      </c>
      <c r="P78" s="287">
        <f>SUM(P7:P77)</f>
        <v>7375990</v>
      </c>
      <c r="R78" s="24"/>
      <c r="S78" s="24"/>
      <c r="T78" s="24"/>
      <c r="U78" s="194"/>
      <c r="V78" s="597"/>
      <c r="W78" s="386"/>
    </row>
    <row r="79" spans="10:31" x14ac:dyDescent="0.25">
      <c r="J79" s="451"/>
      <c r="K79" s="452"/>
      <c r="L79" s="452"/>
      <c r="M79" s="452"/>
      <c r="N79" s="453"/>
      <c r="O79" s="464">
        <f>O78-P78</f>
        <v>974010</v>
      </c>
      <c r="P79" s="441"/>
      <c r="R79" s="24"/>
      <c r="S79" s="24"/>
      <c r="T79" s="24"/>
      <c r="U79" s="194"/>
      <c r="V79" s="597"/>
      <c r="W79" s="386"/>
    </row>
    <row r="80" spans="10:31" ht="15.75" thickBot="1" x14ac:dyDescent="0.3">
      <c r="J80" s="447"/>
      <c r="K80" s="448"/>
      <c r="L80" s="448"/>
      <c r="M80" s="448"/>
      <c r="N80" s="449"/>
      <c r="O80" s="465"/>
      <c r="P80" s="443"/>
      <c r="R80" s="24"/>
      <c r="S80" s="24"/>
      <c r="T80" s="24"/>
      <c r="U80" s="194"/>
      <c r="V80" s="597"/>
      <c r="W80" s="386"/>
    </row>
    <row r="81" spans="10:23" x14ac:dyDescent="0.25">
      <c r="J81" s="194"/>
      <c r="K81" s="385"/>
      <c r="L81" s="24"/>
      <c r="M81" s="194"/>
      <c r="N81" s="386"/>
      <c r="O81" s="24"/>
      <c r="P81" s="387"/>
    </row>
    <row r="82" spans="10:23" x14ac:dyDescent="0.25">
      <c r="J82" s="194"/>
      <c r="K82" s="385"/>
      <c r="L82" s="24"/>
      <c r="M82" s="194"/>
      <c r="N82" s="386"/>
      <c r="O82" s="24"/>
      <c r="P82" s="387"/>
      <c r="R82" s="294"/>
      <c r="S82" s="294"/>
      <c r="T82" s="294"/>
      <c r="U82" s="294"/>
      <c r="V82" s="294"/>
      <c r="W82" s="294"/>
    </row>
    <row r="83" spans="10:23" x14ac:dyDescent="0.25">
      <c r="J83" s="194"/>
      <c r="K83" s="385"/>
      <c r="L83" s="24"/>
      <c r="M83" s="194"/>
      <c r="N83" s="386"/>
      <c r="O83" s="24"/>
      <c r="P83" s="387"/>
      <c r="R83" s="294"/>
      <c r="S83" s="459" t="s">
        <v>412</v>
      </c>
      <c r="T83" s="460"/>
      <c r="U83" s="461"/>
      <c r="V83" s="462">
        <v>500000</v>
      </c>
      <c r="W83" s="463"/>
    </row>
    <row r="84" spans="10:23" x14ac:dyDescent="0.25">
      <c r="J84" s="194"/>
      <c r="K84" s="385"/>
      <c r="L84" s="24"/>
      <c r="M84" s="194"/>
      <c r="N84" s="386"/>
      <c r="O84" s="24"/>
      <c r="P84" s="387"/>
      <c r="R84" s="294"/>
      <c r="S84" s="459" t="s">
        <v>65</v>
      </c>
      <c r="T84" s="460"/>
      <c r="U84" s="461"/>
      <c r="V84" s="462">
        <f ca="1">W71</f>
        <v>759982</v>
      </c>
      <c r="W84" s="463"/>
    </row>
    <row r="85" spans="10:23" x14ac:dyDescent="0.25">
      <c r="J85" s="194"/>
      <c r="K85" s="385"/>
      <c r="L85" s="24"/>
      <c r="M85" s="194"/>
      <c r="N85" s="386"/>
      <c r="O85" s="24"/>
      <c r="P85" s="387"/>
      <c r="R85" s="294"/>
      <c r="S85" s="459" t="s">
        <v>413</v>
      </c>
      <c r="T85" s="460"/>
      <c r="U85" s="461"/>
      <c r="V85" s="462">
        <f ca="1">V83-V84</f>
        <v>-259982</v>
      </c>
      <c r="W85" s="463"/>
    </row>
    <row r="86" spans="10:23" x14ac:dyDescent="0.25">
      <c r="J86" s="194"/>
      <c r="K86" s="385"/>
      <c r="L86" s="24"/>
      <c r="M86" s="194"/>
      <c r="N86" s="386"/>
      <c r="O86" s="24"/>
      <c r="P86" s="387"/>
    </row>
    <row r="87" spans="10:23" x14ac:dyDescent="0.25">
      <c r="J87" s="194"/>
      <c r="K87" s="385"/>
      <c r="L87" s="24"/>
      <c r="M87" s="194"/>
      <c r="N87" s="386"/>
      <c r="O87" s="24"/>
      <c r="P87" s="387"/>
    </row>
    <row r="88" spans="10:23" x14ac:dyDescent="0.25">
      <c r="J88" s="194"/>
      <c r="K88" s="385"/>
      <c r="L88" s="24"/>
      <c r="M88" s="194"/>
      <c r="N88" s="386"/>
      <c r="O88" s="24"/>
      <c r="P88" s="387"/>
    </row>
    <row r="89" spans="10:23" x14ac:dyDescent="0.25">
      <c r="J89" s="194"/>
      <c r="K89" s="385"/>
      <c r="L89" s="24"/>
      <c r="M89" s="386"/>
      <c r="N89" s="392"/>
      <c r="O89" s="387"/>
      <c r="P89" s="387"/>
      <c r="R89" s="478" t="s">
        <v>473</v>
      </c>
      <c r="S89" s="478"/>
      <c r="T89" s="478"/>
      <c r="U89" s="478"/>
      <c r="V89" s="478"/>
      <c r="W89" s="478"/>
    </row>
    <row r="90" spans="10:23" x14ac:dyDescent="0.25">
      <c r="J90" s="194"/>
      <c r="K90" s="385"/>
      <c r="L90" s="24"/>
      <c r="M90" s="194"/>
      <c r="N90" s="386"/>
      <c r="O90" s="24"/>
      <c r="P90" s="387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5"/>
      <c r="L91" s="24"/>
      <c r="M91" s="194"/>
      <c r="N91" s="386"/>
      <c r="O91" s="24"/>
      <c r="P91" s="388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5"/>
      <c r="L92" s="24"/>
      <c r="M92" s="194"/>
      <c r="N92" s="386"/>
      <c r="O92" s="24"/>
      <c r="P92" s="388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117" si="12">U92*V92</f>
        <v>27000</v>
      </c>
    </row>
    <row r="93" spans="10:23" x14ac:dyDescent="0.25">
      <c r="J93" s="194"/>
      <c r="K93" s="385"/>
      <c r="L93" s="24"/>
      <c r="M93" s="194"/>
      <c r="N93" s="386"/>
      <c r="O93" s="24"/>
      <c r="P93" s="388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2"/>
        <v>40000</v>
      </c>
    </row>
    <row r="94" spans="10:23" x14ac:dyDescent="0.25">
      <c r="J94" s="194"/>
      <c r="K94" s="385"/>
      <c r="L94" s="24"/>
      <c r="M94" s="194"/>
      <c r="N94" s="386"/>
      <c r="O94" s="24"/>
      <c r="P94" s="388"/>
      <c r="R94" s="57">
        <v>4</v>
      </c>
      <c r="S94" s="59" t="s">
        <v>475</v>
      </c>
      <c r="T94" s="292" t="s">
        <v>479</v>
      </c>
      <c r="U94" s="314">
        <v>50</v>
      </c>
      <c r="V94" s="286">
        <v>6200</v>
      </c>
      <c r="W94" s="56">
        <f t="shared" si="12"/>
        <v>310000</v>
      </c>
    </row>
    <row r="95" spans="10:23" x14ac:dyDescent="0.25">
      <c r="J95" s="194"/>
      <c r="K95" s="385"/>
      <c r="L95" s="24"/>
      <c r="M95" s="194"/>
      <c r="N95" s="386"/>
      <c r="O95" s="24"/>
      <c r="P95" s="388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2"/>
        <v>14000</v>
      </c>
    </row>
    <row r="96" spans="10:23" x14ac:dyDescent="0.25">
      <c r="J96" s="194"/>
      <c r="K96" s="385"/>
      <c r="L96" s="24"/>
      <c r="M96" s="194"/>
      <c r="N96" s="386"/>
      <c r="O96" s="24"/>
      <c r="P96" s="388"/>
      <c r="R96" s="141">
        <v>6</v>
      </c>
      <c r="S96" s="390" t="s">
        <v>475</v>
      </c>
      <c r="T96" s="600" t="s">
        <v>452</v>
      </c>
      <c r="U96" s="23">
        <v>1</v>
      </c>
      <c r="V96" s="67">
        <v>70000</v>
      </c>
      <c r="W96" s="61">
        <f t="shared" si="12"/>
        <v>70000</v>
      </c>
    </row>
    <row r="97" spans="10:23" x14ac:dyDescent="0.25">
      <c r="J97" s="194"/>
      <c r="K97" s="385"/>
      <c r="L97" s="24"/>
      <c r="M97" s="194"/>
      <c r="N97" s="386"/>
      <c r="O97" s="24"/>
      <c r="P97" s="388"/>
      <c r="R97" s="457" t="s">
        <v>15</v>
      </c>
      <c r="S97" s="457"/>
      <c r="T97" s="457"/>
      <c r="U97" s="457"/>
      <c r="V97" s="457"/>
      <c r="W97" s="56">
        <f ca="1">SUM(W91:W117)</f>
        <v>601000</v>
      </c>
    </row>
    <row r="98" spans="10:23" x14ac:dyDescent="0.25">
      <c r="J98" s="194"/>
      <c r="K98" s="385"/>
      <c r="L98" s="24"/>
      <c r="M98" s="194"/>
      <c r="N98" s="386"/>
      <c r="O98" s="24"/>
      <c r="P98" s="388"/>
      <c r="R98" s="24"/>
      <c r="S98" s="385"/>
      <c r="T98" s="385"/>
      <c r="U98" s="194"/>
      <c r="V98" s="597"/>
      <c r="W98" s="386"/>
    </row>
    <row r="99" spans="10:23" x14ac:dyDescent="0.25">
      <c r="J99" s="194"/>
      <c r="K99" s="385"/>
      <c r="L99" s="24"/>
      <c r="M99" s="194"/>
      <c r="N99" s="386"/>
      <c r="O99" s="24"/>
      <c r="P99" s="388"/>
      <c r="R99" s="24"/>
      <c r="S99" s="385"/>
      <c r="T99" s="385"/>
      <c r="U99" s="194"/>
      <c r="V99" s="597"/>
      <c r="W99" s="386"/>
    </row>
    <row r="100" spans="10:23" x14ac:dyDescent="0.25">
      <c r="J100" s="194"/>
      <c r="K100" s="385"/>
      <c r="L100" s="24"/>
      <c r="M100" s="194"/>
      <c r="N100" s="386"/>
      <c r="O100" s="24"/>
      <c r="P100" s="388"/>
      <c r="R100" s="24"/>
      <c r="S100" s="385"/>
      <c r="T100" s="24"/>
      <c r="U100" s="194"/>
      <c r="V100" s="597"/>
      <c r="W100" s="386"/>
    </row>
    <row r="101" spans="10:23" x14ac:dyDescent="0.25">
      <c r="J101" s="194"/>
      <c r="K101" s="385"/>
      <c r="L101" s="24"/>
      <c r="M101" s="194"/>
      <c r="N101" s="386"/>
      <c r="O101" s="24"/>
      <c r="P101" s="388"/>
      <c r="R101" s="24"/>
      <c r="S101" s="385"/>
      <c r="T101" s="24"/>
      <c r="U101" s="194"/>
      <c r="V101" s="597"/>
      <c r="W101" s="386"/>
    </row>
    <row r="102" spans="10:23" x14ac:dyDescent="0.25">
      <c r="J102" s="194"/>
      <c r="K102" s="385"/>
      <c r="L102" s="24"/>
      <c r="M102" s="194"/>
      <c r="N102" s="386"/>
      <c r="O102" s="24"/>
      <c r="P102" s="388"/>
      <c r="R102" s="24"/>
      <c r="S102" s="385"/>
      <c r="T102" s="24"/>
      <c r="U102" s="194"/>
      <c r="V102" s="597"/>
      <c r="W102" s="386"/>
    </row>
    <row r="103" spans="10:23" x14ac:dyDescent="0.25">
      <c r="J103" s="194"/>
      <c r="K103" s="385"/>
      <c r="L103" s="24"/>
      <c r="M103" s="194"/>
      <c r="N103" s="386"/>
      <c r="O103" s="24"/>
      <c r="P103" s="388"/>
      <c r="R103" s="24"/>
      <c r="S103" s="385"/>
      <c r="T103" s="24"/>
      <c r="U103" s="194"/>
      <c r="V103" s="597"/>
      <c r="W103" s="386"/>
    </row>
    <row r="104" spans="10:23" x14ac:dyDescent="0.25">
      <c r="J104" s="194"/>
      <c r="K104" s="385"/>
      <c r="L104" s="24"/>
      <c r="M104" s="194"/>
      <c r="N104" s="386"/>
      <c r="O104" s="24"/>
      <c r="P104" s="388"/>
      <c r="R104" s="24"/>
      <c r="S104" s="385"/>
      <c r="T104" s="24"/>
      <c r="U104" s="194"/>
      <c r="V104" s="597"/>
      <c r="W104" s="386"/>
    </row>
    <row r="105" spans="10:23" x14ac:dyDescent="0.25">
      <c r="J105" s="194"/>
      <c r="K105" s="385"/>
      <c r="L105" s="24"/>
      <c r="M105" s="194"/>
      <c r="N105" s="386"/>
      <c r="O105" s="24"/>
      <c r="P105" s="388"/>
      <c r="R105" s="24"/>
      <c r="S105" s="385"/>
      <c r="T105" s="24"/>
      <c r="U105" s="194"/>
      <c r="V105" s="597"/>
      <c r="W105" s="386"/>
    </row>
    <row r="106" spans="10:23" x14ac:dyDescent="0.25">
      <c r="J106" s="194"/>
      <c r="K106" s="385"/>
      <c r="L106" s="24"/>
      <c r="M106" s="194"/>
      <c r="N106" s="386"/>
      <c r="O106" s="24"/>
      <c r="P106" s="388"/>
      <c r="R106" s="24"/>
      <c r="S106" s="385"/>
      <c r="T106" s="24"/>
      <c r="U106" s="194"/>
      <c r="V106" s="597"/>
      <c r="W106" s="386"/>
    </row>
    <row r="107" spans="10:23" x14ac:dyDescent="0.25">
      <c r="J107" s="194"/>
      <c r="K107" s="385"/>
      <c r="L107" s="24"/>
      <c r="M107" s="194"/>
      <c r="N107" s="386"/>
      <c r="O107" s="24"/>
      <c r="P107" s="388"/>
      <c r="R107" s="24"/>
      <c r="S107" s="385"/>
      <c r="T107" s="24"/>
      <c r="U107" s="194"/>
      <c r="V107" s="597"/>
      <c r="W107" s="386"/>
    </row>
    <row r="108" spans="10:23" x14ac:dyDescent="0.25">
      <c r="J108" s="194"/>
      <c r="K108" s="385"/>
      <c r="L108" s="24"/>
      <c r="M108" s="194"/>
      <c r="N108" s="386"/>
      <c r="O108" s="24"/>
      <c r="P108" s="388"/>
      <c r="R108" s="24"/>
      <c r="S108" s="385"/>
      <c r="T108" s="24"/>
      <c r="U108" s="194"/>
      <c r="V108" s="597"/>
      <c r="W108" s="386"/>
    </row>
    <row r="109" spans="10:23" x14ac:dyDescent="0.25">
      <c r="J109" s="194"/>
      <c r="K109" s="385"/>
      <c r="L109" s="24"/>
      <c r="M109" s="194"/>
      <c r="N109" s="386"/>
      <c r="O109" s="24"/>
      <c r="P109" s="388"/>
      <c r="R109" s="24"/>
      <c r="S109" s="385"/>
      <c r="T109" s="24"/>
      <c r="U109" s="194"/>
      <c r="V109" s="597"/>
      <c r="W109" s="386"/>
    </row>
    <row r="110" spans="10:23" x14ac:dyDescent="0.25">
      <c r="J110" s="194"/>
      <c r="K110" s="385"/>
      <c r="L110" s="24"/>
      <c r="M110" s="194"/>
      <c r="N110" s="386"/>
      <c r="O110" s="24"/>
      <c r="P110" s="388"/>
      <c r="R110" s="24"/>
      <c r="S110" s="385"/>
      <c r="T110" s="24"/>
      <c r="U110" s="194"/>
      <c r="V110" s="597"/>
      <c r="W110" s="386"/>
    </row>
    <row r="111" spans="10:23" x14ac:dyDescent="0.25">
      <c r="J111" s="194"/>
      <c r="K111" s="385"/>
      <c r="L111" s="24"/>
      <c r="M111" s="194"/>
      <c r="N111" s="386"/>
      <c r="O111" s="24"/>
      <c r="P111" s="388"/>
      <c r="R111" s="24"/>
      <c r="S111" s="385"/>
      <c r="T111" s="24"/>
      <c r="U111" s="194"/>
      <c r="V111" s="597"/>
      <c r="W111" s="386"/>
    </row>
    <row r="112" spans="10:23" x14ac:dyDescent="0.25">
      <c r="J112" s="194"/>
      <c r="K112" s="385"/>
      <c r="L112" s="24"/>
      <c r="M112" s="194"/>
      <c r="N112" s="386"/>
      <c r="O112" s="24"/>
      <c r="P112" s="388"/>
      <c r="R112" s="24"/>
      <c r="S112" s="385"/>
      <c r="T112" s="24"/>
      <c r="U112" s="194"/>
      <c r="V112" s="597"/>
      <c r="W112" s="386"/>
    </row>
    <row r="113" spans="10:23" x14ac:dyDescent="0.25">
      <c r="J113" s="194"/>
      <c r="K113" s="385"/>
      <c r="L113" s="24"/>
      <c r="M113" s="194"/>
      <c r="N113" s="386"/>
      <c r="O113" s="24"/>
      <c r="P113" s="388"/>
      <c r="R113" s="24"/>
      <c r="S113" s="385"/>
      <c r="T113" s="24"/>
      <c r="U113" s="194"/>
      <c r="V113" s="597"/>
      <c r="W113" s="386"/>
    </row>
    <row r="114" spans="10:23" x14ac:dyDescent="0.25">
      <c r="J114" s="194"/>
      <c r="K114" s="385"/>
      <c r="L114" s="24"/>
      <c r="M114" s="194"/>
      <c r="N114" s="386"/>
      <c r="O114" s="24"/>
      <c r="P114" s="388"/>
      <c r="R114" s="24"/>
      <c r="S114" s="385"/>
      <c r="T114" s="24"/>
      <c r="U114" s="194"/>
      <c r="V114" s="597"/>
      <c r="W114" s="386"/>
    </row>
    <row r="115" spans="10:23" x14ac:dyDescent="0.25">
      <c r="J115" s="194"/>
      <c r="K115" s="385"/>
      <c r="L115" s="24"/>
      <c r="M115" s="194"/>
      <c r="N115" s="386"/>
      <c r="O115" s="24"/>
      <c r="P115" s="388"/>
      <c r="R115" s="24"/>
      <c r="S115" s="385"/>
      <c r="T115" s="24"/>
      <c r="U115" s="194"/>
      <c r="V115" s="597"/>
      <c r="W115" s="386"/>
    </row>
    <row r="116" spans="10:23" x14ac:dyDescent="0.25">
      <c r="R116" s="24"/>
      <c r="S116" s="385"/>
      <c r="T116" s="24"/>
      <c r="U116" s="194"/>
      <c r="V116" s="597"/>
      <c r="W116" s="386"/>
    </row>
    <row r="117" spans="10:23" x14ac:dyDescent="0.25">
      <c r="R117" s="24"/>
      <c r="S117" s="385"/>
      <c r="T117" s="24"/>
      <c r="U117" s="194"/>
      <c r="V117" s="597"/>
      <c r="W117" s="386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459" t="s">
        <v>412</v>
      </c>
      <c r="T120" s="460"/>
      <c r="U120" s="461"/>
      <c r="V120" s="462">
        <v>410000</v>
      </c>
      <c r="W120" s="463"/>
    </row>
    <row r="121" spans="10:23" x14ac:dyDescent="0.25">
      <c r="R121" s="313"/>
      <c r="S121" s="459" t="s">
        <v>65</v>
      </c>
      <c r="T121" s="460"/>
      <c r="U121" s="461"/>
      <c r="V121" s="462">
        <f ca="1">W97</f>
        <v>601000</v>
      </c>
      <c r="W121" s="463"/>
    </row>
    <row r="122" spans="10:23" x14ac:dyDescent="0.25">
      <c r="R122" s="313"/>
      <c r="S122" s="459" t="s">
        <v>413</v>
      </c>
      <c r="T122" s="460"/>
      <c r="U122" s="461"/>
      <c r="V122" s="462">
        <f ca="1">V120-V121</f>
        <v>-191000</v>
      </c>
      <c r="W122" s="463"/>
    </row>
  </sheetData>
  <mergeCells count="36">
    <mergeCell ref="S121:U121"/>
    <mergeCell ref="V121:W121"/>
    <mergeCell ref="S122:U122"/>
    <mergeCell ref="V122:W122"/>
    <mergeCell ref="AA44:AE44"/>
    <mergeCell ref="AB64:AD64"/>
    <mergeCell ref="R89:W89"/>
    <mergeCell ref="R97:V97"/>
    <mergeCell ref="S120:U120"/>
    <mergeCell ref="V120:W120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S85:U85"/>
    <mergeCell ref="V85:W85"/>
    <mergeCell ref="R71:V71"/>
    <mergeCell ref="S83:U83"/>
    <mergeCell ref="V83:W83"/>
    <mergeCell ref="S84:U84"/>
    <mergeCell ref="V84:W84"/>
    <mergeCell ref="J78:N80"/>
    <mergeCell ref="J77:N77"/>
    <mergeCell ref="AA16:AH16"/>
    <mergeCell ref="AF25:AH25"/>
    <mergeCell ref="O79:P80"/>
    <mergeCell ref="AG44:AH44"/>
    <mergeCell ref="AA25:AE25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8"/>
  <sheetViews>
    <sheetView tabSelected="1" topLeftCell="A56" zoomScale="70" zoomScaleNormal="70" workbookViewId="0">
      <selection activeCell="K14" sqref="K14:Q88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3.1406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611" t="s">
        <v>1</v>
      </c>
      <c r="C3" s="611" t="s">
        <v>503</v>
      </c>
      <c r="D3" s="611" t="s">
        <v>504</v>
      </c>
      <c r="E3" s="611" t="s">
        <v>75</v>
      </c>
      <c r="F3" s="611" t="s">
        <v>505</v>
      </c>
      <c r="G3" s="611" t="s">
        <v>19</v>
      </c>
    </row>
    <row r="4" spans="2:17" x14ac:dyDescent="0.25">
      <c r="B4" s="574">
        <v>1</v>
      </c>
      <c r="C4" s="581" t="s">
        <v>506</v>
      </c>
      <c r="D4" s="56">
        <v>100000</v>
      </c>
      <c r="E4" s="57">
        <v>10</v>
      </c>
      <c r="F4" s="584">
        <f>(E4*D4)+(E5*D5)+(E6*D6)</f>
        <v>6350000</v>
      </c>
      <c r="G4" s="572"/>
    </row>
    <row r="5" spans="2:17" x14ac:dyDescent="0.25">
      <c r="B5" s="579"/>
      <c r="C5" s="582"/>
      <c r="D5" s="56">
        <v>125000</v>
      </c>
      <c r="E5" s="57">
        <v>20</v>
      </c>
      <c r="F5" s="585"/>
      <c r="G5" s="580"/>
    </row>
    <row r="6" spans="2:17" x14ac:dyDescent="0.25">
      <c r="B6" s="575"/>
      <c r="C6" s="583"/>
      <c r="D6" s="56">
        <v>150000</v>
      </c>
      <c r="E6" s="57">
        <v>19</v>
      </c>
      <c r="F6" s="586"/>
      <c r="G6" s="573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87" t="s">
        <v>15</v>
      </c>
      <c r="C9" s="587"/>
      <c r="D9" s="587"/>
      <c r="E9" s="587"/>
      <c r="F9" s="545">
        <f>SUM(F4:F8)</f>
        <v>8350000</v>
      </c>
      <c r="G9" s="545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621" t="s">
        <v>514</v>
      </c>
      <c r="C13" s="471"/>
      <c r="D13" s="471"/>
      <c r="E13" s="471"/>
      <c r="F13" s="471"/>
      <c r="G13" s="471"/>
    </row>
    <row r="14" spans="2:17" x14ac:dyDescent="0.25">
      <c r="B14" s="612" t="s">
        <v>1</v>
      </c>
      <c r="C14" s="613" t="s">
        <v>301</v>
      </c>
      <c r="D14" s="612" t="s">
        <v>410</v>
      </c>
      <c r="E14" s="612" t="s">
        <v>75</v>
      </c>
      <c r="F14" s="612" t="s">
        <v>411</v>
      </c>
      <c r="G14" s="612" t="s">
        <v>15</v>
      </c>
      <c r="K14" s="611" t="s">
        <v>1</v>
      </c>
      <c r="L14" s="616" t="s">
        <v>492</v>
      </c>
      <c r="M14" s="611" t="s">
        <v>19</v>
      </c>
      <c r="N14" s="611" t="s">
        <v>75</v>
      </c>
      <c r="O14" s="617" t="s">
        <v>276</v>
      </c>
      <c r="P14" s="611" t="s">
        <v>98</v>
      </c>
      <c r="Q14" s="617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9" si="0">E16*F16</f>
        <v>226800</v>
      </c>
      <c r="K16" s="1">
        <v>2</v>
      </c>
      <c r="L16" s="329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30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30" t="s">
        <v>383</v>
      </c>
      <c r="M19" s="358" t="s">
        <v>385</v>
      </c>
      <c r="N19" s="348">
        <v>1</v>
      </c>
      <c r="O19" s="359">
        <v>25500</v>
      </c>
      <c r="P19" s="354"/>
      <c r="Q19" s="347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1" t="s">
        <v>386</v>
      </c>
      <c r="M20" s="355" t="s">
        <v>387</v>
      </c>
      <c r="N20" s="344">
        <v>1</v>
      </c>
      <c r="O20" s="356">
        <v>13000</v>
      </c>
      <c r="P20" s="357"/>
      <c r="Q20" s="347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2" t="s">
        <v>390</v>
      </c>
      <c r="M21" s="358" t="s">
        <v>493</v>
      </c>
      <c r="N21" s="348">
        <v>3</v>
      </c>
      <c r="O21" s="359">
        <v>750</v>
      </c>
      <c r="P21" s="357"/>
      <c r="Q21" s="347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2" t="s">
        <v>391</v>
      </c>
      <c r="M22" s="358" t="s">
        <v>392</v>
      </c>
      <c r="N22" s="344">
        <v>6</v>
      </c>
      <c r="O22" s="356">
        <v>15000</v>
      </c>
      <c r="P22" s="347"/>
      <c r="Q22" s="347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9" t="s">
        <v>394</v>
      </c>
      <c r="M23" s="358" t="s">
        <v>399</v>
      </c>
      <c r="N23" s="348">
        <v>8</v>
      </c>
      <c r="O23" s="359">
        <v>15000</v>
      </c>
      <c r="P23" s="347"/>
      <c r="Q23" s="347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9" t="s">
        <v>394</v>
      </c>
      <c r="M24" s="358" t="s">
        <v>398</v>
      </c>
      <c r="N24" s="348">
        <v>1</v>
      </c>
      <c r="O24" s="359">
        <v>3500</v>
      </c>
      <c r="P24" s="347"/>
      <c r="Q24" s="347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9" t="s">
        <v>401</v>
      </c>
      <c r="M25" s="358" t="s">
        <v>402</v>
      </c>
      <c r="N25" s="348">
        <v>1</v>
      </c>
      <c r="O25" s="359">
        <v>3000</v>
      </c>
      <c r="P25" s="347"/>
      <c r="Q25" s="347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30" t="s">
        <v>408</v>
      </c>
      <c r="M26" s="358" t="s">
        <v>414</v>
      </c>
      <c r="N26" s="348">
        <v>2</v>
      </c>
      <c r="O26" s="359">
        <v>31000</v>
      </c>
      <c r="P26" s="357"/>
      <c r="Q26" s="347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30" t="s">
        <v>408</v>
      </c>
      <c r="M27" s="358" t="s">
        <v>415</v>
      </c>
      <c r="N27" s="344">
        <v>1</v>
      </c>
      <c r="O27" s="356">
        <v>15900</v>
      </c>
      <c r="P27" s="357"/>
      <c r="Q27" s="347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3" t="s">
        <v>452</v>
      </c>
      <c r="N28" s="366">
        <v>1</v>
      </c>
      <c r="O28" s="374">
        <v>70000</v>
      </c>
      <c r="P28" s="368"/>
      <c r="Q28" s="369">
        <f t="shared" ref="Q28:Q83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5" t="s">
        <v>485</v>
      </c>
      <c r="N30" s="376">
        <v>1</v>
      </c>
      <c r="O30" s="377">
        <v>30000</v>
      </c>
      <c r="P30" s="378"/>
      <c r="Q30" s="379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5" t="s">
        <v>486</v>
      </c>
      <c r="N31" s="376">
        <v>1</v>
      </c>
      <c r="O31" s="377">
        <v>100000</v>
      </c>
      <c r="P31" s="378"/>
      <c r="Q31" s="379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1" t="s">
        <v>488</v>
      </c>
      <c r="N32" s="334">
        <v>10</v>
      </c>
      <c r="O32" s="342">
        <v>8000</v>
      </c>
      <c r="P32" s="324"/>
      <c r="Q32" s="337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60" t="s">
        <v>424</v>
      </c>
      <c r="N33" s="348">
        <v>1</v>
      </c>
      <c r="O33" s="359">
        <v>50000</v>
      </c>
      <c r="P33" s="361"/>
      <c r="Q33" s="347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60" t="s">
        <v>464</v>
      </c>
      <c r="N34" s="344">
        <v>3</v>
      </c>
      <c r="O34" s="356">
        <v>7000</v>
      </c>
      <c r="P34" s="346"/>
      <c r="Q34" s="347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3" t="s">
        <v>404</v>
      </c>
      <c r="N35" s="334">
        <v>53</v>
      </c>
      <c r="O35" s="335">
        <v>2250</v>
      </c>
      <c r="P35" s="336"/>
      <c r="Q35" s="337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3" t="s">
        <v>441</v>
      </c>
      <c r="N36" s="334">
        <v>12</v>
      </c>
      <c r="O36" s="335">
        <v>18900</v>
      </c>
      <c r="P36" s="336"/>
      <c r="Q36" s="337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3" t="s">
        <v>405</v>
      </c>
      <c r="N37" s="338">
        <v>2</v>
      </c>
      <c r="O37" s="339">
        <v>15500</v>
      </c>
      <c r="P37" s="336"/>
      <c r="Q37" s="337">
        <f t="shared" si="2"/>
        <v>31000</v>
      </c>
    </row>
    <row r="38" spans="2:17" x14ac:dyDescent="0.25">
      <c r="B38" s="141">
        <v>24</v>
      </c>
      <c r="C38" s="390" t="s">
        <v>421</v>
      </c>
      <c r="D38" s="390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3" t="s">
        <v>406</v>
      </c>
      <c r="N38" s="338">
        <v>1</v>
      </c>
      <c r="O38" s="339">
        <v>15500</v>
      </c>
      <c r="P38" s="336"/>
      <c r="Q38" s="337">
        <f t="shared" si="2"/>
        <v>15500</v>
      </c>
    </row>
    <row r="39" spans="2:17" x14ac:dyDescent="0.25">
      <c r="B39" s="610" t="s">
        <v>15</v>
      </c>
      <c r="C39" s="610"/>
      <c r="D39" s="610"/>
      <c r="E39" s="610"/>
      <c r="F39" s="610"/>
      <c r="G39" s="618">
        <f ca="1">SUM(G15:G41)</f>
        <v>2862450</v>
      </c>
      <c r="K39" s="1">
        <v>25</v>
      </c>
      <c r="L39" s="59" t="s">
        <v>491</v>
      </c>
      <c r="M39" s="340" t="s">
        <v>407</v>
      </c>
      <c r="N39" s="334">
        <v>2</v>
      </c>
      <c r="O39" s="335">
        <v>15500</v>
      </c>
      <c r="P39" s="336"/>
      <c r="Q39" s="337">
        <f t="shared" si="2"/>
        <v>31000</v>
      </c>
    </row>
    <row r="40" spans="2:17" x14ac:dyDescent="0.25">
      <c r="B40" s="24"/>
      <c r="C40" s="385"/>
      <c r="D40" s="24"/>
      <c r="E40" s="194"/>
      <c r="F40" s="597"/>
      <c r="G40" s="386"/>
      <c r="K40" s="1">
        <v>26</v>
      </c>
      <c r="L40" s="59" t="s">
        <v>491</v>
      </c>
      <c r="M40" s="333" t="s">
        <v>439</v>
      </c>
      <c r="N40" s="334">
        <v>50</v>
      </c>
      <c r="O40" s="335">
        <v>15000</v>
      </c>
      <c r="P40" s="336"/>
      <c r="Q40" s="337">
        <f t="shared" si="2"/>
        <v>750000</v>
      </c>
    </row>
    <row r="41" spans="2:17" x14ac:dyDescent="0.25">
      <c r="B41" s="622" t="s">
        <v>513</v>
      </c>
      <c r="C41" s="472"/>
      <c r="D41" s="472"/>
      <c r="E41" s="472"/>
      <c r="F41" s="472"/>
      <c r="G41" s="472"/>
      <c r="K41" s="1">
        <v>27</v>
      </c>
      <c r="L41" s="59" t="s">
        <v>491</v>
      </c>
      <c r="M41" s="333" t="s">
        <v>437</v>
      </c>
      <c r="N41" s="334">
        <v>50</v>
      </c>
      <c r="O41" s="335">
        <v>12000</v>
      </c>
      <c r="P41" s="336"/>
      <c r="Q41" s="337">
        <f t="shared" si="2"/>
        <v>600000</v>
      </c>
    </row>
    <row r="42" spans="2:17" x14ac:dyDescent="0.25">
      <c r="B42" s="612" t="s">
        <v>1</v>
      </c>
      <c r="C42" s="613" t="s">
        <v>301</v>
      </c>
      <c r="D42" s="612" t="s">
        <v>410</v>
      </c>
      <c r="E42" s="612" t="s">
        <v>75</v>
      </c>
      <c r="F42" s="612" t="s">
        <v>411</v>
      </c>
      <c r="G42" s="612" t="s">
        <v>15</v>
      </c>
      <c r="K42" s="1">
        <v>28</v>
      </c>
      <c r="L42" s="59" t="s">
        <v>491</v>
      </c>
      <c r="M42" s="336" t="s">
        <v>438</v>
      </c>
      <c r="N42" s="334">
        <v>50</v>
      </c>
      <c r="O42" s="335">
        <v>15000</v>
      </c>
      <c r="P42" s="336"/>
      <c r="Q42" s="337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6" t="s">
        <v>425</v>
      </c>
      <c r="N43" s="334">
        <v>3</v>
      </c>
      <c r="O43" s="335">
        <v>18000</v>
      </c>
      <c r="P43" s="336"/>
      <c r="Q43" s="337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6" t="s">
        <v>426</v>
      </c>
      <c r="N44" s="334">
        <v>4</v>
      </c>
      <c r="O44" s="335">
        <v>4800</v>
      </c>
      <c r="P44" s="336"/>
      <c r="Q44" s="337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6" t="s">
        <v>427</v>
      </c>
      <c r="N45" s="334">
        <v>2</v>
      </c>
      <c r="O45" s="335">
        <v>9000</v>
      </c>
      <c r="P45" s="336"/>
      <c r="Q45" s="337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6" t="s">
        <v>428</v>
      </c>
      <c r="N46" s="334">
        <v>1</v>
      </c>
      <c r="O46" s="335">
        <v>13400</v>
      </c>
      <c r="P46" s="336"/>
      <c r="Q46" s="337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6" t="s">
        <v>429</v>
      </c>
      <c r="N47" s="334">
        <v>1</v>
      </c>
      <c r="O47" s="335">
        <v>5800</v>
      </c>
      <c r="P47" s="336"/>
      <c r="Q47" s="337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6" t="s">
        <v>431</v>
      </c>
      <c r="N48" s="334">
        <v>2</v>
      </c>
      <c r="O48" s="335">
        <v>4700</v>
      </c>
      <c r="P48" s="336"/>
      <c r="Q48" s="337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6" t="s">
        <v>432</v>
      </c>
      <c r="N49" s="334">
        <v>2</v>
      </c>
      <c r="O49" s="335">
        <v>4400</v>
      </c>
      <c r="P49" s="336"/>
      <c r="Q49" s="337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6" t="s">
        <v>430</v>
      </c>
      <c r="N50" s="334">
        <v>1</v>
      </c>
      <c r="O50" s="335">
        <v>20900</v>
      </c>
      <c r="P50" s="336"/>
      <c r="Q50" s="337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6" t="s">
        <v>433</v>
      </c>
      <c r="N51" s="334">
        <v>2</v>
      </c>
      <c r="O51" s="335">
        <v>5400</v>
      </c>
      <c r="P51" s="336"/>
      <c r="Q51" s="337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6" t="s">
        <v>434</v>
      </c>
      <c r="N52" s="334">
        <v>2</v>
      </c>
      <c r="O52" s="335">
        <v>2500</v>
      </c>
      <c r="P52" s="336"/>
      <c r="Q52" s="337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6" t="s">
        <v>435</v>
      </c>
      <c r="N53" s="334">
        <v>3</v>
      </c>
      <c r="O53" s="335">
        <v>2500</v>
      </c>
      <c r="P53" s="336"/>
      <c r="Q53" s="337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6" t="s">
        <v>436</v>
      </c>
      <c r="N54" s="334">
        <v>1</v>
      </c>
      <c r="O54" s="335">
        <v>2600</v>
      </c>
      <c r="P54" s="336"/>
      <c r="Q54" s="337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6" t="s">
        <v>440</v>
      </c>
      <c r="N55" s="334">
        <v>1</v>
      </c>
      <c r="O55" s="335">
        <v>12500</v>
      </c>
      <c r="P55" s="336"/>
      <c r="Q55" s="337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3" t="s">
        <v>418</v>
      </c>
      <c r="N56" s="344">
        <v>24</v>
      </c>
      <c r="O56" s="345">
        <v>5000</v>
      </c>
      <c r="P56" s="346"/>
      <c r="Q56" s="347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3" t="s">
        <v>419</v>
      </c>
      <c r="N57" s="344">
        <v>4</v>
      </c>
      <c r="O57" s="345">
        <v>1200</v>
      </c>
      <c r="P57" s="346"/>
      <c r="Q57" s="347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3" t="s">
        <v>442</v>
      </c>
      <c r="N58" s="348">
        <v>3</v>
      </c>
      <c r="O58" s="349">
        <v>13500</v>
      </c>
      <c r="P58" s="346"/>
      <c r="Q58" s="347">
        <f t="shared" si="2"/>
        <v>40500</v>
      </c>
    </row>
    <row r="59" spans="2:17" x14ac:dyDescent="0.25">
      <c r="B59" s="141">
        <v>17</v>
      </c>
      <c r="C59" s="390" t="s">
        <v>421</v>
      </c>
      <c r="D59" s="390" t="s">
        <v>489</v>
      </c>
      <c r="E59" s="23">
        <v>1</v>
      </c>
      <c r="F59" s="141">
        <v>300000</v>
      </c>
      <c r="G59" s="61">
        <f t="shared" si="3"/>
        <v>300000</v>
      </c>
      <c r="K59" s="1">
        <v>45</v>
      </c>
      <c r="L59" s="59" t="s">
        <v>491</v>
      </c>
      <c r="M59" s="343" t="s">
        <v>420</v>
      </c>
      <c r="N59" s="348">
        <v>5</v>
      </c>
      <c r="O59" s="349">
        <v>7000</v>
      </c>
      <c r="P59" s="346"/>
      <c r="Q59" s="347">
        <f t="shared" si="2"/>
        <v>35000</v>
      </c>
    </row>
    <row r="60" spans="2:17" x14ac:dyDescent="0.25">
      <c r="B60" s="610" t="s">
        <v>15</v>
      </c>
      <c r="C60" s="610"/>
      <c r="D60" s="610"/>
      <c r="E60" s="610"/>
      <c r="F60" s="610"/>
      <c r="G60" s="618">
        <f ca="1">SUM(G43:G69)</f>
        <v>759982</v>
      </c>
      <c r="K60" s="1">
        <v>46</v>
      </c>
      <c r="L60" s="59" t="s">
        <v>491</v>
      </c>
      <c r="M60" s="350" t="s">
        <v>422</v>
      </c>
      <c r="N60" s="344">
        <v>1</v>
      </c>
      <c r="O60" s="345">
        <v>18000</v>
      </c>
      <c r="P60" s="346"/>
      <c r="Q60" s="347">
        <f t="shared" si="2"/>
        <v>18000</v>
      </c>
    </row>
    <row r="61" spans="2:17" x14ac:dyDescent="0.25">
      <c r="B61" s="49"/>
      <c r="C61" s="598"/>
      <c r="D61" s="49"/>
      <c r="E61" s="599"/>
      <c r="F61" s="323"/>
      <c r="G61" s="68"/>
      <c r="K61" s="1">
        <v>47</v>
      </c>
      <c r="L61" s="59" t="s">
        <v>491</v>
      </c>
      <c r="M61" s="343" t="s">
        <v>423</v>
      </c>
      <c r="N61" s="344">
        <v>2</v>
      </c>
      <c r="O61" s="345">
        <v>18000</v>
      </c>
      <c r="P61" s="346"/>
      <c r="Q61" s="347">
        <f t="shared" si="2"/>
        <v>36000</v>
      </c>
    </row>
    <row r="62" spans="2:17" x14ac:dyDescent="0.25">
      <c r="B62" s="623" t="s">
        <v>515</v>
      </c>
      <c r="C62" s="478"/>
      <c r="D62" s="478"/>
      <c r="E62" s="478"/>
      <c r="F62" s="478"/>
      <c r="G62" s="478"/>
      <c r="K62" s="1">
        <v>48</v>
      </c>
      <c r="L62" s="59" t="s">
        <v>491</v>
      </c>
      <c r="M62" s="343" t="s">
        <v>443</v>
      </c>
      <c r="N62" s="344">
        <v>1</v>
      </c>
      <c r="O62" s="345">
        <v>40000</v>
      </c>
      <c r="P62" s="346"/>
      <c r="Q62" s="347">
        <f t="shared" si="2"/>
        <v>40000</v>
      </c>
    </row>
    <row r="63" spans="2:17" x14ac:dyDescent="0.25">
      <c r="B63" s="612" t="s">
        <v>1</v>
      </c>
      <c r="C63" s="613" t="s">
        <v>301</v>
      </c>
      <c r="D63" s="612" t="s">
        <v>410</v>
      </c>
      <c r="E63" s="612" t="s">
        <v>75</v>
      </c>
      <c r="F63" s="612" t="s">
        <v>411</v>
      </c>
      <c r="G63" s="612" t="s">
        <v>15</v>
      </c>
      <c r="K63" s="1">
        <v>49</v>
      </c>
      <c r="L63" s="59" t="s">
        <v>491</v>
      </c>
      <c r="M63" s="346" t="s">
        <v>444</v>
      </c>
      <c r="N63" s="344">
        <v>2</v>
      </c>
      <c r="O63" s="345">
        <v>2000</v>
      </c>
      <c r="P63" s="346"/>
      <c r="Q63" s="347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6" t="s">
        <v>445</v>
      </c>
      <c r="N64" s="344">
        <v>1</v>
      </c>
      <c r="O64" s="345">
        <v>2000</v>
      </c>
      <c r="P64" s="346"/>
      <c r="Q64" s="347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70" si="4">E65*F65</f>
        <v>27000</v>
      </c>
      <c r="K65" s="1">
        <v>51</v>
      </c>
      <c r="L65" s="59" t="s">
        <v>491</v>
      </c>
      <c r="M65" s="346" t="s">
        <v>446</v>
      </c>
      <c r="N65" s="344">
        <v>1</v>
      </c>
      <c r="O65" s="345">
        <v>2000</v>
      </c>
      <c r="P65" s="346"/>
      <c r="Q65" s="347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6" t="s">
        <v>447</v>
      </c>
      <c r="N66" s="344">
        <v>12</v>
      </c>
      <c r="O66" s="345">
        <v>3800</v>
      </c>
      <c r="P66" s="346"/>
      <c r="Q66" s="347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6200</v>
      </c>
      <c r="G67" s="56">
        <f t="shared" si="4"/>
        <v>310000</v>
      </c>
      <c r="K67" s="1">
        <v>53</v>
      </c>
      <c r="L67" s="59" t="s">
        <v>491</v>
      </c>
      <c r="M67" s="346" t="s">
        <v>448</v>
      </c>
      <c r="N67" s="344">
        <v>1</v>
      </c>
      <c r="O67" s="345">
        <v>4208</v>
      </c>
      <c r="P67" s="346"/>
      <c r="Q67" s="347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6" t="s">
        <v>449</v>
      </c>
      <c r="N68" s="344">
        <v>1</v>
      </c>
      <c r="O68" s="345">
        <v>26200</v>
      </c>
      <c r="P68" s="346"/>
      <c r="Q68" s="347">
        <f t="shared" si="2"/>
        <v>26200</v>
      </c>
    </row>
    <row r="69" spans="2:17" x14ac:dyDescent="0.25">
      <c r="B69" s="141">
        <v>6</v>
      </c>
      <c r="C69" s="390" t="s">
        <v>475</v>
      </c>
      <c r="D69" s="600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6" t="s">
        <v>450</v>
      </c>
      <c r="N69" s="344">
        <v>1</v>
      </c>
      <c r="O69" s="345">
        <v>26274</v>
      </c>
      <c r="P69" s="346"/>
      <c r="Q69" s="347">
        <f t="shared" si="2"/>
        <v>26274</v>
      </c>
    </row>
    <row r="70" spans="2:17" x14ac:dyDescent="0.25">
      <c r="B70" s="610" t="s">
        <v>15</v>
      </c>
      <c r="C70" s="610"/>
      <c r="D70" s="610"/>
      <c r="E70" s="610"/>
      <c r="F70" s="610"/>
      <c r="G70" s="618">
        <f ca="1">SUM(G64:G90)</f>
        <v>601000</v>
      </c>
      <c r="K70" s="1">
        <v>56</v>
      </c>
      <c r="L70" s="59" t="s">
        <v>491</v>
      </c>
      <c r="M70" s="346" t="s">
        <v>451</v>
      </c>
      <c r="N70" s="344">
        <v>1</v>
      </c>
      <c r="O70" s="345">
        <v>50000</v>
      </c>
      <c r="P70" s="346"/>
      <c r="Q70" s="347">
        <f t="shared" si="2"/>
        <v>50000</v>
      </c>
    </row>
    <row r="71" spans="2:17" x14ac:dyDescent="0.25">
      <c r="B71" s="49"/>
      <c r="C71" s="49"/>
      <c r="D71" s="49"/>
      <c r="E71" s="599"/>
      <c r="F71" s="323"/>
      <c r="G71" s="68"/>
      <c r="K71" s="1">
        <v>57</v>
      </c>
      <c r="L71" s="59" t="s">
        <v>491</v>
      </c>
      <c r="M71" s="346" t="s">
        <v>481</v>
      </c>
      <c r="N71" s="344">
        <v>1</v>
      </c>
      <c r="O71" s="345">
        <v>5400</v>
      </c>
      <c r="P71" s="346"/>
      <c r="Q71" s="347">
        <f t="shared" si="2"/>
        <v>5400</v>
      </c>
    </row>
    <row r="72" spans="2:17" x14ac:dyDescent="0.25">
      <c r="B72" s="624" t="s">
        <v>474</v>
      </c>
      <c r="C72" s="475"/>
      <c r="D72" s="475"/>
      <c r="E72" s="475"/>
      <c r="F72" s="475"/>
      <c r="G72" s="475"/>
      <c r="H72" s="475"/>
      <c r="I72" s="475"/>
      <c r="K72" s="1">
        <v>58</v>
      </c>
      <c r="L72" s="59" t="s">
        <v>491</v>
      </c>
      <c r="M72" s="365" t="s">
        <v>476</v>
      </c>
      <c r="N72" s="366">
        <v>40</v>
      </c>
      <c r="O72" s="367">
        <v>3500</v>
      </c>
      <c r="P72" s="368"/>
      <c r="Q72" s="369">
        <f t="shared" si="2"/>
        <v>140000</v>
      </c>
    </row>
    <row r="73" spans="2:17" x14ac:dyDescent="0.25">
      <c r="B73" s="614" t="s">
        <v>1</v>
      </c>
      <c r="C73" s="611" t="s">
        <v>455</v>
      </c>
      <c r="D73" s="615" t="s">
        <v>458</v>
      </c>
      <c r="E73" s="615" t="s">
        <v>456</v>
      </c>
      <c r="F73" s="615" t="s">
        <v>457</v>
      </c>
      <c r="G73" s="615" t="s">
        <v>459</v>
      </c>
      <c r="H73" s="615" t="s">
        <v>460</v>
      </c>
      <c r="I73" s="615" t="s">
        <v>463</v>
      </c>
      <c r="K73" s="1">
        <v>59</v>
      </c>
      <c r="L73" s="59" t="s">
        <v>491</v>
      </c>
      <c r="M73" s="365" t="s">
        <v>477</v>
      </c>
      <c r="N73" s="366">
        <v>1</v>
      </c>
      <c r="O73" s="367">
        <v>27000</v>
      </c>
      <c r="P73" s="368"/>
      <c r="Q73" s="369">
        <f t="shared" si="2"/>
        <v>27000</v>
      </c>
    </row>
    <row r="74" spans="2:17" x14ac:dyDescent="0.25">
      <c r="B74" s="595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5" t="s">
        <v>478</v>
      </c>
      <c r="N74" s="370">
        <v>1</v>
      </c>
      <c r="O74" s="371">
        <v>40000</v>
      </c>
      <c r="P74" s="368"/>
      <c r="Q74" s="369">
        <f t="shared" si="2"/>
        <v>40000</v>
      </c>
    </row>
    <row r="75" spans="2:17" x14ac:dyDescent="0.25">
      <c r="B75" s="594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1" si="5">G75+H75</f>
        <v>90000</v>
      </c>
      <c r="K75" s="1">
        <v>61</v>
      </c>
      <c r="L75" s="59" t="s">
        <v>491</v>
      </c>
      <c r="M75" s="365" t="s">
        <v>479</v>
      </c>
      <c r="N75" s="370">
        <v>50</v>
      </c>
      <c r="O75" s="371">
        <v>6200</v>
      </c>
      <c r="P75" s="368"/>
      <c r="Q75" s="369">
        <f t="shared" si="2"/>
        <v>310000</v>
      </c>
    </row>
    <row r="76" spans="2:17" x14ac:dyDescent="0.25">
      <c r="B76" s="595">
        <v>3</v>
      </c>
      <c r="C76" s="592" t="s">
        <v>45</v>
      </c>
      <c r="D76" s="301" t="s">
        <v>465</v>
      </c>
      <c r="E76" s="133"/>
      <c r="F76" s="133">
        <v>1</v>
      </c>
      <c r="G76" s="593">
        <f t="shared" ref="G76:G81" si="6">E76*30000</f>
        <v>0</v>
      </c>
      <c r="H76" s="593">
        <f t="shared" ref="H76:H81" si="7">F76*100000</f>
        <v>100000</v>
      </c>
      <c r="I76" s="593">
        <f t="shared" si="5"/>
        <v>100000</v>
      </c>
      <c r="K76" s="1">
        <v>62</v>
      </c>
      <c r="L76" s="59" t="s">
        <v>491</v>
      </c>
      <c r="M76" s="372" t="s">
        <v>480</v>
      </c>
      <c r="N76" s="366">
        <v>1</v>
      </c>
      <c r="O76" s="367">
        <v>14000</v>
      </c>
      <c r="P76" s="368"/>
      <c r="Q76" s="369">
        <f t="shared" si="2"/>
        <v>14000</v>
      </c>
    </row>
    <row r="77" spans="2:17" x14ac:dyDescent="0.25">
      <c r="B77" s="594">
        <v>4</v>
      </c>
      <c r="C77" s="301" t="s">
        <v>44</v>
      </c>
      <c r="D77" s="301" t="s">
        <v>466</v>
      </c>
      <c r="E77" s="133">
        <v>1</v>
      </c>
      <c r="F77" s="133"/>
      <c r="G77" s="593">
        <f t="shared" si="6"/>
        <v>30000</v>
      </c>
      <c r="H77" s="593">
        <f t="shared" si="7"/>
        <v>0</v>
      </c>
      <c r="I77" s="593">
        <f t="shared" si="5"/>
        <v>30000</v>
      </c>
      <c r="K77" s="1">
        <v>63</v>
      </c>
      <c r="L77" s="59" t="s">
        <v>491</v>
      </c>
      <c r="M77" s="381" t="s">
        <v>494</v>
      </c>
      <c r="N77" s="362">
        <v>1</v>
      </c>
      <c r="O77" s="380">
        <v>50000</v>
      </c>
      <c r="P77" s="363"/>
      <c r="Q77" s="364">
        <f t="shared" si="2"/>
        <v>50000</v>
      </c>
    </row>
    <row r="78" spans="2:17" x14ac:dyDescent="0.25">
      <c r="B78" s="595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1" t="s">
        <v>495</v>
      </c>
      <c r="N78" s="362">
        <v>1</v>
      </c>
      <c r="O78" s="380">
        <v>178000</v>
      </c>
      <c r="P78" s="363"/>
      <c r="Q78" s="364">
        <f t="shared" si="2"/>
        <v>178000</v>
      </c>
    </row>
    <row r="79" spans="2:17" x14ac:dyDescent="0.25">
      <c r="B79" s="594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1" t="s">
        <v>496</v>
      </c>
      <c r="N79" s="362">
        <v>1</v>
      </c>
      <c r="O79" s="380">
        <v>61000</v>
      </c>
      <c r="P79" s="363"/>
      <c r="Q79" s="364">
        <f t="shared" si="2"/>
        <v>61000</v>
      </c>
    </row>
    <row r="80" spans="2:17" x14ac:dyDescent="0.25">
      <c r="B80" s="596">
        <v>7</v>
      </c>
      <c r="C80" s="141" t="s">
        <v>52</v>
      </c>
      <c r="D80" s="141" t="s">
        <v>473</v>
      </c>
      <c r="E80" s="23">
        <v>3</v>
      </c>
      <c r="F80" s="23"/>
      <c r="G80" s="588">
        <f t="shared" si="6"/>
        <v>90000</v>
      </c>
      <c r="H80" s="588">
        <f t="shared" si="7"/>
        <v>0</v>
      </c>
      <c r="I80" s="588">
        <f t="shared" si="5"/>
        <v>90000</v>
      </c>
      <c r="K80" s="1">
        <v>66</v>
      </c>
      <c r="L80" s="59" t="s">
        <v>491</v>
      </c>
      <c r="M80" s="381" t="s">
        <v>497</v>
      </c>
      <c r="N80" s="362">
        <v>1</v>
      </c>
      <c r="O80" s="380">
        <v>400000</v>
      </c>
      <c r="P80" s="363"/>
      <c r="Q80" s="364">
        <f t="shared" si="2"/>
        <v>400000</v>
      </c>
    </row>
    <row r="81" spans="2:17" x14ac:dyDescent="0.25">
      <c r="B81" s="607" t="s">
        <v>15</v>
      </c>
      <c r="C81" s="608"/>
      <c r="D81" s="608"/>
      <c r="E81" s="608"/>
      <c r="F81" s="609"/>
      <c r="G81" s="619">
        <f>SUM(I74:I96)</f>
        <v>970000</v>
      </c>
      <c r="H81" s="620"/>
      <c r="I81" s="620"/>
      <c r="K81" s="1">
        <v>67</v>
      </c>
      <c r="L81" s="59" t="s">
        <v>491</v>
      </c>
      <c r="M81" s="381" t="s">
        <v>498</v>
      </c>
      <c r="N81" s="362">
        <v>1</v>
      </c>
      <c r="O81" s="380">
        <v>30000</v>
      </c>
      <c r="P81" s="363"/>
      <c r="Q81" s="364">
        <f t="shared" si="2"/>
        <v>30000</v>
      </c>
    </row>
    <row r="82" spans="2:17" x14ac:dyDescent="0.25">
      <c r="K82" s="1">
        <v>68</v>
      </c>
      <c r="L82" s="59" t="s">
        <v>491</v>
      </c>
      <c r="M82" s="384" t="s">
        <v>489</v>
      </c>
      <c r="N82" s="393">
        <v>1</v>
      </c>
      <c r="O82" s="394">
        <v>300000</v>
      </c>
      <c r="P82" s="383"/>
      <c r="Q82" s="391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500</v>
      </c>
      <c r="N83" s="1">
        <v>1</v>
      </c>
      <c r="O83" s="56">
        <v>73000</v>
      </c>
      <c r="P83" s="57"/>
      <c r="Q83" s="382">
        <f t="shared" si="2"/>
        <v>73000</v>
      </c>
    </row>
    <row r="84" spans="2:17" ht="15.75" thickBot="1" x14ac:dyDescent="0.3">
      <c r="K84" s="23">
        <v>70</v>
      </c>
      <c r="L84" s="390" t="s">
        <v>491</v>
      </c>
      <c r="M84" s="141"/>
      <c r="N84" s="23"/>
      <c r="O84" s="61"/>
      <c r="P84" s="57"/>
      <c r="Q84" s="382"/>
    </row>
    <row r="85" spans="2:17" ht="15.75" thickBot="1" x14ac:dyDescent="0.3">
      <c r="K85" s="454" t="s">
        <v>299</v>
      </c>
      <c r="L85" s="455"/>
      <c r="M85" s="455"/>
      <c r="N85" s="455"/>
      <c r="O85" s="456"/>
      <c r="P85" s="395"/>
      <c r="Q85" s="396">
        <v>393908</v>
      </c>
    </row>
    <row r="86" spans="2:17" ht="15.75" thickBot="1" x14ac:dyDescent="0.3">
      <c r="K86" s="601" t="s">
        <v>364</v>
      </c>
      <c r="L86" s="602"/>
      <c r="M86" s="602"/>
      <c r="N86" s="602"/>
      <c r="O86" s="603"/>
      <c r="P86" s="389">
        <f>SUM(P15:P82)</f>
        <v>8350000</v>
      </c>
      <c r="Q86" s="287">
        <f>SUM(Q15:Q85)</f>
        <v>7375990</v>
      </c>
    </row>
    <row r="87" spans="2:17" x14ac:dyDescent="0.25">
      <c r="K87" s="601"/>
      <c r="L87" s="602"/>
      <c r="M87" s="602"/>
      <c r="N87" s="602"/>
      <c r="O87" s="603"/>
      <c r="P87" s="464">
        <f>P86-Q86</f>
        <v>974010</v>
      </c>
      <c r="Q87" s="441"/>
    </row>
    <row r="88" spans="2:17" ht="15.75" thickBot="1" x14ac:dyDescent="0.3">
      <c r="K88" s="604"/>
      <c r="L88" s="605"/>
      <c r="M88" s="605"/>
      <c r="N88" s="605"/>
      <c r="O88" s="606"/>
      <c r="P88" s="465"/>
      <c r="Q88" s="443"/>
    </row>
  </sheetData>
  <mergeCells count="18">
    <mergeCell ref="P87:Q88"/>
    <mergeCell ref="B81:F81"/>
    <mergeCell ref="G81:I81"/>
    <mergeCell ref="K85:O85"/>
    <mergeCell ref="K86:O88"/>
    <mergeCell ref="B39:F39"/>
    <mergeCell ref="B41:G41"/>
    <mergeCell ref="B60:F60"/>
    <mergeCell ref="B62:G62"/>
    <mergeCell ref="B70:F70"/>
    <mergeCell ref="B72:I72"/>
    <mergeCell ref="G4:G6"/>
    <mergeCell ref="B9:E9"/>
    <mergeCell ref="F9:G9"/>
    <mergeCell ref="B13:G13"/>
    <mergeCell ref="B4:B6"/>
    <mergeCell ref="C4:C6"/>
    <mergeCell ref="F4:F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532" t="s">
        <v>244</v>
      </c>
      <c r="E2" s="532"/>
      <c r="F2" s="532"/>
      <c r="G2" s="532"/>
      <c r="H2" s="532"/>
      <c r="I2" s="532"/>
      <c r="J2" s="532"/>
      <c r="K2" s="532"/>
      <c r="L2" s="53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79" t="s">
        <v>195</v>
      </c>
      <c r="V3" s="480"/>
      <c r="W3" s="481" t="s">
        <v>19</v>
      </c>
      <c r="X3" s="480"/>
      <c r="Y3" s="480"/>
      <c r="Z3" s="480"/>
      <c r="AA3" s="480"/>
      <c r="AB3" s="480"/>
      <c r="AC3" s="480"/>
      <c r="AD3" s="482"/>
    </row>
    <row r="4" spans="1:30" x14ac:dyDescent="0.25">
      <c r="A4" s="175"/>
      <c r="B4" s="536" t="s">
        <v>193</v>
      </c>
      <c r="C4" s="537"/>
      <c r="D4" s="537"/>
      <c r="E4" s="537"/>
      <c r="F4" s="537"/>
      <c r="G4" s="70">
        <v>1004200</v>
      </c>
      <c r="H4" s="24"/>
      <c r="I4" s="457" t="s">
        <v>194</v>
      </c>
      <c r="J4" s="430"/>
      <c r="K4" s="430"/>
      <c r="L4" s="430"/>
      <c r="M4" s="176"/>
      <c r="U4" s="499" t="s">
        <v>196</v>
      </c>
      <c r="V4" s="430"/>
      <c r="W4" s="457" t="s">
        <v>198</v>
      </c>
      <c r="X4" s="430"/>
      <c r="Y4" s="430"/>
      <c r="Z4" s="430"/>
      <c r="AA4" s="430"/>
      <c r="AB4" s="430"/>
      <c r="AC4" s="430"/>
      <c r="AD4" s="483"/>
    </row>
    <row r="5" spans="1:30" x14ac:dyDescent="0.25">
      <c r="A5" s="175"/>
      <c r="B5" s="504" t="s">
        <v>235</v>
      </c>
      <c r="C5" s="430"/>
      <c r="D5" s="430"/>
      <c r="E5" s="430"/>
      <c r="F5" s="430"/>
      <c r="G5" s="152">
        <v>568329.18000000005</v>
      </c>
      <c r="H5" s="24"/>
      <c r="I5" s="459" t="s">
        <v>72</v>
      </c>
      <c r="J5" s="461"/>
      <c r="K5" s="526">
        <f>G7</f>
        <v>2332529.1800000002</v>
      </c>
      <c r="L5" s="527"/>
      <c r="M5" s="176"/>
      <c r="U5" s="500" t="s">
        <v>231</v>
      </c>
      <c r="V5" s="501"/>
      <c r="W5" s="459" t="s">
        <v>232</v>
      </c>
      <c r="X5" s="460"/>
      <c r="Y5" s="460"/>
      <c r="Z5" s="460"/>
      <c r="AA5" s="460"/>
      <c r="AB5" s="460"/>
      <c r="AC5" s="460"/>
      <c r="AD5" s="506"/>
    </row>
    <row r="6" spans="1:30" x14ac:dyDescent="0.25">
      <c r="A6" s="175"/>
      <c r="B6" s="497" t="s">
        <v>236</v>
      </c>
      <c r="C6" s="498"/>
      <c r="D6" s="498"/>
      <c r="E6" s="498"/>
      <c r="F6" s="498"/>
      <c r="G6" s="152">
        <v>760000</v>
      </c>
      <c r="H6" s="24"/>
      <c r="I6" s="525" t="s">
        <v>65</v>
      </c>
      <c r="J6" s="521"/>
      <c r="K6" s="528">
        <f>Pengeluaran!F30</f>
        <v>903300</v>
      </c>
      <c r="L6" s="529"/>
      <c r="M6" s="176"/>
      <c r="U6" s="502"/>
      <c r="V6" s="503"/>
      <c r="W6" s="488" t="s">
        <v>233</v>
      </c>
      <c r="X6" s="489"/>
      <c r="Y6" s="489"/>
      <c r="Z6" s="489"/>
      <c r="AA6" s="489"/>
      <c r="AB6" s="489"/>
      <c r="AC6" s="489"/>
      <c r="AD6" s="490"/>
    </row>
    <row r="7" spans="1:30" x14ac:dyDescent="0.25">
      <c r="A7" s="175"/>
      <c r="B7" s="507" t="s">
        <v>15</v>
      </c>
      <c r="C7" s="508"/>
      <c r="D7" s="508"/>
      <c r="E7" s="508"/>
      <c r="F7" s="521"/>
      <c r="G7" s="152">
        <f>SUM(G4:G6)</f>
        <v>2332529.1800000002</v>
      </c>
      <c r="H7" s="24"/>
      <c r="I7" s="525" t="s">
        <v>98</v>
      </c>
      <c r="J7" s="521"/>
      <c r="K7" s="530">
        <f>Pemasukkan!F31</f>
        <v>222000</v>
      </c>
      <c r="L7" s="531"/>
      <c r="M7" s="176"/>
      <c r="U7" s="486"/>
      <c r="V7" s="487"/>
      <c r="W7" s="457" t="s">
        <v>234</v>
      </c>
      <c r="X7" s="430"/>
      <c r="Y7" s="430"/>
      <c r="Z7" s="430"/>
      <c r="AA7" s="430"/>
      <c r="AB7" s="430"/>
      <c r="AC7" s="430"/>
      <c r="AD7" s="483"/>
    </row>
    <row r="8" spans="1:30" ht="15.75" thickBot="1" x14ac:dyDescent="0.3">
      <c r="A8" s="175"/>
      <c r="B8" s="534" t="s">
        <v>192</v>
      </c>
      <c r="C8" s="535"/>
      <c r="D8" s="535"/>
      <c r="E8" s="535"/>
      <c r="F8" s="535"/>
      <c r="G8" s="153">
        <f>K8</f>
        <v>1651229.1800000002</v>
      </c>
      <c r="H8" s="24"/>
      <c r="I8" s="459" t="s">
        <v>191</v>
      </c>
      <c r="J8" s="461"/>
      <c r="K8" s="516">
        <f>(K5-K6)+K7</f>
        <v>1651229.1800000002</v>
      </c>
      <c r="L8" s="517"/>
      <c r="M8" s="176"/>
      <c r="U8" s="493" t="s">
        <v>197</v>
      </c>
      <c r="V8" s="494"/>
      <c r="W8" s="488" t="s">
        <v>199</v>
      </c>
      <c r="X8" s="489"/>
      <c r="Y8" s="489"/>
      <c r="Z8" s="489"/>
      <c r="AA8" s="489"/>
      <c r="AB8" s="489"/>
      <c r="AC8" s="489"/>
      <c r="AD8" s="490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95"/>
      <c r="V9" s="496"/>
      <c r="W9" s="488" t="s">
        <v>237</v>
      </c>
      <c r="X9" s="489"/>
      <c r="Y9" s="489"/>
      <c r="Z9" s="489"/>
      <c r="AA9" s="489"/>
      <c r="AB9" s="489"/>
      <c r="AC9" s="489"/>
      <c r="AD9" s="490"/>
    </row>
    <row r="10" spans="1:30" x14ac:dyDescent="0.25">
      <c r="A10" s="175"/>
      <c r="B10" s="430" t="s">
        <v>253</v>
      </c>
      <c r="C10" s="430"/>
      <c r="D10" s="430"/>
      <c r="E10" s="430"/>
      <c r="F10" s="430"/>
      <c r="G10" s="56">
        <f>G5</f>
        <v>568329.18000000005</v>
      </c>
      <c r="H10" s="24"/>
      <c r="I10" s="24"/>
      <c r="J10" s="24"/>
      <c r="K10" s="24"/>
      <c r="L10" s="24"/>
      <c r="M10" s="176"/>
      <c r="U10" s="497" t="s">
        <v>243</v>
      </c>
      <c r="V10" s="498"/>
      <c r="W10" s="430" t="s">
        <v>257</v>
      </c>
      <c r="X10" s="430"/>
      <c r="Y10" s="430"/>
      <c r="Z10" s="430"/>
      <c r="AA10" s="430"/>
      <c r="AB10" s="430"/>
      <c r="AC10" s="430"/>
      <c r="AD10" s="483"/>
    </row>
    <row r="11" spans="1:30" ht="15" customHeight="1" x14ac:dyDescent="0.25">
      <c r="A11" s="175"/>
      <c r="B11" s="430" t="s">
        <v>254</v>
      </c>
      <c r="C11" s="430"/>
      <c r="D11" s="430"/>
      <c r="E11" s="430"/>
      <c r="F11" s="430"/>
      <c r="G11" s="56">
        <v>1089400</v>
      </c>
      <c r="H11" s="24"/>
      <c r="I11" s="24"/>
      <c r="J11" s="24"/>
      <c r="K11" s="24"/>
      <c r="L11" s="24"/>
      <c r="M11" s="176"/>
      <c r="U11" s="497" t="s">
        <v>256</v>
      </c>
      <c r="V11" s="498"/>
      <c r="W11" s="491" t="s">
        <v>258</v>
      </c>
      <c r="X11" s="491"/>
      <c r="Y11" s="491"/>
      <c r="Z11" s="491"/>
      <c r="AA11" s="491"/>
      <c r="AB11" s="491"/>
      <c r="AC11" s="491"/>
      <c r="AD11" s="492"/>
    </row>
    <row r="12" spans="1:30" ht="15" customHeight="1" x14ac:dyDescent="0.25">
      <c r="A12" s="175"/>
      <c r="B12" s="533" t="s">
        <v>255</v>
      </c>
      <c r="C12" s="533"/>
      <c r="D12" s="533"/>
      <c r="E12" s="533"/>
      <c r="F12" s="53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497"/>
      <c r="V12" s="498"/>
      <c r="W12" s="430"/>
      <c r="X12" s="430"/>
      <c r="Y12" s="430"/>
      <c r="Z12" s="430"/>
      <c r="AA12" s="430"/>
      <c r="AB12" s="430"/>
      <c r="AC12" s="430"/>
      <c r="AD12" s="48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497"/>
      <c r="V13" s="498"/>
      <c r="W13" s="430"/>
      <c r="X13" s="430"/>
      <c r="Y13" s="430"/>
      <c r="Z13" s="430"/>
      <c r="AA13" s="430"/>
      <c r="AB13" s="430"/>
      <c r="AC13" s="430"/>
      <c r="AD13" s="483"/>
    </row>
    <row r="14" spans="1:30" ht="15.75" thickBot="1" x14ac:dyDescent="0.3">
      <c r="U14" s="510"/>
      <c r="V14" s="511"/>
      <c r="W14" s="484"/>
      <c r="X14" s="484"/>
      <c r="Y14" s="484"/>
      <c r="Z14" s="484"/>
      <c r="AA14" s="484"/>
      <c r="AB14" s="484"/>
      <c r="AC14" s="484"/>
      <c r="AD14" s="485"/>
    </row>
    <row r="17" spans="1:19" ht="15.75" thickBot="1" x14ac:dyDescent="0.3"/>
    <row r="18" spans="1:19" x14ac:dyDescent="0.25">
      <c r="A18" s="172"/>
      <c r="B18" s="173"/>
      <c r="C18" s="173"/>
      <c r="D18" s="532" t="s">
        <v>249</v>
      </c>
      <c r="E18" s="532"/>
      <c r="F18" s="532"/>
      <c r="G18" s="532"/>
      <c r="H18" s="532"/>
      <c r="I18" s="532"/>
      <c r="J18" s="532"/>
      <c r="K18" s="532"/>
      <c r="L18" s="532"/>
      <c r="M18" s="174"/>
      <c r="O18" s="512" t="s">
        <v>250</v>
      </c>
      <c r="P18" s="513"/>
      <c r="Q18" s="513"/>
      <c r="R18" s="513"/>
      <c r="S18" s="514"/>
    </row>
    <row r="19" spans="1:19" x14ac:dyDescent="0.25">
      <c r="A19" s="175"/>
      <c r="M19" s="176"/>
      <c r="O19" s="504" t="s">
        <v>251</v>
      </c>
      <c r="P19" s="430"/>
      <c r="Q19" s="430"/>
      <c r="R19" s="430"/>
      <c r="S19" s="48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457" t="s">
        <v>194</v>
      </c>
      <c r="J20" s="430"/>
      <c r="K20" s="430"/>
      <c r="L20" s="430"/>
      <c r="M20" s="176"/>
      <c r="O20" s="504" t="s">
        <v>252</v>
      </c>
      <c r="P20" s="430"/>
      <c r="Q20" s="430"/>
      <c r="R20" s="430"/>
      <c r="S20" s="483"/>
    </row>
    <row r="21" spans="1:19" x14ac:dyDescent="0.25">
      <c r="A21" s="175"/>
      <c r="B21" s="518" t="s">
        <v>296</v>
      </c>
      <c r="C21" s="519"/>
      <c r="D21" s="519"/>
      <c r="E21" s="519"/>
      <c r="F21" s="520"/>
      <c r="G21" s="70">
        <f>G12</f>
        <v>1657729.1800000002</v>
      </c>
      <c r="H21" s="24"/>
      <c r="I21" s="459" t="s">
        <v>72</v>
      </c>
      <c r="J21" s="461"/>
      <c r="K21" s="526">
        <f>G22</f>
        <v>1657729.1800000002</v>
      </c>
      <c r="L21" s="527"/>
      <c r="M21" s="176"/>
      <c r="N21" s="170"/>
      <c r="O21" s="515" t="s">
        <v>259</v>
      </c>
      <c r="P21" s="460"/>
      <c r="Q21" s="460"/>
      <c r="R21" s="460"/>
      <c r="S21" s="506"/>
    </row>
    <row r="22" spans="1:19" x14ac:dyDescent="0.25">
      <c r="A22" s="175"/>
      <c r="B22" s="507" t="s">
        <v>15</v>
      </c>
      <c r="C22" s="508"/>
      <c r="D22" s="508"/>
      <c r="E22" s="508"/>
      <c r="F22" s="521"/>
      <c r="G22" s="152">
        <f>G21</f>
        <v>1657729.1800000002</v>
      </c>
      <c r="H22" s="24"/>
      <c r="I22" s="525" t="s">
        <v>65</v>
      </c>
      <c r="J22" s="521"/>
      <c r="K22" s="528">
        <f>Pengeluaran!L30</f>
        <v>779000</v>
      </c>
      <c r="L22" s="529"/>
      <c r="M22" s="176"/>
      <c r="N22" s="170"/>
      <c r="O22" s="507" t="s">
        <v>260</v>
      </c>
      <c r="P22" s="508"/>
      <c r="Q22" s="508"/>
      <c r="R22" s="508"/>
      <c r="S22" s="509"/>
    </row>
    <row r="23" spans="1:19" ht="15.75" thickBot="1" x14ac:dyDescent="0.3">
      <c r="A23" s="175"/>
      <c r="B23" s="522" t="s">
        <v>192</v>
      </c>
      <c r="C23" s="523"/>
      <c r="D23" s="523"/>
      <c r="E23" s="523"/>
      <c r="F23" s="524"/>
      <c r="G23" s="153">
        <f>K24</f>
        <v>1568729.1800000002</v>
      </c>
      <c r="H23" s="24"/>
      <c r="I23" s="525" t="s">
        <v>98</v>
      </c>
      <c r="J23" s="521"/>
      <c r="K23" s="530">
        <f>Pemasukkan!L31</f>
        <v>690000</v>
      </c>
      <c r="L23" s="531"/>
      <c r="M23" s="176"/>
      <c r="N23" s="170"/>
      <c r="O23" s="507" t="s">
        <v>261</v>
      </c>
      <c r="P23" s="508"/>
      <c r="Q23" s="508"/>
      <c r="R23" s="508"/>
      <c r="S23" s="509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459" t="s">
        <v>191</v>
      </c>
      <c r="J24" s="461"/>
      <c r="K24" s="516">
        <f>(K21-K22)+K23</f>
        <v>1568729.1800000002</v>
      </c>
      <c r="L24" s="517"/>
      <c r="M24" s="176"/>
      <c r="N24" s="170"/>
      <c r="O24" s="507" t="s">
        <v>262</v>
      </c>
      <c r="P24" s="508"/>
      <c r="Q24" s="508"/>
      <c r="R24" s="508"/>
      <c r="S24" s="509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04" t="s">
        <v>267</v>
      </c>
      <c r="P25" s="430"/>
      <c r="Q25" s="430"/>
      <c r="R25" s="430"/>
      <c r="S25" s="48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05"/>
      <c r="P26" s="484"/>
      <c r="Q26" s="484"/>
      <c r="R26" s="484"/>
      <c r="S26" s="485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547" t="s">
        <v>186</v>
      </c>
      <c r="D2" s="548"/>
      <c r="E2" s="548"/>
      <c r="F2" s="548"/>
      <c r="G2" s="548"/>
      <c r="H2" s="548"/>
      <c r="I2" s="548"/>
      <c r="J2" s="548"/>
      <c r="K2" s="548"/>
    </row>
    <row r="3" spans="3:13" ht="15" customHeight="1" x14ac:dyDescent="0.25">
      <c r="C3" s="548"/>
      <c r="D3" s="548"/>
      <c r="E3" s="548"/>
      <c r="F3" s="548"/>
      <c r="G3" s="548"/>
      <c r="H3" s="548"/>
      <c r="I3" s="548"/>
      <c r="J3" s="548"/>
      <c r="K3" s="548"/>
    </row>
    <row r="5" spans="3:13" ht="15" customHeight="1" x14ac:dyDescent="0.25">
      <c r="C5" s="540" t="s">
        <v>247</v>
      </c>
      <c r="D5" s="540"/>
      <c r="E5" s="540"/>
      <c r="F5" s="540"/>
      <c r="G5" s="540"/>
      <c r="I5" s="540" t="s">
        <v>248</v>
      </c>
      <c r="J5" s="540"/>
      <c r="K5" s="540"/>
      <c r="L5" s="540"/>
      <c r="M5" s="540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36" t="s">
        <v>72</v>
      </c>
      <c r="E29" s="537"/>
      <c r="F29" s="541">
        <f>'Hitung Pemasukan Pengeluaran'!G6</f>
        <v>760000</v>
      </c>
      <c r="G29" s="542"/>
      <c r="I29" s="170"/>
      <c r="J29" s="536" t="s">
        <v>72</v>
      </c>
      <c r="K29" s="537"/>
      <c r="L29" s="541">
        <f>'Hitung Pemasukan Pengeluaran'!G22</f>
        <v>1657729.1800000002</v>
      </c>
      <c r="M29" s="542"/>
    </row>
    <row r="30" spans="3:13" ht="15.75" customHeight="1" x14ac:dyDescent="0.25">
      <c r="D30" s="499" t="s">
        <v>65</v>
      </c>
      <c r="E30" s="430"/>
      <c r="F30" s="543">
        <f>Pengeluaran!F30</f>
        <v>903300</v>
      </c>
      <c r="G30" s="544"/>
      <c r="I30" s="170"/>
      <c r="J30" s="499" t="s">
        <v>65</v>
      </c>
      <c r="K30" s="430"/>
      <c r="L30" s="543">
        <f>Pengeluaran!L30</f>
        <v>779000</v>
      </c>
      <c r="M30" s="544"/>
    </row>
    <row r="31" spans="3:13" ht="15.75" customHeight="1" x14ac:dyDescent="0.25">
      <c r="D31" s="504" t="s">
        <v>98</v>
      </c>
      <c r="E31" s="430"/>
      <c r="F31" s="545">
        <f>F27</f>
        <v>222000</v>
      </c>
      <c r="G31" s="546"/>
      <c r="I31" s="170"/>
      <c r="J31" s="504" t="s">
        <v>98</v>
      </c>
      <c r="K31" s="430"/>
      <c r="L31" s="545">
        <f>L27</f>
        <v>690000</v>
      </c>
      <c r="M31" s="546"/>
    </row>
    <row r="32" spans="3:13" ht="15.75" customHeight="1" thickBot="1" x14ac:dyDescent="0.3">
      <c r="D32" s="534" t="s">
        <v>190</v>
      </c>
      <c r="E32" s="535"/>
      <c r="F32" s="538">
        <f>'Hitung Pemasukan Pengeluaran'!G8</f>
        <v>1651229.1800000002</v>
      </c>
      <c r="G32" s="539"/>
      <c r="I32" s="170"/>
      <c r="J32" s="534" t="s">
        <v>190</v>
      </c>
      <c r="K32" s="535"/>
      <c r="L32" s="538">
        <f>'Hitung Pemasukan Pengeluaran'!G23</f>
        <v>1568729.1800000002</v>
      </c>
      <c r="M32" s="53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553" t="s">
        <v>179</v>
      </c>
      <c r="D2" s="554"/>
      <c r="E2" s="554"/>
      <c r="F2" s="554"/>
      <c r="G2" s="554"/>
      <c r="H2" s="554"/>
      <c r="I2" s="554"/>
      <c r="J2" s="554"/>
      <c r="K2" s="554"/>
    </row>
    <row r="3" spans="3:13" ht="15" customHeight="1" x14ac:dyDescent="0.25">
      <c r="C3" s="554"/>
      <c r="D3" s="554"/>
      <c r="E3" s="554"/>
      <c r="F3" s="554"/>
      <c r="G3" s="554"/>
      <c r="H3" s="554"/>
      <c r="I3" s="554"/>
      <c r="J3" s="554"/>
      <c r="K3" s="554"/>
    </row>
    <row r="5" spans="3:13" ht="15" customHeight="1" x14ac:dyDescent="0.25">
      <c r="C5" s="540" t="s">
        <v>245</v>
      </c>
      <c r="D5" s="540"/>
      <c r="E5" s="540"/>
      <c r="F5" s="540"/>
      <c r="G5" s="540"/>
      <c r="I5" s="540" t="s">
        <v>246</v>
      </c>
      <c r="J5" s="540"/>
      <c r="K5" s="540"/>
      <c r="L5" s="540"/>
      <c r="M5" s="540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79" t="s">
        <v>72</v>
      </c>
      <c r="E29" s="481"/>
      <c r="F29" s="551">
        <f>'Hitung Pemasukan Pengeluaran'!G6</f>
        <v>760000</v>
      </c>
      <c r="G29" s="552"/>
      <c r="I29" s="170"/>
      <c r="J29" s="479" t="s">
        <v>72</v>
      </c>
      <c r="K29" s="481"/>
      <c r="L29" s="551">
        <f>'Hitung Pemasukan Pengeluaran'!G22</f>
        <v>1657729.1800000002</v>
      </c>
      <c r="M29" s="552"/>
    </row>
    <row r="30" spans="3:13" ht="15.75" customHeight="1" x14ac:dyDescent="0.25">
      <c r="D30" s="504" t="s">
        <v>65</v>
      </c>
      <c r="E30" s="430"/>
      <c r="F30" s="543">
        <f>F27</f>
        <v>903300</v>
      </c>
      <c r="G30" s="544"/>
      <c r="I30" s="170"/>
      <c r="J30" s="504" t="s">
        <v>65</v>
      </c>
      <c r="K30" s="430"/>
      <c r="L30" s="543">
        <f>L27</f>
        <v>779000</v>
      </c>
      <c r="M30" s="544"/>
    </row>
    <row r="31" spans="3:13" ht="15.75" customHeight="1" x14ac:dyDescent="0.25">
      <c r="D31" s="504" t="s">
        <v>98</v>
      </c>
      <c r="E31" s="430"/>
      <c r="F31" s="545">
        <f>Pemasukkan!F27</f>
        <v>222000</v>
      </c>
      <c r="G31" s="546"/>
      <c r="I31" s="170"/>
      <c r="J31" s="504" t="s">
        <v>98</v>
      </c>
      <c r="K31" s="430"/>
      <c r="L31" s="545">
        <f>Pemasukkan!L27</f>
        <v>690000</v>
      </c>
      <c r="M31" s="546"/>
    </row>
    <row r="32" spans="3:13" ht="15.75" customHeight="1" thickBot="1" x14ac:dyDescent="0.3">
      <c r="D32" s="534" t="s">
        <v>191</v>
      </c>
      <c r="E32" s="535"/>
      <c r="F32" s="549">
        <f>'Hitung Pemasukan Pengeluaran'!G8</f>
        <v>1651229.1800000002</v>
      </c>
      <c r="G32" s="550"/>
      <c r="I32" s="170"/>
      <c r="J32" s="534" t="s">
        <v>191</v>
      </c>
      <c r="K32" s="535"/>
      <c r="L32" s="549">
        <f>'Hitung Pemasukan Pengeluaran'!G23</f>
        <v>1568729.1800000002</v>
      </c>
      <c r="M32" s="55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2020-03-13T13:19:11Z</dcterms:modified>
</cp:coreProperties>
</file>