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anessaschneider\Google Drive (doc.vanessaschneider@gmail.com)\Doutorado\Provisório\"/>
    </mc:Choice>
  </mc:AlternateContent>
  <bookViews>
    <workbookView xWindow="0" yWindow="0" windowWidth="15345" windowHeight="4575" tabRatio="965"/>
  </bookViews>
  <sheets>
    <sheet name="Group1OriginalProblem" sheetId="2" r:id="rId1"/>
    <sheet name="Group1EuclidianDistance" sheetId="44" r:id="rId2"/>
    <sheet name="Group1Similarity" sheetId="4" r:id="rId3"/>
    <sheet name="Group1Dissimilarity" sheetId="8" r:id="rId4"/>
    <sheet name="Group2OriginalProblem" sheetId="75" r:id="rId5"/>
    <sheet name="Group2EuclidianDistance" sheetId="76" r:id="rId6"/>
    <sheet name="Group2Similarity" sheetId="43" r:id="rId7"/>
    <sheet name="Group2Dissimilarity" sheetId="38" r:id="rId8"/>
    <sheet name="Group3OriginalProblem" sheetId="86" r:id="rId9"/>
    <sheet name="Group3EuclidianDistance" sheetId="87" r:id="rId10"/>
    <sheet name="18StratifiedSimilarity" sheetId="88" r:id="rId11"/>
    <sheet name="Group3Dissimilarity" sheetId="89" r:id="rId12"/>
  </sheets>
  <calcPr calcId="162913"/>
</workbook>
</file>

<file path=xl/calcChain.xml><?xml version="1.0" encoding="utf-8"?>
<calcChain xmlns="http://schemas.openxmlformats.org/spreadsheetml/2006/main">
  <c r="I3" i="75" l="1"/>
  <c r="I4" i="75"/>
  <c r="I5" i="75"/>
  <c r="I6" i="75"/>
  <c r="I7" i="75"/>
  <c r="I8" i="75"/>
  <c r="I9" i="75"/>
  <c r="I10" i="75"/>
  <c r="I11" i="75"/>
  <c r="I12" i="75"/>
  <c r="I13" i="75"/>
  <c r="I14" i="75"/>
  <c r="I15" i="75"/>
  <c r="I16" i="75"/>
  <c r="I17" i="75"/>
  <c r="I18" i="75"/>
  <c r="F19" i="75"/>
  <c r="G19" i="75"/>
  <c r="H19" i="75"/>
  <c r="I19" i="75"/>
  <c r="J21" i="87" l="1"/>
  <c r="K21" i="87"/>
  <c r="U338" i="44" l="1"/>
  <c r="T338" i="44"/>
  <c r="K327" i="8" l="1"/>
  <c r="L327" i="8"/>
  <c r="M327" i="8"/>
  <c r="I21" i="86" l="1"/>
  <c r="G21" i="87"/>
  <c r="H21" i="87"/>
  <c r="I21" i="87"/>
  <c r="M21" i="87"/>
  <c r="N21" i="87"/>
  <c r="P21" i="87"/>
  <c r="Q21" i="87"/>
  <c r="AB21" i="89" l="1"/>
  <c r="AA21" i="89"/>
  <c r="Z21" i="89"/>
  <c r="X21" i="89"/>
  <c r="W21" i="89"/>
  <c r="V21" i="89"/>
  <c r="T21" i="89"/>
  <c r="S21" i="89"/>
  <c r="R21" i="89"/>
  <c r="P21" i="89"/>
  <c r="O21" i="89"/>
  <c r="N21" i="89"/>
  <c r="L21" i="89"/>
  <c r="K21" i="89"/>
  <c r="J21" i="89"/>
  <c r="I21" i="89"/>
  <c r="H21" i="89"/>
  <c r="AC20" i="89"/>
  <c r="Y20" i="89"/>
  <c r="U20" i="89"/>
  <c r="Q20" i="89"/>
  <c r="M20" i="89"/>
  <c r="AC19" i="89"/>
  <c r="Y19" i="89"/>
  <c r="U19" i="89"/>
  <c r="Q19" i="89"/>
  <c r="M19" i="89"/>
  <c r="Y18" i="89"/>
  <c r="U18" i="89"/>
  <c r="Q18" i="89"/>
  <c r="M18" i="89"/>
  <c r="Y17" i="89"/>
  <c r="U17" i="89"/>
  <c r="Q17" i="89"/>
  <c r="M17" i="89"/>
  <c r="AC16" i="89"/>
  <c r="U16" i="89"/>
  <c r="Q16" i="89"/>
  <c r="M16" i="89"/>
  <c r="AC15" i="89"/>
  <c r="Y15" i="89"/>
  <c r="U15" i="89"/>
  <c r="Q15" i="89"/>
  <c r="M15" i="89"/>
  <c r="AC14" i="89"/>
  <c r="Y14" i="89"/>
  <c r="U14" i="89"/>
  <c r="Q14" i="89"/>
  <c r="M14" i="89"/>
  <c r="Y13" i="89"/>
  <c r="U13" i="89"/>
  <c r="Q13" i="89"/>
  <c r="M13" i="89"/>
  <c r="AC12" i="89"/>
  <c r="Y12" i="89"/>
  <c r="U12" i="89"/>
  <c r="Q12" i="89"/>
  <c r="M12" i="89"/>
  <c r="AC11" i="89"/>
  <c r="Y11" i="89"/>
  <c r="U11" i="89"/>
  <c r="Q11" i="89"/>
  <c r="M11" i="89"/>
  <c r="Y10" i="89"/>
  <c r="U10" i="89"/>
  <c r="Q10" i="89"/>
  <c r="M10" i="89"/>
  <c r="AC9" i="89"/>
  <c r="Y9" i="89"/>
  <c r="U9" i="89"/>
  <c r="Q9" i="89"/>
  <c r="M9" i="89"/>
  <c r="Y8" i="89"/>
  <c r="U8" i="89"/>
  <c r="Q8" i="89"/>
  <c r="M8" i="89"/>
  <c r="Y7" i="89"/>
  <c r="U7" i="89"/>
  <c r="Q7" i="89"/>
  <c r="M7" i="89"/>
  <c r="Y6" i="89"/>
  <c r="U6" i="89"/>
  <c r="Q6" i="89"/>
  <c r="M6" i="89"/>
  <c r="Y5" i="89"/>
  <c r="U5" i="89"/>
  <c r="Q5" i="89"/>
  <c r="M5" i="89"/>
  <c r="Y4" i="89"/>
  <c r="U4" i="89"/>
  <c r="Q4" i="89"/>
  <c r="M4" i="89"/>
  <c r="AC3" i="89"/>
  <c r="Y3" i="89"/>
  <c r="U3" i="89"/>
  <c r="Q3" i="89"/>
  <c r="M3" i="89"/>
  <c r="Q21" i="88"/>
  <c r="P21" i="88"/>
  <c r="N21" i="88"/>
  <c r="M21" i="88"/>
  <c r="K21" i="88"/>
  <c r="J21" i="88"/>
  <c r="I21" i="88"/>
  <c r="H21" i="88"/>
  <c r="G21" i="88"/>
  <c r="F21" i="88"/>
  <c r="R20" i="88"/>
  <c r="O20" i="88"/>
  <c r="L20" i="88"/>
  <c r="R19" i="88"/>
  <c r="O19" i="88"/>
  <c r="L19" i="88"/>
  <c r="O18" i="88"/>
  <c r="L18" i="88"/>
  <c r="O17" i="88"/>
  <c r="L17" i="88"/>
  <c r="R16" i="88"/>
  <c r="L16" i="88"/>
  <c r="R15" i="88"/>
  <c r="O15" i="88"/>
  <c r="L15" i="88"/>
  <c r="R14" i="88"/>
  <c r="O14" i="88"/>
  <c r="L14" i="88"/>
  <c r="O13" i="88"/>
  <c r="L13" i="88"/>
  <c r="R12" i="88"/>
  <c r="O12" i="88"/>
  <c r="L12" i="88"/>
  <c r="R11" i="88"/>
  <c r="O11" i="88"/>
  <c r="L11" i="88"/>
  <c r="O10" i="88"/>
  <c r="L10" i="88"/>
  <c r="R9" i="88"/>
  <c r="O9" i="88"/>
  <c r="L9" i="88"/>
  <c r="O8" i="88"/>
  <c r="L8" i="88"/>
  <c r="O7" i="88"/>
  <c r="L7" i="88"/>
  <c r="O6" i="88"/>
  <c r="L6" i="88"/>
  <c r="O5" i="88"/>
  <c r="L5" i="88"/>
  <c r="O4" i="88"/>
  <c r="L4" i="88"/>
  <c r="R3" i="88"/>
  <c r="O3" i="88"/>
  <c r="L3" i="88"/>
  <c r="R9" i="87"/>
  <c r="R11" i="87"/>
  <c r="R12" i="87"/>
  <c r="R14" i="87"/>
  <c r="R15" i="87"/>
  <c r="R16" i="87"/>
  <c r="R19" i="87"/>
  <c r="R20" i="87"/>
  <c r="R3" i="87"/>
  <c r="R4" i="86"/>
  <c r="R5" i="86"/>
  <c r="R6" i="86"/>
  <c r="R7" i="86"/>
  <c r="R8" i="86"/>
  <c r="R9" i="86"/>
  <c r="R10" i="86"/>
  <c r="R11" i="86"/>
  <c r="R12" i="86"/>
  <c r="R13" i="86"/>
  <c r="R14" i="86"/>
  <c r="R15" i="86"/>
  <c r="R16" i="86"/>
  <c r="R17" i="86"/>
  <c r="R18" i="86"/>
  <c r="R19" i="86"/>
  <c r="R20" i="86"/>
  <c r="R3" i="86"/>
  <c r="F21" i="87"/>
  <c r="O20" i="87"/>
  <c r="L20" i="87"/>
  <c r="O19" i="87"/>
  <c r="L19" i="87"/>
  <c r="O18" i="87"/>
  <c r="L18" i="87"/>
  <c r="O17" i="87"/>
  <c r="L17" i="87"/>
  <c r="L16" i="87"/>
  <c r="O15" i="87"/>
  <c r="L15" i="87"/>
  <c r="O14" i="87"/>
  <c r="L14" i="87"/>
  <c r="O13" i="87"/>
  <c r="L13" i="87"/>
  <c r="O12" i="87"/>
  <c r="L12" i="87"/>
  <c r="O11" i="87"/>
  <c r="L11" i="87"/>
  <c r="O10" i="87"/>
  <c r="L10" i="87"/>
  <c r="O9" i="87"/>
  <c r="L9" i="87"/>
  <c r="O8" i="87"/>
  <c r="L8" i="87"/>
  <c r="O7" i="87"/>
  <c r="L7" i="87"/>
  <c r="O6" i="87"/>
  <c r="L6" i="87"/>
  <c r="O5" i="87"/>
  <c r="L5" i="87"/>
  <c r="O4" i="87"/>
  <c r="L4" i="87"/>
  <c r="O3" i="87"/>
  <c r="L3" i="87"/>
  <c r="L3" i="86"/>
  <c r="L4" i="86"/>
  <c r="L5" i="86"/>
  <c r="L6" i="86"/>
  <c r="L7" i="86"/>
  <c r="L8" i="86"/>
  <c r="L9" i="86"/>
  <c r="L10" i="86"/>
  <c r="L11" i="86"/>
  <c r="L12" i="86"/>
  <c r="L13" i="86"/>
  <c r="L14" i="86"/>
  <c r="L15" i="86"/>
  <c r="L16" i="86"/>
  <c r="L17" i="86"/>
  <c r="L18" i="86"/>
  <c r="L19" i="86"/>
  <c r="L20" i="86"/>
  <c r="O3" i="86"/>
  <c r="O4" i="86"/>
  <c r="O5" i="86"/>
  <c r="O6" i="86"/>
  <c r="O7" i="86"/>
  <c r="O8" i="86"/>
  <c r="O9" i="86"/>
  <c r="O10" i="86"/>
  <c r="O11" i="86"/>
  <c r="O12" i="86"/>
  <c r="O13" i="86"/>
  <c r="O14" i="86"/>
  <c r="O15" i="86"/>
  <c r="O17" i="86"/>
  <c r="O18" i="86"/>
  <c r="O19" i="86"/>
  <c r="O20" i="86"/>
  <c r="G21" i="86"/>
  <c r="H21" i="86"/>
  <c r="J21" i="86"/>
  <c r="K21" i="86"/>
  <c r="M21" i="86"/>
  <c r="N21" i="86"/>
  <c r="P21" i="86"/>
  <c r="Q21" i="86"/>
  <c r="F21" i="86"/>
  <c r="L21" i="87" l="1"/>
  <c r="R26" i="87"/>
  <c r="R21" i="87"/>
  <c r="O21" i="87"/>
  <c r="O21" i="86"/>
  <c r="M21" i="89"/>
  <c r="AC21" i="89"/>
  <c r="R21" i="88"/>
  <c r="L21" i="86"/>
  <c r="U21" i="89"/>
  <c r="Q21" i="89"/>
  <c r="Y21" i="89"/>
  <c r="L21" i="88"/>
  <c r="O21" i="88"/>
  <c r="R21" i="86"/>
  <c r="J19" i="75"/>
  <c r="K19" i="75"/>
  <c r="L19" i="75"/>
  <c r="M19" i="75"/>
  <c r="N19" i="75"/>
  <c r="O19" i="75"/>
  <c r="Q19" i="75"/>
  <c r="R19" i="75"/>
  <c r="S19" i="75"/>
  <c r="F19" i="38" l="1"/>
  <c r="G19" i="38"/>
  <c r="H19" i="38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 l="1"/>
  <c r="I3" i="43"/>
  <c r="I4" i="43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F19" i="76"/>
  <c r="G19" i="76"/>
  <c r="H19" i="76"/>
  <c r="I3" i="76"/>
  <c r="I4" i="76"/>
  <c r="I5" i="76"/>
  <c r="I6" i="76"/>
  <c r="I7" i="76"/>
  <c r="I8" i="76"/>
  <c r="I9" i="76"/>
  <c r="I10" i="76"/>
  <c r="I11" i="76"/>
  <c r="I12" i="76"/>
  <c r="I13" i="76"/>
  <c r="I14" i="76"/>
  <c r="I15" i="76"/>
  <c r="I16" i="76"/>
  <c r="I17" i="76"/>
  <c r="I18" i="76"/>
  <c r="I19" i="43" l="1"/>
  <c r="I19" i="76"/>
  <c r="T19" i="76"/>
  <c r="S19" i="76"/>
  <c r="R19" i="76"/>
  <c r="P19" i="76"/>
  <c r="O19" i="76"/>
  <c r="N19" i="76"/>
  <c r="L19" i="76"/>
  <c r="K19" i="76"/>
  <c r="J19" i="76"/>
  <c r="U18" i="76"/>
  <c r="Q18" i="76"/>
  <c r="M18" i="76"/>
  <c r="U17" i="76"/>
  <c r="Q17" i="76"/>
  <c r="M17" i="76"/>
  <c r="U16" i="76"/>
  <c r="Q16" i="76"/>
  <c r="M16" i="76"/>
  <c r="U15" i="76"/>
  <c r="Q15" i="76"/>
  <c r="M15" i="76"/>
  <c r="U14" i="76"/>
  <c r="Q14" i="76"/>
  <c r="M14" i="76"/>
  <c r="U13" i="76"/>
  <c r="Q13" i="76"/>
  <c r="M13" i="76"/>
  <c r="U12" i="76"/>
  <c r="Q12" i="76"/>
  <c r="M12" i="76"/>
  <c r="U11" i="76"/>
  <c r="Q11" i="76"/>
  <c r="M11" i="76"/>
  <c r="U10" i="76"/>
  <c r="Q10" i="76"/>
  <c r="M10" i="76"/>
  <c r="U9" i="76"/>
  <c r="Q9" i="76"/>
  <c r="M9" i="76"/>
  <c r="U8" i="76"/>
  <c r="Q8" i="76"/>
  <c r="M8" i="76"/>
  <c r="U7" i="76"/>
  <c r="Q7" i="76"/>
  <c r="M7" i="76"/>
  <c r="U6" i="76"/>
  <c r="Q6" i="76"/>
  <c r="M6" i="76"/>
  <c r="U5" i="76"/>
  <c r="Q5" i="76"/>
  <c r="M5" i="76"/>
  <c r="U4" i="76"/>
  <c r="Q4" i="76"/>
  <c r="M4" i="76"/>
  <c r="U3" i="76"/>
  <c r="Q3" i="76"/>
  <c r="M3" i="76"/>
  <c r="M19" i="76" s="1"/>
  <c r="T18" i="75"/>
  <c r="P18" i="75"/>
  <c r="T17" i="75"/>
  <c r="P17" i="75"/>
  <c r="T16" i="75"/>
  <c r="P16" i="75"/>
  <c r="T15" i="75"/>
  <c r="P15" i="75"/>
  <c r="T14" i="75"/>
  <c r="P14" i="75"/>
  <c r="T13" i="75"/>
  <c r="P13" i="75"/>
  <c r="T12" i="75"/>
  <c r="P12" i="75"/>
  <c r="T11" i="75"/>
  <c r="P11" i="75"/>
  <c r="T10" i="75"/>
  <c r="P10" i="75"/>
  <c r="T9" i="75"/>
  <c r="P9" i="75"/>
  <c r="T8" i="75"/>
  <c r="P8" i="75"/>
  <c r="T7" i="75"/>
  <c r="P7" i="75"/>
  <c r="T6" i="75"/>
  <c r="P6" i="75"/>
  <c r="T5" i="75"/>
  <c r="P5" i="75"/>
  <c r="T4" i="75"/>
  <c r="P4" i="75"/>
  <c r="T3" i="75"/>
  <c r="P3" i="75"/>
  <c r="U19" i="76" l="1"/>
  <c r="P19" i="75"/>
  <c r="T19" i="75"/>
  <c r="Q19" i="76"/>
  <c r="M327" i="4" l="1"/>
  <c r="L327" i="4"/>
  <c r="K327" i="4"/>
  <c r="G327" i="2"/>
  <c r="L327" i="2" l="1"/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N327" i="8" l="1"/>
  <c r="N327" i="4"/>
  <c r="O327" i="2"/>
  <c r="M327" i="44"/>
  <c r="L327" i="44"/>
  <c r="K327" i="44"/>
  <c r="N3" i="44"/>
  <c r="N4" i="44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34" i="44"/>
  <c r="N35" i="44"/>
  <c r="N36" i="44"/>
  <c r="N37" i="44"/>
  <c r="N38" i="44"/>
  <c r="N39" i="44"/>
  <c r="N40" i="44"/>
  <c r="N41" i="44"/>
  <c r="N42" i="44"/>
  <c r="N43" i="44"/>
  <c r="N44" i="44"/>
  <c r="N45" i="44"/>
  <c r="N46" i="44"/>
  <c r="N47" i="44"/>
  <c r="N48" i="44"/>
  <c r="N49" i="44"/>
  <c r="N50" i="44"/>
  <c r="N51" i="44"/>
  <c r="N52" i="44"/>
  <c r="N53" i="44"/>
  <c r="N54" i="44"/>
  <c r="N55" i="44"/>
  <c r="N56" i="44"/>
  <c r="N57" i="44"/>
  <c r="N58" i="44"/>
  <c r="N59" i="44"/>
  <c r="N60" i="44"/>
  <c r="N61" i="44"/>
  <c r="N62" i="44"/>
  <c r="N63" i="44"/>
  <c r="N64" i="44"/>
  <c r="N65" i="44"/>
  <c r="N66" i="44"/>
  <c r="N67" i="44"/>
  <c r="N68" i="44"/>
  <c r="N69" i="44"/>
  <c r="N70" i="44"/>
  <c r="N71" i="44"/>
  <c r="N72" i="44"/>
  <c r="N73" i="44"/>
  <c r="N74" i="44"/>
  <c r="N75" i="44"/>
  <c r="N76" i="44"/>
  <c r="N77" i="44"/>
  <c r="N78" i="44"/>
  <c r="N79" i="44"/>
  <c r="N80" i="44"/>
  <c r="N81" i="44"/>
  <c r="N82" i="44"/>
  <c r="N83" i="44"/>
  <c r="N84" i="44"/>
  <c r="N85" i="44"/>
  <c r="N86" i="44"/>
  <c r="N87" i="44"/>
  <c r="N88" i="44"/>
  <c r="N89" i="44"/>
  <c r="N90" i="44"/>
  <c r="N91" i="44"/>
  <c r="N92" i="44"/>
  <c r="N93" i="44"/>
  <c r="N94" i="44"/>
  <c r="N95" i="44"/>
  <c r="N96" i="44"/>
  <c r="N97" i="44"/>
  <c r="N98" i="44"/>
  <c r="N99" i="44"/>
  <c r="N100" i="44"/>
  <c r="N101" i="44"/>
  <c r="N102" i="44"/>
  <c r="N103" i="44"/>
  <c r="N104" i="44"/>
  <c r="N105" i="44"/>
  <c r="N106" i="44"/>
  <c r="N107" i="44"/>
  <c r="N108" i="44"/>
  <c r="N109" i="44"/>
  <c r="N110" i="44"/>
  <c r="N111" i="44"/>
  <c r="N112" i="44"/>
  <c r="N113" i="44"/>
  <c r="N114" i="44"/>
  <c r="N115" i="44"/>
  <c r="N116" i="44"/>
  <c r="N117" i="44"/>
  <c r="N118" i="44"/>
  <c r="N119" i="44"/>
  <c r="N120" i="44"/>
  <c r="N121" i="44"/>
  <c r="N122" i="44"/>
  <c r="N123" i="44"/>
  <c r="N124" i="44"/>
  <c r="N125" i="44"/>
  <c r="N126" i="44"/>
  <c r="N127" i="44"/>
  <c r="N128" i="44"/>
  <c r="N129" i="44"/>
  <c r="N130" i="44"/>
  <c r="N131" i="44"/>
  <c r="N132" i="44"/>
  <c r="N133" i="44"/>
  <c r="N134" i="44"/>
  <c r="N135" i="44"/>
  <c r="N136" i="44"/>
  <c r="N137" i="44"/>
  <c r="N138" i="44"/>
  <c r="N139" i="44"/>
  <c r="N140" i="44"/>
  <c r="N141" i="44"/>
  <c r="N142" i="44"/>
  <c r="N143" i="44"/>
  <c r="N144" i="44"/>
  <c r="N145" i="44"/>
  <c r="N146" i="44"/>
  <c r="N147" i="44"/>
  <c r="N148" i="44"/>
  <c r="N149" i="44"/>
  <c r="N150" i="44"/>
  <c r="N151" i="44"/>
  <c r="N152" i="44"/>
  <c r="N153" i="44"/>
  <c r="N154" i="44"/>
  <c r="N155" i="44"/>
  <c r="N156" i="44"/>
  <c r="N157" i="44"/>
  <c r="N158" i="44"/>
  <c r="N159" i="44"/>
  <c r="N160" i="44"/>
  <c r="N161" i="44"/>
  <c r="N162" i="44"/>
  <c r="N163" i="44"/>
  <c r="N164" i="44"/>
  <c r="N165" i="44"/>
  <c r="N166" i="44"/>
  <c r="N167" i="44"/>
  <c r="N168" i="44"/>
  <c r="N169" i="44"/>
  <c r="N170" i="44"/>
  <c r="N171" i="44"/>
  <c r="N172" i="44"/>
  <c r="N173" i="44"/>
  <c r="N174" i="44"/>
  <c r="N175" i="44"/>
  <c r="N176" i="44"/>
  <c r="N177" i="44"/>
  <c r="N178" i="44"/>
  <c r="N179" i="44"/>
  <c r="N180" i="44"/>
  <c r="N181" i="44"/>
  <c r="N182" i="44"/>
  <c r="N183" i="44"/>
  <c r="N184" i="44"/>
  <c r="N185" i="44"/>
  <c r="N186" i="44"/>
  <c r="N187" i="44"/>
  <c r="N188" i="44"/>
  <c r="N189" i="44"/>
  <c r="N190" i="44"/>
  <c r="N191" i="44"/>
  <c r="N192" i="44"/>
  <c r="N193" i="44"/>
  <c r="N194" i="44"/>
  <c r="N195" i="44"/>
  <c r="N196" i="44"/>
  <c r="N197" i="44"/>
  <c r="N198" i="44"/>
  <c r="N199" i="44"/>
  <c r="N200" i="44"/>
  <c r="N201" i="44"/>
  <c r="N202" i="44"/>
  <c r="N203" i="44"/>
  <c r="N204" i="44"/>
  <c r="N205" i="44"/>
  <c r="N206" i="44"/>
  <c r="N207" i="44"/>
  <c r="N208" i="44"/>
  <c r="N209" i="44"/>
  <c r="N210" i="44"/>
  <c r="N211" i="44"/>
  <c r="N212" i="44"/>
  <c r="N213" i="44"/>
  <c r="N214" i="44"/>
  <c r="N215" i="44"/>
  <c r="N216" i="44"/>
  <c r="N217" i="44"/>
  <c r="N218" i="44"/>
  <c r="N219" i="44"/>
  <c r="N220" i="44"/>
  <c r="N221" i="44"/>
  <c r="N222" i="44"/>
  <c r="N223" i="44"/>
  <c r="N224" i="44"/>
  <c r="N225" i="44"/>
  <c r="N226" i="44"/>
  <c r="N227" i="44"/>
  <c r="N228" i="44"/>
  <c r="N229" i="44"/>
  <c r="N230" i="44"/>
  <c r="N231" i="44"/>
  <c r="N232" i="44"/>
  <c r="N233" i="44"/>
  <c r="N234" i="44"/>
  <c r="N235" i="44"/>
  <c r="N236" i="44"/>
  <c r="N237" i="44"/>
  <c r="N238" i="44"/>
  <c r="N239" i="44"/>
  <c r="N240" i="44"/>
  <c r="N241" i="44"/>
  <c r="N242" i="44"/>
  <c r="N243" i="44"/>
  <c r="N244" i="44"/>
  <c r="N245" i="44"/>
  <c r="N246" i="44"/>
  <c r="N247" i="44"/>
  <c r="N248" i="44"/>
  <c r="N249" i="44"/>
  <c r="N250" i="44"/>
  <c r="N251" i="44"/>
  <c r="N252" i="44"/>
  <c r="N253" i="44"/>
  <c r="N254" i="44"/>
  <c r="N255" i="44"/>
  <c r="N256" i="44"/>
  <c r="N257" i="44"/>
  <c r="N258" i="44"/>
  <c r="N259" i="44"/>
  <c r="N260" i="44"/>
  <c r="N261" i="44"/>
  <c r="N262" i="44"/>
  <c r="N263" i="44"/>
  <c r="N264" i="44"/>
  <c r="N265" i="44"/>
  <c r="N266" i="44"/>
  <c r="N267" i="44"/>
  <c r="N268" i="44"/>
  <c r="N269" i="44"/>
  <c r="N270" i="44"/>
  <c r="N271" i="44"/>
  <c r="N272" i="44"/>
  <c r="N273" i="44"/>
  <c r="N274" i="44"/>
  <c r="N275" i="44"/>
  <c r="N276" i="44"/>
  <c r="N277" i="44"/>
  <c r="N278" i="44"/>
  <c r="N279" i="44"/>
  <c r="N280" i="44"/>
  <c r="N281" i="44"/>
  <c r="N282" i="44"/>
  <c r="N283" i="44"/>
  <c r="N284" i="44"/>
  <c r="N285" i="44"/>
  <c r="N286" i="44"/>
  <c r="N287" i="44"/>
  <c r="N288" i="44"/>
  <c r="N289" i="44"/>
  <c r="N290" i="44"/>
  <c r="N291" i="44"/>
  <c r="N292" i="44"/>
  <c r="N293" i="44"/>
  <c r="N294" i="44"/>
  <c r="N295" i="44"/>
  <c r="N296" i="44"/>
  <c r="N297" i="44"/>
  <c r="N298" i="44"/>
  <c r="N299" i="44"/>
  <c r="N300" i="44"/>
  <c r="N301" i="44"/>
  <c r="N302" i="44"/>
  <c r="N303" i="44"/>
  <c r="N304" i="44"/>
  <c r="N305" i="44"/>
  <c r="N306" i="44"/>
  <c r="N307" i="44"/>
  <c r="N308" i="44"/>
  <c r="N309" i="44"/>
  <c r="N310" i="44"/>
  <c r="N311" i="44"/>
  <c r="N312" i="44"/>
  <c r="N313" i="44"/>
  <c r="N314" i="44"/>
  <c r="N315" i="44"/>
  <c r="N316" i="44"/>
  <c r="N317" i="44"/>
  <c r="N318" i="44"/>
  <c r="N319" i="44"/>
  <c r="N320" i="44"/>
  <c r="N321" i="44"/>
  <c r="N322" i="44"/>
  <c r="N323" i="44"/>
  <c r="N324" i="44"/>
  <c r="N325" i="44"/>
  <c r="N326" i="44"/>
  <c r="N327" i="44" l="1"/>
  <c r="I327" i="4" l="1"/>
  <c r="J327" i="4"/>
  <c r="J327" i="2" l="1"/>
  <c r="K327" i="2"/>
  <c r="T4" i="38" l="1"/>
  <c r="T5" i="38"/>
  <c r="T6" i="38"/>
  <c r="T7" i="38"/>
  <c r="T8" i="38"/>
  <c r="T9" i="38"/>
  <c r="T10" i="38"/>
  <c r="T11" i="38"/>
  <c r="T12" i="38"/>
  <c r="T13" i="38"/>
  <c r="T17" i="38"/>
  <c r="T14" i="38"/>
  <c r="T15" i="38"/>
  <c r="T16" i="38"/>
  <c r="T18" i="38"/>
  <c r="T3" i="38"/>
  <c r="P4" i="38"/>
  <c r="P5" i="38"/>
  <c r="P6" i="38"/>
  <c r="P7" i="38"/>
  <c r="P8" i="38"/>
  <c r="P9" i="38"/>
  <c r="P10" i="38"/>
  <c r="P11" i="38"/>
  <c r="P12" i="38"/>
  <c r="P13" i="38"/>
  <c r="P17" i="38"/>
  <c r="P14" i="38"/>
  <c r="P15" i="38"/>
  <c r="P16" i="38"/>
  <c r="P18" i="38"/>
  <c r="P3" i="38"/>
  <c r="X5" i="43"/>
  <c r="X6" i="43"/>
  <c r="X7" i="43"/>
  <c r="X8" i="43"/>
  <c r="X9" i="43"/>
  <c r="X10" i="43"/>
  <c r="X11" i="43"/>
  <c r="X12" i="43"/>
  <c r="X13" i="43"/>
  <c r="X17" i="43"/>
  <c r="X14" i="43"/>
  <c r="X15" i="43"/>
  <c r="X16" i="43"/>
  <c r="X18" i="43"/>
  <c r="X3" i="43"/>
  <c r="X4" i="43"/>
  <c r="T5" i="43"/>
  <c r="T6" i="43"/>
  <c r="T7" i="43"/>
  <c r="T8" i="43"/>
  <c r="T9" i="43"/>
  <c r="T10" i="43"/>
  <c r="T11" i="43"/>
  <c r="T12" i="43"/>
  <c r="T13" i="43"/>
  <c r="T17" i="43"/>
  <c r="T14" i="43"/>
  <c r="T15" i="43"/>
  <c r="T16" i="43"/>
  <c r="T18" i="43"/>
  <c r="T3" i="43"/>
  <c r="T4" i="43"/>
  <c r="P4" i="43"/>
  <c r="P5" i="43"/>
  <c r="P6" i="43"/>
  <c r="P7" i="43"/>
  <c r="P8" i="43"/>
  <c r="P9" i="43"/>
  <c r="P10" i="43"/>
  <c r="P11" i="43"/>
  <c r="P12" i="43"/>
  <c r="P13" i="43"/>
  <c r="P17" i="43"/>
  <c r="P14" i="43"/>
  <c r="P15" i="43"/>
  <c r="P16" i="43"/>
  <c r="P18" i="43"/>
  <c r="P3" i="43"/>
  <c r="V214" i="8"/>
  <c r="V215" i="8"/>
  <c r="V216" i="8"/>
  <c r="V217" i="8"/>
  <c r="V218" i="8"/>
  <c r="V177" i="8"/>
  <c r="V178" i="8"/>
  <c r="V179" i="8"/>
  <c r="V180" i="8"/>
  <c r="V181" i="8"/>
  <c r="V182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165" i="8"/>
  <c r="V166" i="8"/>
  <c r="V167" i="8"/>
  <c r="V168" i="8"/>
  <c r="V169" i="8"/>
  <c r="V170" i="8"/>
  <c r="V183" i="8"/>
  <c r="V184" i="8"/>
  <c r="V185" i="8"/>
  <c r="V186" i="8"/>
  <c r="V187" i="8"/>
  <c r="V188" i="8"/>
  <c r="V207" i="8"/>
  <c r="V208" i="8"/>
  <c r="V209" i="8"/>
  <c r="V210" i="8"/>
  <c r="V211" i="8"/>
  <c r="V212" i="8"/>
  <c r="V171" i="8"/>
  <c r="V172" i="8"/>
  <c r="V173" i="8"/>
  <c r="V174" i="8"/>
  <c r="V175" i="8"/>
  <c r="V176" i="8"/>
  <c r="V189" i="8"/>
  <c r="V190" i="8"/>
  <c r="V191" i="8"/>
  <c r="V192" i="8"/>
  <c r="V193" i="8"/>
  <c r="V194" i="8"/>
  <c r="V267" i="8"/>
  <c r="V268" i="8"/>
  <c r="V269" i="8"/>
  <c r="V270" i="8"/>
  <c r="V271" i="8"/>
  <c r="V272" i="8"/>
  <c r="V231" i="8"/>
  <c r="V232" i="8"/>
  <c r="V233" i="8"/>
  <c r="V234" i="8"/>
  <c r="V235" i="8"/>
  <c r="V236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19" i="8"/>
  <c r="V220" i="8"/>
  <c r="V221" i="8"/>
  <c r="V222" i="8"/>
  <c r="V223" i="8"/>
  <c r="V224" i="8"/>
  <c r="V237" i="8"/>
  <c r="V238" i="8"/>
  <c r="V239" i="8"/>
  <c r="V240" i="8"/>
  <c r="V241" i="8"/>
  <c r="V242" i="8"/>
  <c r="V261" i="8"/>
  <c r="V262" i="8"/>
  <c r="V263" i="8"/>
  <c r="V264" i="8"/>
  <c r="V265" i="8"/>
  <c r="V266" i="8"/>
  <c r="V225" i="8"/>
  <c r="V226" i="8"/>
  <c r="V227" i="8"/>
  <c r="V228" i="8"/>
  <c r="V229" i="8"/>
  <c r="V230" i="8"/>
  <c r="V243" i="8"/>
  <c r="V244" i="8"/>
  <c r="V245" i="8"/>
  <c r="V246" i="8"/>
  <c r="V247" i="8"/>
  <c r="V248" i="8"/>
  <c r="V321" i="8"/>
  <c r="V322" i="8"/>
  <c r="V323" i="8"/>
  <c r="V324" i="8"/>
  <c r="V325" i="8"/>
  <c r="V326" i="8"/>
  <c r="V285" i="8"/>
  <c r="V286" i="8"/>
  <c r="V287" i="8"/>
  <c r="V288" i="8"/>
  <c r="V289" i="8"/>
  <c r="V290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273" i="8"/>
  <c r="V274" i="8"/>
  <c r="V275" i="8"/>
  <c r="V276" i="8"/>
  <c r="V277" i="8"/>
  <c r="V278" i="8"/>
  <c r="V291" i="8"/>
  <c r="V292" i="8"/>
  <c r="V293" i="8"/>
  <c r="V294" i="8"/>
  <c r="V295" i="8"/>
  <c r="V296" i="8"/>
  <c r="V315" i="8"/>
  <c r="V316" i="8"/>
  <c r="V317" i="8"/>
  <c r="V318" i="8"/>
  <c r="V319" i="8"/>
  <c r="V320" i="8"/>
  <c r="V279" i="8"/>
  <c r="V280" i="8"/>
  <c r="V281" i="8"/>
  <c r="V282" i="8"/>
  <c r="V283" i="8"/>
  <c r="V284" i="8"/>
  <c r="V297" i="8"/>
  <c r="V298" i="8"/>
  <c r="V299" i="8"/>
  <c r="V300" i="8"/>
  <c r="V301" i="8"/>
  <c r="V302" i="8"/>
  <c r="V105" i="8"/>
  <c r="V106" i="8"/>
  <c r="V107" i="8"/>
  <c r="V108" i="8"/>
  <c r="V109" i="8"/>
  <c r="V110" i="8"/>
  <c r="V69" i="8"/>
  <c r="V70" i="8"/>
  <c r="V71" i="8"/>
  <c r="V72" i="8"/>
  <c r="V73" i="8"/>
  <c r="V74" i="8"/>
  <c r="V87" i="8"/>
  <c r="V88" i="8"/>
  <c r="V89" i="8"/>
  <c r="V90" i="8"/>
  <c r="V91" i="8"/>
  <c r="V92" i="8"/>
  <c r="V93" i="8"/>
  <c r="V94" i="8"/>
  <c r="V95" i="8"/>
  <c r="V96" i="8"/>
  <c r="V97" i="8"/>
  <c r="V98" i="8"/>
  <c r="V57" i="8"/>
  <c r="V58" i="8"/>
  <c r="V59" i="8"/>
  <c r="V60" i="8"/>
  <c r="V61" i="8"/>
  <c r="V62" i="8"/>
  <c r="V75" i="8"/>
  <c r="V76" i="8"/>
  <c r="V77" i="8"/>
  <c r="V78" i="8"/>
  <c r="V79" i="8"/>
  <c r="V80" i="8"/>
  <c r="V99" i="8"/>
  <c r="V100" i="8"/>
  <c r="V101" i="8"/>
  <c r="V102" i="8"/>
  <c r="V103" i="8"/>
  <c r="V104" i="8"/>
  <c r="V63" i="8"/>
  <c r="V64" i="8"/>
  <c r="V65" i="8"/>
  <c r="V66" i="8"/>
  <c r="V67" i="8"/>
  <c r="V68" i="8"/>
  <c r="V81" i="8"/>
  <c r="V82" i="8"/>
  <c r="V83" i="8"/>
  <c r="V84" i="8"/>
  <c r="V85" i="8"/>
  <c r="V86" i="8"/>
  <c r="V159" i="8"/>
  <c r="V160" i="8"/>
  <c r="V161" i="8"/>
  <c r="V162" i="8"/>
  <c r="V163" i="8"/>
  <c r="V164" i="8"/>
  <c r="V123" i="8"/>
  <c r="V124" i="8"/>
  <c r="V125" i="8"/>
  <c r="V126" i="8"/>
  <c r="V127" i="8"/>
  <c r="V128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11" i="8"/>
  <c r="V112" i="8"/>
  <c r="V113" i="8"/>
  <c r="V114" i="8"/>
  <c r="V115" i="8"/>
  <c r="V116" i="8"/>
  <c r="V129" i="8"/>
  <c r="V130" i="8"/>
  <c r="V131" i="8"/>
  <c r="V132" i="8"/>
  <c r="V133" i="8"/>
  <c r="V134" i="8"/>
  <c r="V153" i="8"/>
  <c r="V154" i="8"/>
  <c r="V155" i="8"/>
  <c r="V156" i="8"/>
  <c r="V157" i="8"/>
  <c r="V158" i="8"/>
  <c r="V117" i="8"/>
  <c r="V118" i="8"/>
  <c r="V119" i="8"/>
  <c r="V120" i="8"/>
  <c r="V121" i="8"/>
  <c r="V122" i="8"/>
  <c r="V135" i="8"/>
  <c r="V136" i="8"/>
  <c r="V137" i="8"/>
  <c r="V138" i="8"/>
  <c r="V139" i="8"/>
  <c r="V140" i="8"/>
  <c r="V51" i="8"/>
  <c r="V52" i="8"/>
  <c r="V53" i="8"/>
  <c r="V54" i="8"/>
  <c r="V55" i="8"/>
  <c r="V56" i="8"/>
  <c r="V15" i="8"/>
  <c r="V16" i="8"/>
  <c r="V17" i="8"/>
  <c r="V18" i="8"/>
  <c r="V19" i="8"/>
  <c r="V20" i="8"/>
  <c r="V33" i="8"/>
  <c r="V34" i="8"/>
  <c r="V35" i="8"/>
  <c r="V36" i="8"/>
  <c r="V37" i="8"/>
  <c r="V38" i="8"/>
  <c r="V39" i="8"/>
  <c r="V40" i="8"/>
  <c r="V41" i="8"/>
  <c r="V42" i="8"/>
  <c r="V43" i="8"/>
  <c r="V44" i="8"/>
  <c r="V3" i="8"/>
  <c r="V4" i="8"/>
  <c r="V5" i="8"/>
  <c r="V6" i="8"/>
  <c r="V7" i="8"/>
  <c r="V8" i="8"/>
  <c r="V21" i="8"/>
  <c r="V22" i="8"/>
  <c r="V23" i="8"/>
  <c r="V24" i="8"/>
  <c r="V25" i="8"/>
  <c r="V26" i="8"/>
  <c r="V45" i="8"/>
  <c r="V46" i="8"/>
  <c r="V47" i="8"/>
  <c r="V48" i="8"/>
  <c r="V49" i="8"/>
  <c r="V50" i="8"/>
  <c r="V9" i="8"/>
  <c r="V10" i="8"/>
  <c r="V11" i="8"/>
  <c r="V12" i="8"/>
  <c r="V13" i="8"/>
  <c r="V14" i="8"/>
  <c r="V27" i="8"/>
  <c r="V28" i="8"/>
  <c r="V29" i="8"/>
  <c r="V30" i="8"/>
  <c r="V31" i="8"/>
  <c r="V32" i="8"/>
  <c r="V213" i="8"/>
  <c r="R213" i="8"/>
  <c r="R214" i="8"/>
  <c r="R215" i="8"/>
  <c r="R216" i="8"/>
  <c r="R217" i="8"/>
  <c r="R218" i="8"/>
  <c r="R177" i="8"/>
  <c r="R178" i="8"/>
  <c r="R179" i="8"/>
  <c r="R180" i="8"/>
  <c r="R181" i="8"/>
  <c r="R182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165" i="8"/>
  <c r="R166" i="8"/>
  <c r="R167" i="8"/>
  <c r="R168" i="8"/>
  <c r="R169" i="8"/>
  <c r="R170" i="8"/>
  <c r="R183" i="8"/>
  <c r="R184" i="8"/>
  <c r="R185" i="8"/>
  <c r="R186" i="8"/>
  <c r="R187" i="8"/>
  <c r="R188" i="8"/>
  <c r="R207" i="8"/>
  <c r="R208" i="8"/>
  <c r="R209" i="8"/>
  <c r="R210" i="8"/>
  <c r="R211" i="8"/>
  <c r="R212" i="8"/>
  <c r="R171" i="8"/>
  <c r="R172" i="8"/>
  <c r="R173" i="8"/>
  <c r="R174" i="8"/>
  <c r="R175" i="8"/>
  <c r="R176" i="8"/>
  <c r="R189" i="8"/>
  <c r="R190" i="8"/>
  <c r="R191" i="8"/>
  <c r="R192" i="8"/>
  <c r="R193" i="8"/>
  <c r="R194" i="8"/>
  <c r="R267" i="8"/>
  <c r="R268" i="8"/>
  <c r="R269" i="8"/>
  <c r="R270" i="8"/>
  <c r="R271" i="8"/>
  <c r="R272" i="8"/>
  <c r="R231" i="8"/>
  <c r="R232" i="8"/>
  <c r="R233" i="8"/>
  <c r="R234" i="8"/>
  <c r="R236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19" i="8"/>
  <c r="R220" i="8"/>
  <c r="R221" i="8"/>
  <c r="R222" i="8"/>
  <c r="R223" i="8"/>
  <c r="R224" i="8"/>
  <c r="R237" i="8"/>
  <c r="R238" i="8"/>
  <c r="R239" i="8"/>
  <c r="R240" i="8"/>
  <c r="R241" i="8"/>
  <c r="R242" i="8"/>
  <c r="R261" i="8"/>
  <c r="R262" i="8"/>
  <c r="R263" i="8"/>
  <c r="R264" i="8"/>
  <c r="R265" i="8"/>
  <c r="R266" i="8"/>
  <c r="R225" i="8"/>
  <c r="R226" i="8"/>
  <c r="R227" i="8"/>
  <c r="R228" i="8"/>
  <c r="R229" i="8"/>
  <c r="R230" i="8"/>
  <c r="R243" i="8"/>
  <c r="R244" i="8"/>
  <c r="R245" i="8"/>
  <c r="R246" i="8"/>
  <c r="R247" i="8"/>
  <c r="R248" i="8"/>
  <c r="R321" i="8"/>
  <c r="R322" i="8"/>
  <c r="R323" i="8"/>
  <c r="R324" i="8"/>
  <c r="R325" i="8"/>
  <c r="R326" i="8"/>
  <c r="R285" i="8"/>
  <c r="R286" i="8"/>
  <c r="R287" i="8"/>
  <c r="R288" i="8"/>
  <c r="R289" i="8"/>
  <c r="R290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273" i="8"/>
  <c r="R274" i="8"/>
  <c r="R275" i="8"/>
  <c r="R276" i="8"/>
  <c r="R277" i="8"/>
  <c r="R278" i="8"/>
  <c r="R291" i="8"/>
  <c r="R292" i="8"/>
  <c r="R293" i="8"/>
  <c r="R294" i="8"/>
  <c r="R295" i="8"/>
  <c r="R296" i="8"/>
  <c r="R315" i="8"/>
  <c r="R316" i="8"/>
  <c r="R317" i="8"/>
  <c r="R318" i="8"/>
  <c r="R319" i="8"/>
  <c r="R320" i="8"/>
  <c r="R279" i="8"/>
  <c r="R280" i="8"/>
  <c r="R281" i="8"/>
  <c r="R282" i="8"/>
  <c r="R283" i="8"/>
  <c r="R284" i="8"/>
  <c r="R297" i="8"/>
  <c r="R298" i="8"/>
  <c r="R299" i="8"/>
  <c r="R300" i="8"/>
  <c r="R301" i="8"/>
  <c r="R302" i="8"/>
  <c r="R105" i="8"/>
  <c r="R106" i="8"/>
  <c r="R107" i="8"/>
  <c r="R108" i="8"/>
  <c r="R109" i="8"/>
  <c r="R110" i="8"/>
  <c r="R69" i="8"/>
  <c r="R70" i="8"/>
  <c r="R71" i="8"/>
  <c r="R72" i="8"/>
  <c r="R73" i="8"/>
  <c r="R74" i="8"/>
  <c r="R87" i="8"/>
  <c r="R88" i="8"/>
  <c r="R89" i="8"/>
  <c r="R90" i="8"/>
  <c r="R91" i="8"/>
  <c r="R92" i="8"/>
  <c r="R93" i="8"/>
  <c r="R94" i="8"/>
  <c r="R95" i="8"/>
  <c r="R96" i="8"/>
  <c r="R97" i="8"/>
  <c r="R98" i="8"/>
  <c r="R57" i="8"/>
  <c r="R58" i="8"/>
  <c r="R59" i="8"/>
  <c r="R60" i="8"/>
  <c r="R61" i="8"/>
  <c r="R62" i="8"/>
  <c r="R75" i="8"/>
  <c r="R76" i="8"/>
  <c r="R77" i="8"/>
  <c r="R78" i="8"/>
  <c r="R79" i="8"/>
  <c r="R80" i="8"/>
  <c r="R99" i="8"/>
  <c r="R100" i="8"/>
  <c r="R101" i="8"/>
  <c r="R102" i="8"/>
  <c r="R103" i="8"/>
  <c r="R104" i="8"/>
  <c r="R63" i="8"/>
  <c r="R64" i="8"/>
  <c r="R65" i="8"/>
  <c r="R66" i="8"/>
  <c r="R67" i="8"/>
  <c r="R68" i="8"/>
  <c r="R81" i="8"/>
  <c r="R82" i="8"/>
  <c r="R83" i="8"/>
  <c r="R84" i="8"/>
  <c r="R86" i="8"/>
  <c r="R159" i="8"/>
  <c r="R160" i="8"/>
  <c r="R161" i="8"/>
  <c r="R162" i="8"/>
  <c r="R163" i="8"/>
  <c r="R164" i="8"/>
  <c r="R123" i="8"/>
  <c r="R124" i="8"/>
  <c r="R125" i="8"/>
  <c r="R126" i="8"/>
  <c r="R127" i="8"/>
  <c r="R128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11" i="8"/>
  <c r="R112" i="8"/>
  <c r="R113" i="8"/>
  <c r="R114" i="8"/>
  <c r="R115" i="8"/>
  <c r="R116" i="8"/>
  <c r="R129" i="8"/>
  <c r="R130" i="8"/>
  <c r="R131" i="8"/>
  <c r="R132" i="8"/>
  <c r="R134" i="8"/>
  <c r="R153" i="8"/>
  <c r="R154" i="8"/>
  <c r="R155" i="8"/>
  <c r="R156" i="8"/>
  <c r="R157" i="8"/>
  <c r="R158" i="8"/>
  <c r="R117" i="8"/>
  <c r="R118" i="8"/>
  <c r="R119" i="8"/>
  <c r="R120" i="8"/>
  <c r="R121" i="8"/>
  <c r="R122" i="8"/>
  <c r="R135" i="8"/>
  <c r="R136" i="8"/>
  <c r="R137" i="8"/>
  <c r="R138" i="8"/>
  <c r="R139" i="8"/>
  <c r="R140" i="8"/>
  <c r="R51" i="8"/>
  <c r="R52" i="8"/>
  <c r="R53" i="8"/>
  <c r="R54" i="8"/>
  <c r="R55" i="8"/>
  <c r="R56" i="8"/>
  <c r="R15" i="8"/>
  <c r="R16" i="8"/>
  <c r="R17" i="8"/>
  <c r="R18" i="8"/>
  <c r="R19" i="8"/>
  <c r="R20" i="8"/>
  <c r="R33" i="8"/>
  <c r="R34" i="8"/>
  <c r="R35" i="8"/>
  <c r="R36" i="8"/>
  <c r="R37" i="8"/>
  <c r="R38" i="8"/>
  <c r="R39" i="8"/>
  <c r="R40" i="8"/>
  <c r="R41" i="8"/>
  <c r="R42" i="8"/>
  <c r="R43" i="8"/>
  <c r="R44" i="8"/>
  <c r="R3" i="8"/>
  <c r="R4" i="8"/>
  <c r="R5" i="8"/>
  <c r="R6" i="8"/>
  <c r="R7" i="8"/>
  <c r="R8" i="8"/>
  <c r="R21" i="8"/>
  <c r="R22" i="8"/>
  <c r="R23" i="8"/>
  <c r="R24" i="8"/>
  <c r="R25" i="8"/>
  <c r="R26" i="8"/>
  <c r="R45" i="8"/>
  <c r="R46" i="8"/>
  <c r="R47" i="8"/>
  <c r="R48" i="8"/>
  <c r="R49" i="8"/>
  <c r="R50" i="8"/>
  <c r="R9" i="8"/>
  <c r="R10" i="8"/>
  <c r="R11" i="8"/>
  <c r="R12" i="8"/>
  <c r="R13" i="8"/>
  <c r="R14" i="8"/>
  <c r="R27" i="8"/>
  <c r="R28" i="8"/>
  <c r="R29" i="8"/>
  <c r="R30" i="8"/>
  <c r="R31" i="8"/>
  <c r="R32" i="8"/>
  <c r="V213" i="4" l="1"/>
  <c r="V214" i="4"/>
  <c r="V215" i="4"/>
  <c r="V216" i="4"/>
  <c r="V217" i="4"/>
  <c r="V218" i="4"/>
  <c r="V177" i="4"/>
  <c r="V178" i="4"/>
  <c r="V179" i="4"/>
  <c r="V180" i="4"/>
  <c r="V181" i="4"/>
  <c r="V182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165" i="4"/>
  <c r="V166" i="4"/>
  <c r="V167" i="4"/>
  <c r="V168" i="4"/>
  <c r="V169" i="4"/>
  <c r="V170" i="4"/>
  <c r="V183" i="4"/>
  <c r="V184" i="4"/>
  <c r="V185" i="4"/>
  <c r="V186" i="4"/>
  <c r="V187" i="4"/>
  <c r="V188" i="4"/>
  <c r="V207" i="4"/>
  <c r="V208" i="4"/>
  <c r="V209" i="4"/>
  <c r="V210" i="4"/>
  <c r="V211" i="4"/>
  <c r="V212" i="4"/>
  <c r="V171" i="4"/>
  <c r="V172" i="4"/>
  <c r="V173" i="4"/>
  <c r="V174" i="4"/>
  <c r="V175" i="4"/>
  <c r="V176" i="4"/>
  <c r="V189" i="4"/>
  <c r="V190" i="4"/>
  <c r="V191" i="4"/>
  <c r="V192" i="4"/>
  <c r="V193" i="4"/>
  <c r="V194" i="4"/>
  <c r="V267" i="4"/>
  <c r="V268" i="4"/>
  <c r="V269" i="4"/>
  <c r="V270" i="4"/>
  <c r="V271" i="4"/>
  <c r="V272" i="4"/>
  <c r="V231" i="4"/>
  <c r="V232" i="4"/>
  <c r="V233" i="4"/>
  <c r="V234" i="4"/>
  <c r="V235" i="4"/>
  <c r="V236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19" i="4"/>
  <c r="V220" i="4"/>
  <c r="V221" i="4"/>
  <c r="V222" i="4"/>
  <c r="V223" i="4"/>
  <c r="V224" i="4"/>
  <c r="V237" i="4"/>
  <c r="V238" i="4"/>
  <c r="V239" i="4"/>
  <c r="V240" i="4"/>
  <c r="V241" i="4"/>
  <c r="V242" i="4"/>
  <c r="V261" i="4"/>
  <c r="V262" i="4"/>
  <c r="V263" i="4"/>
  <c r="V264" i="4"/>
  <c r="V265" i="4"/>
  <c r="V266" i="4"/>
  <c r="V225" i="4"/>
  <c r="V226" i="4"/>
  <c r="V227" i="4"/>
  <c r="V228" i="4"/>
  <c r="V229" i="4"/>
  <c r="V230" i="4"/>
  <c r="V243" i="4"/>
  <c r="V244" i="4"/>
  <c r="V245" i="4"/>
  <c r="V246" i="4"/>
  <c r="V247" i="4"/>
  <c r="V248" i="4"/>
  <c r="V321" i="4"/>
  <c r="V322" i="4"/>
  <c r="V323" i="4"/>
  <c r="V324" i="4"/>
  <c r="V325" i="4"/>
  <c r="V326" i="4"/>
  <c r="V285" i="4"/>
  <c r="V286" i="4"/>
  <c r="V287" i="4"/>
  <c r="V288" i="4"/>
  <c r="V289" i="4"/>
  <c r="V290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273" i="4"/>
  <c r="V274" i="4"/>
  <c r="V275" i="4"/>
  <c r="V276" i="4"/>
  <c r="V277" i="4"/>
  <c r="V278" i="4"/>
  <c r="V291" i="4"/>
  <c r="V292" i="4"/>
  <c r="V293" i="4"/>
  <c r="V294" i="4"/>
  <c r="V295" i="4"/>
  <c r="V296" i="4"/>
  <c r="V315" i="4"/>
  <c r="V316" i="4"/>
  <c r="V317" i="4"/>
  <c r="V318" i="4"/>
  <c r="V319" i="4"/>
  <c r="V320" i="4"/>
  <c r="V279" i="4"/>
  <c r="V280" i="4"/>
  <c r="V281" i="4"/>
  <c r="V282" i="4"/>
  <c r="V283" i="4"/>
  <c r="V284" i="4"/>
  <c r="V297" i="4"/>
  <c r="V298" i="4"/>
  <c r="V299" i="4"/>
  <c r="V300" i="4"/>
  <c r="V301" i="4"/>
  <c r="V302" i="4"/>
  <c r="V105" i="4"/>
  <c r="V106" i="4"/>
  <c r="V107" i="4"/>
  <c r="V108" i="4"/>
  <c r="V109" i="4"/>
  <c r="V110" i="4"/>
  <c r="V69" i="4"/>
  <c r="V70" i="4"/>
  <c r="V71" i="4"/>
  <c r="V72" i="4"/>
  <c r="V73" i="4"/>
  <c r="V74" i="4"/>
  <c r="V87" i="4"/>
  <c r="V88" i="4"/>
  <c r="V89" i="4"/>
  <c r="V90" i="4"/>
  <c r="V91" i="4"/>
  <c r="V92" i="4"/>
  <c r="V93" i="4"/>
  <c r="V94" i="4"/>
  <c r="V95" i="4"/>
  <c r="V96" i="4"/>
  <c r="V97" i="4"/>
  <c r="V98" i="4"/>
  <c r="V57" i="4"/>
  <c r="V58" i="4"/>
  <c r="V59" i="4"/>
  <c r="V60" i="4"/>
  <c r="V61" i="4"/>
  <c r="V62" i="4"/>
  <c r="V75" i="4"/>
  <c r="V76" i="4"/>
  <c r="V77" i="4"/>
  <c r="V78" i="4"/>
  <c r="V79" i="4"/>
  <c r="V80" i="4"/>
  <c r="V99" i="4"/>
  <c r="V100" i="4"/>
  <c r="V101" i="4"/>
  <c r="V102" i="4"/>
  <c r="V103" i="4"/>
  <c r="V104" i="4"/>
  <c r="V63" i="4"/>
  <c r="V64" i="4"/>
  <c r="V65" i="4"/>
  <c r="V66" i="4"/>
  <c r="V67" i="4"/>
  <c r="V68" i="4"/>
  <c r="V81" i="4"/>
  <c r="V82" i="4"/>
  <c r="V83" i="4"/>
  <c r="V84" i="4"/>
  <c r="V85" i="4"/>
  <c r="V86" i="4"/>
  <c r="V159" i="4"/>
  <c r="V160" i="4"/>
  <c r="V161" i="4"/>
  <c r="V162" i="4"/>
  <c r="V163" i="4"/>
  <c r="V164" i="4"/>
  <c r="V123" i="4"/>
  <c r="V124" i="4"/>
  <c r="V125" i="4"/>
  <c r="V126" i="4"/>
  <c r="V127" i="4"/>
  <c r="V128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11" i="4"/>
  <c r="V112" i="4"/>
  <c r="V113" i="4"/>
  <c r="V114" i="4"/>
  <c r="V115" i="4"/>
  <c r="V116" i="4"/>
  <c r="V129" i="4"/>
  <c r="V130" i="4"/>
  <c r="V131" i="4"/>
  <c r="V132" i="4"/>
  <c r="V133" i="4"/>
  <c r="V134" i="4"/>
  <c r="V153" i="4"/>
  <c r="V154" i="4"/>
  <c r="V155" i="4"/>
  <c r="V156" i="4"/>
  <c r="V157" i="4"/>
  <c r="V158" i="4"/>
  <c r="V117" i="4"/>
  <c r="V118" i="4"/>
  <c r="V119" i="4"/>
  <c r="V120" i="4"/>
  <c r="V121" i="4"/>
  <c r="V122" i="4"/>
  <c r="V135" i="4"/>
  <c r="V136" i="4"/>
  <c r="V137" i="4"/>
  <c r="V138" i="4"/>
  <c r="V139" i="4"/>
  <c r="V140" i="4"/>
  <c r="V51" i="4"/>
  <c r="V52" i="4"/>
  <c r="V53" i="4"/>
  <c r="V54" i="4"/>
  <c r="V55" i="4"/>
  <c r="V56" i="4"/>
  <c r="V15" i="4"/>
  <c r="V16" i="4"/>
  <c r="V17" i="4"/>
  <c r="V18" i="4"/>
  <c r="V19" i="4"/>
  <c r="V20" i="4"/>
  <c r="V33" i="4"/>
  <c r="V34" i="4"/>
  <c r="V35" i="4"/>
  <c r="V36" i="4"/>
  <c r="V37" i="4"/>
  <c r="V38" i="4"/>
  <c r="V39" i="4"/>
  <c r="V40" i="4"/>
  <c r="V41" i="4"/>
  <c r="V42" i="4"/>
  <c r="V43" i="4"/>
  <c r="V44" i="4"/>
  <c r="V3" i="4"/>
  <c r="V4" i="4"/>
  <c r="V5" i="4"/>
  <c r="V6" i="4"/>
  <c r="V7" i="4"/>
  <c r="V8" i="4"/>
  <c r="V21" i="4"/>
  <c r="V22" i="4"/>
  <c r="V23" i="4"/>
  <c r="V24" i="4"/>
  <c r="V25" i="4"/>
  <c r="V26" i="4"/>
  <c r="V45" i="4"/>
  <c r="V46" i="4"/>
  <c r="V47" i="4"/>
  <c r="V48" i="4"/>
  <c r="V49" i="4"/>
  <c r="V50" i="4"/>
  <c r="V9" i="4"/>
  <c r="V10" i="4"/>
  <c r="V11" i="4"/>
  <c r="V12" i="4"/>
  <c r="V13" i="4"/>
  <c r="V14" i="4"/>
  <c r="V27" i="4"/>
  <c r="V28" i="4"/>
  <c r="V29" i="4"/>
  <c r="V30" i="4"/>
  <c r="V31" i="4"/>
  <c r="V32" i="4"/>
  <c r="R214" i="4"/>
  <c r="R215" i="4"/>
  <c r="R216" i="4"/>
  <c r="R217" i="4"/>
  <c r="R218" i="4"/>
  <c r="R177" i="4"/>
  <c r="R178" i="4"/>
  <c r="R179" i="4"/>
  <c r="R180" i="4"/>
  <c r="R181" i="4"/>
  <c r="R182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165" i="4"/>
  <c r="R166" i="4"/>
  <c r="R167" i="4"/>
  <c r="R168" i="4"/>
  <c r="R169" i="4"/>
  <c r="R170" i="4"/>
  <c r="R183" i="4"/>
  <c r="R184" i="4"/>
  <c r="R185" i="4"/>
  <c r="R186" i="4"/>
  <c r="R187" i="4"/>
  <c r="R188" i="4"/>
  <c r="R207" i="4"/>
  <c r="R208" i="4"/>
  <c r="R209" i="4"/>
  <c r="R210" i="4"/>
  <c r="R211" i="4"/>
  <c r="R212" i="4"/>
  <c r="R171" i="4"/>
  <c r="R172" i="4"/>
  <c r="R173" i="4"/>
  <c r="R174" i="4"/>
  <c r="R175" i="4"/>
  <c r="R176" i="4"/>
  <c r="R189" i="4"/>
  <c r="R190" i="4"/>
  <c r="R191" i="4"/>
  <c r="R192" i="4"/>
  <c r="R193" i="4"/>
  <c r="R194" i="4"/>
  <c r="R267" i="4"/>
  <c r="R268" i="4"/>
  <c r="R269" i="4"/>
  <c r="R270" i="4"/>
  <c r="R271" i="4"/>
  <c r="R272" i="4"/>
  <c r="R231" i="4"/>
  <c r="R232" i="4"/>
  <c r="R233" i="4"/>
  <c r="R234" i="4"/>
  <c r="R236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19" i="4"/>
  <c r="R220" i="4"/>
  <c r="R221" i="4"/>
  <c r="R222" i="4"/>
  <c r="R223" i="4"/>
  <c r="R224" i="4"/>
  <c r="R237" i="4"/>
  <c r="R238" i="4"/>
  <c r="R239" i="4"/>
  <c r="R240" i="4"/>
  <c r="R241" i="4"/>
  <c r="R242" i="4"/>
  <c r="R261" i="4"/>
  <c r="R262" i="4"/>
  <c r="R263" i="4"/>
  <c r="R264" i="4"/>
  <c r="R265" i="4"/>
  <c r="R266" i="4"/>
  <c r="R225" i="4"/>
  <c r="R226" i="4"/>
  <c r="R227" i="4"/>
  <c r="R228" i="4"/>
  <c r="R229" i="4"/>
  <c r="R230" i="4"/>
  <c r="R243" i="4"/>
  <c r="R244" i="4"/>
  <c r="R245" i="4"/>
  <c r="R246" i="4"/>
  <c r="R247" i="4"/>
  <c r="R248" i="4"/>
  <c r="R321" i="4"/>
  <c r="R322" i="4"/>
  <c r="R323" i="4"/>
  <c r="R324" i="4"/>
  <c r="R325" i="4"/>
  <c r="R326" i="4"/>
  <c r="R285" i="4"/>
  <c r="R286" i="4"/>
  <c r="R287" i="4"/>
  <c r="R288" i="4"/>
  <c r="R289" i="4"/>
  <c r="R290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273" i="4"/>
  <c r="R274" i="4"/>
  <c r="R275" i="4"/>
  <c r="R276" i="4"/>
  <c r="R277" i="4"/>
  <c r="R278" i="4"/>
  <c r="R291" i="4"/>
  <c r="R292" i="4"/>
  <c r="R293" i="4"/>
  <c r="R294" i="4"/>
  <c r="R295" i="4"/>
  <c r="R296" i="4"/>
  <c r="R315" i="4"/>
  <c r="R316" i="4"/>
  <c r="R317" i="4"/>
  <c r="R318" i="4"/>
  <c r="R319" i="4"/>
  <c r="R320" i="4"/>
  <c r="R279" i="4"/>
  <c r="R280" i="4"/>
  <c r="R281" i="4"/>
  <c r="R282" i="4"/>
  <c r="R283" i="4"/>
  <c r="R284" i="4"/>
  <c r="R297" i="4"/>
  <c r="R298" i="4"/>
  <c r="R299" i="4"/>
  <c r="R300" i="4"/>
  <c r="R301" i="4"/>
  <c r="R302" i="4"/>
  <c r="R105" i="4"/>
  <c r="R106" i="4"/>
  <c r="R107" i="4"/>
  <c r="R108" i="4"/>
  <c r="R109" i="4"/>
  <c r="R110" i="4"/>
  <c r="R69" i="4"/>
  <c r="R70" i="4"/>
  <c r="R71" i="4"/>
  <c r="R72" i="4"/>
  <c r="R73" i="4"/>
  <c r="R74" i="4"/>
  <c r="R87" i="4"/>
  <c r="R88" i="4"/>
  <c r="R89" i="4"/>
  <c r="R90" i="4"/>
  <c r="R91" i="4"/>
  <c r="R92" i="4"/>
  <c r="R93" i="4"/>
  <c r="R94" i="4"/>
  <c r="R95" i="4"/>
  <c r="R96" i="4"/>
  <c r="R97" i="4"/>
  <c r="R98" i="4"/>
  <c r="R57" i="4"/>
  <c r="R58" i="4"/>
  <c r="R59" i="4"/>
  <c r="R60" i="4"/>
  <c r="R61" i="4"/>
  <c r="R62" i="4"/>
  <c r="R75" i="4"/>
  <c r="R76" i="4"/>
  <c r="R77" i="4"/>
  <c r="R78" i="4"/>
  <c r="R79" i="4"/>
  <c r="R80" i="4"/>
  <c r="R99" i="4"/>
  <c r="R100" i="4"/>
  <c r="R101" i="4"/>
  <c r="R102" i="4"/>
  <c r="R103" i="4"/>
  <c r="R104" i="4"/>
  <c r="R63" i="4"/>
  <c r="R64" i="4"/>
  <c r="R65" i="4"/>
  <c r="R66" i="4"/>
  <c r="R67" i="4"/>
  <c r="R68" i="4"/>
  <c r="R81" i="4"/>
  <c r="R82" i="4"/>
  <c r="R83" i="4"/>
  <c r="R84" i="4"/>
  <c r="R86" i="4"/>
  <c r="R159" i="4"/>
  <c r="R160" i="4"/>
  <c r="R161" i="4"/>
  <c r="R162" i="4"/>
  <c r="R163" i="4"/>
  <c r="R164" i="4"/>
  <c r="R123" i="4"/>
  <c r="R124" i="4"/>
  <c r="R125" i="4"/>
  <c r="R126" i="4"/>
  <c r="R127" i="4"/>
  <c r="R128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11" i="4"/>
  <c r="R112" i="4"/>
  <c r="R113" i="4"/>
  <c r="R114" i="4"/>
  <c r="R115" i="4"/>
  <c r="R116" i="4"/>
  <c r="R129" i="4"/>
  <c r="R130" i="4"/>
  <c r="R131" i="4"/>
  <c r="R132" i="4"/>
  <c r="R134" i="4"/>
  <c r="R153" i="4"/>
  <c r="R154" i="4"/>
  <c r="R155" i="4"/>
  <c r="R156" i="4"/>
  <c r="R157" i="4"/>
  <c r="R158" i="4"/>
  <c r="R117" i="4"/>
  <c r="R118" i="4"/>
  <c r="R119" i="4"/>
  <c r="R120" i="4"/>
  <c r="R121" i="4"/>
  <c r="R122" i="4"/>
  <c r="R135" i="4"/>
  <c r="R136" i="4"/>
  <c r="R137" i="4"/>
  <c r="R138" i="4"/>
  <c r="R139" i="4"/>
  <c r="R140" i="4"/>
  <c r="R51" i="4"/>
  <c r="R52" i="4"/>
  <c r="R53" i="4"/>
  <c r="R54" i="4"/>
  <c r="R55" i="4"/>
  <c r="R56" i="4"/>
  <c r="R15" i="4"/>
  <c r="R16" i="4"/>
  <c r="R17" i="4"/>
  <c r="R18" i="4"/>
  <c r="R19" i="4"/>
  <c r="R20" i="4"/>
  <c r="R33" i="4"/>
  <c r="R34" i="4"/>
  <c r="R35" i="4"/>
  <c r="R36" i="4"/>
  <c r="R37" i="4"/>
  <c r="R38" i="4"/>
  <c r="R39" i="4"/>
  <c r="R40" i="4"/>
  <c r="R41" i="4"/>
  <c r="R42" i="4"/>
  <c r="R43" i="4"/>
  <c r="R44" i="4"/>
  <c r="R3" i="4"/>
  <c r="R4" i="4"/>
  <c r="R5" i="4"/>
  <c r="R6" i="4"/>
  <c r="R7" i="4"/>
  <c r="R8" i="4"/>
  <c r="R21" i="4"/>
  <c r="R22" i="4"/>
  <c r="R23" i="4"/>
  <c r="R24" i="4"/>
  <c r="R25" i="4"/>
  <c r="R26" i="4"/>
  <c r="R45" i="4"/>
  <c r="R46" i="4"/>
  <c r="R47" i="4"/>
  <c r="R48" i="4"/>
  <c r="R49" i="4"/>
  <c r="R50" i="4"/>
  <c r="R9" i="4"/>
  <c r="R10" i="4"/>
  <c r="R11" i="4"/>
  <c r="R12" i="4"/>
  <c r="R13" i="4"/>
  <c r="R14" i="4"/>
  <c r="R27" i="4"/>
  <c r="R28" i="4"/>
  <c r="R29" i="4"/>
  <c r="R30" i="4"/>
  <c r="R31" i="4"/>
  <c r="R32" i="4"/>
  <c r="R213" i="4"/>
  <c r="S214" i="2"/>
  <c r="S215" i="2"/>
  <c r="S216" i="2"/>
  <c r="S217" i="2"/>
  <c r="S218" i="2"/>
  <c r="S177" i="2"/>
  <c r="S178" i="2"/>
  <c r="S179" i="2"/>
  <c r="S180" i="2"/>
  <c r="S181" i="2"/>
  <c r="S182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165" i="2"/>
  <c r="S166" i="2"/>
  <c r="S167" i="2"/>
  <c r="S168" i="2"/>
  <c r="S169" i="2"/>
  <c r="S170" i="2"/>
  <c r="S183" i="2"/>
  <c r="S184" i="2"/>
  <c r="S185" i="2"/>
  <c r="S186" i="2"/>
  <c r="S187" i="2"/>
  <c r="S188" i="2"/>
  <c r="S207" i="2"/>
  <c r="S208" i="2"/>
  <c r="S209" i="2"/>
  <c r="S210" i="2"/>
  <c r="S211" i="2"/>
  <c r="S212" i="2"/>
  <c r="S171" i="2"/>
  <c r="S172" i="2"/>
  <c r="S173" i="2"/>
  <c r="S174" i="2"/>
  <c r="S175" i="2"/>
  <c r="S176" i="2"/>
  <c r="S189" i="2"/>
  <c r="S190" i="2"/>
  <c r="S191" i="2"/>
  <c r="S192" i="2"/>
  <c r="S193" i="2"/>
  <c r="S194" i="2"/>
  <c r="S267" i="2"/>
  <c r="S268" i="2"/>
  <c r="S269" i="2"/>
  <c r="S270" i="2"/>
  <c r="S271" i="2"/>
  <c r="S272" i="2"/>
  <c r="S231" i="2"/>
  <c r="S232" i="2"/>
  <c r="S233" i="2"/>
  <c r="S234" i="2"/>
  <c r="S236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19" i="2"/>
  <c r="S220" i="2"/>
  <c r="S221" i="2"/>
  <c r="S222" i="2"/>
  <c r="S223" i="2"/>
  <c r="S224" i="2"/>
  <c r="S237" i="2"/>
  <c r="S238" i="2"/>
  <c r="S239" i="2"/>
  <c r="S240" i="2"/>
  <c r="S241" i="2"/>
  <c r="S242" i="2"/>
  <c r="S261" i="2"/>
  <c r="S262" i="2"/>
  <c r="S263" i="2"/>
  <c r="S264" i="2"/>
  <c r="S265" i="2"/>
  <c r="S266" i="2"/>
  <c r="S225" i="2"/>
  <c r="S226" i="2"/>
  <c r="S227" i="2"/>
  <c r="S228" i="2"/>
  <c r="S229" i="2"/>
  <c r="S230" i="2"/>
  <c r="S243" i="2"/>
  <c r="S244" i="2"/>
  <c r="S245" i="2"/>
  <c r="S246" i="2"/>
  <c r="S247" i="2"/>
  <c r="S248" i="2"/>
  <c r="S321" i="2"/>
  <c r="S322" i="2"/>
  <c r="S323" i="2"/>
  <c r="S324" i="2"/>
  <c r="S325" i="2"/>
  <c r="S326" i="2"/>
  <c r="S285" i="2"/>
  <c r="S286" i="2"/>
  <c r="S287" i="2"/>
  <c r="S288" i="2"/>
  <c r="S289" i="2"/>
  <c r="S290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273" i="2"/>
  <c r="S274" i="2"/>
  <c r="S275" i="2"/>
  <c r="S276" i="2"/>
  <c r="S277" i="2"/>
  <c r="S278" i="2"/>
  <c r="S291" i="2"/>
  <c r="S292" i="2"/>
  <c r="S293" i="2"/>
  <c r="S294" i="2"/>
  <c r="S295" i="2"/>
  <c r="S296" i="2"/>
  <c r="S315" i="2"/>
  <c r="S316" i="2"/>
  <c r="S317" i="2"/>
  <c r="S318" i="2"/>
  <c r="S319" i="2"/>
  <c r="S320" i="2"/>
  <c r="S279" i="2"/>
  <c r="S280" i="2"/>
  <c r="S281" i="2"/>
  <c r="S282" i="2"/>
  <c r="S283" i="2"/>
  <c r="S284" i="2"/>
  <c r="S297" i="2"/>
  <c r="S298" i="2"/>
  <c r="S299" i="2"/>
  <c r="S300" i="2"/>
  <c r="S301" i="2"/>
  <c r="S302" i="2"/>
  <c r="S105" i="2"/>
  <c r="S106" i="2"/>
  <c r="S107" i="2"/>
  <c r="S108" i="2"/>
  <c r="S109" i="2"/>
  <c r="S110" i="2"/>
  <c r="S69" i="2"/>
  <c r="S70" i="2"/>
  <c r="S71" i="2"/>
  <c r="S72" i="2"/>
  <c r="S73" i="2"/>
  <c r="S74" i="2"/>
  <c r="S87" i="2"/>
  <c r="S88" i="2"/>
  <c r="S89" i="2"/>
  <c r="S90" i="2"/>
  <c r="S91" i="2"/>
  <c r="S92" i="2"/>
  <c r="S93" i="2"/>
  <c r="S94" i="2"/>
  <c r="S95" i="2"/>
  <c r="S96" i="2"/>
  <c r="S97" i="2"/>
  <c r="S98" i="2"/>
  <c r="S57" i="2"/>
  <c r="S58" i="2"/>
  <c r="S59" i="2"/>
  <c r="S60" i="2"/>
  <c r="S61" i="2"/>
  <c r="S62" i="2"/>
  <c r="S75" i="2"/>
  <c r="S76" i="2"/>
  <c r="S77" i="2"/>
  <c r="S78" i="2"/>
  <c r="S79" i="2"/>
  <c r="S80" i="2"/>
  <c r="S99" i="2"/>
  <c r="S100" i="2"/>
  <c r="S101" i="2"/>
  <c r="S102" i="2"/>
  <c r="S103" i="2"/>
  <c r="S104" i="2"/>
  <c r="S63" i="2"/>
  <c r="S64" i="2"/>
  <c r="S65" i="2"/>
  <c r="S66" i="2"/>
  <c r="S67" i="2"/>
  <c r="S68" i="2"/>
  <c r="S81" i="2"/>
  <c r="S82" i="2"/>
  <c r="S83" i="2"/>
  <c r="S84" i="2"/>
  <c r="S86" i="2"/>
  <c r="S159" i="2"/>
  <c r="S160" i="2"/>
  <c r="S161" i="2"/>
  <c r="S162" i="2"/>
  <c r="S163" i="2"/>
  <c r="S164" i="2"/>
  <c r="S123" i="2"/>
  <c r="S124" i="2"/>
  <c r="S125" i="2"/>
  <c r="S126" i="2"/>
  <c r="S127" i="2"/>
  <c r="S128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11" i="2"/>
  <c r="S112" i="2"/>
  <c r="S113" i="2"/>
  <c r="S114" i="2"/>
  <c r="S115" i="2"/>
  <c r="S116" i="2"/>
  <c r="S129" i="2"/>
  <c r="S130" i="2"/>
  <c r="S131" i="2"/>
  <c r="S132" i="2"/>
  <c r="S134" i="2"/>
  <c r="S153" i="2"/>
  <c r="S154" i="2"/>
  <c r="S155" i="2"/>
  <c r="S156" i="2"/>
  <c r="S157" i="2"/>
  <c r="S158" i="2"/>
  <c r="S117" i="2"/>
  <c r="S118" i="2"/>
  <c r="S119" i="2"/>
  <c r="S120" i="2"/>
  <c r="S121" i="2"/>
  <c r="S122" i="2"/>
  <c r="S135" i="2"/>
  <c r="S136" i="2"/>
  <c r="S137" i="2"/>
  <c r="S138" i="2"/>
  <c r="S139" i="2"/>
  <c r="S140" i="2"/>
  <c r="S51" i="2"/>
  <c r="S52" i="2"/>
  <c r="S53" i="2"/>
  <c r="S54" i="2"/>
  <c r="S55" i="2"/>
  <c r="S56" i="2"/>
  <c r="S15" i="2"/>
  <c r="S16" i="2"/>
  <c r="S17" i="2"/>
  <c r="S18" i="2"/>
  <c r="S19" i="2"/>
  <c r="S20" i="2"/>
  <c r="S33" i="2"/>
  <c r="S34" i="2"/>
  <c r="S35" i="2"/>
  <c r="S36" i="2"/>
  <c r="S37" i="2"/>
  <c r="S38" i="2"/>
  <c r="S39" i="2"/>
  <c r="S40" i="2"/>
  <c r="S41" i="2"/>
  <c r="S42" i="2"/>
  <c r="S43" i="2"/>
  <c r="S44" i="2"/>
  <c r="S3" i="2"/>
  <c r="S4" i="2"/>
  <c r="S5" i="2"/>
  <c r="S6" i="2"/>
  <c r="S7" i="2"/>
  <c r="S8" i="2"/>
  <c r="S21" i="2"/>
  <c r="S22" i="2"/>
  <c r="S23" i="2"/>
  <c r="S24" i="2"/>
  <c r="S25" i="2"/>
  <c r="S26" i="2"/>
  <c r="S45" i="2"/>
  <c r="S46" i="2"/>
  <c r="S47" i="2"/>
  <c r="S48" i="2"/>
  <c r="S49" i="2"/>
  <c r="S50" i="2"/>
  <c r="S9" i="2"/>
  <c r="S10" i="2"/>
  <c r="S11" i="2"/>
  <c r="S12" i="2"/>
  <c r="S13" i="2"/>
  <c r="S14" i="2"/>
  <c r="S27" i="2"/>
  <c r="S28" i="2"/>
  <c r="S29" i="2"/>
  <c r="S30" i="2"/>
  <c r="S31" i="2"/>
  <c r="S32" i="2"/>
  <c r="V213" i="44"/>
  <c r="V214" i="44"/>
  <c r="V215" i="44"/>
  <c r="V216" i="44"/>
  <c r="V217" i="44"/>
  <c r="V218" i="44"/>
  <c r="V177" i="44"/>
  <c r="V178" i="44"/>
  <c r="V179" i="44"/>
  <c r="V180" i="44"/>
  <c r="V181" i="44"/>
  <c r="V182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165" i="44"/>
  <c r="V166" i="44"/>
  <c r="V167" i="44"/>
  <c r="V168" i="44"/>
  <c r="V169" i="44"/>
  <c r="V170" i="44"/>
  <c r="V183" i="44"/>
  <c r="V184" i="44"/>
  <c r="V185" i="44"/>
  <c r="V186" i="44"/>
  <c r="V187" i="44"/>
  <c r="V188" i="44"/>
  <c r="V207" i="44"/>
  <c r="V208" i="44"/>
  <c r="V209" i="44"/>
  <c r="V210" i="44"/>
  <c r="V211" i="44"/>
  <c r="V212" i="44"/>
  <c r="V171" i="44"/>
  <c r="V172" i="44"/>
  <c r="V173" i="44"/>
  <c r="V174" i="44"/>
  <c r="V175" i="44"/>
  <c r="V176" i="44"/>
  <c r="V189" i="44"/>
  <c r="V190" i="44"/>
  <c r="V191" i="44"/>
  <c r="V192" i="44"/>
  <c r="V193" i="44"/>
  <c r="V194" i="44"/>
  <c r="V267" i="44"/>
  <c r="V268" i="44"/>
  <c r="V269" i="44"/>
  <c r="V270" i="44"/>
  <c r="V271" i="44"/>
  <c r="V272" i="44"/>
  <c r="V231" i="44"/>
  <c r="V232" i="44"/>
  <c r="V233" i="44"/>
  <c r="V234" i="44"/>
  <c r="V235" i="44"/>
  <c r="V236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19" i="44"/>
  <c r="V220" i="44"/>
  <c r="V221" i="44"/>
  <c r="V222" i="44"/>
  <c r="V223" i="44"/>
  <c r="V224" i="44"/>
  <c r="V237" i="44"/>
  <c r="V238" i="44"/>
  <c r="V239" i="44"/>
  <c r="V240" i="44"/>
  <c r="V241" i="44"/>
  <c r="V242" i="44"/>
  <c r="V261" i="44"/>
  <c r="V262" i="44"/>
  <c r="V263" i="44"/>
  <c r="V264" i="44"/>
  <c r="V265" i="44"/>
  <c r="V266" i="44"/>
  <c r="V225" i="44"/>
  <c r="V226" i="44"/>
  <c r="V227" i="44"/>
  <c r="V228" i="44"/>
  <c r="V229" i="44"/>
  <c r="V230" i="44"/>
  <c r="V243" i="44"/>
  <c r="V244" i="44"/>
  <c r="V245" i="44"/>
  <c r="V246" i="44"/>
  <c r="V247" i="44"/>
  <c r="V248" i="44"/>
  <c r="V321" i="44"/>
  <c r="V322" i="44"/>
  <c r="V323" i="44"/>
  <c r="V324" i="44"/>
  <c r="V325" i="44"/>
  <c r="V326" i="44"/>
  <c r="V285" i="44"/>
  <c r="V286" i="44"/>
  <c r="V287" i="44"/>
  <c r="V288" i="44"/>
  <c r="V289" i="44"/>
  <c r="V290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273" i="44"/>
  <c r="V274" i="44"/>
  <c r="V275" i="44"/>
  <c r="V276" i="44"/>
  <c r="V277" i="44"/>
  <c r="V278" i="44"/>
  <c r="V291" i="44"/>
  <c r="V292" i="44"/>
  <c r="V293" i="44"/>
  <c r="V294" i="44"/>
  <c r="V295" i="44"/>
  <c r="V296" i="44"/>
  <c r="V315" i="44"/>
  <c r="V316" i="44"/>
  <c r="V317" i="44"/>
  <c r="V318" i="44"/>
  <c r="V319" i="44"/>
  <c r="V320" i="44"/>
  <c r="V279" i="44"/>
  <c r="V280" i="44"/>
  <c r="V281" i="44"/>
  <c r="V282" i="44"/>
  <c r="V283" i="44"/>
  <c r="V284" i="44"/>
  <c r="V297" i="44"/>
  <c r="V298" i="44"/>
  <c r="V299" i="44"/>
  <c r="V300" i="44"/>
  <c r="V301" i="44"/>
  <c r="V302" i="44"/>
  <c r="V105" i="44"/>
  <c r="V106" i="44"/>
  <c r="V107" i="44"/>
  <c r="V108" i="44"/>
  <c r="V109" i="44"/>
  <c r="V110" i="44"/>
  <c r="V69" i="44"/>
  <c r="V70" i="44"/>
  <c r="V71" i="44"/>
  <c r="V72" i="44"/>
  <c r="V73" i="44"/>
  <c r="V74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57" i="44"/>
  <c r="V58" i="44"/>
  <c r="V59" i="44"/>
  <c r="V60" i="44"/>
  <c r="V61" i="44"/>
  <c r="V62" i="44"/>
  <c r="V75" i="44"/>
  <c r="V76" i="44"/>
  <c r="V77" i="44"/>
  <c r="V78" i="44"/>
  <c r="V79" i="44"/>
  <c r="V80" i="44"/>
  <c r="V99" i="44"/>
  <c r="V100" i="44"/>
  <c r="V101" i="44"/>
  <c r="V102" i="44"/>
  <c r="V103" i="44"/>
  <c r="V104" i="44"/>
  <c r="V63" i="44"/>
  <c r="V64" i="44"/>
  <c r="V65" i="44"/>
  <c r="V66" i="44"/>
  <c r="V67" i="44"/>
  <c r="V68" i="44"/>
  <c r="V81" i="44"/>
  <c r="V82" i="44"/>
  <c r="V83" i="44"/>
  <c r="V84" i="44"/>
  <c r="V85" i="44"/>
  <c r="V86" i="44"/>
  <c r="V159" i="44"/>
  <c r="V160" i="44"/>
  <c r="V161" i="44"/>
  <c r="V162" i="44"/>
  <c r="V163" i="44"/>
  <c r="V164" i="44"/>
  <c r="V123" i="44"/>
  <c r="V124" i="44"/>
  <c r="V125" i="44"/>
  <c r="V126" i="44"/>
  <c r="V127" i="44"/>
  <c r="V128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11" i="44"/>
  <c r="V112" i="44"/>
  <c r="V113" i="44"/>
  <c r="V114" i="44"/>
  <c r="V115" i="44"/>
  <c r="V116" i="44"/>
  <c r="V129" i="44"/>
  <c r="V130" i="44"/>
  <c r="V131" i="44"/>
  <c r="V132" i="44"/>
  <c r="V133" i="44"/>
  <c r="V134" i="44"/>
  <c r="V153" i="44"/>
  <c r="V154" i="44"/>
  <c r="V155" i="44"/>
  <c r="V156" i="44"/>
  <c r="V157" i="44"/>
  <c r="V158" i="44"/>
  <c r="V117" i="44"/>
  <c r="V118" i="44"/>
  <c r="V119" i="44"/>
  <c r="V120" i="44"/>
  <c r="V121" i="44"/>
  <c r="V122" i="44"/>
  <c r="V135" i="44"/>
  <c r="V136" i="44"/>
  <c r="V137" i="44"/>
  <c r="V138" i="44"/>
  <c r="V139" i="44"/>
  <c r="V140" i="44"/>
  <c r="V51" i="44"/>
  <c r="V52" i="44"/>
  <c r="V53" i="44"/>
  <c r="V54" i="44"/>
  <c r="V55" i="44"/>
  <c r="V56" i="44"/>
  <c r="V15" i="44"/>
  <c r="V16" i="44"/>
  <c r="V17" i="44"/>
  <c r="V18" i="44"/>
  <c r="V19" i="44"/>
  <c r="V20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3" i="44"/>
  <c r="V4" i="44"/>
  <c r="V5" i="44"/>
  <c r="V6" i="44"/>
  <c r="V7" i="44"/>
  <c r="V8" i="44"/>
  <c r="V21" i="44"/>
  <c r="V22" i="44"/>
  <c r="V23" i="44"/>
  <c r="V24" i="44"/>
  <c r="V25" i="44"/>
  <c r="V26" i="44"/>
  <c r="V45" i="44"/>
  <c r="V46" i="44"/>
  <c r="V47" i="44"/>
  <c r="V48" i="44"/>
  <c r="V49" i="44"/>
  <c r="V50" i="44"/>
  <c r="V9" i="44"/>
  <c r="V10" i="44"/>
  <c r="V11" i="44"/>
  <c r="V12" i="44"/>
  <c r="V13" i="44"/>
  <c r="V14" i="44"/>
  <c r="V27" i="44"/>
  <c r="V28" i="44"/>
  <c r="V29" i="44"/>
  <c r="V30" i="44"/>
  <c r="V31" i="44"/>
  <c r="V32" i="44"/>
  <c r="R214" i="44"/>
  <c r="R215" i="44"/>
  <c r="R216" i="44"/>
  <c r="R217" i="44"/>
  <c r="R218" i="44"/>
  <c r="R177" i="44"/>
  <c r="R178" i="44"/>
  <c r="R179" i="44"/>
  <c r="R180" i="44"/>
  <c r="R181" i="44"/>
  <c r="R182" i="44"/>
  <c r="R195" i="44"/>
  <c r="R196" i="44"/>
  <c r="R197" i="44"/>
  <c r="R198" i="44"/>
  <c r="R199" i="44"/>
  <c r="R200" i="44"/>
  <c r="R201" i="44"/>
  <c r="R202" i="44"/>
  <c r="R203" i="44"/>
  <c r="R204" i="44"/>
  <c r="R205" i="44"/>
  <c r="R206" i="44"/>
  <c r="R165" i="44"/>
  <c r="R166" i="44"/>
  <c r="R167" i="44"/>
  <c r="R168" i="44"/>
  <c r="R169" i="44"/>
  <c r="R170" i="44"/>
  <c r="R183" i="44"/>
  <c r="R184" i="44"/>
  <c r="R185" i="44"/>
  <c r="R186" i="44"/>
  <c r="R187" i="44"/>
  <c r="R188" i="44"/>
  <c r="R207" i="44"/>
  <c r="R208" i="44"/>
  <c r="R209" i="44"/>
  <c r="R210" i="44"/>
  <c r="R211" i="44"/>
  <c r="R212" i="44"/>
  <c r="R171" i="44"/>
  <c r="R172" i="44"/>
  <c r="R173" i="44"/>
  <c r="R174" i="44"/>
  <c r="R175" i="44"/>
  <c r="R176" i="44"/>
  <c r="R189" i="44"/>
  <c r="R190" i="44"/>
  <c r="R191" i="44"/>
  <c r="R192" i="44"/>
  <c r="R193" i="44"/>
  <c r="R194" i="44"/>
  <c r="R267" i="44"/>
  <c r="R268" i="44"/>
  <c r="R269" i="44"/>
  <c r="R270" i="44"/>
  <c r="R271" i="44"/>
  <c r="R272" i="44"/>
  <c r="R231" i="44"/>
  <c r="R232" i="44"/>
  <c r="R233" i="44"/>
  <c r="R234" i="44"/>
  <c r="R236" i="44"/>
  <c r="R249" i="44"/>
  <c r="R250" i="44"/>
  <c r="R251" i="44"/>
  <c r="R252" i="44"/>
  <c r="R253" i="44"/>
  <c r="R254" i="44"/>
  <c r="R255" i="44"/>
  <c r="R256" i="44"/>
  <c r="R257" i="44"/>
  <c r="R258" i="44"/>
  <c r="R259" i="44"/>
  <c r="R260" i="44"/>
  <c r="R219" i="44"/>
  <c r="R220" i="44"/>
  <c r="R221" i="44"/>
  <c r="R222" i="44"/>
  <c r="R223" i="44"/>
  <c r="R224" i="44"/>
  <c r="R237" i="44"/>
  <c r="R238" i="44"/>
  <c r="R239" i="44"/>
  <c r="R240" i="44"/>
  <c r="R241" i="44"/>
  <c r="R242" i="44"/>
  <c r="R261" i="44"/>
  <c r="R262" i="44"/>
  <c r="R263" i="44"/>
  <c r="R264" i="44"/>
  <c r="R265" i="44"/>
  <c r="R266" i="44"/>
  <c r="R225" i="44"/>
  <c r="R226" i="44"/>
  <c r="R227" i="44"/>
  <c r="R228" i="44"/>
  <c r="R229" i="44"/>
  <c r="R230" i="44"/>
  <c r="R243" i="44"/>
  <c r="R244" i="44"/>
  <c r="R245" i="44"/>
  <c r="R246" i="44"/>
  <c r="R247" i="44"/>
  <c r="R248" i="44"/>
  <c r="R321" i="44"/>
  <c r="R322" i="44"/>
  <c r="R323" i="44"/>
  <c r="R324" i="44"/>
  <c r="R325" i="44"/>
  <c r="R326" i="44"/>
  <c r="R285" i="44"/>
  <c r="R286" i="44"/>
  <c r="R287" i="44"/>
  <c r="R288" i="44"/>
  <c r="R289" i="44"/>
  <c r="R290" i="44"/>
  <c r="R303" i="44"/>
  <c r="R304" i="44"/>
  <c r="R305" i="44"/>
  <c r="R306" i="44"/>
  <c r="R307" i="44"/>
  <c r="R308" i="44"/>
  <c r="R309" i="44"/>
  <c r="R310" i="44"/>
  <c r="R311" i="44"/>
  <c r="R312" i="44"/>
  <c r="R313" i="44"/>
  <c r="R314" i="44"/>
  <c r="R273" i="44"/>
  <c r="R274" i="44"/>
  <c r="R275" i="44"/>
  <c r="R276" i="44"/>
  <c r="R277" i="44"/>
  <c r="R278" i="44"/>
  <c r="R291" i="44"/>
  <c r="R292" i="44"/>
  <c r="R293" i="44"/>
  <c r="R294" i="44"/>
  <c r="R295" i="44"/>
  <c r="R296" i="44"/>
  <c r="R315" i="44"/>
  <c r="R316" i="44"/>
  <c r="R317" i="44"/>
  <c r="R318" i="44"/>
  <c r="R319" i="44"/>
  <c r="R320" i="44"/>
  <c r="R279" i="44"/>
  <c r="R280" i="44"/>
  <c r="R281" i="44"/>
  <c r="R282" i="44"/>
  <c r="R283" i="44"/>
  <c r="R284" i="44"/>
  <c r="R297" i="44"/>
  <c r="R298" i="44"/>
  <c r="R299" i="44"/>
  <c r="R300" i="44"/>
  <c r="R301" i="44"/>
  <c r="R302" i="44"/>
  <c r="R105" i="44"/>
  <c r="R106" i="44"/>
  <c r="R107" i="44"/>
  <c r="R108" i="44"/>
  <c r="R109" i="44"/>
  <c r="R110" i="44"/>
  <c r="R69" i="44"/>
  <c r="R70" i="44"/>
  <c r="R71" i="44"/>
  <c r="R72" i="44"/>
  <c r="R73" i="44"/>
  <c r="R74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57" i="44"/>
  <c r="R58" i="44"/>
  <c r="R59" i="44"/>
  <c r="R60" i="44"/>
  <c r="R61" i="44"/>
  <c r="R62" i="44"/>
  <c r="R75" i="44"/>
  <c r="R76" i="44"/>
  <c r="R77" i="44"/>
  <c r="R78" i="44"/>
  <c r="R79" i="44"/>
  <c r="R80" i="44"/>
  <c r="R99" i="44"/>
  <c r="R100" i="44"/>
  <c r="R101" i="44"/>
  <c r="R102" i="44"/>
  <c r="R103" i="44"/>
  <c r="R104" i="44"/>
  <c r="R63" i="44"/>
  <c r="R64" i="44"/>
  <c r="R65" i="44"/>
  <c r="R66" i="44"/>
  <c r="R67" i="44"/>
  <c r="R68" i="44"/>
  <c r="R81" i="44"/>
  <c r="R82" i="44"/>
  <c r="R83" i="44"/>
  <c r="R84" i="44"/>
  <c r="R86" i="44"/>
  <c r="R159" i="44"/>
  <c r="R160" i="44"/>
  <c r="R161" i="44"/>
  <c r="R162" i="44"/>
  <c r="R163" i="44"/>
  <c r="R164" i="44"/>
  <c r="R123" i="44"/>
  <c r="R124" i="44"/>
  <c r="R125" i="44"/>
  <c r="R126" i="44"/>
  <c r="R127" i="44"/>
  <c r="R128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11" i="44"/>
  <c r="R112" i="44"/>
  <c r="R113" i="44"/>
  <c r="R114" i="44"/>
  <c r="R115" i="44"/>
  <c r="R116" i="44"/>
  <c r="R129" i="44"/>
  <c r="R130" i="44"/>
  <c r="R131" i="44"/>
  <c r="R132" i="44"/>
  <c r="R134" i="44"/>
  <c r="R153" i="44"/>
  <c r="R154" i="44"/>
  <c r="R155" i="44"/>
  <c r="R156" i="44"/>
  <c r="R157" i="44"/>
  <c r="R158" i="44"/>
  <c r="R117" i="44"/>
  <c r="R118" i="44"/>
  <c r="R119" i="44"/>
  <c r="R120" i="44"/>
  <c r="R121" i="44"/>
  <c r="R122" i="44"/>
  <c r="R135" i="44"/>
  <c r="R136" i="44"/>
  <c r="R137" i="44"/>
  <c r="R138" i="44"/>
  <c r="R139" i="44"/>
  <c r="R140" i="44"/>
  <c r="R51" i="44"/>
  <c r="R52" i="44"/>
  <c r="R53" i="44"/>
  <c r="R54" i="44"/>
  <c r="R55" i="44"/>
  <c r="R56" i="44"/>
  <c r="R15" i="44"/>
  <c r="R16" i="44"/>
  <c r="R17" i="44"/>
  <c r="R18" i="44"/>
  <c r="R19" i="44"/>
  <c r="R20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3" i="44"/>
  <c r="R4" i="44"/>
  <c r="R5" i="44"/>
  <c r="R6" i="44"/>
  <c r="R7" i="44"/>
  <c r="R8" i="44"/>
  <c r="R21" i="44"/>
  <c r="R22" i="44"/>
  <c r="R23" i="44"/>
  <c r="R24" i="44"/>
  <c r="R25" i="44"/>
  <c r="R26" i="44"/>
  <c r="R45" i="44"/>
  <c r="R46" i="44"/>
  <c r="R47" i="44"/>
  <c r="R48" i="44"/>
  <c r="R49" i="44"/>
  <c r="R50" i="44"/>
  <c r="R9" i="44"/>
  <c r="R10" i="44"/>
  <c r="R11" i="44"/>
  <c r="R12" i="44"/>
  <c r="R13" i="44"/>
  <c r="R14" i="44"/>
  <c r="R27" i="44"/>
  <c r="R28" i="44"/>
  <c r="R29" i="44"/>
  <c r="R30" i="44"/>
  <c r="R31" i="44"/>
  <c r="R32" i="44"/>
  <c r="R213" i="44"/>
  <c r="W213" i="2"/>
  <c r="W214" i="2"/>
  <c r="W215" i="2"/>
  <c r="W216" i="2"/>
  <c r="W217" i="2"/>
  <c r="W218" i="2"/>
  <c r="W177" i="2"/>
  <c r="W178" i="2"/>
  <c r="W179" i="2"/>
  <c r="W180" i="2"/>
  <c r="W181" i="2"/>
  <c r="W182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165" i="2"/>
  <c r="W166" i="2"/>
  <c r="W167" i="2"/>
  <c r="W168" i="2"/>
  <c r="W169" i="2"/>
  <c r="W170" i="2"/>
  <c r="W183" i="2"/>
  <c r="W184" i="2"/>
  <c r="W185" i="2"/>
  <c r="W186" i="2"/>
  <c r="W187" i="2"/>
  <c r="W188" i="2"/>
  <c r="W207" i="2"/>
  <c r="W208" i="2"/>
  <c r="W209" i="2"/>
  <c r="W210" i="2"/>
  <c r="W211" i="2"/>
  <c r="W212" i="2"/>
  <c r="W171" i="2"/>
  <c r="W172" i="2"/>
  <c r="W173" i="2"/>
  <c r="W174" i="2"/>
  <c r="W175" i="2"/>
  <c r="W176" i="2"/>
  <c r="W189" i="2"/>
  <c r="W190" i="2"/>
  <c r="W191" i="2"/>
  <c r="W192" i="2"/>
  <c r="W193" i="2"/>
  <c r="W194" i="2"/>
  <c r="W267" i="2"/>
  <c r="W268" i="2"/>
  <c r="W269" i="2"/>
  <c r="W270" i="2"/>
  <c r="W271" i="2"/>
  <c r="W272" i="2"/>
  <c r="W231" i="2"/>
  <c r="W232" i="2"/>
  <c r="W233" i="2"/>
  <c r="W234" i="2"/>
  <c r="W235" i="2"/>
  <c r="W236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19" i="2"/>
  <c r="W220" i="2"/>
  <c r="W221" i="2"/>
  <c r="W222" i="2"/>
  <c r="W223" i="2"/>
  <c r="W224" i="2"/>
  <c r="W237" i="2"/>
  <c r="W238" i="2"/>
  <c r="W239" i="2"/>
  <c r="W240" i="2"/>
  <c r="W241" i="2"/>
  <c r="W242" i="2"/>
  <c r="W261" i="2"/>
  <c r="W262" i="2"/>
  <c r="W263" i="2"/>
  <c r="W264" i="2"/>
  <c r="W265" i="2"/>
  <c r="W266" i="2"/>
  <c r="W225" i="2"/>
  <c r="W226" i="2"/>
  <c r="W227" i="2"/>
  <c r="W228" i="2"/>
  <c r="W229" i="2"/>
  <c r="W230" i="2"/>
  <c r="W243" i="2"/>
  <c r="W244" i="2"/>
  <c r="W245" i="2"/>
  <c r="W246" i="2"/>
  <c r="W247" i="2"/>
  <c r="W248" i="2"/>
  <c r="W321" i="2"/>
  <c r="W322" i="2"/>
  <c r="W323" i="2"/>
  <c r="W324" i="2"/>
  <c r="W325" i="2"/>
  <c r="W326" i="2"/>
  <c r="W285" i="2"/>
  <c r="W286" i="2"/>
  <c r="W287" i="2"/>
  <c r="W288" i="2"/>
  <c r="W289" i="2"/>
  <c r="W290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273" i="2"/>
  <c r="W274" i="2"/>
  <c r="W275" i="2"/>
  <c r="W276" i="2"/>
  <c r="W277" i="2"/>
  <c r="W278" i="2"/>
  <c r="W291" i="2"/>
  <c r="W292" i="2"/>
  <c r="W293" i="2"/>
  <c r="W294" i="2"/>
  <c r="W295" i="2"/>
  <c r="W296" i="2"/>
  <c r="W315" i="2"/>
  <c r="W316" i="2"/>
  <c r="W317" i="2"/>
  <c r="W318" i="2"/>
  <c r="W319" i="2"/>
  <c r="W320" i="2"/>
  <c r="W279" i="2"/>
  <c r="W280" i="2"/>
  <c r="W281" i="2"/>
  <c r="W282" i="2"/>
  <c r="W283" i="2"/>
  <c r="W284" i="2"/>
  <c r="W297" i="2"/>
  <c r="W298" i="2"/>
  <c r="W299" i="2"/>
  <c r="W300" i="2"/>
  <c r="W301" i="2"/>
  <c r="W302" i="2"/>
  <c r="W105" i="2"/>
  <c r="W106" i="2"/>
  <c r="W107" i="2"/>
  <c r="W108" i="2"/>
  <c r="W109" i="2"/>
  <c r="W110" i="2"/>
  <c r="W69" i="2"/>
  <c r="W70" i="2"/>
  <c r="W71" i="2"/>
  <c r="W72" i="2"/>
  <c r="W73" i="2"/>
  <c r="W74" i="2"/>
  <c r="W87" i="2"/>
  <c r="W88" i="2"/>
  <c r="W89" i="2"/>
  <c r="W90" i="2"/>
  <c r="W91" i="2"/>
  <c r="W92" i="2"/>
  <c r="W93" i="2"/>
  <c r="W94" i="2"/>
  <c r="W95" i="2"/>
  <c r="W96" i="2"/>
  <c r="W97" i="2"/>
  <c r="W98" i="2"/>
  <c r="W57" i="2"/>
  <c r="W58" i="2"/>
  <c r="W59" i="2"/>
  <c r="W60" i="2"/>
  <c r="W61" i="2"/>
  <c r="W62" i="2"/>
  <c r="W75" i="2"/>
  <c r="W76" i="2"/>
  <c r="W77" i="2"/>
  <c r="W78" i="2"/>
  <c r="W79" i="2"/>
  <c r="W80" i="2"/>
  <c r="W99" i="2"/>
  <c r="W100" i="2"/>
  <c r="W101" i="2"/>
  <c r="W102" i="2"/>
  <c r="W103" i="2"/>
  <c r="W104" i="2"/>
  <c r="W63" i="2"/>
  <c r="W64" i="2"/>
  <c r="W65" i="2"/>
  <c r="W66" i="2"/>
  <c r="W67" i="2"/>
  <c r="W68" i="2"/>
  <c r="W81" i="2"/>
  <c r="W82" i="2"/>
  <c r="W83" i="2"/>
  <c r="W84" i="2"/>
  <c r="W85" i="2"/>
  <c r="W86" i="2"/>
  <c r="W159" i="2"/>
  <c r="W160" i="2"/>
  <c r="W161" i="2"/>
  <c r="W162" i="2"/>
  <c r="W163" i="2"/>
  <c r="W164" i="2"/>
  <c r="W123" i="2"/>
  <c r="W124" i="2"/>
  <c r="W125" i="2"/>
  <c r="W126" i="2"/>
  <c r="W127" i="2"/>
  <c r="W128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11" i="2"/>
  <c r="W112" i="2"/>
  <c r="W113" i="2"/>
  <c r="W114" i="2"/>
  <c r="W115" i="2"/>
  <c r="W116" i="2"/>
  <c r="W129" i="2"/>
  <c r="W130" i="2"/>
  <c r="W131" i="2"/>
  <c r="W132" i="2"/>
  <c r="W133" i="2"/>
  <c r="W134" i="2"/>
  <c r="W153" i="2"/>
  <c r="W154" i="2"/>
  <c r="W155" i="2"/>
  <c r="W156" i="2"/>
  <c r="W157" i="2"/>
  <c r="W158" i="2"/>
  <c r="W117" i="2"/>
  <c r="W118" i="2"/>
  <c r="W119" i="2"/>
  <c r="W120" i="2"/>
  <c r="W121" i="2"/>
  <c r="W122" i="2"/>
  <c r="W135" i="2"/>
  <c r="W136" i="2"/>
  <c r="W137" i="2"/>
  <c r="W138" i="2"/>
  <c r="W139" i="2"/>
  <c r="W140" i="2"/>
  <c r="W51" i="2"/>
  <c r="W52" i="2"/>
  <c r="W53" i="2"/>
  <c r="W54" i="2"/>
  <c r="W55" i="2"/>
  <c r="W56" i="2"/>
  <c r="W15" i="2"/>
  <c r="W16" i="2"/>
  <c r="W17" i="2"/>
  <c r="W18" i="2"/>
  <c r="W19" i="2"/>
  <c r="W20" i="2"/>
  <c r="W33" i="2"/>
  <c r="W34" i="2"/>
  <c r="W35" i="2"/>
  <c r="W36" i="2"/>
  <c r="W37" i="2"/>
  <c r="W38" i="2"/>
  <c r="W39" i="2"/>
  <c r="W40" i="2"/>
  <c r="W41" i="2"/>
  <c r="W42" i="2"/>
  <c r="W43" i="2"/>
  <c r="W44" i="2"/>
  <c r="W3" i="2"/>
  <c r="W4" i="2"/>
  <c r="W5" i="2"/>
  <c r="W6" i="2"/>
  <c r="W7" i="2"/>
  <c r="W8" i="2"/>
  <c r="W21" i="2"/>
  <c r="W22" i="2"/>
  <c r="W23" i="2"/>
  <c r="W24" i="2"/>
  <c r="W25" i="2"/>
  <c r="W26" i="2"/>
  <c r="W45" i="2"/>
  <c r="W46" i="2"/>
  <c r="W47" i="2"/>
  <c r="W48" i="2"/>
  <c r="W49" i="2"/>
  <c r="W50" i="2"/>
  <c r="W9" i="2"/>
  <c r="W10" i="2"/>
  <c r="W11" i="2"/>
  <c r="W12" i="2"/>
  <c r="W13" i="2"/>
  <c r="W14" i="2"/>
  <c r="W27" i="2"/>
  <c r="W28" i="2"/>
  <c r="W29" i="2"/>
  <c r="W30" i="2"/>
  <c r="W31" i="2"/>
  <c r="W32" i="2"/>
  <c r="S213" i="2"/>
  <c r="W327" i="2" l="1"/>
  <c r="S327" i="2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J19" i="43"/>
  <c r="I327" i="8"/>
  <c r="J327" i="8"/>
  <c r="O327" i="8"/>
  <c r="P327" i="8"/>
  <c r="Q327" i="8"/>
  <c r="R327" i="8"/>
  <c r="S327" i="8"/>
  <c r="T327" i="8"/>
  <c r="U327" i="8"/>
  <c r="V327" i="8"/>
  <c r="H327" i="8"/>
  <c r="O327" i="4"/>
  <c r="P327" i="4"/>
  <c r="Q327" i="4"/>
  <c r="S327" i="4"/>
  <c r="T327" i="4"/>
  <c r="U327" i="4"/>
  <c r="V327" i="4"/>
  <c r="H327" i="4"/>
  <c r="H327" i="44"/>
  <c r="I327" i="44"/>
  <c r="J327" i="44"/>
  <c r="O327" i="44"/>
  <c r="P327" i="44"/>
  <c r="Q327" i="44"/>
  <c r="R327" i="44"/>
  <c r="S327" i="44"/>
  <c r="T327" i="44"/>
  <c r="U327" i="44"/>
  <c r="I327" i="2"/>
  <c r="P327" i="2"/>
  <c r="Q327" i="2"/>
  <c r="R327" i="2"/>
  <c r="T327" i="2"/>
  <c r="U327" i="2"/>
  <c r="V327" i="2"/>
  <c r="H327" i="2"/>
  <c r="K19" i="38"/>
  <c r="L19" i="38"/>
  <c r="M19" i="38"/>
  <c r="N19" i="38"/>
  <c r="O19" i="38"/>
  <c r="P19" i="38"/>
  <c r="Q19" i="38"/>
  <c r="R19" i="38"/>
  <c r="S19" i="38"/>
  <c r="T19" i="38"/>
  <c r="J19" i="38"/>
  <c r="V327" i="44" l="1"/>
  <c r="R327" i="4" l="1"/>
</calcChain>
</file>

<file path=xl/sharedStrings.xml><?xml version="1.0" encoding="utf-8"?>
<sst xmlns="http://schemas.openxmlformats.org/spreadsheetml/2006/main" count="5822" uniqueCount="1694">
  <si>
    <t>Nobibon (2011)</t>
  </si>
  <si>
    <t>Instances</t>
  </si>
  <si>
    <t>Clients</t>
  </si>
  <si>
    <t>Hurdle Rate</t>
  </si>
  <si>
    <t>Number of Products</t>
  </si>
  <si>
    <t>Budget</t>
  </si>
  <si>
    <t>Offers</t>
  </si>
  <si>
    <t>Ejor</t>
  </si>
  <si>
    <t>Objetive value</t>
  </si>
  <si>
    <t>GAP %</t>
  </si>
  <si>
    <t>Δ % (2019)</t>
  </si>
  <si>
    <t>S1-5</t>
  </si>
  <si>
    <t>S1-5-5-1-l</t>
  </si>
  <si>
    <t>1 (tight)</t>
  </si>
  <si>
    <t>l (large)</t>
  </si>
  <si>
    <t>S1-5-5-1-s</t>
  </si>
  <si>
    <t>s (small)</t>
  </si>
  <si>
    <t>S1-5-5-2-l</t>
  </si>
  <si>
    <t>2 (average)</t>
  </si>
  <si>
    <t>S1-5-5-2-s</t>
  </si>
  <si>
    <t>S1-5-5-3-l</t>
  </si>
  <si>
    <t>3 (large)</t>
  </si>
  <si>
    <t>S1-5-5-3-s</t>
  </si>
  <si>
    <t>S1-10-5-1-l</t>
  </si>
  <si>
    <t>S1-10-5-1-s</t>
  </si>
  <si>
    <t>S1-10-5-2-l</t>
  </si>
  <si>
    <t>S1-10-5-2-s</t>
  </si>
  <si>
    <t>S1-10-5-3-l</t>
  </si>
  <si>
    <t>S1-10-5-3-s</t>
  </si>
  <si>
    <t>S1-15-5-1-l</t>
  </si>
  <si>
    <t>S1-15-5-1-s</t>
  </si>
  <si>
    <t>S1-15-5-2-l</t>
  </si>
  <si>
    <t>S1-15-5-2-s</t>
  </si>
  <si>
    <t>S1-15-5-3-l</t>
  </si>
  <si>
    <t>S1-15-5-3-s</t>
  </si>
  <si>
    <t>S1-10</t>
  </si>
  <si>
    <t>S1-5-10-1-l</t>
  </si>
  <si>
    <t>S1-5-10-1-s</t>
  </si>
  <si>
    <t>S1-5-10-2-l</t>
  </si>
  <si>
    <t>S1-5-10-2-s</t>
  </si>
  <si>
    <t>S1-5-10-3-l</t>
  </si>
  <si>
    <t>S1-5-10-3-s</t>
  </si>
  <si>
    <t>S1-10-10-1-l</t>
  </si>
  <si>
    <t>S1-10-10-1-s</t>
  </si>
  <si>
    <t>S1-10-10-2-l</t>
  </si>
  <si>
    <t>S1-10-10-2-s</t>
  </si>
  <si>
    <t>S1-10-10-3-l</t>
  </si>
  <si>
    <t>S1-10-10-3-s</t>
  </si>
  <si>
    <t>S1-15-10-1-l</t>
  </si>
  <si>
    <t>S1-15-10-1-s</t>
  </si>
  <si>
    <t>S1-15-10-2-l</t>
  </si>
  <si>
    <t>S1-15-10-2-s</t>
  </si>
  <si>
    <t>S1-15-10-3-l</t>
  </si>
  <si>
    <t>S1-15-10-3-s</t>
  </si>
  <si>
    <t>S1-15</t>
  </si>
  <si>
    <t>S1-5-15-1-l</t>
  </si>
  <si>
    <t>S1-5-15-1-s</t>
  </si>
  <si>
    <t>S1-5-15-2-l</t>
  </si>
  <si>
    <t>S1-5-15-2-s</t>
  </si>
  <si>
    <t>S1-5-15-3-l</t>
  </si>
  <si>
    <t>S1-5-15-3-s</t>
  </si>
  <si>
    <t>S1-10-15-1-l</t>
  </si>
  <si>
    <t>S1-10-15-1-s</t>
  </si>
  <si>
    <t>S1-10-15-2-l</t>
  </si>
  <si>
    <t>S1-10-15-2-s</t>
  </si>
  <si>
    <t>S1-10-15-3-l</t>
  </si>
  <si>
    <t>S1-10-15-3-s</t>
  </si>
  <si>
    <t>S1-15-15-1-l</t>
  </si>
  <si>
    <t>S1-15-15-1-s</t>
  </si>
  <si>
    <t>S1-15-15-2-l</t>
  </si>
  <si>
    <t>S1-15-15-2-s</t>
  </si>
  <si>
    <t>S1-15-15-3-l</t>
  </si>
  <si>
    <t>S1-15-15-3-s</t>
  </si>
  <si>
    <t>S2-5</t>
  </si>
  <si>
    <t>S2-5-5-1-l</t>
  </si>
  <si>
    <t>S2-5-5-1-s</t>
  </si>
  <si>
    <t>S2-5-5-2-l</t>
  </si>
  <si>
    <t>S2-5-5-2-s</t>
  </si>
  <si>
    <t>S2-5-5-3-l</t>
  </si>
  <si>
    <t>S2-5-5-3-s</t>
  </si>
  <si>
    <t>S2-10-5-1-l</t>
  </si>
  <si>
    <t>S2-10-5-1-s</t>
  </si>
  <si>
    <t>S2-10-5-2-s</t>
  </si>
  <si>
    <t>S2-10-5-3-l</t>
  </si>
  <si>
    <t>S2-10-5-3-s</t>
  </si>
  <si>
    <t>S2-15-5-1-l</t>
  </si>
  <si>
    <t>S2-15-5-1-s</t>
  </si>
  <si>
    <t>S2-15-5-2-l</t>
  </si>
  <si>
    <t>S2-15-5-2-s</t>
  </si>
  <si>
    <t>S2-15-5-3-l</t>
  </si>
  <si>
    <t>S2-15-5-3-s</t>
  </si>
  <si>
    <t>S2-10</t>
  </si>
  <si>
    <t>S2-5-10-1-l</t>
  </si>
  <si>
    <t>S2-5-10-1-s</t>
  </si>
  <si>
    <t>S2-5-10-2-l</t>
  </si>
  <si>
    <t>S2-5-10-2-s</t>
  </si>
  <si>
    <t>S2-5-10-3-l</t>
  </si>
  <si>
    <t>S2-5-10-3-s</t>
  </si>
  <si>
    <t>S2-10-10-1-l</t>
  </si>
  <si>
    <t>S2-10-10-1-s</t>
  </si>
  <si>
    <t>S2-10-10-2-l</t>
  </si>
  <si>
    <t>S2-10-10-2-s</t>
  </si>
  <si>
    <t>S2-10-10-3-l</t>
  </si>
  <si>
    <t>S2-10-10-3-s</t>
  </si>
  <si>
    <t>S2-15-10-1-l</t>
  </si>
  <si>
    <t>S2-15-10-1-s</t>
  </si>
  <si>
    <t>S2-15-10-2-l</t>
  </si>
  <si>
    <t>S2-15-10-2-s</t>
  </si>
  <si>
    <t>S2-15-10-3-l</t>
  </si>
  <si>
    <t>S2-15-10-3-s</t>
  </si>
  <si>
    <t>S2-15</t>
  </si>
  <si>
    <t>S2-5-15-1-l</t>
  </si>
  <si>
    <t>S2-5-15-1-s</t>
  </si>
  <si>
    <t>S2-5-15-2-l</t>
  </si>
  <si>
    <t>S2-5-15-2-s</t>
  </si>
  <si>
    <t>S2-5-15-3-l</t>
  </si>
  <si>
    <t>S2-5-15-3-s</t>
  </si>
  <si>
    <t>S2-10-15-1-l</t>
  </si>
  <si>
    <t>S2-10-15-1-s</t>
  </si>
  <si>
    <t>S2-10-15-2-l</t>
  </si>
  <si>
    <t>S2-10-15-2-s</t>
  </si>
  <si>
    <t>S2-10-15-3-l</t>
  </si>
  <si>
    <t>S2-10-15-3-s</t>
  </si>
  <si>
    <t>S2-15-15-1-l</t>
  </si>
  <si>
    <t>S2-15-15-1-s</t>
  </si>
  <si>
    <t>S2-15-15-2-l</t>
  </si>
  <si>
    <t>S2-15-15-2-s</t>
  </si>
  <si>
    <t>S2-15-15-3-l</t>
  </si>
  <si>
    <t>S2-15-15-3-s</t>
  </si>
  <si>
    <t>S3-5</t>
  </si>
  <si>
    <t>S3-5-5-1-l</t>
  </si>
  <si>
    <t>S3-5-5-1-s</t>
  </si>
  <si>
    <t>S3-5-5-2-l</t>
  </si>
  <si>
    <t>S3-5-5-2-s</t>
  </si>
  <si>
    <t>S3-5-5-3-l</t>
  </si>
  <si>
    <t>S3-5-5-3-s</t>
  </si>
  <si>
    <t>S3-10-5-1-l</t>
  </si>
  <si>
    <t>S3-10-5-1-s</t>
  </si>
  <si>
    <t>S3-10-5-2-l</t>
  </si>
  <si>
    <t>S3-10-5-2-s</t>
  </si>
  <si>
    <t>S3-10-5-3-l</t>
  </si>
  <si>
    <t>S3-10-5-3-s</t>
  </si>
  <si>
    <t>S3-15-5-1-l</t>
  </si>
  <si>
    <t>S3-15-5-1-s</t>
  </si>
  <si>
    <t>S3-15-5-2-l</t>
  </si>
  <si>
    <t>S3-15-5-2-s</t>
  </si>
  <si>
    <t>S3-15-5-3-l</t>
  </si>
  <si>
    <t>S3-15-5-3-s</t>
  </si>
  <si>
    <t>S3-10</t>
  </si>
  <si>
    <t>S3-5-10-1-l</t>
  </si>
  <si>
    <t>S3-5-10-1-s</t>
  </si>
  <si>
    <t>S3-5-10-2-l</t>
  </si>
  <si>
    <t>S3-5-10-2-s</t>
  </si>
  <si>
    <t>S3-5-10-3-l</t>
  </si>
  <si>
    <t>S3-5-10-3-s</t>
  </si>
  <si>
    <t>S3-10-10-1-l</t>
  </si>
  <si>
    <t>S3-10-10-1-s</t>
  </si>
  <si>
    <t>S3-10-10-2-l</t>
  </si>
  <si>
    <t>S3-10-10-2-s</t>
  </si>
  <si>
    <t>S3-10-10-3-l</t>
  </si>
  <si>
    <t>S3-10-10-3-s</t>
  </si>
  <si>
    <t>S3-15-10-1-l</t>
  </si>
  <si>
    <t>S3-15-10-1-s</t>
  </si>
  <si>
    <t>S3-15-10-2-l</t>
  </si>
  <si>
    <t>S3-15-10-2-s</t>
  </si>
  <si>
    <t>S3-15-10-3-l</t>
  </si>
  <si>
    <t>S3-15-10-3-s</t>
  </si>
  <si>
    <t>S3-15</t>
  </si>
  <si>
    <t>S3-5-15-1-l</t>
  </si>
  <si>
    <t>S3-5-15-1-s</t>
  </si>
  <si>
    <t>S3-5-15-2-l</t>
  </si>
  <si>
    <t>S3-5-15-2-s</t>
  </si>
  <si>
    <t>S3-5-15-3-l</t>
  </si>
  <si>
    <t>S3-5-15-3-s</t>
  </si>
  <si>
    <t>S3-10-15-1-l</t>
  </si>
  <si>
    <t>S3-10-15-1-s</t>
  </si>
  <si>
    <t>S3-10-15-2-l</t>
  </si>
  <si>
    <t>S3-10-15-2-s</t>
  </si>
  <si>
    <t>S3-10-15-3-l</t>
  </si>
  <si>
    <t>S3-10-15-3-s</t>
  </si>
  <si>
    <t>S3-15-15-1-l</t>
  </si>
  <si>
    <t>S3-15-15-1-s</t>
  </si>
  <si>
    <t>S3-15-15-2-l</t>
  </si>
  <si>
    <t>S3-15-15-2-s</t>
  </si>
  <si>
    <t>S3-15-15-3-l</t>
  </si>
  <si>
    <t>S3-15-15-3-s</t>
  </si>
  <si>
    <t>M1-5</t>
  </si>
  <si>
    <t>M1-5-5-1-l</t>
  </si>
  <si>
    <t>M1-5-5-1-s</t>
  </si>
  <si>
    <t>M1-5-5-2-l</t>
  </si>
  <si>
    <t>M1-5-5-2-s</t>
  </si>
  <si>
    <t>M1-5-5-3-l</t>
  </si>
  <si>
    <t>M1-5-5-3-s</t>
  </si>
  <si>
    <t>M1-10-5-1-l</t>
  </si>
  <si>
    <t>M1-10-5-1-s</t>
  </si>
  <si>
    <t>M1-10-5-2-l</t>
  </si>
  <si>
    <t>M1-10-5-2-s</t>
  </si>
  <si>
    <t>M1-10-5-3-l</t>
  </si>
  <si>
    <t>M1-10-5-3-s</t>
  </si>
  <si>
    <t>M1-15-5-1-l</t>
  </si>
  <si>
    <t>M1-15-5-1-s</t>
  </si>
  <si>
    <t>M1-15-5-2-l</t>
  </si>
  <si>
    <t>M1-15-5-2-s</t>
  </si>
  <si>
    <t>M1-15-5-3-l</t>
  </si>
  <si>
    <t>M1-15-5-3-s</t>
  </si>
  <si>
    <t>M1-10</t>
  </si>
  <si>
    <t>M1-5-10-1-l</t>
  </si>
  <si>
    <t>M1-5-10-1-s</t>
  </si>
  <si>
    <t>M1-5-10-2-l</t>
  </si>
  <si>
    <t>M1-5-10-2-s</t>
  </si>
  <si>
    <t>M1-5-10-3-l</t>
  </si>
  <si>
    <t>M1-5-10-3-s</t>
  </si>
  <si>
    <t>M1-10-10-1-l</t>
  </si>
  <si>
    <t>M1-10-10-1-s</t>
  </si>
  <si>
    <t>M1-10-10-2-l</t>
  </si>
  <si>
    <t>M1-10-10-2-s</t>
  </si>
  <si>
    <t>M1-10-10-3-l</t>
  </si>
  <si>
    <t>M1-10-10-3-s</t>
  </si>
  <si>
    <t>M1-15-10-1-l</t>
  </si>
  <si>
    <t>M1-15-10-1-s</t>
  </si>
  <si>
    <t>M1-15-10-2-l</t>
  </si>
  <si>
    <t>M1-15-10-2-s</t>
  </si>
  <si>
    <t>M1-15-10-3-l</t>
  </si>
  <si>
    <t>M1-15-10-3-s</t>
  </si>
  <si>
    <t>M1-15</t>
  </si>
  <si>
    <t>M1-5-15-1-l</t>
  </si>
  <si>
    <t>M1-5-15-1-s</t>
  </si>
  <si>
    <t>M1-5-15-2-l</t>
  </si>
  <si>
    <t>M1-5-15-2-s</t>
  </si>
  <si>
    <t>M1-5-15-3-l</t>
  </si>
  <si>
    <t>M1-5-15-3-s</t>
  </si>
  <si>
    <t>M1-10-15-1-l</t>
  </si>
  <si>
    <t>M1-10-15-1-s</t>
  </si>
  <si>
    <t>M1-10-15-2-l</t>
  </si>
  <si>
    <t>M1-10-15-2-s</t>
  </si>
  <si>
    <t>M1-10-15-3-l</t>
  </si>
  <si>
    <t>M1-10-15-3-s</t>
  </si>
  <si>
    <t>M1-15-15-1-l</t>
  </si>
  <si>
    <t>M1-15-15-1-s</t>
  </si>
  <si>
    <t>M1-15-15-2-l</t>
  </si>
  <si>
    <t>M1-15-15-2-s</t>
  </si>
  <si>
    <t>M1-15-15-3-l</t>
  </si>
  <si>
    <t>M1-15-15-3-s</t>
  </si>
  <si>
    <t>M2-5</t>
  </si>
  <si>
    <t>M2-5-5-1-l</t>
  </si>
  <si>
    <t>M2-5-5-1-s</t>
  </si>
  <si>
    <t>M2-5-5-2-l</t>
  </si>
  <si>
    <t>M2-5-5-2-s</t>
  </si>
  <si>
    <t>M2-5-5-3-l</t>
  </si>
  <si>
    <t>M2-5-5-3-s</t>
  </si>
  <si>
    <t>M2-10-5-1-l</t>
  </si>
  <si>
    <t>M2-10-5-1-s</t>
  </si>
  <si>
    <t>M2-10-5-2-l</t>
  </si>
  <si>
    <t>M2-10-5-2-s</t>
  </si>
  <si>
    <t>M2-10-5-3-l</t>
  </si>
  <si>
    <t>M2-10-5-3-s</t>
  </si>
  <si>
    <t>M2-15-5-1-l</t>
  </si>
  <si>
    <t>M2-15-5-1-s</t>
  </si>
  <si>
    <t>M2-15-5-2-l</t>
  </si>
  <si>
    <t>M2-15-5-2-s</t>
  </si>
  <si>
    <t>M2-15-5-3-l</t>
  </si>
  <si>
    <t>M2-15-5-3-s</t>
  </si>
  <si>
    <t>M2-10</t>
  </si>
  <si>
    <t>M2-5-10-1-l</t>
  </si>
  <si>
    <t>M2-5-10-1-s</t>
  </si>
  <si>
    <t>M2-5-10-2-l</t>
  </si>
  <si>
    <t>M2-5-10-2-s</t>
  </si>
  <si>
    <t>M2-5-10-3-l</t>
  </si>
  <si>
    <t>M2-5-10-3-s</t>
  </si>
  <si>
    <t>M2-10-10-1-l</t>
  </si>
  <si>
    <t>M2-10-10-1-s</t>
  </si>
  <si>
    <t>M2-10-10-2-l</t>
  </si>
  <si>
    <t>M2-10-10-2-s</t>
  </si>
  <si>
    <t>M2-10-10-3-l</t>
  </si>
  <si>
    <t>M2-10-10-3-s</t>
  </si>
  <si>
    <t>M2-15-10-1-l</t>
  </si>
  <si>
    <t>M2-15-10-1-s</t>
  </si>
  <si>
    <t>M2-15-10-2-l</t>
  </si>
  <si>
    <t>M2-15-10-2-s</t>
  </si>
  <si>
    <t>M2-15-10-3-l</t>
  </si>
  <si>
    <t>M2-15-10-3-s</t>
  </si>
  <si>
    <t>M2-15</t>
  </si>
  <si>
    <t>M2-5-15-1-l</t>
  </si>
  <si>
    <t>M2-5-15-1-s</t>
  </si>
  <si>
    <t>M2-5-15-2-l</t>
  </si>
  <si>
    <t>M2-5-15-2-s</t>
  </si>
  <si>
    <t>M2-5-15-3-l</t>
  </si>
  <si>
    <t>M2-5-15-3-s</t>
  </si>
  <si>
    <t>M2-10-15-1-l</t>
  </si>
  <si>
    <t>M2-10-15-1-s</t>
  </si>
  <si>
    <t>M2-10-15-2-l</t>
  </si>
  <si>
    <t>M2-10-15-2-s</t>
  </si>
  <si>
    <t>M2-10-15-3-l</t>
  </si>
  <si>
    <t>M2-10-15-3-s</t>
  </si>
  <si>
    <t>M2-15-15-1-l</t>
  </si>
  <si>
    <t>M2-15-15-1-s</t>
  </si>
  <si>
    <t>M2-15-15-2-l</t>
  </si>
  <si>
    <t>M2-15-15-2-s</t>
  </si>
  <si>
    <t>M2-15-15-3-l</t>
  </si>
  <si>
    <t>M2-15-15-3-s</t>
  </si>
  <si>
    <t>L-5</t>
  </si>
  <si>
    <t>L-5-5-1-l</t>
  </si>
  <si>
    <t>L-5-5-1-s</t>
  </si>
  <si>
    <t>L-5-5-2-l</t>
  </si>
  <si>
    <t>L-5-5-2-s</t>
  </si>
  <si>
    <t>L-5-5-3-l</t>
  </si>
  <si>
    <t>L-5-5-3-s</t>
  </si>
  <si>
    <t>L-10-5-1-l</t>
  </si>
  <si>
    <t>L-10-5-1-s</t>
  </si>
  <si>
    <t>L-10-5-2-l</t>
  </si>
  <si>
    <t>L-10-5-2-s</t>
  </si>
  <si>
    <t>L-10-5-3-l</t>
  </si>
  <si>
    <t>L-10-5-3-s</t>
  </si>
  <si>
    <t>L-15-5-1-l</t>
  </si>
  <si>
    <t>L-15-5-1-s</t>
  </si>
  <si>
    <t>L-15-5-2-l</t>
  </si>
  <si>
    <t>L-15-5-2-s</t>
  </si>
  <si>
    <t>L-15-5-3-l</t>
  </si>
  <si>
    <t>L-15-5-3-s</t>
  </si>
  <si>
    <t>L-10</t>
  </si>
  <si>
    <t>L-5-10-1-l</t>
  </si>
  <si>
    <t>L-5-10-1-s</t>
  </si>
  <si>
    <t>L-5-10-2-l</t>
  </si>
  <si>
    <t>L-5-10-2-s</t>
  </si>
  <si>
    <t>L-5-10-3-l</t>
  </si>
  <si>
    <t>L-5-10-3-s</t>
  </si>
  <si>
    <t>L-10-10-1-l</t>
  </si>
  <si>
    <t>L-10-10-1-s</t>
  </si>
  <si>
    <t>L-10-10-2-l</t>
  </si>
  <si>
    <t>L-10-10-2-s</t>
  </si>
  <si>
    <t>L-10-10-3-l</t>
  </si>
  <si>
    <t>L-10-10-3-s</t>
  </si>
  <si>
    <t>L-15-10-1-l</t>
  </si>
  <si>
    <t>L-15-10-1-s</t>
  </si>
  <si>
    <t>L-15-10-2-l</t>
  </si>
  <si>
    <t>L-15-10-2-s</t>
  </si>
  <si>
    <t>L-15-10-3-l</t>
  </si>
  <si>
    <t>L-15-10-3-s</t>
  </si>
  <si>
    <t>L-15</t>
  </si>
  <si>
    <t>L-5-15-1-l</t>
  </si>
  <si>
    <t>L-5-15-1-s</t>
  </si>
  <si>
    <t>L-5-15-2-l</t>
  </si>
  <si>
    <t>L-5-15-2-s</t>
  </si>
  <si>
    <t>L-5-15-3-l</t>
  </si>
  <si>
    <t>L-5-15-3-s</t>
  </si>
  <si>
    <t>L-10-15-1-l</t>
  </si>
  <si>
    <t>L-10-15-1-s</t>
  </si>
  <si>
    <t>L-10-15-2-l</t>
  </si>
  <si>
    <t>L-10-15-2-s</t>
  </si>
  <si>
    <t>L-10-15-3-l</t>
  </si>
  <si>
    <t>L-10-15-3-s</t>
  </si>
  <si>
    <t>L-15-15-1-l</t>
  </si>
  <si>
    <t>L-15-15-1-s</t>
  </si>
  <si>
    <t>L-15-15-2-l</t>
  </si>
  <si>
    <t>L-15-15-2-s</t>
  </si>
  <si>
    <t>L-15-15-3-l</t>
  </si>
  <si>
    <t>L-15-15-3-s</t>
  </si>
  <si>
    <t>XL-15</t>
  </si>
  <si>
    <t>Médias</t>
  </si>
  <si>
    <t>S2-10-5-2-l</t>
  </si>
  <si>
    <t>XL-15k-10-10-s</t>
  </si>
  <si>
    <t>XL-10</t>
  </si>
  <si>
    <t>XL-20</t>
  </si>
  <si>
    <t>XL-30</t>
  </si>
  <si>
    <t>XL-40</t>
  </si>
  <si>
    <t>XL-50</t>
  </si>
  <si>
    <t>XL-5</t>
  </si>
  <si>
    <t>XL-15k-10-20-s</t>
  </si>
  <si>
    <t>XL-15k-10-30-s</t>
  </si>
  <si>
    <t>XL-15k-10-40-s</t>
  </si>
  <si>
    <t>XL-15k-10-50-s</t>
  </si>
  <si>
    <t>XL-20k-10-10-s</t>
  </si>
  <si>
    <t>XL-20k-10-20-s</t>
  </si>
  <si>
    <t>XL-20k-10-30-s</t>
  </si>
  <si>
    <t>XL-20k-10-40-s</t>
  </si>
  <si>
    <t>XL-20k-10-50-s</t>
  </si>
  <si>
    <t>XL-40k-10-5-s</t>
  </si>
  <si>
    <t>XL-40k-10-10-s</t>
  </si>
  <si>
    <t>XL-40k-10-15-s</t>
  </si>
  <si>
    <t>XL-40k-10-40-s</t>
  </si>
  <si>
    <t>XL-50k-15-15-l</t>
  </si>
  <si>
    <t>XL-100k-15-15-l</t>
  </si>
  <si>
    <t>Objetive value Similarity</t>
  </si>
  <si>
    <t>Objetive value Dissimilarity</t>
  </si>
  <si>
    <t>EST-15000</t>
  </si>
  <si>
    <t>EST-5000</t>
  </si>
  <si>
    <t>S1-5-5-1-l-CAN</t>
  </si>
  <si>
    <t>S1-5-5-1-s-CAN</t>
  </si>
  <si>
    <t>S1-5-5-2-l-CAN</t>
  </si>
  <si>
    <t>S1-5-5-2-s-CAN</t>
  </si>
  <si>
    <t>S1-5-5-3-l-CAN</t>
  </si>
  <si>
    <t>S1-5-5-3-s-CAN</t>
  </si>
  <si>
    <t>S1-10-5-1-l-CAN</t>
  </si>
  <si>
    <t>S1-10-5-1-s-CAN</t>
  </si>
  <si>
    <t>S1-10-5-2-l-CAN</t>
  </si>
  <si>
    <t>S1-10-5-2-s-CAN</t>
  </si>
  <si>
    <t>S1-10-5-3-l-CAN</t>
  </si>
  <si>
    <t>S1-10-5-3-s-CAN</t>
  </si>
  <si>
    <t>S1-15-5-1-l-CAN</t>
  </si>
  <si>
    <t>S1-15-5-1-s-CAN</t>
  </si>
  <si>
    <t>S1-15-5-2-l-CAN</t>
  </si>
  <si>
    <t>S1-15-5-2-s-CAN</t>
  </si>
  <si>
    <t>S1-15-5-3-l-CAN</t>
  </si>
  <si>
    <t>S1-15-5-3-s-CAN</t>
  </si>
  <si>
    <t>S1-5-10-1-l-CAN</t>
  </si>
  <si>
    <t>S1-5-10-1-s-CAN</t>
  </si>
  <si>
    <t>S1-5-10-2-l-CAN</t>
  </si>
  <si>
    <t>S1-5-10-2-s-CAN</t>
  </si>
  <si>
    <t>S1-5-10-3-l-CAN</t>
  </si>
  <si>
    <t>S1-5-10-3-s-CAN</t>
  </si>
  <si>
    <t>S1-10-10-1-l-CAN</t>
  </si>
  <si>
    <t>S1-10-10-1-s-CAN</t>
  </si>
  <si>
    <t>S1-10-10-2-l-CAN</t>
  </si>
  <si>
    <t>S1-10-10-2-s-CAN</t>
  </si>
  <si>
    <t>S1-10-10-3-l-CAN</t>
  </si>
  <si>
    <t>S1-10-10-3-s-CAN</t>
  </si>
  <si>
    <t>S1-15-10-1-l-CAN</t>
  </si>
  <si>
    <t>S1-15-10-1-s-CAN</t>
  </si>
  <si>
    <t>S1-15-10-2-l-CAN</t>
  </si>
  <si>
    <t>S1-15-10-2-s-CAN</t>
  </si>
  <si>
    <t>S1-15-10-3-l-CAN</t>
  </si>
  <si>
    <t>S1-15-10-3-s-CAN</t>
  </si>
  <si>
    <t>S1-5-15-1-l-CAN</t>
  </si>
  <si>
    <t>S1-5-15-1-s-CAN</t>
  </si>
  <si>
    <t>S1-5-15-2-l-CAN</t>
  </si>
  <si>
    <t>S1-5-15-2-s-CAN</t>
  </si>
  <si>
    <t>S1-5-15-3-l-CAN</t>
  </si>
  <si>
    <t>S1-5-15-3-s-CAN</t>
  </si>
  <si>
    <t>S1-10-15-1-l-CAN</t>
  </si>
  <si>
    <t>S1-10-15-1-s-CAN</t>
  </si>
  <si>
    <t>S1-10-15-2-l-CAN</t>
  </si>
  <si>
    <t>S1-10-15-2-s-CAN</t>
  </si>
  <si>
    <t>S1-10-15-3-l-CAN</t>
  </si>
  <si>
    <t>S1-10-15-3-s-CAN</t>
  </si>
  <si>
    <t>S1-15-15-1-l-CAN</t>
  </si>
  <si>
    <t>S1-15-15-1-s-CAN</t>
  </si>
  <si>
    <t>S1-15-15-2-l-CAN</t>
  </si>
  <si>
    <t>S1-15-15-2-s-CAN</t>
  </si>
  <si>
    <t>S1-15-15-3-l-CAN</t>
  </si>
  <si>
    <t>S1-15-15-3-s-CAN</t>
  </si>
  <si>
    <t>S2-5-5-1-l-CAN</t>
  </si>
  <si>
    <t>S2-5-5-1-s-CAN</t>
  </si>
  <si>
    <t>S2-5-5-2-l-CAN</t>
  </si>
  <si>
    <t>S2-5-5-2-s-CAN</t>
  </si>
  <si>
    <t>S2-5-5-3-l-CAN</t>
  </si>
  <si>
    <t>S2-5-5-3-s-CAN</t>
  </si>
  <si>
    <t>S2-10-5-1-l-CAN</t>
  </si>
  <si>
    <t>S2-10-5-1-s-CAN</t>
  </si>
  <si>
    <t>S2-10-5-2-l-CAN</t>
  </si>
  <si>
    <t>S2-10-5-2-s-CAN</t>
  </si>
  <si>
    <t>S2-10-5-3-l-CAN</t>
  </si>
  <si>
    <t>S2-10-5-3-s-CAN</t>
  </si>
  <si>
    <t>S2-15-5-1-l-CAN</t>
  </si>
  <si>
    <t>S2-15-5-1-s-CAN</t>
  </si>
  <si>
    <t>S2-15-5-2-l-CAN</t>
  </si>
  <si>
    <t>S2-15-5-2-s-CAN</t>
  </si>
  <si>
    <t>S2-15-5-3-l-CAN</t>
  </si>
  <si>
    <t>S2-15-5-3-s-CAN</t>
  </si>
  <si>
    <t>S2-5-10-1-l-CAN</t>
  </si>
  <si>
    <t>S2-5-10-1-s-CAN</t>
  </si>
  <si>
    <t>S2-5-10-2-l-CAN</t>
  </si>
  <si>
    <t>S2-5-10-2-s-CAN</t>
  </si>
  <si>
    <t>S2-5-10-3-l-CAN</t>
  </si>
  <si>
    <t>S2-5-10-3-s-CAN</t>
  </si>
  <si>
    <t>S2-10-10-1-l-CAN</t>
  </si>
  <si>
    <t>S2-10-10-1-s-CAN</t>
  </si>
  <si>
    <t>S2-10-10-2-l-CAN</t>
  </si>
  <si>
    <t>S2-10-10-2-s-CAN</t>
  </si>
  <si>
    <t>S2-10-10-3-l-CAN</t>
  </si>
  <si>
    <t>S2-10-10-3-s-CAN</t>
  </si>
  <si>
    <t>S2-15-10-1-l-CAN</t>
  </si>
  <si>
    <t>S2-15-10-1-s-CAN</t>
  </si>
  <si>
    <t>S2-15-10-2-l-CAN</t>
  </si>
  <si>
    <t>S2-15-10-2-s-CAN</t>
  </si>
  <si>
    <t>S2-15-10-3-l-CAN</t>
  </si>
  <si>
    <t>S2-15-10-3-s-CAN</t>
  </si>
  <si>
    <t>S2-5-15-1-l-CAN</t>
  </si>
  <si>
    <t>S2-5-15-1-s-CAN</t>
  </si>
  <si>
    <t>S2-5-15-2-l-CAN</t>
  </si>
  <si>
    <t>S2-5-15-2-s-CAN</t>
  </si>
  <si>
    <t>S2-5-15-3-l-CAN</t>
  </si>
  <si>
    <t>S2-5-15-3-s-CAN</t>
  </si>
  <si>
    <t>S2-10-15-1-l-CAN</t>
  </si>
  <si>
    <t>S2-10-15-1-s-CAN</t>
  </si>
  <si>
    <t>S2-10-15-2-l-CAN</t>
  </si>
  <si>
    <t>S2-10-15-2-s-CAN</t>
  </si>
  <si>
    <t>S2-10-15-3-l-CAN</t>
  </si>
  <si>
    <t>S2-10-15-3-s-CAN</t>
  </si>
  <si>
    <t>S2-15-15-1-l-CAN</t>
  </si>
  <si>
    <t>S2-15-15-1-s-CAN</t>
  </si>
  <si>
    <t>S2-15-15-2-l-CAN</t>
  </si>
  <si>
    <t>S2-15-15-2-s-CAN</t>
  </si>
  <si>
    <t>S2-15-15-3-l-CAN</t>
  </si>
  <si>
    <t>S2-15-15-3-s-CAN</t>
  </si>
  <si>
    <t>S3-5-5-1-l-CAN</t>
  </si>
  <si>
    <t>S3-5-5-1-s-CAN</t>
  </si>
  <si>
    <t>S3-5-5-2-l-CAN</t>
  </si>
  <si>
    <t>S3-5-5-2-s-CAN</t>
  </si>
  <si>
    <t>S3-5-5-3-l-CAN</t>
  </si>
  <si>
    <t>S3-5-5-3-s-CAN</t>
  </si>
  <si>
    <t>S3-10-5-1-l-CAN</t>
  </si>
  <si>
    <t>S3-10-5-1-s-CAN</t>
  </si>
  <si>
    <t>S3-10-5-2-l-CAN</t>
  </si>
  <si>
    <t>S3-10-5-2-s-CAN</t>
  </si>
  <si>
    <t>S3-10-5-3-l-CAN</t>
  </si>
  <si>
    <t>S3-10-5-3-s-CAN</t>
  </si>
  <si>
    <t>S3-15-5-1-l-CAN</t>
  </si>
  <si>
    <t>S3-15-5-1-s-CAN</t>
  </si>
  <si>
    <t>S3-15-5-2-l-CAN</t>
  </si>
  <si>
    <t>S3-15-5-2-s-CAN</t>
  </si>
  <si>
    <t>S3-15-5-3-l-CAN</t>
  </si>
  <si>
    <t>S3-15-5-3-s-CAN</t>
  </si>
  <si>
    <t>S3-5-10-1-l-CAN</t>
  </si>
  <si>
    <t>S3-5-10-1-s-CAN</t>
  </si>
  <si>
    <t>S3-5-10-2-l-CAN</t>
  </si>
  <si>
    <t>S3-5-10-2-s-CAN</t>
  </si>
  <si>
    <t>S3-5-10-3-l-CAN</t>
  </si>
  <si>
    <t>S3-5-10-3-s-CAN</t>
  </si>
  <si>
    <t>S3-10-10-1-l-CAN</t>
  </si>
  <si>
    <t>S3-10-10-1-s-CAN</t>
  </si>
  <si>
    <t>S3-10-10-2-l-CAN</t>
  </si>
  <si>
    <t>S3-10-10-2-s-CAN</t>
  </si>
  <si>
    <t>S3-10-10-3-l-CAN</t>
  </si>
  <si>
    <t>S3-10-10-3-s-CAN</t>
  </si>
  <si>
    <t>S3-15-10-1-l-CAN</t>
  </si>
  <si>
    <t>S3-15-10-1-s-CAN</t>
  </si>
  <si>
    <t>S3-15-10-2-l-CAN</t>
  </si>
  <si>
    <t>S3-15-10-3-l-CAN</t>
  </si>
  <si>
    <t>S3-15-10-3-s-CAN</t>
  </si>
  <si>
    <t>S3-5-15-1-l-CAN</t>
  </si>
  <si>
    <t>S3-5-15-1-s-CAN</t>
  </si>
  <si>
    <t>S3-5-15-2-l-CAN</t>
  </si>
  <si>
    <t>S3-5-15-2-s-CAN</t>
  </si>
  <si>
    <t>S3-5-15-3-l-CAN</t>
  </si>
  <si>
    <t>S3-5-15-3-s-CAN</t>
  </si>
  <si>
    <t>S3-10-15-1-l-CAN</t>
  </si>
  <si>
    <t>S3-10-15-1-s-CAN</t>
  </si>
  <si>
    <t>S3-10-15-2-l-CAN</t>
  </si>
  <si>
    <t>S3-10-15-2-s-CAN</t>
  </si>
  <si>
    <t>S3-10-15-3-l-CAN</t>
  </si>
  <si>
    <t>S3-10-15-3-s-CAN</t>
  </si>
  <si>
    <t>S3-15-15-1-l-CAN</t>
  </si>
  <si>
    <t>S3-15-15-1-s-CAN</t>
  </si>
  <si>
    <t>S3-15-15-2-l-CAN</t>
  </si>
  <si>
    <t>S3-15-15-2-s-CAN</t>
  </si>
  <si>
    <t>S3-15-15-3-l-CAN</t>
  </si>
  <si>
    <t>S3-15-15-3-s-CAN</t>
  </si>
  <si>
    <t>M1-5-5-1-l-CAN</t>
  </si>
  <si>
    <t>M1-5-5-1-s-CAN</t>
  </si>
  <si>
    <t>M1-5-5-2-l-CAN</t>
  </si>
  <si>
    <t>M1-5-5-2-s-CAN</t>
  </si>
  <si>
    <t>M1-5-5-3-l-CAN</t>
  </si>
  <si>
    <t>M1-5-5-3-s-CAN</t>
  </si>
  <si>
    <t>M1-10-5-1-l-CAN</t>
  </si>
  <si>
    <t>M1-10-5-1-s-CAN</t>
  </si>
  <si>
    <t>M1-10-5-2-l-CAN</t>
  </si>
  <si>
    <t>M1-10-5-2-s-CAN</t>
  </si>
  <si>
    <t>M1-10-5-3-l-CAN</t>
  </si>
  <si>
    <t>M1-10-5-3-s-CAN</t>
  </si>
  <si>
    <t>M1-15-5-1-l-CAN</t>
  </si>
  <si>
    <t>M1-15-5-1-s-CAN</t>
  </si>
  <si>
    <t>M1-15-5-2-l-CAN</t>
  </si>
  <si>
    <t>M1-15-5-2-s-CAN</t>
  </si>
  <si>
    <t>M1-15-5-3-l-CAN</t>
  </si>
  <si>
    <t>M1-15-5-3-s-CAN</t>
  </si>
  <si>
    <t>M1-5-10-1-l-CAN</t>
  </si>
  <si>
    <t>M1-5-10-1-s-CAN</t>
  </si>
  <si>
    <t>M1-5-10-2-l-CAN</t>
  </si>
  <si>
    <t>M1-5-10-2-s-CAN</t>
  </si>
  <si>
    <t>M1-5-10-3-l-CAN</t>
  </si>
  <si>
    <t>M1-5-10-3-s-CAN</t>
  </si>
  <si>
    <t>M1-10-10-1-l-CAN</t>
  </si>
  <si>
    <t>M1-10-10-1-s-CAN</t>
  </si>
  <si>
    <t>M1-10-10-2-l-CAN</t>
  </si>
  <si>
    <t>M1-10-10-2-s-CAN</t>
  </si>
  <si>
    <t>M1-10-10-3-l-CAN</t>
  </si>
  <si>
    <t>M1-10-10-3-s-CAN</t>
  </si>
  <si>
    <t>M1-15-10-1-l-CAN</t>
  </si>
  <si>
    <t>M1-15-10-1-s-CAN</t>
  </si>
  <si>
    <t>M1-15-10-2-l-CAN</t>
  </si>
  <si>
    <t>M1-15-10-2-s-CAN</t>
  </si>
  <si>
    <t>M1-15-10-3-l-CAN</t>
  </si>
  <si>
    <t>M1-15-10-3-s-CAN</t>
  </si>
  <si>
    <t>M1-5-15-1-l-CAN</t>
  </si>
  <si>
    <t>M1-5-15-1-s-CAN</t>
  </si>
  <si>
    <t>M1-5-15-2-l-CAN</t>
  </si>
  <si>
    <t>M1-5-15-2-s-CAN</t>
  </si>
  <si>
    <t>M1-5-15-3-l-CAN</t>
  </si>
  <si>
    <t>M1-5-15-3-s-CAN</t>
  </si>
  <si>
    <t>M1-10-15-1-l-CAN</t>
  </si>
  <si>
    <t>M1-10-15-1-s-CAN</t>
  </si>
  <si>
    <t>M1-10-15-2-l-CAN</t>
  </si>
  <si>
    <t>M1-10-15-2-s-CAN</t>
  </si>
  <si>
    <t>M1-10-15-3-l-CAN</t>
  </si>
  <si>
    <t>M1-10-15-3-s-CAN</t>
  </si>
  <si>
    <t>M1-15-15-1-l-CAN</t>
  </si>
  <si>
    <t>M1-15-15-1-s-CAN</t>
  </si>
  <si>
    <t>M1-15-15-2-l-CAN</t>
  </si>
  <si>
    <t>M1-15-15-2-s-CAN</t>
  </si>
  <si>
    <t>M1-15-15-3-l-CAN</t>
  </si>
  <si>
    <t>M1-15-15-3-s-CAN</t>
  </si>
  <si>
    <t>M2-5-5-1-l-CAN</t>
  </si>
  <si>
    <t>M2-5-5-1-s-CAN</t>
  </si>
  <si>
    <t>M2-5-5-2-l-CAN</t>
  </si>
  <si>
    <t>M2-5-5-2-s-CAN</t>
  </si>
  <si>
    <t>M2-5-5-3-l-CAN</t>
  </si>
  <si>
    <t>M2-5-5-3-s-CAN</t>
  </si>
  <si>
    <t>M2-10-5-1-l-CAN</t>
  </si>
  <si>
    <t>M2-10-5-1-s-CAN</t>
  </si>
  <si>
    <t>M2-10-5-2-l-CAN</t>
  </si>
  <si>
    <t>M2-10-5-2-s-CAN</t>
  </si>
  <si>
    <t>M2-10-5-3-l-CAN</t>
  </si>
  <si>
    <t>M2-10-5-3-s-CAN</t>
  </si>
  <si>
    <t>M2-15-5-1-l-CAN</t>
  </si>
  <si>
    <t>M2-15-5-1-s-CAN</t>
  </si>
  <si>
    <t>M2-15-5-2-l-CAN</t>
  </si>
  <si>
    <t>M2-15-5-2-s-CAN</t>
  </si>
  <si>
    <t>M2-15-5-3-l-CAN</t>
  </si>
  <si>
    <t>M2-15-5-3-s-CAN</t>
  </si>
  <si>
    <t>M2-5-10-1-l-CAN</t>
  </si>
  <si>
    <t>M2-5-10-1-s-CAN</t>
  </si>
  <si>
    <t>M2-5-10-2-l-CAN</t>
  </si>
  <si>
    <t>M2-5-10-2-s-CAN</t>
  </si>
  <si>
    <t>M2-5-10-3-l-CAN</t>
  </si>
  <si>
    <t>M2-5-10-3-s-CAN</t>
  </si>
  <si>
    <t>M2-10-10-1-l-CAN</t>
  </si>
  <si>
    <t>M2-10-10-1-s-CAN</t>
  </si>
  <si>
    <t>M2-10-10-2-l-CAN</t>
  </si>
  <si>
    <t>M2-10-10-2-s-CAN</t>
  </si>
  <si>
    <t>M2-10-10-3-l-CAN</t>
  </si>
  <si>
    <t>M2-10-10-3-s-CAN</t>
  </si>
  <si>
    <t>M2-15-10-1-l-CAN</t>
  </si>
  <si>
    <t>M2-15-10-1-s-CAN</t>
  </si>
  <si>
    <t>M2-15-10-2-l-CAN</t>
  </si>
  <si>
    <t>M2-15-10-2-s-CAN</t>
  </si>
  <si>
    <t>M2-15-10-3-l-CAN</t>
  </si>
  <si>
    <t>M2-15-10-3-s-CAN</t>
  </si>
  <si>
    <t>M2-5-15-1-l-CAN</t>
  </si>
  <si>
    <t>M2-5-15-1-s-CAN</t>
  </si>
  <si>
    <t>M2-5-15-2-l-CAN</t>
  </si>
  <si>
    <t>M2-5-15-2-s-CAN</t>
  </si>
  <si>
    <t>M2-5-15-3-l-CAN</t>
  </si>
  <si>
    <t>M2-5-15-3-s-CAN</t>
  </si>
  <si>
    <t>M2-10-15-1-l-CAN</t>
  </si>
  <si>
    <t>M2-10-15-1-s-CAN</t>
  </si>
  <si>
    <t>M2-10-15-2-l-CAN</t>
  </si>
  <si>
    <t>M2-10-15-2-s-CAN</t>
  </si>
  <si>
    <t>M2-10-15-3-l-CAN</t>
  </si>
  <si>
    <t>M2-10-15-3-s-CAN</t>
  </si>
  <si>
    <t>M2-15-15-1-l-CAN</t>
  </si>
  <si>
    <t>M2-15-15-1-s-CAN</t>
  </si>
  <si>
    <t>M2-15-15-2-l-CAN</t>
  </si>
  <si>
    <t>M2-15-15-2-s-CAN</t>
  </si>
  <si>
    <t>M2-15-15-3-l-CAN</t>
  </si>
  <si>
    <t>M2-15-15-3-s-CAN</t>
  </si>
  <si>
    <t>L-5-5-1-l-CAN</t>
  </si>
  <si>
    <t>L-5-5-1-s-CAN</t>
  </si>
  <si>
    <t>L-5-5-2-l-CAN</t>
  </si>
  <si>
    <t>L-5-5-2-s-CAN</t>
  </si>
  <si>
    <t>L-5-5-3-l-CAN</t>
  </si>
  <si>
    <t>L-5-5-3-s-CAN</t>
  </si>
  <si>
    <t>L-10-5-1-l-CAN</t>
  </si>
  <si>
    <t>L-10-5-1-s-CAN</t>
  </si>
  <si>
    <t>L-10-5-2-l-CAN</t>
  </si>
  <si>
    <t>L-10-5-2-s-CAN</t>
  </si>
  <si>
    <t>L-10-5-3-l-CAN</t>
  </si>
  <si>
    <t>L-10-5-3-s-CAN</t>
  </si>
  <si>
    <t>L-15-5-1-l-CAN</t>
  </si>
  <si>
    <t>L-15-5-1-s-CAN</t>
  </si>
  <si>
    <t>L-15-5-2-l-CAN</t>
  </si>
  <si>
    <t>L-15-5-2-s-CAN</t>
  </si>
  <si>
    <t>L-15-5-3-l-CAN</t>
  </si>
  <si>
    <t>L-15-5-3-s-CAN</t>
  </si>
  <si>
    <t>L-5-10-1-l-CAN</t>
  </si>
  <si>
    <t>L-5-10-1-s-CAN</t>
  </si>
  <si>
    <t>L-5-10-2-l-CAN</t>
  </si>
  <si>
    <t>L-5-10-2-s-CAN</t>
  </si>
  <si>
    <t>L-5-10-3-l-CAN</t>
  </si>
  <si>
    <t>L-5-10-3-s-CAN</t>
  </si>
  <si>
    <t>L-10-10-1-l-CAN</t>
  </si>
  <si>
    <t>L-10-10-1-s-CAN</t>
  </si>
  <si>
    <t>L-10-10-2-l-CAN</t>
  </si>
  <si>
    <t>L-10-10-2-s-CAN</t>
  </si>
  <si>
    <t>L-10-10-3-l-CAN</t>
  </si>
  <si>
    <t>L-10-10-3-s-CAN</t>
  </si>
  <si>
    <t>L-15-10-1-l-CAN</t>
  </si>
  <si>
    <t>L-15-10-1-s-CAN</t>
  </si>
  <si>
    <t>L-15-10-2-l-CAN</t>
  </si>
  <si>
    <t>L-15-10-2-s-CAN</t>
  </si>
  <si>
    <t>L-15-10-3-l-CAN</t>
  </si>
  <si>
    <t>L-15-10-3-s-CAN</t>
  </si>
  <si>
    <t>L-5-15-1-l-CAN</t>
  </si>
  <si>
    <t>L-5-15-1-s-CAN</t>
  </si>
  <si>
    <t>L-5-15-2-l-CAN</t>
  </si>
  <si>
    <t>L-5-15-2-s-CAN</t>
  </si>
  <si>
    <t>L-5-15-3-l-CAN</t>
  </si>
  <si>
    <t>L-5-15-3-s-CAN</t>
  </si>
  <si>
    <t>L-10-15-1-l-CAN</t>
  </si>
  <si>
    <t>L-10-15-1-s-CAN</t>
  </si>
  <si>
    <t>L-10-15-2-l-CAN</t>
  </si>
  <si>
    <t>L-10-15-2-s-CAN</t>
  </si>
  <si>
    <t>L-10-15-3-l-CAN</t>
  </si>
  <si>
    <t>L-10-15-3-s-CAN</t>
  </si>
  <si>
    <t>L-15-15-1-l-CAN</t>
  </si>
  <si>
    <t>L-15-15-1-s-CAN</t>
  </si>
  <si>
    <t>L-15-15-2-l-CAN</t>
  </si>
  <si>
    <t>L-15-15-2-s-CAN</t>
  </si>
  <si>
    <t>L-15-15-3-l-CAN</t>
  </si>
  <si>
    <t>L-15-15-3-s-CAN</t>
  </si>
  <si>
    <t>S1-5-5-1-l-SIMILARIDADE</t>
  </si>
  <si>
    <t>S1-5-5-1-s-SIMILARIDADE</t>
  </si>
  <si>
    <t>S1-5-5-2-l-SIMILARIDADE</t>
  </si>
  <si>
    <t>S1-5-5-2-s-SIMILARIDADE</t>
  </si>
  <si>
    <t>S1-5-5-3-l-SIMILARIDADE</t>
  </si>
  <si>
    <t>S1-5-5-3-s-SIMILARIDADE</t>
  </si>
  <si>
    <t>S1-10-5-1-l-SIMILARIDADE</t>
  </si>
  <si>
    <t>S1-10-5-1-s-SIMILARIDADE</t>
  </si>
  <si>
    <t>S1-10-5-2-l-SIMILARIDADE</t>
  </si>
  <si>
    <t>S1-10-5-2-s-SIMILARIDADE</t>
  </si>
  <si>
    <t>S1-10-5-3-l-SIMILARIDADE</t>
  </si>
  <si>
    <t>S1-10-5-3-s-SIMILARIDADE</t>
  </si>
  <si>
    <t>S1-15-5-1-l-SIMILARIDADE</t>
  </si>
  <si>
    <t>S1-15-5-1-s-SIMILARIDADE</t>
  </si>
  <si>
    <t>S1-15-5-2-l-SIMILARIDADE</t>
  </si>
  <si>
    <t>S1-15-5-2-s-SIMILARIDADE</t>
  </si>
  <si>
    <t>S1-15-5-3-l-SIMILARIDADE</t>
  </si>
  <si>
    <t>S1-15-5-3-s-SIMILARIDADE</t>
  </si>
  <si>
    <t>S1-5-10-1-l-SIMILARIDADE</t>
  </si>
  <si>
    <t>S1-5-10-1-s-SIMILARIDADE</t>
  </si>
  <si>
    <t>S1-5-10-2-l-SIMILARIDADE</t>
  </si>
  <si>
    <t>S1-5-10-2-s-SIMILARIDADE</t>
  </si>
  <si>
    <t>S1-5-10-3-l-SIMILARIDADE</t>
  </si>
  <si>
    <t>S1-5-10-3-s-SIMILARIDADE</t>
  </si>
  <si>
    <t>S1-10-10-1-l-SIMILARIDADE</t>
  </si>
  <si>
    <t>S1-10-10-1-s-SIMILARIDADE</t>
  </si>
  <si>
    <t>S1-10-10-2-l-SIMILARIDADE</t>
  </si>
  <si>
    <t>S1-10-10-2-s-SIMILARIDADE</t>
  </si>
  <si>
    <t>S1-10-10-3-l-SIMILARIDADE</t>
  </si>
  <si>
    <t>S1-10-10-3-s-SIMILARIDADE</t>
  </si>
  <si>
    <t>S1-15-10-1-l-SIMILARIDADE</t>
  </si>
  <si>
    <t>S1-15-10-1-s-SIMILARIDADE</t>
  </si>
  <si>
    <t>S1-15-10-2-l-SIMILARIDADE</t>
  </si>
  <si>
    <t>S1-15-10-2-s-SIMILARIDADE</t>
  </si>
  <si>
    <t>S1-15-10-3-l-SIMILARIDADE</t>
  </si>
  <si>
    <t>S1-15-10-3-s-SIMILARIDADE</t>
  </si>
  <si>
    <t>S1-5-15-1-l-SIMILARIDADE</t>
  </si>
  <si>
    <t>S1-5-15-1-s-SIMILARIDADE</t>
  </si>
  <si>
    <t>S1-5-15-2-l-SIMILARIDADE</t>
  </si>
  <si>
    <t>S1-5-15-2-s-SIMILARIDADE</t>
  </si>
  <si>
    <t>S1-5-15-3-l-SIMILARIDADE</t>
  </si>
  <si>
    <t>S1-5-15-3-s-SIMILARIDADE</t>
  </si>
  <si>
    <t>S1-10-15-1-l-SIMILARIDADE</t>
  </si>
  <si>
    <t>S1-10-15-1-s-SIMILARIDADE</t>
  </si>
  <si>
    <t>S1-10-15-2-l-SIMILARIDADE</t>
  </si>
  <si>
    <t>S1-10-15-2-s-SIMILARIDADE</t>
  </si>
  <si>
    <t>S1-10-15-3-l-SIMILARIDADE</t>
  </si>
  <si>
    <t>S1-10-15-3-s-SIMILARIDADE</t>
  </si>
  <si>
    <t>S1-15-15-1-l-SIMILARIDADE</t>
  </si>
  <si>
    <t>S1-15-15-1-s-SIMILARIDADE</t>
  </si>
  <si>
    <t>S1-15-15-2-l-SIMILARIDADE</t>
  </si>
  <si>
    <t>S1-15-15-2-s-SIMILARIDADE</t>
  </si>
  <si>
    <t>S1-15-15-3-l-SIMILARIDADE</t>
  </si>
  <si>
    <t>S1-15-15-3-s-SIMILARIDADE</t>
  </si>
  <si>
    <t>S2-5-5-1-l-SIMILARIDADE</t>
  </si>
  <si>
    <t>S2-5-5-1-s-SIMILARIDADE</t>
  </si>
  <si>
    <t>S2-5-5-2-l-SIMILARIDADE</t>
  </si>
  <si>
    <t>S2-5-5-2-s-SIMILARIDADE</t>
  </si>
  <si>
    <t>S2-5-5-3-l-SIMILARIDADE</t>
  </si>
  <si>
    <t>S2-5-5-3-s-SIMILARIDADE</t>
  </si>
  <si>
    <t>S2-10-5-1-l-SIMILARIDADE</t>
  </si>
  <si>
    <t>S2-10-5-1-s-SIMILARIDADE</t>
  </si>
  <si>
    <t>S2-10-5-2-l-SIMILARIDADE</t>
  </si>
  <si>
    <t>S2-10-5-2-s-SIMILARIDADE</t>
  </si>
  <si>
    <t>S2-10-5-3-l-SIMILARIDADE</t>
  </si>
  <si>
    <t>S2-10-5-3-s-SIMILARIDADE</t>
  </si>
  <si>
    <t>S2-15-5-1-l-SIMILARIDADE</t>
  </si>
  <si>
    <t>S2-15-5-1-s-SIMILARIDADE</t>
  </si>
  <si>
    <t>S2-15-5-2-l-SIMILARIDADE</t>
  </si>
  <si>
    <t>S2-15-5-2-s-SIMILARIDADE</t>
  </si>
  <si>
    <t>S2-15-5-3-l-SIMILARIDADE</t>
  </si>
  <si>
    <t>S2-15-5-3-s-SIMILARIDADE</t>
  </si>
  <si>
    <t>S2-5-10-1-l-SIMILARIDADE</t>
  </si>
  <si>
    <t>S2-5-10-1-s-SIMILARIDADE</t>
  </si>
  <si>
    <t>S2-5-10-2-l-SIMILARIDADE</t>
  </si>
  <si>
    <t>S2-5-10-2-s-SIMILARIDADE</t>
  </si>
  <si>
    <t>S2-5-10-3-l-SIMILARIDADE</t>
  </si>
  <si>
    <t>S2-5-10-3-s-SIMILARIDADE</t>
  </si>
  <si>
    <t>S2-10-10-1-l-SIMILARIDADE</t>
  </si>
  <si>
    <t>S2-10-10-1-s-SIMILARIDADE</t>
  </si>
  <si>
    <t>S2-10-10-2-l-SIMILARIDADE</t>
  </si>
  <si>
    <t>S2-10-10-2-s-SIMILARIDADE</t>
  </si>
  <si>
    <t>S2-10-10-3-l-SIMILARIDADE</t>
  </si>
  <si>
    <t>S2-10-10-3-s-SIMILARIDADE</t>
  </si>
  <si>
    <t>S2-15-10-1-l-SIMILARIDADE</t>
  </si>
  <si>
    <t>S2-15-10-1-s-SIMILARIDADE</t>
  </si>
  <si>
    <t>S2-15-10-2-l-SIMILARIDADE</t>
  </si>
  <si>
    <t>S2-15-10-2-s-SIMILARIDADE</t>
  </si>
  <si>
    <t>S2-15-10-3-l-SIMILARIDADE</t>
  </si>
  <si>
    <t>S2-15-10-3-s-SIMILARIDADE</t>
  </si>
  <si>
    <t>S2-5-15-1-l-SIMILARIDADE</t>
  </si>
  <si>
    <t>S2-5-15-1-s-SIMILARIDADE</t>
  </si>
  <si>
    <t>S2-5-15-2-l-SIMILARIDADE</t>
  </si>
  <si>
    <t>S2-5-15-2-s-SIMILARIDADE</t>
  </si>
  <si>
    <t>S2-5-15-3-l-SIMILARIDADE</t>
  </si>
  <si>
    <t>S2-5-15-3-s-SIMILARIDADE</t>
  </si>
  <si>
    <t>S2-10-15-1-l-SIMILARIDADE</t>
  </si>
  <si>
    <t>S2-10-15-1-s-SIMILARIDADE</t>
  </si>
  <si>
    <t>S2-10-15-2-l-SIMILARIDADE</t>
  </si>
  <si>
    <t>S2-10-15-2-s-SIMILARIDADE</t>
  </si>
  <si>
    <t>S2-10-15-3-l-SIMILARIDADE</t>
  </si>
  <si>
    <t>S2-10-15-3-s-SIMILARIDADE</t>
  </si>
  <si>
    <t>S2-15-15-1-l-SIMILARIDADE</t>
  </si>
  <si>
    <t>S2-15-15-1-s-SIMILARIDADE</t>
  </si>
  <si>
    <t>S2-15-15-2-l-SIMILARIDADE</t>
  </si>
  <si>
    <t>S2-15-15-2-s-SIMILARIDADE</t>
  </si>
  <si>
    <t>S2-15-15-3-l-SIMILARIDADE</t>
  </si>
  <si>
    <t>S2-15-15-3-s-SIMILARIDADE</t>
  </si>
  <si>
    <t>S3-5-5-1-l-SIMILARIDADE</t>
  </si>
  <si>
    <t>S3-5-5-1-s-SIMILARIDADE</t>
  </si>
  <si>
    <t>S3-5-5-2-l-SIMILARIDADE</t>
  </si>
  <si>
    <t>S3-5-5-2-s-SIMILARIDADE</t>
  </si>
  <si>
    <t>S3-5-5-3-l-SIMILARIDADE</t>
  </si>
  <si>
    <t>S3-5-5-3-s-SIMILARIDADE</t>
  </si>
  <si>
    <t>S3-10-5-1-l-SIMILARIDADE</t>
  </si>
  <si>
    <t>S3-10-5-1-s-SIMILARIDADE</t>
  </si>
  <si>
    <t>S3-10-5-2-l-SIMILARIDADE</t>
  </si>
  <si>
    <t>S3-10-5-2-s-SIMILARIDADE</t>
  </si>
  <si>
    <t>S3-10-5-3-l-SIMILARIDADE</t>
  </si>
  <si>
    <t>S3-10-5-3-s-SIMILARIDADE</t>
  </si>
  <si>
    <t>S3-15-5-1-l-SIMILARIDADE</t>
  </si>
  <si>
    <t>S3-15-5-1-s-SIMILARIDADE</t>
  </si>
  <si>
    <t>S3-15-5-2-l-SIMILARIDADE</t>
  </si>
  <si>
    <t>S3-15-5-2-s-SIMILARIDADE</t>
  </si>
  <si>
    <t>S3-15-5-3-l-SIMILARIDADE</t>
  </si>
  <si>
    <t>S3-15-5-3-s-SIMILARIDADE</t>
  </si>
  <si>
    <t>S3-5-10-1-l-SIMILARIDADE</t>
  </si>
  <si>
    <t>S3-5-10-1-s-SIMILARIDADE</t>
  </si>
  <si>
    <t>S3-5-10-2-l-SIMILARIDADE</t>
  </si>
  <si>
    <t>S3-5-10-2-s-SIMILARIDADE</t>
  </si>
  <si>
    <t>S3-5-10-3-l-SIMILARIDADE</t>
  </si>
  <si>
    <t>S3-5-10-3-s-SIMILARIDADE</t>
  </si>
  <si>
    <t>S3-10-10-1-l-SIMILARIDADE</t>
  </si>
  <si>
    <t>S3-10-10-1-s-SIMILARIDADE</t>
  </si>
  <si>
    <t>S3-10-10-2-l-SIMILARIDADE</t>
  </si>
  <si>
    <t>S3-10-10-2-s-SIMILARIDADE</t>
  </si>
  <si>
    <t>S3-10-10-3-l-SIMILARIDADE</t>
  </si>
  <si>
    <t>S3-10-10-3-s-SIMILARIDADE</t>
  </si>
  <si>
    <t>S3-15-10-1-l-SIMILARIDADE</t>
  </si>
  <si>
    <t>S3-15-10-1-s-SIMILARIDADE</t>
  </si>
  <si>
    <t>S3-15-10-2-l-SIMILARIDADE</t>
  </si>
  <si>
    <t>S3-15-10-2-s-SIMILARIDADE</t>
  </si>
  <si>
    <t>S3-15-10-3-l-SIMILARIDADE</t>
  </si>
  <si>
    <t>S3-15-10-3-s-SIMILARIDADE</t>
  </si>
  <si>
    <t>S3-5-15-1-l-SIMILARIDADE</t>
  </si>
  <si>
    <t>S3-5-15-1-s-SIMILARIDADE</t>
  </si>
  <si>
    <t>S3-5-15-2-l-SIMILARIDADE</t>
  </si>
  <si>
    <t>S3-5-15-2-s-SIMILARIDADE</t>
  </si>
  <si>
    <t>S3-5-15-3-l-SIMILARIDADE</t>
  </si>
  <si>
    <t>S3-5-15-3-s-SIMILARIDADE</t>
  </si>
  <si>
    <t>S3-10-15-1-l-SIMILARIDADE</t>
  </si>
  <si>
    <t>S3-10-15-1-s-SIMILARIDADE</t>
  </si>
  <si>
    <t>S3-10-15-2-l-SIMILARIDADE</t>
  </si>
  <si>
    <t>S3-10-15-2-s-SIMILARIDADE</t>
  </si>
  <si>
    <t>S3-10-15-3-l-SIMILARIDADE</t>
  </si>
  <si>
    <t>S3-10-15-3-s-SIMILARIDADE</t>
  </si>
  <si>
    <t>S3-15-15-1-l-SIMILARIDADE</t>
  </si>
  <si>
    <t>S3-15-15-1-s-SIMILARIDADE</t>
  </si>
  <si>
    <t>S3-15-15-2-l-SIMILARIDADE</t>
  </si>
  <si>
    <t>S3-15-15-2-s-SIMILARIDADE</t>
  </si>
  <si>
    <t>S3-15-15-3-l-SIMILARIDADE</t>
  </si>
  <si>
    <t>S3-15-15-3-s-SIMILARIDADE</t>
  </si>
  <si>
    <t>M1-5-5-1-l-SIMILARIDADE</t>
  </si>
  <si>
    <t>M1-5-5-1-s-SIMILARIDADE</t>
  </si>
  <si>
    <t>M1-5-5-2-l-SIMILARIDADE</t>
  </si>
  <si>
    <t>M1-5-5-2-s-SIMILARIDADE</t>
  </si>
  <si>
    <t>M1-5-5-3-l-SIMILARIDADE</t>
  </si>
  <si>
    <t>M1-5-5-3-s-SIMILARIDADE</t>
  </si>
  <si>
    <t>M1-10-5-1-l-SIMILARIDADE</t>
  </si>
  <si>
    <t>M1-10-5-1-s-SIMILARIDADE</t>
  </si>
  <si>
    <t>M1-10-5-2-l-SIMILARIDADE</t>
  </si>
  <si>
    <t>M1-10-5-2-s-SIMILARIDADE</t>
  </si>
  <si>
    <t>M1-10-5-3-l-SIMILARIDADE</t>
  </si>
  <si>
    <t>M1-10-5-3-s-SIMILARIDADE</t>
  </si>
  <si>
    <t>M1-15-5-1-l-SIMILARIDADE</t>
  </si>
  <si>
    <t>M1-15-5-1-s-SIMILARIDADE</t>
  </si>
  <si>
    <t>M1-15-5-2-l-SIMILARIDADE</t>
  </si>
  <si>
    <t>M1-15-5-2-s-SIMILARIDADE</t>
  </si>
  <si>
    <t>M1-15-5-3-l-SIMILARIDADE</t>
  </si>
  <si>
    <t>M1-15-5-3-s-SIMILARIDADE</t>
  </si>
  <si>
    <t>M1-5-10-1-l-SIMILARIDADE</t>
  </si>
  <si>
    <t>M1-5-10-1-s-SIMILARIDADE</t>
  </si>
  <si>
    <t>M1-5-10-2-l-SIMILARIDADE</t>
  </si>
  <si>
    <t>M1-5-10-2-s-SIMILARIDADE</t>
  </si>
  <si>
    <t>M1-5-10-3-l-SIMILARIDADE</t>
  </si>
  <si>
    <t>M1-5-10-3-s-SIMILARIDADE</t>
  </si>
  <si>
    <t>M1-10-10-1-l-SIMILARIDADE</t>
  </si>
  <si>
    <t>M1-10-10-1-s-SIMILARIDADE</t>
  </si>
  <si>
    <t>M1-10-10-2-l-SIMILARIDADE</t>
  </si>
  <si>
    <t>M1-10-10-2-s-SIMILARIDADE</t>
  </si>
  <si>
    <t>M1-10-10-3-l-SIMILARIDADE</t>
  </si>
  <si>
    <t>M1-10-10-3-s-SIMILARIDADE</t>
  </si>
  <si>
    <t>M1-15-10-1-l-SIMILARIDADE</t>
  </si>
  <si>
    <t>M1-15-10-1-s-SIMILARIDADE</t>
  </si>
  <si>
    <t>M1-15-10-2-l-SIMILARIDADE</t>
  </si>
  <si>
    <t>M1-15-10-2-s-SIMILARIDADE</t>
  </si>
  <si>
    <t>M1-15-10-3-l-SIMILARIDADE</t>
  </si>
  <si>
    <t>M1-15-10-3-s-SIMILARIDADE</t>
  </si>
  <si>
    <t>M1-5-15-1-l-SIMILARIDADE</t>
  </si>
  <si>
    <t>M1-5-15-1-s-SIMILARIDADE</t>
  </si>
  <si>
    <t>M1-5-15-2-l-SIMILARIDADE</t>
  </si>
  <si>
    <t>M1-5-15-2-s-SIMILARIDADE</t>
  </si>
  <si>
    <t>M1-5-15-3-l-SIMILARIDADE</t>
  </si>
  <si>
    <t>M1-5-15-3-s-SIMILARIDADE</t>
  </si>
  <si>
    <t>M1-10-15-1-l-SIMILARIDADE</t>
  </si>
  <si>
    <t>M1-10-15-1-s-SIMILARIDADE</t>
  </si>
  <si>
    <t>M1-10-15-2-l-SIMILARIDADE</t>
  </si>
  <si>
    <t>M1-10-15-2-s-SIMILARIDADE</t>
  </si>
  <si>
    <t>M1-10-15-3-l-SIMILARIDADE</t>
  </si>
  <si>
    <t>M1-10-15-3-s-SIMILARIDADE</t>
  </si>
  <si>
    <t>M1-15-15-1-l-SIMILARIDADE</t>
  </si>
  <si>
    <t>M1-15-15-1-s-SIMILARIDADE</t>
  </si>
  <si>
    <t>M1-15-15-2-l-SIMILARIDADE</t>
  </si>
  <si>
    <t>M1-15-15-2-s-SIMILARIDADE</t>
  </si>
  <si>
    <t>M1-15-15-3-l-SIMILARIDADE</t>
  </si>
  <si>
    <t>M1-15-15-3-s-SIMILARIDADE</t>
  </si>
  <si>
    <t>M2-5-5-1-l-SIMILARIDADE</t>
  </si>
  <si>
    <t>M2-5-5-1-s-SIMILARIDADE</t>
  </si>
  <si>
    <t>M2-5-5-2-l-SIMILARIDADE</t>
  </si>
  <si>
    <t>M2-5-5-2-s-SIMILARIDADE</t>
  </si>
  <si>
    <t>M2-5-5-3-l-SIMILARIDADE</t>
  </si>
  <si>
    <t>M2-5-5-3-s-SIMILARIDADE</t>
  </si>
  <si>
    <t>M2-10-5-1-l-SIMILARIDADE</t>
  </si>
  <si>
    <t>M2-10-5-1-s-SIMILARIDADE</t>
  </si>
  <si>
    <t>M2-10-5-2-l-SIMILARIDADE</t>
  </si>
  <si>
    <t>M2-10-5-2-s-SIMILARIDADE</t>
  </si>
  <si>
    <t>M2-10-5-3-l-SIMILARIDADE</t>
  </si>
  <si>
    <t>M2-10-5-3-s-SIMILARIDADE</t>
  </si>
  <si>
    <t>M2-15-5-1-l-SIMILARIDADE</t>
  </si>
  <si>
    <t>M2-15-5-1-s-SIMILARIDADE</t>
  </si>
  <si>
    <t>M2-15-5-2-l-SIMILARIDADE</t>
  </si>
  <si>
    <t>M2-15-5-2-s-SIMILARIDADE</t>
  </si>
  <si>
    <t>M2-15-5-3-l-SIMILARIDADE</t>
  </si>
  <si>
    <t>M2-15-5-3-s-SIMILARIDADE</t>
  </si>
  <si>
    <t>M2-5-10-1-l-SIMILARIDADE</t>
  </si>
  <si>
    <t>M2-5-10-1-s-SIMILARIDADE</t>
  </si>
  <si>
    <t>M2-5-10-2-l-SIMILARIDADE</t>
  </si>
  <si>
    <t>M2-5-10-2-s-SIMILARIDADE</t>
  </si>
  <si>
    <t>M2-5-10-3-l-SIMILARIDADE</t>
  </si>
  <si>
    <t>M2-5-10-3-s-SIMILARIDADE</t>
  </si>
  <si>
    <t>M2-10-10-1-l-SIMILARIDADE</t>
  </si>
  <si>
    <t>M2-10-10-1-s-SIMILARIDADE</t>
  </si>
  <si>
    <t>M2-10-10-2-l-SIMILARIDADE</t>
  </si>
  <si>
    <t>M2-10-10-2-s-SIMILARIDADE</t>
  </si>
  <si>
    <t>M2-10-10-3-l-SIMILARIDADE</t>
  </si>
  <si>
    <t>M2-10-10-3-s-SIMILARIDADE</t>
  </si>
  <si>
    <t>M2-15-10-1-l-SIMILARIDADE</t>
  </si>
  <si>
    <t>M2-15-10-1-s-SIMILARIDADE</t>
  </si>
  <si>
    <t>M2-15-10-2-l-SIMILARIDADE</t>
  </si>
  <si>
    <t>M2-15-10-2-s-SIMILARIDADE</t>
  </si>
  <si>
    <t>M2-15-10-3-l-SIMILARIDADE</t>
  </si>
  <si>
    <t>M2-15-10-3-s-SIMILARIDADE</t>
  </si>
  <si>
    <t>M2-5-15-1-l-SIMILARIDADE</t>
  </si>
  <si>
    <t>M2-5-15-1-s-SIMILARIDADE</t>
  </si>
  <si>
    <t>M2-5-15-2-l-SIMILARIDADE</t>
  </si>
  <si>
    <t>M2-5-15-2-s-SIMILARIDADE</t>
  </si>
  <si>
    <t>M2-5-15-3-l-SIMILARIDADE</t>
  </si>
  <si>
    <t>M2-5-15-3-s-SIMILARIDADE</t>
  </si>
  <si>
    <t>M2-10-15-1-l-SIMILARIDADE</t>
  </si>
  <si>
    <t>M2-10-15-1-s-SIMILARIDADE</t>
  </si>
  <si>
    <t>M2-10-15-2-l-SIMILARIDADE</t>
  </si>
  <si>
    <t>M2-10-15-2-s-SIMILARIDADE</t>
  </si>
  <si>
    <t>M2-10-15-3-l-SIMILARIDADE</t>
  </si>
  <si>
    <t>M2-10-15-3-s-SIMILARIDADE</t>
  </si>
  <si>
    <t>M2-15-15-1-l-SIMILARIDADE</t>
  </si>
  <si>
    <t>M2-15-15-1-s-SIMILARIDADE</t>
  </si>
  <si>
    <t>M2-15-15-2-l-SIMILARIDADE</t>
  </si>
  <si>
    <t>M2-15-15-2-s-SIMILARIDADE</t>
  </si>
  <si>
    <t>M2-15-15-3-l-SIMILARIDADE</t>
  </si>
  <si>
    <t>M2-15-15-3-s-SIMILARIDADE</t>
  </si>
  <si>
    <t>L-5-5-1-l-SIMILARIDADE</t>
  </si>
  <si>
    <t>L-5-5-1-s-SIMILARIDADE</t>
  </si>
  <si>
    <t>L-5-5-2-l-SIMILARIDADE</t>
  </si>
  <si>
    <t>L-5-5-2-s-SIMILARIDADE</t>
  </si>
  <si>
    <t>L-5-5-3-l-SIMILARIDADE</t>
  </si>
  <si>
    <t>L-5-5-3-s-SIMILARIDADE</t>
  </si>
  <si>
    <t>L-10-5-1-l-SIMILARIDADE</t>
  </si>
  <si>
    <t>L-10-5-1-s-SIMILARIDADE</t>
  </si>
  <si>
    <t>L-10-5-2-l-SIMILARIDADE</t>
  </si>
  <si>
    <t>L-10-5-2-s-SIMILARIDADE</t>
  </si>
  <si>
    <t>L-10-5-3-l-SIMILARIDADE</t>
  </si>
  <si>
    <t>L-10-5-3-s-SIMILARIDADE</t>
  </si>
  <si>
    <t>L-15-5-1-l-SIMILARIDADE</t>
  </si>
  <si>
    <t>L-15-5-1-s-SIMILARIDADE</t>
  </si>
  <si>
    <t>L-15-5-2-l-SIMILARIDADE</t>
  </si>
  <si>
    <t>L-15-5-2-s-SIMILARIDADE</t>
  </si>
  <si>
    <t>L-15-5-3-l-SIMILARIDADE</t>
  </si>
  <si>
    <t>L-15-5-3-s-SIMILARIDADE</t>
  </si>
  <si>
    <t>L-5-10-1-l-SIMILARIDADE</t>
  </si>
  <si>
    <t>L-5-10-1-s-SIMILARIDADE</t>
  </si>
  <si>
    <t>L-5-10-2-l-SIMILARIDADE</t>
  </si>
  <si>
    <t>L-5-10-2-s-SIMILARIDADE</t>
  </si>
  <si>
    <t>L-5-10-3-l-SIMILARIDADE</t>
  </si>
  <si>
    <t>L-5-10-3-s-SIMILARIDADE</t>
  </si>
  <si>
    <t>L-10-10-1-l-SIMILARIDADE</t>
  </si>
  <si>
    <t>L-10-10-1-s-SIMILARIDADE</t>
  </si>
  <si>
    <t>L-10-10-2-l-SIMILARIDADE</t>
  </si>
  <si>
    <t>L-10-10-2-s-SIMILARIDADE</t>
  </si>
  <si>
    <t>L-10-10-3-l-SIMILARIDADE</t>
  </si>
  <si>
    <t>L-10-10-3-s-SIMILARIDADE</t>
  </si>
  <si>
    <t>L-15-10-1-l-SIMILARIDADE</t>
  </si>
  <si>
    <t>L-15-10-1-s-SIMILARIDADE</t>
  </si>
  <si>
    <t>L-15-10-2-l-SIMILARIDADE</t>
  </si>
  <si>
    <t>L-15-10-2-s-SIMILARIDADE</t>
  </si>
  <si>
    <t>L-15-10-3-l-SIMILARIDADE</t>
  </si>
  <si>
    <t>L-15-10-3-s-SIMILARIDADE</t>
  </si>
  <si>
    <t>L-5-15-1-l-SIMILARIDADE</t>
  </si>
  <si>
    <t>L-5-15-1-s-SIMILARIDADE</t>
  </si>
  <si>
    <t>L-5-15-2-l-SIMILARIDADE</t>
  </si>
  <si>
    <t>L-5-15-2-s-SIMILARIDADE</t>
  </si>
  <si>
    <t>L-5-15-3-l-SIMILARIDADE</t>
  </si>
  <si>
    <t>L-5-15-3-s-SIMILARIDADE</t>
  </si>
  <si>
    <t>L-10-15-1-l-SIMILARIDADE</t>
  </si>
  <si>
    <t>L-10-15-1-s-SIMILARIDADE</t>
  </si>
  <si>
    <t>L-10-15-2-l-SIMILARIDADE</t>
  </si>
  <si>
    <t>L-10-15-2-s-SIMILARIDADE</t>
  </si>
  <si>
    <t>L-10-15-3-l-SIMILARIDADE</t>
  </si>
  <si>
    <t>L-10-15-3-s-SIMILARIDADE</t>
  </si>
  <si>
    <t>L-15-15-1-l-SIMILARIDADE</t>
  </si>
  <si>
    <t>L-15-15-1-s-SIMILARIDADE</t>
  </si>
  <si>
    <t>L-15-15-2-l-SIMILARIDADE</t>
  </si>
  <si>
    <t>L-15-15-2-s-SIMILARIDADE</t>
  </si>
  <si>
    <t>L-15-15-3-l-SIMILARIDADE</t>
  </si>
  <si>
    <t>L-15-15-3-s-SIMILARIDADE</t>
  </si>
  <si>
    <t>XL-15k-10-10-s-CAN</t>
  </si>
  <si>
    <t>XL-15k-10-20-s-CAN</t>
  </si>
  <si>
    <t>XL-15k-10-30-s-CAN</t>
  </si>
  <si>
    <t>XL-15k-10-40-s-CAN</t>
  </si>
  <si>
    <t>XL-15k-10-50-s-CAN</t>
  </si>
  <si>
    <t>XL-20k-10-10-s-CAN</t>
  </si>
  <si>
    <t>XL-20k-10-20-s-CAN</t>
  </si>
  <si>
    <t>XL-20k-10-30-s-CAN</t>
  </si>
  <si>
    <t>XL-20k-10-40-s-CAN</t>
  </si>
  <si>
    <t>XL-20k-10-50-s-CAN</t>
  </si>
  <si>
    <t>XL-40k-10-5-s-CAN</t>
  </si>
  <si>
    <t>XL-40k-10-10-s-CAN</t>
  </si>
  <si>
    <t>XL-40k-10-15-s-CAN</t>
  </si>
  <si>
    <t>XL-40k-10-40-s-CAN</t>
  </si>
  <si>
    <t>XL-50k-15-15-l-CAN</t>
  </si>
  <si>
    <t>XL-100k-15-15-l-CAN</t>
  </si>
  <si>
    <t>EST-100K-15-15-8-3-10-15-40-35</t>
  </si>
  <si>
    <t>EST-5K-15-40-8-3-10-15-40-35</t>
  </si>
  <si>
    <t>EST-15K-10-10-4-3-10-15-40-35</t>
  </si>
  <si>
    <t>EST-15K-10-10-4-4-10-15-40-35</t>
  </si>
  <si>
    <t>EST-15K-10-10-5-5-10-15-40-35</t>
  </si>
  <si>
    <t>EST-15K-10-10-6-5-10-15-40-35</t>
  </si>
  <si>
    <t>EST-15K-10-10-7-5-10-15-40-35</t>
  </si>
  <si>
    <t>EST-15K-10-10-7-6-10-15-40-35</t>
  </si>
  <si>
    <t>EST-15K-10-10-7-7-10-15-40-35</t>
  </si>
  <si>
    <t>EST-15K-10-10-8-3-10-15-40-35</t>
  </si>
  <si>
    <t>EST-15K-10-10-8-7-10-15-40-35</t>
  </si>
  <si>
    <t>EST-15K-10-10-8-8-10-15-40-35</t>
  </si>
  <si>
    <t>EST-15K-10-10-9-10-10-15-40-35</t>
  </si>
  <si>
    <t>EST-15K-10-10-10-8-10-15-40-35</t>
  </si>
  <si>
    <t>EST-15K-10-10-10-9-10-15-40-35</t>
  </si>
  <si>
    <t>EST-15K-10-10-10-10-10-15-40-35</t>
  </si>
  <si>
    <t>EST-15K-10-10-10-11-10-15-40-35</t>
  </si>
  <si>
    <t>EST-15K-10-10-10-12-10-15-40-35</t>
  </si>
  <si>
    <t>EST-100K-15-15-8-3-10-15-40-35-CAN</t>
  </si>
  <si>
    <t>EST-5K-15-40-8-3-10-15-40-35-CAN</t>
  </si>
  <si>
    <t>EST-15K-10-10-4-3-10-15-40-35-CAN</t>
  </si>
  <si>
    <t>EST-15K-10-10-4-4-10-15-40-35-CAN</t>
  </si>
  <si>
    <t>EST-15K-10-10-5-5-10-15-40-35-CAN</t>
  </si>
  <si>
    <t>EST-15K-10-10-6-5-10-15-40-35-CAN</t>
  </si>
  <si>
    <t>EST-15K-10-10-7-5-10-15-40-35-CAN</t>
  </si>
  <si>
    <t>EST-15K-10-10-7-6-10-15-40-35-CAN</t>
  </si>
  <si>
    <t>EST-15K-10-10-7-7-10-15-40-35-CAN</t>
  </si>
  <si>
    <t>EST-15K-10-10-8-3-10-15-40-35-CAN</t>
  </si>
  <si>
    <t>EST-15K-10-10-8-7-10-15-40-35-CAN</t>
  </si>
  <si>
    <t>EST-15K-10-10-8-8-10-15-40-35-CAN</t>
  </si>
  <si>
    <t>EST-15K-10-10-9-10-10-15-40-35-CAN</t>
  </si>
  <si>
    <t>EST-15K-10-10-10-8-10-15-40-35-CAN</t>
  </si>
  <si>
    <t>EST-15K-10-10-10-9-10-15-40-35-CAN</t>
  </si>
  <si>
    <t>EST-15K-10-10-10-10-10-15-40-35-CAN</t>
  </si>
  <si>
    <t>EST-15K-10-10-10-11-10-15-40-35-CAN</t>
  </si>
  <si>
    <t>EST-15K-10-10-10-12-10-15-40-35-CAN</t>
  </si>
  <si>
    <t>Group</t>
  </si>
  <si>
    <t>Time/s Similarity</t>
  </si>
  <si>
    <t>GAP % Similarity</t>
  </si>
  <si>
    <t>H-R1 - Modelo 3  - Cruz (2020)</t>
  </si>
  <si>
    <t>S3-15-10-2-s-CAN</t>
  </si>
  <si>
    <t>Total</t>
  </si>
  <si>
    <t>Time/s Cannibalism</t>
  </si>
  <si>
    <t>GAP % Cannibalism</t>
  </si>
  <si>
    <t>Time/s</t>
  </si>
  <si>
    <t>Time/s Disssimilarity</t>
  </si>
  <si>
    <t>GAP% Dissimilarity</t>
  </si>
  <si>
    <t xml:space="preserve">Objetive value Cannibalism </t>
  </si>
  <si>
    <t>Original</t>
  </si>
  <si>
    <t>L-10-10-1-l-DISSIMILARITY</t>
  </si>
  <si>
    <t>L-10-10-1-s-DISSIMILARITY</t>
  </si>
  <si>
    <t>L-10-10-2-l-DISSIMILARITY</t>
  </si>
  <si>
    <t>L-10-10-2-s-DISSIMILARITY</t>
  </si>
  <si>
    <t>L-10-10-3-l-DISSIMILARITY</t>
  </si>
  <si>
    <t>L-10-10-3-s-DISSIMILARITY</t>
  </si>
  <si>
    <t>L-10-15-1-l-DISSIMILARITY</t>
  </si>
  <si>
    <t>L-10-15-1-s-DISSIMILARITY</t>
  </si>
  <si>
    <t>L-10-15-2-l-DISSIMILARITY</t>
  </si>
  <si>
    <t>L-10-15-2-s-DISSIMILARITY</t>
  </si>
  <si>
    <t>L-10-15-3-l-DISSIMILARITY</t>
  </si>
  <si>
    <t>L-10-15-3-s-DISSIMILARITY</t>
  </si>
  <si>
    <t>L-10-5-1-l-DISSIMILARITY</t>
  </si>
  <si>
    <t>L-10-5-1-s-DISSIMILARITY</t>
  </si>
  <si>
    <t>L-10-5-2-l-DISSIMILARITY</t>
  </si>
  <si>
    <t>L-10-5-2-s-DISSIMILARITY</t>
  </si>
  <si>
    <t>L-10-5-3-l-DISSIMILARITY</t>
  </si>
  <si>
    <t>L-10-5-3-s-DISSIMILARITY</t>
  </si>
  <si>
    <t>L-15-10-1-l-DISSIMILARITY</t>
  </si>
  <si>
    <t>L-15-10-1-s-DISSIMILARITY</t>
  </si>
  <si>
    <t>L-15-10-2-l-DISSIMILARITY</t>
  </si>
  <si>
    <t>L-15-10-2-s-DISSIMILARITY</t>
  </si>
  <si>
    <t>L-15-10-3-l-DISSIMILARITY</t>
  </si>
  <si>
    <t>L-15-10-3-s-DISSIMILARITY</t>
  </si>
  <si>
    <t>L-15-15-1-l-DISSIMILARITY</t>
  </si>
  <si>
    <t>L-15-15-1-s-DISSIMILARITY</t>
  </si>
  <si>
    <t>L-15-15-2-l-DISSIMILARITY</t>
  </si>
  <si>
    <t>L-15-15-2-s-DISSIMILARITY</t>
  </si>
  <si>
    <t>L-15-15-3-l-DISSIMILARITY</t>
  </si>
  <si>
    <t>L-15-15-3-s-DISSIMILARITY</t>
  </si>
  <si>
    <t>L-15-5-1-l-DISSIMILARITY</t>
  </si>
  <si>
    <t>L-15-5-1-s-DISSIMILARITY</t>
  </si>
  <si>
    <t>L-15-5-2-l-DISSIMILARITY</t>
  </si>
  <si>
    <t>L-15-5-2-s-DISSIMILARITY</t>
  </si>
  <si>
    <t>L-15-5-3-l-DISSIMILARITY</t>
  </si>
  <si>
    <t>L-15-5-3-s-DISSIMILARITY</t>
  </si>
  <si>
    <t>L-5-10-1-l-DISSIMILARITY</t>
  </si>
  <si>
    <t>L-5-10-1-s-DISSIMILARITY</t>
  </si>
  <si>
    <t>L-5-10-2-l-DISSIMILARITY</t>
  </si>
  <si>
    <t>L-5-10-2-s-DISSIMILARITY</t>
  </si>
  <si>
    <t>L-5-10-3-l-DISSIMILARITY</t>
  </si>
  <si>
    <t>L-5-10-3-s-DISSIMILARITY</t>
  </si>
  <si>
    <t>L-5-15-1-l-DISSIMILARITY</t>
  </si>
  <si>
    <t>L-5-15-1-s-DISSIMILARITY</t>
  </si>
  <si>
    <t>L-5-15-2-l-DISSIMILARITY</t>
  </si>
  <si>
    <t>L-5-15-2-s-DISSIMILARITY</t>
  </si>
  <si>
    <t>L-5-15-3-l-DISSIMILARITY</t>
  </si>
  <si>
    <t>L-5-15-3-s-DISSIMILARITY</t>
  </si>
  <si>
    <t>L-5-5-1-l-DISSIMILARITY</t>
  </si>
  <si>
    <t>L-5-5-1-s-DISSIMILARITY</t>
  </si>
  <si>
    <t>L-5-5-2-l-DISSIMILARITY</t>
  </si>
  <si>
    <t>L-5-5-2-s-DISSIMILARITY</t>
  </si>
  <si>
    <t>L-5-5-3-l-DISSIMILARITY</t>
  </si>
  <si>
    <t>L-5-5-3-s-DISSIMILARITY</t>
  </si>
  <si>
    <t>M1-10-10-1-l-DISSIMILARITY</t>
  </si>
  <si>
    <t>M1-10-10-1-s-DISSIMILARITY</t>
  </si>
  <si>
    <t>M1-10-10-2-l-DISSIMILARITY</t>
  </si>
  <si>
    <t>M1-10-10-2-s-DISSIMILARITY</t>
  </si>
  <si>
    <t>M1-10-10-3-l-DISSIMILARITY</t>
  </si>
  <si>
    <t>M1-10-10-3-s-DISSIMILARITY</t>
  </si>
  <si>
    <t>M1-10-15-1-l-DISSIMILARITY</t>
  </si>
  <si>
    <t>M1-10-15-1-s-DISSIMILARITY</t>
  </si>
  <si>
    <t>M1-10-15-2-l-DISSIMILARITY</t>
  </si>
  <si>
    <t>M1-10-15-2-s-DISSIMILARITY</t>
  </si>
  <si>
    <t>M1-10-15-3-l-DISSIMILARITY</t>
  </si>
  <si>
    <t>M1-10-15-3-s-DISSIMILARITY</t>
  </si>
  <si>
    <t>M1-10-5-1-l-DISSIMILARITY</t>
  </si>
  <si>
    <t>M1-10-5-1-s-DISSIMILARITY</t>
  </si>
  <si>
    <t>M1-10-5-2-l-DISSIMILARITY</t>
  </si>
  <si>
    <t>M1-10-5-2-s-DISSIMILARITY</t>
  </si>
  <si>
    <t>M1-10-5-3-l-DISSIMILARITY</t>
  </si>
  <si>
    <t>M1-10-5-3-s-DISSIMILARITY</t>
  </si>
  <si>
    <t>M1-15-10-1-l-DISSIMILARITY</t>
  </si>
  <si>
    <t>M1-15-10-1-s-DISSIMILARITY</t>
  </si>
  <si>
    <t>M1-15-10-2-l-DISSIMILARITY</t>
  </si>
  <si>
    <t>M1-15-10-2-s-DISSIMILARITY</t>
  </si>
  <si>
    <t>M1-15-10-3-l-DISSIMILARITY</t>
  </si>
  <si>
    <t>M1-15-10-3-s-DISSIMILARITY</t>
  </si>
  <si>
    <t>M1-15-15-1-l-DISSIMILARITY</t>
  </si>
  <si>
    <t>M1-15-15-1-s-DISSIMILARITY</t>
  </si>
  <si>
    <t>M1-15-15-2-l-DISSIMILARITY</t>
  </si>
  <si>
    <t>M1-15-15-2-s-DISSIMILARITY</t>
  </si>
  <si>
    <t>M1-15-15-3-l-DISSIMILARITY</t>
  </si>
  <si>
    <t>M1-15-15-3-s-DISSIMILARITY</t>
  </si>
  <si>
    <t>M1-15-5-1-l-DISSIMILARITY</t>
  </si>
  <si>
    <t>M1-15-5-1-s-DISSIMILARITY</t>
  </si>
  <si>
    <t>M1-15-5-2-l-DISSIMILARITY</t>
  </si>
  <si>
    <t>M1-15-5-2-s-DISSIMILARITY</t>
  </si>
  <si>
    <t>M1-15-5-3-l-DISSIMILARITY</t>
  </si>
  <si>
    <t>M1-15-5-3-s-DISSIMILARITY</t>
  </si>
  <si>
    <t>M1-5-10-1-l-DISSIMILARITY</t>
  </si>
  <si>
    <t>M1-5-10-1-s-DISSIMILARITY</t>
  </si>
  <si>
    <t>M1-5-10-2-l-DISSIMILARITY</t>
  </si>
  <si>
    <t>M1-5-10-2-s-DISSIMILARITY</t>
  </si>
  <si>
    <t>M1-5-10-3-l-DISSIMILARITY</t>
  </si>
  <si>
    <t>M1-5-10-3-s-DISSIMILARITY</t>
  </si>
  <si>
    <t>M1-5-15-1-l-DISSIMILARITY</t>
  </si>
  <si>
    <t>M1-5-15-1-s-DISSIMILARITY</t>
  </si>
  <si>
    <t>M1-5-15-2-l-DISSIMILARITY</t>
  </si>
  <si>
    <t>M1-5-15-2-s-DISSIMILARITY</t>
  </si>
  <si>
    <t>M1-5-15-3-l-DISSIMILARITY</t>
  </si>
  <si>
    <t>M1-5-15-3-s-DISSIMILARITY</t>
  </si>
  <si>
    <t>M1-5-5-1-l-DISSIMILARITY</t>
  </si>
  <si>
    <t>M1-5-5-1-s-DISSIMILARITY</t>
  </si>
  <si>
    <t>M1-5-5-2-l-DISSIMILARITY</t>
  </si>
  <si>
    <t>M1-5-5-2-s-DISSIMILARITY</t>
  </si>
  <si>
    <t>M1-5-5-3-l-DISSIMILARITY</t>
  </si>
  <si>
    <t>M1-5-5-3-s-DISSIMILARITY</t>
  </si>
  <si>
    <t>M2-10-10-1-l-DISSIMILARITY</t>
  </si>
  <si>
    <t>M2-10-10-1-s-DISSIMILARITY</t>
  </si>
  <si>
    <t>M2-10-10-2-l-DISSIMILARITY</t>
  </si>
  <si>
    <t>M2-10-10-2-s-DISSIMILARITY</t>
  </si>
  <si>
    <t>M2-10-10-3-l-DISSIMILARITY</t>
  </si>
  <si>
    <t>M2-10-10-3-s-DISSIMILARITY</t>
  </si>
  <si>
    <t>M2-10-15-1-l-DISSIMILARITY</t>
  </si>
  <si>
    <t>M2-10-15-1-s-DISSIMILARITY</t>
  </si>
  <si>
    <t>M2-10-15-2-l-DISSIMILARITY</t>
  </si>
  <si>
    <t>M2-10-15-2-s-DISSIMILARITY</t>
  </si>
  <si>
    <t>M2-10-15-3-l-DISSIMILARITY</t>
  </si>
  <si>
    <t>M2-10-15-3-s-DISSIMILARITY</t>
  </si>
  <si>
    <t>M2-10-5-1-l-DISSIMILARITY</t>
  </si>
  <si>
    <t>M2-10-5-1-s-DISSIMILARITY</t>
  </si>
  <si>
    <t>M2-10-5-2-l-DISSIMILARITY</t>
  </si>
  <si>
    <t>M2-10-5-2-s-DISSIMILARITY</t>
  </si>
  <si>
    <t>M2-10-5-3-l-DISSIMILARITY</t>
  </si>
  <si>
    <t>M2-10-5-3-s-DISSIMILARITY</t>
  </si>
  <si>
    <t>M2-15-10-1-l-DISSIMILARITY</t>
  </si>
  <si>
    <t>M2-15-10-1-s-DISSIMILARITY</t>
  </si>
  <si>
    <t>M2-15-10-2-l-DISSIMILARITY</t>
  </si>
  <si>
    <t>M2-15-10-2-s-DISSIMILARITY</t>
  </si>
  <si>
    <t>M2-15-10-3-l-DISSIMILARITY</t>
  </si>
  <si>
    <t>M2-15-10-3-s-DISSIMILARITY</t>
  </si>
  <si>
    <t>M2-15-15-1-l-DISSIMILARITY</t>
  </si>
  <si>
    <t>M2-15-15-1-s-DISSIMILARITY</t>
  </si>
  <si>
    <t>M2-15-15-2-l-DISSIMILARITY</t>
  </si>
  <si>
    <t>M2-15-15-2-s-DISSIMILARITY</t>
  </si>
  <si>
    <t>M2-15-15-3-l-DISSIMILARITY</t>
  </si>
  <si>
    <t>M2-15-15-3-s-DISSIMILARITY</t>
  </si>
  <si>
    <t>M2-15-5-1-l-DISSIMILARITY</t>
  </si>
  <si>
    <t>M2-15-5-1-s-DISSIMILARITY</t>
  </si>
  <si>
    <t>M2-15-5-2-l-DISSIMILARITY</t>
  </si>
  <si>
    <t>M2-15-5-2-s-DISSIMILARITY</t>
  </si>
  <si>
    <t>M2-15-5-3-l-DISSIMILARITY</t>
  </si>
  <si>
    <t>M2-15-5-3-s-DISSIMILARITY</t>
  </si>
  <si>
    <t>M2-5-10-1-l-DISSIMILARITY</t>
  </si>
  <si>
    <t>M2-5-10-1-s-DISSIMILARITY</t>
  </si>
  <si>
    <t>M2-5-10-2-l-DISSIMILARITY</t>
  </si>
  <si>
    <t>M2-5-10-2-s-DISSIMILARITY</t>
  </si>
  <si>
    <t>M2-5-10-3-l-DISSIMILARITY</t>
  </si>
  <si>
    <t>M2-5-10-3-s-DISSIMILARITY</t>
  </si>
  <si>
    <t>M2-5-15-1-l-DISSIMILARITY</t>
  </si>
  <si>
    <t>M2-5-15-1-s-DISSIMILARITY</t>
  </si>
  <si>
    <t>M2-5-15-2-l-DISSIMILARITY</t>
  </si>
  <si>
    <t>M2-5-15-2-s-DISSIMILARITY</t>
  </si>
  <si>
    <t>M2-5-15-3-l-DISSIMILARITY</t>
  </si>
  <si>
    <t>M2-5-15-3-s-DISSIMILARITY</t>
  </si>
  <si>
    <t>M2-5-5-1-l-DISSIMILARITY</t>
  </si>
  <si>
    <t>M2-5-5-1-s-DISSIMILARITY</t>
  </si>
  <si>
    <t>M2-5-5-2-l-DISSIMILARITY</t>
  </si>
  <si>
    <t>M2-5-5-2-s-DISSIMILARITY</t>
  </si>
  <si>
    <t>M2-5-5-3-l-DISSIMILARITY</t>
  </si>
  <si>
    <t>M2-5-5-3-s-DISSIMILARITY</t>
  </si>
  <si>
    <t>S1-10-10-1-l-DISSIMILARITY</t>
  </si>
  <si>
    <t>S1-10-10-1-s-DISSIMILARITY</t>
  </si>
  <si>
    <t>S1-10-10-2-l-DISSIMILARITY</t>
  </si>
  <si>
    <t>S1-10-10-2-s-DISSIMILARITY</t>
  </si>
  <si>
    <t>S1-10-10-3-l-DISSIMILARITY</t>
  </si>
  <si>
    <t>S1-10-10-3-s-DISSIMILARITY</t>
  </si>
  <si>
    <t>S1-10-15-1-l-DISSIMILARITY</t>
  </si>
  <si>
    <t>S1-10-15-1-s-DISSIMILARITY</t>
  </si>
  <si>
    <t>S1-10-15-2-l-DISSIMILARITY</t>
  </si>
  <si>
    <t>S1-10-15-2-s-DISSIMILARITY</t>
  </si>
  <si>
    <t>S1-10-15-3-l-DISSIMILARITY</t>
  </si>
  <si>
    <t>S1-10-15-3-s-DISSIMILARITY</t>
  </si>
  <si>
    <t>S1-10-5-1-l-DISSIMILARITY</t>
  </si>
  <si>
    <t>S1-10-5-1-s-DISSIMILARITY</t>
  </si>
  <si>
    <t>S1-10-5-2-l-DISSIMILARITY</t>
  </si>
  <si>
    <t>S1-10-5-2-s-DISSIMILARITY</t>
  </si>
  <si>
    <t>S1-10-5-3-l-DISSIMILARITY</t>
  </si>
  <si>
    <t>S1-10-5-3-s-DISSIMILARITY</t>
  </si>
  <si>
    <t>S1-15-10-1-l-DISSIMILARITY</t>
  </si>
  <si>
    <t>S1-15-10-1-s-DISSIMILARITY</t>
  </si>
  <si>
    <t>S1-15-10-2-l-DISSIMILARITY</t>
  </si>
  <si>
    <t>S1-15-10-2-s-DISSIMILARITY</t>
  </si>
  <si>
    <t>S1-15-10-3-l-DISSIMILARITY</t>
  </si>
  <si>
    <t>S1-15-10-3-s-DISSIMILARITY</t>
  </si>
  <si>
    <t>S1-15-15-1-l-DISSIMILARITY</t>
  </si>
  <si>
    <t>S1-15-15-1-s-DISSIMILARITY</t>
  </si>
  <si>
    <t>S1-15-15-2-l-DISSIMILARITY</t>
  </si>
  <si>
    <t>S1-15-15-2-s-DISSIMILARITY</t>
  </si>
  <si>
    <t>S1-15-15-3-l-DISSIMILARITY</t>
  </si>
  <si>
    <t>S1-15-15-3-s-DISSIMILARITY</t>
  </si>
  <si>
    <t>S1-15-5-1-l-DISSIMILARITY</t>
  </si>
  <si>
    <t>S1-15-5-1-s-DISSIMILARITY</t>
  </si>
  <si>
    <t>S1-15-5-2-l-DISSIMILARITY</t>
  </si>
  <si>
    <t>S1-15-5-2-s-DISSIMILARITY</t>
  </si>
  <si>
    <t>S1-15-5-3-l-DISSIMILARITY</t>
  </si>
  <si>
    <t>S1-15-5-3-s-DISSIMILARITY</t>
  </si>
  <si>
    <t>S1-5-10-1-l-DISSIMILARITY</t>
  </si>
  <si>
    <t>S1-5-10-1-s-DISSIMILARITY</t>
  </si>
  <si>
    <t>S1-5-10-2-l-DISSIMILARITY</t>
  </si>
  <si>
    <t>S1-5-10-2-s-DISSIMILARITY</t>
  </si>
  <si>
    <t>S1-5-10-3-l-DISSIMILARITY</t>
  </si>
  <si>
    <t>S1-5-10-3-s-DISSIMILARITY</t>
  </si>
  <si>
    <t>S1-5-15-1-l-DISSIMILARITY</t>
  </si>
  <si>
    <t>S1-5-15-1-s-DISSIMILARITY</t>
  </si>
  <si>
    <t>S1-5-15-2-l-DISSIMILARITY</t>
  </si>
  <si>
    <t>S1-5-15-2-s-DISSIMILARITY</t>
  </si>
  <si>
    <t>S1-5-15-3-l-DISSIMILARITY</t>
  </si>
  <si>
    <t>S1-5-15-3-s-DISSIMILARITY</t>
  </si>
  <si>
    <t>S1-5-5-1-l-DISSIMILARITY</t>
  </si>
  <si>
    <t>S1-5-5-1-s-DISSIMILARITY</t>
  </si>
  <si>
    <t>S1-5-5-2-l-DISSIMILARITY</t>
  </si>
  <si>
    <t>S1-5-5-2-s-DISSIMILARITY</t>
  </si>
  <si>
    <t>S1-5-5-3-l-DISSIMILARITY</t>
  </si>
  <si>
    <t>S1-5-5-3-s-DISSIMILARITY</t>
  </si>
  <si>
    <t>S2-10-10-1-l-DISSIMILARITY</t>
  </si>
  <si>
    <t>S2-10-10-1-s-DISSIMILARITY</t>
  </si>
  <si>
    <t>S2-10-10-2-l-DISSIMILARITY</t>
  </si>
  <si>
    <t>S2-10-10-2-s-DISSIMILARITY</t>
  </si>
  <si>
    <t>S2-10-10-3-l-DISSIMILARITY</t>
  </si>
  <si>
    <t>S2-10-10-3-s-DISSIMILARITY</t>
  </si>
  <si>
    <t>S2-10-15-1-l-DISSIMILARITY</t>
  </si>
  <si>
    <t>S2-10-15-1-s-DISSIMILARITY</t>
  </si>
  <si>
    <t>S2-10-15-2-l-DISSIMILARITY</t>
  </si>
  <si>
    <t>S2-10-15-2-s-DISSIMILARITY</t>
  </si>
  <si>
    <t>S2-10-15-3-l-DISSIMILARITY</t>
  </si>
  <si>
    <t>S2-10-15-3-s-DISSIMILARITY</t>
  </si>
  <si>
    <t>S2-10-5-1-l-DISSIMILARITY</t>
  </si>
  <si>
    <t>S2-10-5-1-s-DISSIMILARITY</t>
  </si>
  <si>
    <t>S2-10-5-2-l-DISSIMILARITY</t>
  </si>
  <si>
    <t>S2-10-5-2-s-DISSIMILARITY</t>
  </si>
  <si>
    <t>S2-10-5-3-l-DISSIMILARITY</t>
  </si>
  <si>
    <t>S2-10-5-3-s-DISSIMILARITY</t>
  </si>
  <si>
    <t>S2-15-10-1-l-DISSIMILARITY</t>
  </si>
  <si>
    <t>S2-15-10-1-s-DISSIMILARITY</t>
  </si>
  <si>
    <t>S2-15-10-2-l-DISSIMILARITY</t>
  </si>
  <si>
    <t>S2-15-10-2-s-DISSIMILARITY</t>
  </si>
  <si>
    <t>S2-15-10-3-l-DISSIMILARITY</t>
  </si>
  <si>
    <t>S2-15-10-3-s-DISSIMILARITY</t>
  </si>
  <si>
    <t>S2-15-15-1-l-DISSIMILARITY</t>
  </si>
  <si>
    <t>S2-15-15-1-s-DISSIMILARITY</t>
  </si>
  <si>
    <t>S2-15-15-2-l-DISSIMILARITY</t>
  </si>
  <si>
    <t>S2-15-15-2-s-DISSIMILARITY</t>
  </si>
  <si>
    <t>S2-15-15-3-l-DISSIMILARITY</t>
  </si>
  <si>
    <t>S2-15-15-3-s-DISSIMILARITY</t>
  </si>
  <si>
    <t>S2-15-5-1-l-DISSIMILARITY</t>
  </si>
  <si>
    <t>S2-15-5-1-s-DISSIMILARITY</t>
  </si>
  <si>
    <t>S2-15-5-2-l-DISSIMILARITY</t>
  </si>
  <si>
    <t>S2-15-5-2-s-DISSIMILARITY</t>
  </si>
  <si>
    <t>S2-15-5-3-l-DISSIMILARITY</t>
  </si>
  <si>
    <t>S2-15-5-3-s-DISSIMILARITY</t>
  </si>
  <si>
    <t>S2-5-10-1-l-DISSIMILARITY</t>
  </si>
  <si>
    <t>S2-5-10-1-s-DISSIMILARITY</t>
  </si>
  <si>
    <t>S2-5-10-2-l-DISSIMILARITY</t>
  </si>
  <si>
    <t>S2-5-10-2-s-DISSIMILARITY</t>
  </si>
  <si>
    <t>S2-5-10-3-l-DISSIMILARITY</t>
  </si>
  <si>
    <t>S2-5-10-3-s-DISSIMILARITY</t>
  </si>
  <si>
    <t>S2-5-15-1-l-DISSIMILARITY</t>
  </si>
  <si>
    <t>S2-5-15-1-s-DISSIMILARITY</t>
  </si>
  <si>
    <t>S2-5-15-2-l-DISSIMILARITY</t>
  </si>
  <si>
    <t>S2-5-15-2-s-DISSIMILARITY</t>
  </si>
  <si>
    <t>S2-5-15-3-l-DISSIMILARITY</t>
  </si>
  <si>
    <t>S2-5-15-3-s-DISSIMILARITY</t>
  </si>
  <si>
    <t>S2-5-5-1-l-DISSIMILARITY</t>
  </si>
  <si>
    <t>S2-5-5-1-s-DISSIMILARITY</t>
  </si>
  <si>
    <t>S2-5-5-2-l-DISSIMILARITY</t>
  </si>
  <si>
    <t>S2-5-5-2-s-DISSIMILARITY</t>
  </si>
  <si>
    <t>S2-5-5-3-l-DISSIMILARITY</t>
  </si>
  <si>
    <t>S2-5-5-3-s-DISSIMILARITY</t>
  </si>
  <si>
    <t>S3-10-10-1-l-DISSIMILARITY</t>
  </si>
  <si>
    <t>S3-10-10-1-s-DISSIMILARITY</t>
  </si>
  <si>
    <t>S3-10-10-2-l-DISSIMILARITY</t>
  </si>
  <si>
    <t>S3-10-10-2-s-DISSIMILARITY</t>
  </si>
  <si>
    <t>S3-10-10-3-l-DISSIMILARITY</t>
  </si>
  <si>
    <t>S3-10-10-3-s-DISSIMILARITY</t>
  </si>
  <si>
    <t>S3-10-15-1-l-DISSIMILARITY</t>
  </si>
  <si>
    <t>S3-10-15-1-s-DISSIMILARITY</t>
  </si>
  <si>
    <t>S3-10-15-2-l-DISSIMILARITY</t>
  </si>
  <si>
    <t>S3-10-15-2-s-DISSIMILARITY</t>
  </si>
  <si>
    <t>S3-10-15-3-l-DISSIMILARITY</t>
  </si>
  <si>
    <t>S3-10-15-3-s-DISSIMILARITY</t>
  </si>
  <si>
    <t>S3-10-5-1-l-DISSIMILARITY</t>
  </si>
  <si>
    <t>S3-10-5-1-s-DISSIMILARITY</t>
  </si>
  <si>
    <t>S3-10-5-2-l-DISSIMILARITY</t>
  </si>
  <si>
    <t>S3-10-5-2-s-DISSIMILARITY</t>
  </si>
  <si>
    <t>S3-10-5-3-l-DISSIMILARITY</t>
  </si>
  <si>
    <t>S3-10-5-3-s-DISSIMILARITY</t>
  </si>
  <si>
    <t>S3-15-10-1-l-DISSIMILARITY</t>
  </si>
  <si>
    <t>S3-15-10-1-s-DISSIMILARITY</t>
  </si>
  <si>
    <t>S3-15-10-2-l-DISSIMILARITY</t>
  </si>
  <si>
    <t>S3-15-10-2-s-DISSIMILARITY</t>
  </si>
  <si>
    <t>S3-15-10-3-l-DISSIMILARITY</t>
  </si>
  <si>
    <t>S3-15-10-3-s-DISSIMILARITY</t>
  </si>
  <si>
    <t>S3-15-15-1-l-DISSIMILARITY</t>
  </si>
  <si>
    <t>S3-15-15-1-s-DISSIMILARITY</t>
  </si>
  <si>
    <t>S3-15-15-2-l-DISSIMILARITY</t>
  </si>
  <si>
    <t>S3-15-15-2-s-DISSIMILARITY</t>
  </si>
  <si>
    <t>S3-15-15-3-l-DISSIMILARITY</t>
  </si>
  <si>
    <t>S3-15-15-3-s-DISSIMILARITY</t>
  </si>
  <si>
    <t>S3-15-5-1-l-DISSIMILARITY</t>
  </si>
  <si>
    <t>S3-15-5-1-s-DISSIMILARITY</t>
  </si>
  <si>
    <t>S3-15-5-2-l-DISSIMILARITY</t>
  </si>
  <si>
    <t>S3-15-5-2-s-DISSIMILARITY</t>
  </si>
  <si>
    <t>S3-15-5-3-l-DISSIMILARITY</t>
  </si>
  <si>
    <t>S3-15-5-3-s-DISSIMILARITY</t>
  </si>
  <si>
    <t>S3-5-10-1-l-DISSIMILARITY</t>
  </si>
  <si>
    <t>S3-5-10-1-s-DISSIMILARITY</t>
  </si>
  <si>
    <t>S3-5-10-2-l-DISSIMILARITY</t>
  </si>
  <si>
    <t>S3-5-10-2-s-DISSIMILARITY</t>
  </si>
  <si>
    <t>S3-5-10-3-l-DISSIMILARITY</t>
  </si>
  <si>
    <t>S3-5-10-3-s-DISSIMILARITY</t>
  </si>
  <si>
    <t>S3-5-15-1-l-DISSIMILARITY</t>
  </si>
  <si>
    <t>S3-5-15-1-s-DISSIMILARITY</t>
  </si>
  <si>
    <t>S3-5-15-2-l-DISSIMILARITY</t>
  </si>
  <si>
    <t>S3-5-15-2-s-DISSIMILARITY</t>
  </si>
  <si>
    <t>S3-5-15-3-l-DISSIMILARITY</t>
  </si>
  <si>
    <t>S3-5-15-3-s-DISSIMILARITY</t>
  </si>
  <si>
    <t>S3-5-5-1-l-DISSIMILARITY</t>
  </si>
  <si>
    <t>S3-5-5-1-s-DISSIMILARITY</t>
  </si>
  <si>
    <t>S3-5-5-2-l-DISSIMILARITY</t>
  </si>
  <si>
    <t>S3-5-5-2-s-DISSIMILARITY</t>
  </si>
  <si>
    <t>S3-5-5-3-l-DISSIMILARITY</t>
  </si>
  <si>
    <t>S3-5-5-3-s-DISSIMILARITY</t>
  </si>
  <si>
    <t>XL-100k-15-15-l-SIMILARITY</t>
  </si>
  <si>
    <t>XL-15k-10-10-s-SIMILARITY</t>
  </si>
  <si>
    <t>XL-15k-10-20-s-SIMILARITY</t>
  </si>
  <si>
    <t>XL-15k-10-30-s-SIMILARITY</t>
  </si>
  <si>
    <t>XL-15k-10-40-s-SIMILARITY</t>
  </si>
  <si>
    <t>XL-15k-10-50-s-SIMILARITY</t>
  </si>
  <si>
    <t>XL-20k-10-10-s-SIMILARITY</t>
  </si>
  <si>
    <t>XL-20k-10-20-s-SIMILARITY</t>
  </si>
  <si>
    <t>XL-20k-10-30-s-SIMILARITY</t>
  </si>
  <si>
    <t>XL-20k-10-40-s-SIMILARITY</t>
  </si>
  <si>
    <t>XL-20k-10-50-s-SIMILARITY</t>
  </si>
  <si>
    <t>XL-40k-10-10-s-SIMILARITY</t>
  </si>
  <si>
    <t>XL-40k-10-15-s-SIMILARITY</t>
  </si>
  <si>
    <t>XL-40k-10-40-s-SIMILARITY</t>
  </si>
  <si>
    <t>XL-40k-10-5-s-SIMILARITY</t>
  </si>
  <si>
    <t>XL-50k-15-15-l-SIMILARITY</t>
  </si>
  <si>
    <t>XL-100k-15-15-l-DISSIMILARITY</t>
  </si>
  <si>
    <t>XL-15k-10-10-s-DISSIMILARITY</t>
  </si>
  <si>
    <t>XL-15k-10-20-s-DISSIMILARITY</t>
  </si>
  <si>
    <t>XL-15k-10-30-s-DISSIMILARITY</t>
  </si>
  <si>
    <t>XL-15k-10-40-s-DISSIMILARITY</t>
  </si>
  <si>
    <t>XL-15k-10-50-s-DISSIMILARITY</t>
  </si>
  <si>
    <t>XL-20k-10-10-s-DISSIMILARITY</t>
  </si>
  <si>
    <t>XL-20k-10-20-s-DISSIMILARITY</t>
  </si>
  <si>
    <t>XL-20k-10-30-s-DISSIMILARITY</t>
  </si>
  <si>
    <t>XL-20k-10-40-s-DISSIMILARITY</t>
  </si>
  <si>
    <t>XL-20k-10-50-s-DISSIMILARITY</t>
  </si>
  <si>
    <t>XL-40k-10-10-s-DISSIMILARITY</t>
  </si>
  <si>
    <t>XL-40k-10-15-s-DISSIMILARITY</t>
  </si>
  <si>
    <t>XL-40k-10-40-s-DISSIMILARITY</t>
  </si>
  <si>
    <t>XL-40k-10-5-s-DISSIMILARITY</t>
  </si>
  <si>
    <t>XL-50k-15-15-l-DISSIMILARITY</t>
  </si>
  <si>
    <t>EST-100K-15-15-8-3-10-15-40-35-SIMILARITY</t>
  </si>
  <si>
    <t>EST-15K-10-10-10-10-10-15-40-35-SIMILARITY</t>
  </si>
  <si>
    <t>EST-15K-10-10-10-11-10-15-40-35-SIMILARITY</t>
  </si>
  <si>
    <t>EST-15K-10-10-10-12-10-15-40-35-SIMILARITY</t>
  </si>
  <si>
    <t>EST-15K-10-10-10-8-10-15-40-35-SIMILARITY</t>
  </si>
  <si>
    <t>EST-15K-10-10-10-9-10-15-40-35-SIMILARITY</t>
  </si>
  <si>
    <t>EST-15K-10-10-4-3-10-15-40-35-SIMILARITY</t>
  </si>
  <si>
    <t>EST-15K-10-10-4-4-10-15-40-35-SIMILARITY</t>
  </si>
  <si>
    <t>EST-15K-10-10-5-5-10-15-40-35-SIMILARITY</t>
  </si>
  <si>
    <t>EST-15K-10-10-6-5-10-15-40-35-SIMILARITY</t>
  </si>
  <si>
    <t>EST-15K-10-10-7-5-10-15-40-35-SIMILARITY</t>
  </si>
  <si>
    <t>EST-15K-10-10-7-6-10-15-40-35-SIMILARITY</t>
  </si>
  <si>
    <t>EST-15K-10-10-7-7-10-15-40-35-SIMILARITY</t>
  </si>
  <si>
    <t>EST-15K-10-10-8-3-10-15-40-35-SIMILARITY</t>
  </si>
  <si>
    <t>EST-15K-10-10-8-7-10-15-40-35-SIMILARITY</t>
  </si>
  <si>
    <t>EST-15K-10-10-8-8-10-15-40-35-SIMILARITY</t>
  </si>
  <si>
    <t>EST-15K-10-10-9-10-10-15-40-35-SIMILARITY</t>
  </si>
  <si>
    <t>EST-5K-15-40-8-3-10-15-40-35-SIMILARITY</t>
  </si>
  <si>
    <t>EST-100K-15-15-8-3-10-15-40-35-DISSIMILARITY</t>
  </si>
  <si>
    <t>EST-15K-10-10-10-10-10-15-40-35-DISSIMILARITY</t>
  </si>
  <si>
    <t>EST-15K-10-10-10-11-10-15-40-35-DISSIMILARITY</t>
  </si>
  <si>
    <t>EST-15K-10-10-10-12-10-15-40-35-DISSIMILARITY</t>
  </si>
  <si>
    <t>EST-15K-10-10-10-8-10-15-40-35-DISSIMILARITY</t>
  </si>
  <si>
    <t>EST-15K-10-10-10-9-10-15-40-35-DISSIMILARITY</t>
  </si>
  <si>
    <t>EST-15K-10-10-4-3-10-15-40-35-DISSIMILARITY</t>
  </si>
  <si>
    <t>EST-15K-10-10-4-4-10-15-40-35-DISSIMILARITY</t>
  </si>
  <si>
    <t>EST-15K-10-10-5-5-10-15-40-35-DISSIMILARITY</t>
  </si>
  <si>
    <t>EST-15K-10-10-6-5-10-15-40-35-DISSIMILARITY</t>
  </si>
  <si>
    <t>EST-15K-10-10-7-5-10-15-40-35-DISSIMILARITY</t>
  </si>
  <si>
    <t>EST-15K-10-10-7-6-10-15-40-35-DISSIMILARITY</t>
  </si>
  <si>
    <t>EST-15K-10-10-7-7-10-15-40-35-DISSIMILARITY</t>
  </si>
  <si>
    <t>EST-15K-10-10-8-3-10-15-40-35-DISSIMILARITY</t>
  </si>
  <si>
    <t>EST-15K-10-10-8-7-10-15-40-35-DISSIMILARITY</t>
  </si>
  <si>
    <t>EST-15K-10-10-8-8-10-15-40-35-DISSIMILARITY</t>
  </si>
  <si>
    <t>EST-15K-10-10-9-10-10-15-40-35-DISSIMILARITY</t>
  </si>
  <si>
    <t>EST-5K-15-40-8-3-10-15-40-35-DISSIMILARITY</t>
  </si>
  <si>
    <t>HR-1</t>
  </si>
  <si>
    <t>HR-2</t>
  </si>
  <si>
    <t>EST-100000</t>
  </si>
  <si>
    <t>GATeS</t>
  </si>
  <si>
    <t>Exact method/Schneider (2019)</t>
  </si>
  <si>
    <t>Objetive value/GATeS</t>
  </si>
  <si>
    <t>Time/s /GATeS</t>
  </si>
  <si>
    <t>GAP %/GATeS</t>
  </si>
  <si>
    <t>Δ % (2020) /GATeS</t>
  </si>
  <si>
    <t>Objetive value Cannibalism/GATeS</t>
  </si>
  <si>
    <t>Time/s Cannibalism/GATeS</t>
  </si>
  <si>
    <t>Time/s best solution Cannibalism/GATeS</t>
  </si>
  <si>
    <t>Δ % (2020) Cannibalism/GATeS</t>
  </si>
  <si>
    <t>H-R1/Cruz (2020)</t>
  </si>
  <si>
    <t>H-R2/Cruz (2020)</t>
  </si>
  <si>
    <t>Objetive Value /H-R1</t>
  </si>
  <si>
    <t>Time/s /H-R1</t>
  </si>
  <si>
    <t xml:space="preserve">GAP % /H-R1 </t>
  </si>
  <si>
    <t>Δ % (2020) /H-R1</t>
  </si>
  <si>
    <t>Objetive value /H-R2</t>
  </si>
  <si>
    <t>Time/s /H-R2</t>
  </si>
  <si>
    <t>GAP%/H-R2</t>
  </si>
  <si>
    <t>Δ % (2020)/H-R2</t>
  </si>
  <si>
    <t>Exact method Cannibalism/Schneider (2019)</t>
  </si>
  <si>
    <t>GATeS Cannibalism</t>
  </si>
  <si>
    <t>H-R1 Cannibalism/Cruz (2020)</t>
  </si>
  <si>
    <t>Objetive value Cannibalism/H-R1</t>
  </si>
  <si>
    <t>Time/s Cannibalism/H-R1</t>
  </si>
  <si>
    <t>GAP % Cannibalism/H-R1</t>
  </si>
  <si>
    <t xml:space="preserve">Δ % (2020) Cannibalism/H-R1                                       </t>
  </si>
  <si>
    <t>Objetive value Cannibalism/H-R2</t>
  </si>
  <si>
    <t xml:space="preserve">Time/s Cannibalism/H-R2                  </t>
  </si>
  <si>
    <t>GAP% Cannibalism/H-R2</t>
  </si>
  <si>
    <t>Δ % (2020) Cannibalism/H-R2</t>
  </si>
  <si>
    <t>H-R2 Cannibalism/Cruz (2020)</t>
  </si>
  <si>
    <t>Exact method Similarity/Schneider (2019)</t>
  </si>
  <si>
    <t>GATeS Similarity</t>
  </si>
  <si>
    <t>Objetive value Similarity/GATeS</t>
  </si>
  <si>
    <t>Time/s Similarity/GATeS</t>
  </si>
  <si>
    <t>Time/s best solution Similarity/GATeS</t>
  </si>
  <si>
    <t>Δ % (2020) Similarity/GATeS</t>
  </si>
  <si>
    <t>Relaxed model Similarity/Cruz (2020)</t>
  </si>
  <si>
    <t>H-R1 Similarity/Cruz (2020)</t>
  </si>
  <si>
    <t xml:space="preserve">Objetive value Similarity/H-R1    </t>
  </si>
  <si>
    <t xml:space="preserve">Time/s Similarity/H-R1    </t>
  </si>
  <si>
    <t>GAP % Similarity/H-R1</t>
  </si>
  <si>
    <t>Δ % (2020) Similarity/H-R1</t>
  </si>
  <si>
    <t>Objetive value Similarity/H-R2</t>
  </si>
  <si>
    <t>Time/s Similarity/H-R2</t>
  </si>
  <si>
    <t xml:space="preserve">GAP% Similarity/H-R2                       </t>
  </si>
  <si>
    <t>Δ % (2020) Similarity/H-R2</t>
  </si>
  <si>
    <t>H-R2 Similarity/Cruz (2020)</t>
  </si>
  <si>
    <t>Exact method Dissimilarity/Schneider (2019)</t>
  </si>
  <si>
    <t>GATeS Dissimilarity</t>
  </si>
  <si>
    <t>Objetive value Dissimilarity/GATeS</t>
  </si>
  <si>
    <t>Time/s Dissimilarity/GATeS</t>
  </si>
  <si>
    <t>Time/s best solution Dissimilarity/GATeS</t>
  </si>
  <si>
    <t>Δ % (2020) Dissimilarity/GATeS</t>
  </si>
  <si>
    <t>Relaxed model Dissimilarity/Cruz (2020)</t>
  </si>
  <si>
    <t>H-R1 Dissimilarity/Cruz (2020)</t>
  </si>
  <si>
    <t>Objetive Value Dissimilarity/H-R1</t>
  </si>
  <si>
    <t>Time/s  Dissimilarity/H-R1</t>
  </si>
  <si>
    <t xml:space="preserve">GAP %  Dissimilarity/H-R1 </t>
  </si>
  <si>
    <t>Δ % (2020)  Dissimilarity/H-R1</t>
  </si>
  <si>
    <t>H-R2 Dissimilarity/Cruz (2020)</t>
  </si>
  <si>
    <t>Objetive value Dissimilarity/H-R2</t>
  </si>
  <si>
    <t xml:space="preserve">Time/s Dissimilarity/H-R2  </t>
  </si>
  <si>
    <t xml:space="preserve">GAP% Dissimilarity/H-R2                                     </t>
  </si>
  <si>
    <t xml:space="preserve">Δ % (2020) Dissimilarity/H-R2                   </t>
  </si>
  <si>
    <t>Exact method/Cruz (2020)</t>
  </si>
  <si>
    <t>Objetive value  16 Large/H-R2</t>
  </si>
  <si>
    <t>GAP%  16 Large/H-R1</t>
  </si>
  <si>
    <t>Δ % (2020)  16 Large/H-R2</t>
  </si>
  <si>
    <t>Δ % (2020) 16 Large/H-R1</t>
  </si>
  <si>
    <t>Time/s  16 Large/H-R1</t>
  </si>
  <si>
    <t>Objetive value 16 Large/Exact method</t>
  </si>
  <si>
    <t>Time/s 16 Large/Exact method</t>
  </si>
  <si>
    <t>Objetive value 16 Large/GATeS</t>
  </si>
  <si>
    <t>Time/s 16 Large/GATeS</t>
  </si>
  <si>
    <t>Time/s Best Solution 16 Large/GATeS</t>
  </si>
  <si>
    <t>Δ % (2020) 16 Large/GATeS</t>
  </si>
  <si>
    <t>Exact method Cannibalism Cannibalism/Cruz (2020)</t>
  </si>
  <si>
    <t xml:space="preserve">Time/s  16 Large/H-R1                </t>
  </si>
  <si>
    <t>GAP %  16 Large/H-R1</t>
  </si>
  <si>
    <t>Objetive Value 16 Large/H-R1</t>
  </si>
  <si>
    <t xml:space="preserve">Objetive value 16 Large/Exact method </t>
  </si>
  <si>
    <t xml:space="preserve">Δ % (2020) Cannibalism/H-R2                       </t>
  </si>
  <si>
    <t xml:space="preserve">GAP% Cannibalism /H-R2                                  </t>
  </si>
  <si>
    <t xml:space="preserve">Time/s Cannibalism/H-R2                     </t>
  </si>
  <si>
    <t xml:space="preserve">Objetive value Cannibalism/H-R2 </t>
  </si>
  <si>
    <t>Δ % (2020) Cannibalism  16 Large/H-R1</t>
  </si>
  <si>
    <t>GAP % Cannibalism  16 Large/H-R1</t>
  </si>
  <si>
    <t>Time/s Cannibalism  16 Large/H-R1</t>
  </si>
  <si>
    <t>Objetive Value Cannibalism 16 Large/H-R1</t>
  </si>
  <si>
    <t xml:space="preserve">Objetive value Cannibalism 16 Large/Exact method  </t>
  </si>
  <si>
    <t xml:space="preserve">Time/s Cannibalism 16 Large/Exact method </t>
  </si>
  <si>
    <t xml:space="preserve">GAP % Cannibalism 16 Large/Exact method </t>
  </si>
  <si>
    <t>Objetive value Cannibalism 16 Large/GATeS</t>
  </si>
  <si>
    <t>Time/s Cannibalism 16 Large/GATeS</t>
  </si>
  <si>
    <t>Time/s Best Solution Cannibalism 16 Large/GATeS</t>
  </si>
  <si>
    <t>Δ % (2020) Cannibalism 16 Large/GATeS</t>
  </si>
  <si>
    <t xml:space="preserve">Objetive value Similarity 16 Large/Exact method </t>
  </si>
  <si>
    <t>Time/s Similarity 16 Large/Exact method</t>
  </si>
  <si>
    <t>GAP % Time/s Similarity 16 Large/Exact method</t>
  </si>
  <si>
    <t>Exact method Similarity/Cruz (2020)</t>
  </si>
  <si>
    <t>GAP% Similarity/H-R2</t>
  </si>
  <si>
    <t>Δ % (2019) Similarity/H-R2</t>
  </si>
  <si>
    <t>Δ % (2019) Similarity/H-R1</t>
  </si>
  <si>
    <t>GAP %  Similarity/H-R1</t>
  </si>
  <si>
    <t>Time/s Similarity/H-R1</t>
  </si>
  <si>
    <t>Objetive Value Similarity/H-R1</t>
  </si>
  <si>
    <t>Δ % (2019) Similarity 16 Large/Relaxed model</t>
  </si>
  <si>
    <t>GAP % Similarity 16 Large/Relaxed model</t>
  </si>
  <si>
    <t>Time/s Similarity 16 Large/Relaxed model</t>
  </si>
  <si>
    <t>Objetive value Similarity 16 Large/Relaxed model</t>
  </si>
  <si>
    <t>Time/s Similarity  16 Large/GATeS</t>
  </si>
  <si>
    <t>Objetive value Similarity 16 Large/GATeS</t>
  </si>
  <si>
    <t>Time/s Best Solution Similarity 16 Large/GATeS</t>
  </si>
  <si>
    <t>Δ % (2020) Similarity  16 Large/GATeS</t>
  </si>
  <si>
    <t>Grasp Tabu Dissimilarity</t>
  </si>
  <si>
    <t>Objetive value  Dissimililarity 16 Large/GATeS</t>
  </si>
  <si>
    <t>Time/s  Dissimililarity 16 Large/GATeS</t>
  </si>
  <si>
    <t>Time/s Best Solution  Dissimililarity 16 Large/GATeS</t>
  </si>
  <si>
    <t>Δ % (2020)  Dissimililarity  16 Large/GATeS</t>
  </si>
  <si>
    <t>Exact method Dissimil/Cruz (2020)</t>
  </si>
  <si>
    <t>Objetive value Dissimililarity 16 Large/Exact method</t>
  </si>
  <si>
    <t>Time/s  Dissimililarity 16 Large/Exact method</t>
  </si>
  <si>
    <t>GAP % Time/s  Dissimililarity 16 Large/Exact method</t>
  </si>
  <si>
    <t xml:space="preserve">Objetive Value Dissimililarity 16 Large/H-R1 </t>
  </si>
  <si>
    <t>Time/s Dissimililarity 16 Large/H-R1</t>
  </si>
  <si>
    <t>GAP %  Dissimililarity 16 Large/H-R1</t>
  </si>
  <si>
    <t>Δ % (2020) Dissimililarity 16 Large/H-R1</t>
  </si>
  <si>
    <t>Objetive value Dissimilarity 16 Large/H-R2</t>
  </si>
  <si>
    <t>Time/s Dissimilarity 16 Large/H-R2</t>
  </si>
  <si>
    <t>GAP% Dissimilarity 16 Large/H-R2</t>
  </si>
  <si>
    <t>Δ % (2020) Dissimilarity 16 Large/H-R2</t>
  </si>
  <si>
    <t>Objetive value 18 stratified/GATeS</t>
  </si>
  <si>
    <t>Time/s 18 stratified/GATeS</t>
  </si>
  <si>
    <t>Time/s Best Solution 18 stratified/GATeS</t>
  </si>
  <si>
    <t>Δ % (2020) 18 stratified/GATeS</t>
  </si>
  <si>
    <t>Objetive value 18 stratified/Exact method</t>
  </si>
  <si>
    <t>Time/s 18 stratified/Exact method</t>
  </si>
  <si>
    <t>Objetive Value 18 stratified/H-R1</t>
  </si>
  <si>
    <t>Time/s  18 stratified/H-R1</t>
  </si>
  <si>
    <t>Δ % (2020) 18 stratified/H-R1</t>
  </si>
  <si>
    <t>Objetive value  18 stratified/H-R2</t>
  </si>
  <si>
    <t xml:space="preserve">Time/s  18 stratified/H-R1                </t>
  </si>
  <si>
    <t>Δ % (2020) 18 stratified/H-R2</t>
  </si>
  <si>
    <t>Exact method Cannibalism/Cruz (2020)</t>
  </si>
  <si>
    <t>Objetive value Cannibalism 18 stratified/Exact method</t>
  </si>
  <si>
    <t>Time/s Cannibalism 18 stratified/Exact method</t>
  </si>
  <si>
    <t>Objetive value Cannibalism 18 stratified/GATeS</t>
  </si>
  <si>
    <t>Time/s Cannibalism 18 stratified/GATeS</t>
  </si>
  <si>
    <t>Time/s Best Solution Cannibalism 18 stratified/GATeS</t>
  </si>
  <si>
    <t>Δ % (2020) Cannibalism 18 stratified/GATeS</t>
  </si>
  <si>
    <t>Objetive Value Cannibalis m18 stratified/H-R1</t>
  </si>
  <si>
    <t>Time/s Cannibalism 18 stratified/H-R1</t>
  </si>
  <si>
    <t>Δ % (2020) Cannibalism 18 stratified/H-R1</t>
  </si>
  <si>
    <t>Objetive value Cannibalism 18 stratified/H-R2</t>
  </si>
  <si>
    <t xml:space="preserve">Time/s Cannibalism 18 stratified/H-R1                </t>
  </si>
  <si>
    <t>Δ % (2020) Cannibalism 18 stratified/H-R2</t>
  </si>
  <si>
    <t>Objetive value Similarity 18 stratified/Exact method</t>
  </si>
  <si>
    <t>Time/s Similarity 18 stratified/Exact method</t>
  </si>
  <si>
    <t>Objetive value Similarity 18 stratified/GATeS</t>
  </si>
  <si>
    <t>Time/s Similarity 18 stratified/GATeS</t>
  </si>
  <si>
    <t>Time/s Best Solution Similarity 18 stratified/GATeS</t>
  </si>
  <si>
    <t>Δ % (2020) Similarity 18 stratified/GATeS</t>
  </si>
  <si>
    <t>Objetive Value Similarity 18 stratified/H-R1</t>
  </si>
  <si>
    <t>Time/s Similarity 18 stratified/H-R1</t>
  </si>
  <si>
    <t>Δ % (2020) Similarity 18 stratified/H-R1</t>
  </si>
  <si>
    <t>Objetive value Similarity 18 stratified/H-R2</t>
  </si>
  <si>
    <t xml:space="preserve">Time/s Similarity 18 stratified/H-R1                </t>
  </si>
  <si>
    <t>Δ % (2020) Similarity 18 stratified/H-R2</t>
  </si>
  <si>
    <t>Exact method Dissimilarity/Cruz (2020)</t>
  </si>
  <si>
    <t>Objetive value Dissimilarity 18 stratified/Exact method</t>
  </si>
  <si>
    <t>Time/s Dissimilarity 18 stratified/Exact method</t>
  </si>
  <si>
    <t>Objetive value Dissimilarity 18 stratified/GRASP Tabu</t>
  </si>
  <si>
    <t>Time/s Dissimilarity 18 stratified/GRASP Tabu</t>
  </si>
  <si>
    <t>Δ % (2020) Dissimilarity 18 stratified/GRASP Tabu</t>
  </si>
  <si>
    <t>Objetive value Dissimilarity 18 stratified/GATeS</t>
  </si>
  <si>
    <t>Time/s Dissimilarity 18 stratified/GATeS</t>
  </si>
  <si>
    <t>Time/s Best Solution Dissimilarity 18 stratified/GATeS</t>
  </si>
  <si>
    <t>Δ % (2020) Dissimilarity 18 stratified/GATeS</t>
  </si>
  <si>
    <t>Objetive value Dissimilarity 18 stratified/Relaxed model</t>
  </si>
  <si>
    <t>Time/s Dissimilarity 18 stratified/Relaxed model</t>
  </si>
  <si>
    <t>GAP % Dissimilarity 18 stratified/Relaxed model</t>
  </si>
  <si>
    <t>Δ % (2020) Dissimilarity 18 stratified/Relaxed model</t>
  </si>
  <si>
    <t>Objetive Value Dissimilarity 18 stratified/H-R1</t>
  </si>
  <si>
    <t>Time/s Dissimilarity 18 stratified/H-R1</t>
  </si>
  <si>
    <t>GAP % Dissimilarity 18 stratified/H-R1</t>
  </si>
  <si>
    <t>Δ % (2020) Dissimilarity 18 stratified/H-R1</t>
  </si>
  <si>
    <t>Objetive value Dissimilarity 18 stratified/H-R2</t>
  </si>
  <si>
    <t xml:space="preserve">Time/s Dissimilarity 18 stratified/H-R1                </t>
  </si>
  <si>
    <t>GAP% Dissimilarity 18 stratified/H-R1</t>
  </si>
  <si>
    <t>Δ % (2020) Dissimilarity 18 stratified/H-R2</t>
  </si>
  <si>
    <t>GAP % Time/s  18 stratified/Exact method</t>
  </si>
  <si>
    <t>GAP % Time/s Cannibalism  18 stratified/Exact method</t>
  </si>
  <si>
    <t>GAP % Time/s Similarity  18 stratified/Exact method</t>
  </si>
  <si>
    <t>GAP % Time/s Dissimilarity 18 stratified/Exact method</t>
  </si>
  <si>
    <t>GATeS=HR-1</t>
  </si>
  <si>
    <t>GATeS=HR-2</t>
  </si>
  <si>
    <t>HR-1=HR-2</t>
  </si>
  <si>
    <t>GATeS=HR-1=HR-2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</si>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</sst>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;[Red]0.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CC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7" borderId="3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4" fontId="0" fillId="11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2" fontId="0" fillId="7" borderId="3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8" borderId="3" xfId="0" applyNumberFormat="1" applyFont="1" applyFill="1" applyBorder="1" applyAlignment="1">
      <alignment horizontal="center" vertical="center"/>
    </xf>
    <xf numFmtId="2" fontId="0" fillId="7" borderId="9" xfId="0" applyNumberFormat="1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2" fontId="0" fillId="7" borderId="10" xfId="0" applyNumberFormat="1" applyFont="1" applyFill="1" applyBorder="1" applyAlignment="1">
      <alignment horizontal="center" vertical="center"/>
    </xf>
    <xf numFmtId="2" fontId="0" fillId="7" borderId="3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2" fontId="0" fillId="6" borderId="10" xfId="0" applyNumberFormat="1" applyFon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 wrapText="1"/>
    </xf>
    <xf numFmtId="2" fontId="2" fillId="8" borderId="3" xfId="0" applyNumberFormat="1" applyFont="1" applyFill="1" applyBorder="1" applyAlignment="1">
      <alignment horizontal="center" vertical="center" wrapText="1"/>
    </xf>
    <xf numFmtId="2" fontId="2" fillId="8" borderId="1" xfId="0" applyNumberFormat="1" applyFont="1" applyFill="1" applyBorder="1" applyAlignment="1">
      <alignment horizontal="center" vertical="center" wrapText="1"/>
    </xf>
    <xf numFmtId="2" fontId="0" fillId="11" borderId="12" xfId="0" applyNumberFormat="1" applyFill="1" applyBorder="1" applyAlignment="1">
      <alignment horizontal="center" vertical="center"/>
    </xf>
    <xf numFmtId="2" fontId="0" fillId="11" borderId="4" xfId="0" applyNumberForma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2" fontId="0" fillId="11" borderId="11" xfId="0" applyNumberForma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1" xfId="0" applyNumberFormat="1" applyFont="1" applyFill="1" applyBorder="1" applyAlignment="1">
      <alignment horizontal="center" vertical="center"/>
    </xf>
    <xf numFmtId="2" fontId="0" fillId="10" borderId="3" xfId="0" applyNumberFormat="1" applyFont="1" applyFill="1" applyBorder="1" applyAlignment="1">
      <alignment horizontal="center" vertical="center"/>
    </xf>
    <xf numFmtId="2" fontId="0" fillId="10" borderId="3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2" fontId="0" fillId="8" borderId="1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2" fontId="0" fillId="8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8" borderId="3" xfId="0" applyNumberFormat="1" applyFon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16" borderId="10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2" fontId="2" fillId="15" borderId="2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2" fontId="0" fillId="17" borderId="2" xfId="0" applyNumberFormat="1" applyFont="1" applyFill="1" applyBorder="1" applyAlignment="1">
      <alignment horizontal="center" vertical="center"/>
    </xf>
    <xf numFmtId="2" fontId="0" fillId="7" borderId="2" xfId="0" applyNumberFormat="1" applyFont="1" applyFill="1" applyBorder="1" applyAlignment="1">
      <alignment horizontal="center" vertical="center"/>
    </xf>
    <xf numFmtId="2" fontId="0" fillId="8" borderId="2" xfId="0" applyNumberFormat="1" applyFont="1" applyFill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2" fontId="0" fillId="10" borderId="2" xfId="0" applyNumberFormat="1" applyFont="1" applyFill="1" applyBorder="1" applyAlignment="1">
      <alignment horizontal="center" vertical="center"/>
    </xf>
    <xf numFmtId="4" fontId="0" fillId="11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2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1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16" borderId="2" xfId="0" applyNumberFormat="1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2" fontId="2" fillId="14" borderId="2" xfId="0" applyNumberFormat="1" applyFont="1" applyFill="1" applyBorder="1" applyAlignment="1">
      <alignment horizontal="center" vertical="center" wrapText="1"/>
    </xf>
    <xf numFmtId="166" fontId="0" fillId="11" borderId="2" xfId="0" applyNumberFormat="1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2" fontId="0" fillId="8" borderId="2" xfId="0" applyNumberFormat="1" applyFont="1" applyFill="1" applyBorder="1" applyAlignment="1">
      <alignment horizontal="center"/>
    </xf>
    <xf numFmtId="2" fontId="0" fillId="8" borderId="3" xfId="0" applyNumberFormat="1" applyFont="1" applyFill="1" applyBorder="1" applyAlignment="1">
      <alignment horizontal="center"/>
    </xf>
    <xf numFmtId="2" fontId="0" fillId="16" borderId="7" xfId="0" applyNumberFormat="1" applyFont="1" applyFill="1" applyBorder="1" applyAlignment="1">
      <alignment horizontal="center" vertical="center"/>
    </xf>
    <xf numFmtId="2" fontId="0" fillId="8" borderId="10" xfId="0" applyNumberFormat="1" applyFont="1" applyFill="1" applyBorder="1" applyAlignment="1">
      <alignment horizontal="center" vertical="center"/>
    </xf>
    <xf numFmtId="2" fontId="0" fillId="3" borderId="13" xfId="0" applyNumberFormat="1" applyFont="1" applyFill="1" applyBorder="1" applyAlignment="1">
      <alignment horizontal="center" vertical="center"/>
    </xf>
    <xf numFmtId="2" fontId="5" fillId="10" borderId="2" xfId="0" applyNumberFormat="1" applyFont="1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 wrapText="1"/>
    </xf>
    <xf numFmtId="2" fontId="0" fillId="8" borderId="9" xfId="0" applyNumberFormat="1" applyFont="1" applyFill="1" applyBorder="1" applyAlignment="1">
      <alignment horizontal="center"/>
    </xf>
    <xf numFmtId="0" fontId="0" fillId="16" borderId="22" xfId="0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 vertical="center" wrapText="1"/>
    </xf>
    <xf numFmtId="2" fontId="0" fillId="16" borderId="22" xfId="0" applyNumberFormat="1" applyFont="1" applyFill="1" applyBorder="1" applyAlignment="1">
      <alignment horizontal="center"/>
    </xf>
    <xf numFmtId="2" fontId="0" fillId="15" borderId="20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2" fontId="0" fillId="8" borderId="8" xfId="0" applyNumberFormat="1" applyFont="1" applyFill="1" applyBorder="1" applyAlignment="1">
      <alignment horizontal="center" vertical="center"/>
    </xf>
    <xf numFmtId="0" fontId="0" fillId="15" borderId="16" xfId="0" applyFont="1" applyFill="1" applyBorder="1" applyAlignment="1">
      <alignment horizontal="center" vertical="center"/>
    </xf>
    <xf numFmtId="0" fontId="0" fillId="15" borderId="23" xfId="0" applyFont="1" applyFill="1" applyBorder="1" applyAlignment="1">
      <alignment horizontal="center" vertical="center"/>
    </xf>
    <xf numFmtId="0" fontId="0" fillId="15" borderId="17" xfId="0" applyFont="1" applyFill="1" applyBorder="1" applyAlignment="1">
      <alignment horizontal="center" vertical="center"/>
    </xf>
    <xf numFmtId="0" fontId="0" fillId="15" borderId="24" xfId="0" applyFont="1" applyFill="1" applyBorder="1" applyAlignment="1">
      <alignment horizontal="center" vertical="center"/>
    </xf>
    <xf numFmtId="2" fontId="0" fillId="15" borderId="16" xfId="0" applyNumberFormat="1" applyFont="1" applyFill="1" applyBorder="1" applyAlignment="1">
      <alignment horizontal="center" vertical="center"/>
    </xf>
    <xf numFmtId="2" fontId="0" fillId="15" borderId="23" xfId="0" applyNumberFormat="1" applyFont="1" applyFill="1" applyBorder="1" applyAlignment="1">
      <alignment horizontal="center" vertical="center"/>
    </xf>
    <xf numFmtId="2" fontId="0" fillId="15" borderId="17" xfId="0" applyNumberFormat="1" applyFont="1" applyFill="1" applyBorder="1" applyAlignment="1">
      <alignment horizontal="center" vertical="center"/>
    </xf>
    <xf numFmtId="2" fontId="0" fillId="15" borderId="2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0" fontId="0" fillId="16" borderId="0" xfId="0" applyFill="1"/>
    <xf numFmtId="0" fontId="2" fillId="19" borderId="1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" fontId="0" fillId="16" borderId="1" xfId="0" applyNumberFormat="1" applyFont="1" applyFill="1" applyBorder="1" applyAlignment="1">
      <alignment horizontal="center" vertical="center"/>
    </xf>
    <xf numFmtId="2" fontId="0" fillId="17" borderId="3" xfId="0" applyNumberFormat="1" applyFont="1" applyFill="1" applyBorder="1" applyAlignment="1">
      <alignment horizontal="center" vertical="center"/>
    </xf>
    <xf numFmtId="2" fontId="0" fillId="17" borderId="9" xfId="0" applyNumberFormat="1" applyFont="1" applyFill="1" applyBorder="1" applyAlignment="1">
      <alignment horizontal="center" vertical="center"/>
    </xf>
    <xf numFmtId="2" fontId="0" fillId="17" borderId="1" xfId="0" applyNumberFormat="1" applyFont="1" applyFill="1" applyBorder="1" applyAlignment="1">
      <alignment horizontal="center" vertical="center"/>
    </xf>
    <xf numFmtId="2" fontId="0" fillId="17" borderId="3" xfId="0" applyNumberFormat="1" applyFill="1" applyBorder="1" applyAlignment="1">
      <alignment horizontal="center"/>
    </xf>
    <xf numFmtId="2" fontId="0" fillId="16" borderId="10" xfId="0" applyNumberFormat="1" applyFont="1" applyFill="1" applyBorder="1" applyAlignment="1">
      <alignment horizontal="center" vertical="center"/>
    </xf>
    <xf numFmtId="4" fontId="0" fillId="16" borderId="1" xfId="0" applyNumberFormat="1" applyFont="1" applyFill="1" applyBorder="1" applyAlignment="1">
      <alignment horizontal="center" vertical="center"/>
    </xf>
    <xf numFmtId="4" fontId="0" fillId="16" borderId="10" xfId="0" applyNumberFormat="1" applyFont="1" applyFill="1" applyBorder="1" applyAlignment="1">
      <alignment horizontal="center" vertical="center"/>
    </xf>
    <xf numFmtId="2" fontId="0" fillId="17" borderId="10" xfId="0" applyNumberFormat="1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2" fontId="3" fillId="9" borderId="1" xfId="0" applyNumberFormat="1" applyFont="1" applyFill="1" applyBorder="1" applyAlignment="1">
      <alignment horizontal="center" vertical="center"/>
    </xf>
    <xf numFmtId="165" fontId="3" fillId="9" borderId="1" xfId="0" applyNumberFormat="1" applyFont="1" applyFill="1" applyBorder="1" applyAlignment="1">
      <alignment horizontal="center" vertical="center"/>
    </xf>
    <xf numFmtId="2" fontId="3" fillId="9" borderId="1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wrapText="1"/>
    </xf>
    <xf numFmtId="2" fontId="1" fillId="2" borderId="1" xfId="0" applyNumberFormat="1" applyFont="1" applyFill="1" applyBorder="1" applyAlignment="1">
      <alignment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2" fillId="18" borderId="2" xfId="0" applyNumberFormat="1" applyFont="1" applyFill="1" applyBorder="1" applyAlignment="1">
      <alignment horizontal="center" vertical="center" wrapText="1"/>
    </xf>
    <xf numFmtId="2" fontId="0" fillId="18" borderId="0" xfId="0" applyNumberFormat="1" applyFill="1" applyAlignment="1">
      <alignment horizontal="center" vertical="center"/>
    </xf>
    <xf numFmtId="2" fontId="0" fillId="18" borderId="0" xfId="0" applyNumberFormat="1" applyFill="1" applyAlignment="1">
      <alignment horizontal="center"/>
    </xf>
    <xf numFmtId="2" fontId="2" fillId="19" borderId="1" xfId="0" applyNumberFormat="1" applyFont="1" applyFill="1" applyBorder="1" applyAlignment="1">
      <alignment horizontal="center" vertical="center" wrapText="1"/>
    </xf>
    <xf numFmtId="2" fontId="2" fillId="17" borderId="1" xfId="0" applyNumberFormat="1" applyFon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2" fontId="1" fillId="11" borderId="26" xfId="0" applyNumberFormat="1" applyFont="1" applyFill="1" applyBorder="1" applyAlignment="1">
      <alignment horizontal="center" vertical="center"/>
    </xf>
    <xf numFmtId="2" fontId="1" fillId="11" borderId="9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 vertical="center" wrapText="1"/>
    </xf>
    <xf numFmtId="2" fontId="2" fillId="17" borderId="3" xfId="0" applyNumberFormat="1" applyFont="1" applyFill="1" applyBorder="1" applyAlignment="1">
      <alignment horizontal="center" vertical="center" wrapText="1"/>
    </xf>
    <xf numFmtId="2" fontId="1" fillId="11" borderId="0" xfId="0" applyNumberFormat="1" applyFont="1" applyFill="1" applyAlignment="1">
      <alignment horizontal="center"/>
    </xf>
    <xf numFmtId="166" fontId="0" fillId="18" borderId="0" xfId="0" applyNumberFormat="1" applyFill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/>
    </xf>
    <xf numFmtId="2" fontId="1" fillId="8" borderId="5" xfId="0" applyNumberFormat="1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2" fontId="1" fillId="8" borderId="7" xfId="0" applyNumberFormat="1" applyFont="1" applyFill="1" applyBorder="1" applyAlignment="1">
      <alignment horizontal="center" vertical="center"/>
    </xf>
    <xf numFmtId="2" fontId="1" fillId="7" borderId="5" xfId="0" applyNumberFormat="1" applyFont="1" applyFill="1" applyBorder="1" applyAlignment="1">
      <alignment horizontal="center" vertical="center"/>
    </xf>
    <xf numFmtId="2" fontId="1" fillId="7" borderId="6" xfId="0" applyNumberFormat="1" applyFont="1" applyFill="1" applyBorder="1" applyAlignment="1">
      <alignment horizontal="center" vertical="center"/>
    </xf>
    <xf numFmtId="2" fontId="1" fillId="7" borderId="7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/>
    </xf>
    <xf numFmtId="2" fontId="1" fillId="15" borderId="17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6" borderId="1" xfId="0" quotePrefix="1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2" fontId="1" fillId="17" borderId="7" xfId="0" applyNumberFormat="1" applyFont="1" applyFill="1" applyBorder="1" applyAlignment="1">
      <alignment horizontal="center" vertical="center"/>
    </xf>
    <xf numFmtId="0" fontId="1" fillId="16" borderId="5" xfId="0" quotePrefix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2" fontId="1" fillId="18" borderId="15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2" fontId="1" fillId="19" borderId="5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2" fontId="1" fillId="19" borderId="7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6" borderId="6" xfId="0" quotePrefix="1" applyFont="1" applyFill="1" applyBorder="1" applyAlignment="1">
      <alignment horizontal="center" vertical="center"/>
    </xf>
    <xf numFmtId="0" fontId="1" fillId="16" borderId="7" xfId="0" quotePrefix="1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2" fontId="1" fillId="17" borderId="5" xfId="0" applyNumberFormat="1" applyFont="1" applyFill="1" applyBorder="1" applyAlignment="1">
      <alignment horizontal="center" vertical="center"/>
    </xf>
    <xf numFmtId="2" fontId="1" fillId="17" borderId="6" xfId="0" applyNumberFormat="1" applyFont="1" applyFill="1" applyBorder="1" applyAlignment="1">
      <alignment horizontal="center" vertical="center"/>
    </xf>
    <xf numFmtId="2" fontId="1" fillId="9" borderId="5" xfId="0" applyNumberFormat="1" applyFont="1" applyFill="1" applyBorder="1" applyAlignment="1">
      <alignment horizontal="center" vertical="center" wrapText="1"/>
    </xf>
    <xf numFmtId="2" fontId="1" fillId="9" borderId="6" xfId="0" applyNumberFormat="1" applyFont="1" applyFill="1" applyBorder="1" applyAlignment="1">
      <alignment horizontal="center" vertical="center" wrapText="1"/>
    </xf>
    <xf numFmtId="2" fontId="1" fillId="9" borderId="7" xfId="0" applyNumberFormat="1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color auto="1"/>
      </font>
      <numFmt numFmtId="165" formatCode="0.00;[Red]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</font>
      <fill>
        <patternFill>
          <fgColor indexed="64"/>
          <bgColor theme="0"/>
        </patternFill>
      </fill>
      <alignment horizontal="center" textRotation="0" wrapText="0" indent="0" justifyLastLine="0" shrinkToFit="0" readingOrder="0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66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66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>
          <fgColor indexed="64"/>
          <bgColor theme="8" tint="0.59999389629810485"/>
        </patternFill>
      </fill>
      <alignment horizontal="center" textRotation="0" indent="0" justifyLastLine="0" shrinkToFit="0" readingOrder="0"/>
      <border>
        <left/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2" formatCode="0.00"/>
      <fill>
        <patternFill>
          <fgColor indexed="64"/>
          <bgColor theme="0"/>
        </patternFill>
      </fill>
      <alignment horizontal="center" textRotation="0" wrapText="0" indent="0" justifyLastLine="0" shrinkToFit="0" readingOrder="0"/>
    </dxf>
    <dxf>
      <border outline="0">
        <left style="thin">
          <color rgb="FF000000"/>
        </left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>
          <fgColor indexed="64"/>
          <bgColor theme="8" tint="0.59999389629810485"/>
        </patternFill>
      </fill>
      <alignment horizontal="center" textRotation="0" indent="0" justifyLastLine="0" shrinkToFit="0" readingOrder="0"/>
      <border outline="0">
        <left/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;[Red]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fill>
        <patternFill>
          <fgColor indexed="64"/>
          <bgColor theme="0"/>
        </patternFill>
      </fill>
      <alignment horizontal="center" textRotation="0" wrapText="0" indent="0" justifyLastLine="0" shrinkToFit="0" readingOrder="0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>
        <right style="thin">
          <color indexed="64"/>
        </right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color theme="1" tint="4.9989318521683403E-2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color theme="1" tint="4.9989318521683403E-2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808080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808080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CC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</font>
      <numFmt numFmtId="2" formatCode="0.00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rgb="FFFF99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 outline="0">
        <top style="thin">
          <color theme="1" tint="0.499984740745262"/>
        </top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  <dxf>
      <numFmt numFmtId="167" formatCode="#,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Estilo de Tabela Dinâmica 1" table="0" count="1">
      <tableStyleElement type="wholeTable" dxfId="669"/>
    </tableStyle>
    <tableStyle name="Sem fundo" pivot="0" count="1">
      <tableStyleElement type="wholeTable" dxfId="668"/>
    </tableStyle>
  </tableStyles>
  <colors>
    <mruColors>
      <color rgb="FFFFCCCC"/>
      <color rgb="FFFFCCFF"/>
      <color rgb="FF66FFCC"/>
      <color rgb="FFCCCCFF"/>
      <color rgb="FFFFCC99"/>
      <color rgb="FF9999FF"/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ela135" displayName="Tabela135" ref="A2:W327" totalsRowCount="1" headerRowDxfId="667" dataDxfId="665" totalsRowDxfId="664" headerRowBorderDxfId="666" totalsRowBorderDxfId="663">
  <autoFilter ref="A2:W326"/>
  <sortState ref="A3:AM326">
    <sortCondition ref="B2:B326"/>
  </sortState>
  <tableColumns count="23">
    <tableColumn id="1" name="Group" totalsRowLabel="Total" dataDxfId="662" totalsRowDxfId="661"/>
    <tableColumn id="12" name="Instances" dataDxfId="660" totalsRowDxfId="659"/>
    <tableColumn id="3" name="Clients" dataDxfId="658" totalsRowDxfId="657"/>
    <tableColumn id="4" name="Hurdle Rate" dataDxfId="656" totalsRowDxfId="655"/>
    <tableColumn id="5" name="Number of Products" dataDxfId="654" totalsRowDxfId="653"/>
    <tableColumn id="6" name="Budget" dataDxfId="652" totalsRowDxfId="651"/>
    <tableColumn id="7" name="Offers" totalsRowFunction="count" dataDxfId="650" totalsRowDxfId="649"/>
    <tableColumn id="2" name="Ejor" totalsRowFunction="average" dataDxfId="648" totalsRowDxfId="647"/>
    <tableColumn id="8" name="Objetive value" totalsRowFunction="average" dataDxfId="646" totalsRowDxfId="645"/>
    <tableColumn id="10" name="Time/s" totalsRowFunction="average" dataDxfId="644" totalsRowDxfId="643"/>
    <tableColumn id="9" name="GAP %" totalsRowFunction="average" dataDxfId="642" totalsRowDxfId="641"/>
    <tableColumn id="29" name="Objetive value/GATeS" totalsRowFunction="average" dataDxfId="640" totalsRowDxfId="639"/>
    <tableColumn id="30" name="Time/s /GATeS" dataDxfId="638" totalsRowDxfId="637"/>
    <tableColumn id="31" name="GAP %/GATeS" dataDxfId="636" totalsRowDxfId="635"/>
    <tableColumn id="32" name="Δ % (2020) /GATeS" totalsRowFunction="average" dataDxfId="634" totalsRowDxfId="633">
      <calculatedColumnFormula>((Tabela135[[#This Row],[Objetive value]]-Tabela135[[#This Row],[Objetive value/GATeS]])/Tabela135[[#This Row],[Objetive value]])*100</calculatedColumnFormula>
    </tableColumn>
    <tableColumn id="13" name="Objetive Value /H-R1" totalsRowFunction="average" dataDxfId="632" totalsRowDxfId="631"/>
    <tableColumn id="14" name="Time/s /H-R1" totalsRowFunction="average" dataDxfId="630" totalsRowDxfId="629"/>
    <tableColumn id="16" name="GAP % /H-R1 " totalsRowFunction="average" dataDxfId="628" totalsRowDxfId="627"/>
    <tableColumn id="15" name="Δ % (2020) /H-R1" totalsRowFunction="average" dataDxfId="626" totalsRowDxfId="625">
      <calculatedColumnFormula>(((Tabela135[[#This Row],[Objetive value]]-Tabela135[[#This Row],[Objetive Value /H-R1]])/Tabela135[[#This Row],[Objetive value]]))*100</calculatedColumnFormula>
    </tableColumn>
    <tableColumn id="18" name="Objetive value /H-R2" totalsRowFunction="average" dataDxfId="624" totalsRowDxfId="623"/>
    <tableColumn id="21" name="Time/s /H-R2" totalsRowFunction="average" dataDxfId="622" totalsRowDxfId="621"/>
    <tableColumn id="22" name="GAP%/H-R2" totalsRowFunction="average" dataDxfId="620" totalsRowDxfId="619"/>
    <tableColumn id="24" name="Δ % (2020)/H-R2" totalsRowFunction="average" dataDxfId="618" totalsRowDxfId="617">
      <calculatedColumnFormula>(((Tabela135[[#This Row],[Objetive value]]-Tabela135[[#This Row],[Objetive value /H-R2]])/Tabela135[[#This Row],[Objetive value]]))*100</calculatedColumnFormula>
    </tableColumn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7" name="Tabela38" displayName="Tabela38" ref="A2:R21" totalsRowCount="1" headerRowDxfId="275" totalsRowDxfId="273" tableBorderDxfId="274">
  <autoFilter ref="A2:R20"/>
  <sortState ref="A3:AD20">
    <sortCondition ref="B2:B20"/>
  </sortState>
  <tableColumns count="18">
    <tableColumn id="1" name="Group" totalsRowLabel="Total" dataDxfId="272" totalsRowDxfId="271"/>
    <tableColumn id="2" name="Instances" dataDxfId="270" totalsRowDxfId="269"/>
    <tableColumn id="3" name="Clients" dataDxfId="268" totalsRowDxfId="267"/>
    <tableColumn id="4" name="Hurdle Rate" dataDxfId="266" totalsRowDxfId="265"/>
    <tableColumn id="5" name="Number of Products" dataDxfId="264" totalsRowDxfId="263"/>
    <tableColumn id="8" name="Objetive value Cannibalism 18 stratified/Exact method" totalsRowFunction="average" dataDxfId="262" totalsRowDxfId="261"/>
    <tableColumn id="9" name="Time/s Cannibalism 18 stratified/Exact method" totalsRowFunction="average" dataDxfId="260" totalsRowDxfId="259"/>
    <tableColumn id="10" name="GAP % Time/s Cannibalism  18 stratified/Exact method" totalsRowFunction="average" dataDxfId="258" totalsRowDxfId="257"/>
    <tableColumn id="14" name="Objetive value Cannibalism 18 stratified/GATeS" totalsRowFunction="average" dataDxfId="256" totalsRowDxfId="255"/>
    <tableColumn id="15" name="Time/s Cannibalism 18 stratified/GATeS" totalsRowFunction="average" dataDxfId="254" totalsRowDxfId="253"/>
    <tableColumn id="16" name="Time/s Best Solution Cannibalism 18 stratified/GATeS" totalsRowFunction="average" dataDxfId="252" totalsRowDxfId="251"/>
    <tableColumn id="17" name="Δ % (2020) Cannibalism 18 stratified/GATeS" totalsRowFunction="average" dataDxfId="250" totalsRowDxfId="249">
      <calculatedColumnFormula>((Tabela38[[#This Row],[Objetive value Cannibalism 18 stratified/Exact method]]-Tabela38[[#This Row],[Objetive value Cannibalism 18 stratified/GATeS]])/Tabela38[[#This Row],[Objetive value Cannibalism 18 stratified/Exact method]])*100</calculatedColumnFormula>
    </tableColumn>
    <tableColumn id="22" name="Objetive Value Cannibalis m18 stratified/H-R1" totalsRowFunction="average" dataDxfId="248" totalsRowDxfId="247"/>
    <tableColumn id="23" name="Time/s Cannibalism 18 stratified/H-R1" totalsRowFunction="average" dataDxfId="246" totalsRowDxfId="245"/>
    <tableColumn id="25" name="Δ % (2020) Cannibalism 18 stratified/H-R1" totalsRowFunction="average" dataDxfId="244" totalsRowDxfId="243">
      <calculatedColumnFormula>((Tabela38[[#This Row],[Objetive value Cannibalism 18 stratified/Exact method]]-Tabela38[[#This Row],[Objetive Value Cannibalis m18 stratified/H-R1]])/Tabela38[[#This Row],[Objetive value Cannibalism 18 stratified/Exact method]])*100</calculatedColumnFormula>
    </tableColumn>
    <tableColumn id="26" name="Objetive value Cannibalism 18 stratified/H-R2" totalsRowFunction="average" dataDxfId="242" totalsRowDxfId="241"/>
    <tableColumn id="27" name="Time/s Cannibalism 18 stratified/H-R1                " totalsRowFunction="average" dataDxfId="240" totalsRowDxfId="239"/>
    <tableColumn id="29" name="Δ % (2020) Cannibalism 18 stratified/H-R2" totalsRowFunction="average" dataDxfId="238" totalsRowDxfId="237">
      <calculatedColumnFormula>((Tabela38[[#This Row],[Objetive value Cannibalism 18 stratified/Exact method]]-Tabela38[[#This Row],[Objetive value Cannibalism 18 stratified/H-R2]])/Tabela38[[#This Row],[Objetive value Cannibalism 18 stratified/Exact method]])*100</calculatedColumnFormula>
    </tableColumn>
  </tableColumns>
  <tableStyleInfo name="Sem fundo" showFirstColumn="0" showLastColumn="0" showRowStripes="1" showColumnStripes="0"/>
</table>
</file>

<file path=xl/tables/table11.xml><?xml version="1.0" encoding="utf-8"?>
<table xmlns="http://schemas.openxmlformats.org/spreadsheetml/2006/main" id="9" name="Tabela3810" displayName="Tabela3810" ref="A2:R21" totalsRowCount="1" headerRowDxfId="236" dataDxfId="235" totalsRowDxfId="233" tableBorderDxfId="234">
  <autoFilter ref="A2:R20"/>
  <sortState ref="A3:AD20">
    <sortCondition ref="B2:B20"/>
  </sortState>
  <tableColumns count="18">
    <tableColumn id="1" name="Group" totalsRowLabel="Total" dataDxfId="232" totalsRowDxfId="231"/>
    <tableColumn id="2" name="Instances" dataDxfId="230" totalsRowDxfId="229"/>
    <tableColumn id="3" name="Clients" dataDxfId="228" totalsRowDxfId="227"/>
    <tableColumn id="4" name="Hurdle Rate" dataDxfId="226" totalsRowDxfId="225"/>
    <tableColumn id="5" name="Number of Products" dataDxfId="224" totalsRowDxfId="223"/>
    <tableColumn id="8" name="Objetive value Similarity 18 stratified/Exact method" totalsRowFunction="average" dataDxfId="222" totalsRowDxfId="221"/>
    <tableColumn id="9" name="Time/s Similarity 18 stratified/Exact method" totalsRowFunction="average" dataDxfId="220" totalsRowDxfId="219"/>
    <tableColumn id="10" name="GAP % Time/s Similarity  18 stratified/Exact method" totalsRowFunction="average" dataDxfId="218" totalsRowDxfId="217"/>
    <tableColumn id="14" name="Objetive value Similarity 18 stratified/GATeS" totalsRowFunction="average" dataDxfId="216" totalsRowDxfId="215"/>
    <tableColumn id="15" name="Time/s Similarity 18 stratified/GATeS" totalsRowFunction="average" dataDxfId="214" totalsRowDxfId="213"/>
    <tableColumn id="16" name="Time/s Best Solution Similarity 18 stratified/GATeS" totalsRowFunction="average" dataDxfId="212" totalsRowDxfId="211"/>
    <tableColumn id="17" name="Δ % (2020) Similarity 18 stratified/GATeS" totalsRowFunction="average" dataDxfId="210" totalsRowDxfId="209">
      <calculatedColumnFormula>((Tabela3810[[#This Row],[Objetive value Similarity 18 stratified/Exact method]]-Tabela3810[[#This Row],[Objetive value Similarity 18 stratified/GATeS]])/Tabela3810[[#This Row],[Objetive value Similarity 18 stratified/Exact method]])*100</calculatedColumnFormula>
    </tableColumn>
    <tableColumn id="22" name="Objetive Value Similarity 18 stratified/H-R1" totalsRowFunction="average" dataDxfId="208" totalsRowDxfId="207"/>
    <tableColumn id="23" name="Time/s Similarity 18 stratified/H-R1" totalsRowFunction="average" dataDxfId="206" totalsRowDxfId="205"/>
    <tableColumn id="25" name="Δ % (2020) Similarity 18 stratified/H-R1" totalsRowFunction="average" dataDxfId="204" totalsRowDxfId="203">
      <calculatedColumnFormula>((Tabela3810[[#This Row],[Objetive value Similarity 18 stratified/Exact method]]-Tabela3810[[#This Row],[Objetive Value Similarity 18 stratified/H-R1]])/Tabela3810[[#This Row],[Objetive value Similarity 18 stratified/Exact method]])*100</calculatedColumnFormula>
    </tableColumn>
    <tableColumn id="26" name="Objetive value Similarity 18 stratified/H-R2" totalsRowFunction="average" dataDxfId="202" totalsRowDxfId="201"/>
    <tableColumn id="27" name="Time/s Similarity 18 stratified/H-R1                " totalsRowFunction="average" dataDxfId="200" totalsRowDxfId="199"/>
    <tableColumn id="29" name="Δ % (2020) Similarity 18 stratified/H-R2" totalsRowFunction="average" dataDxfId="198" totalsRowDxfId="197">
      <calculatedColumnFormula>((Tabela3810[[#This Row],[Objetive value Similarity 18 stratified/Exact method]]-Tabela3810[[#This Row],[Objetive value Similarity 18 stratified/H-R2]])/Tabela3810[[#This Row],[Objetive value Similarity 18 stratified/Exact method]])*100</calculatedColumnFormula>
    </tableColumn>
  </tableColumns>
  <tableStyleInfo name="Sem fundo" showFirstColumn="0" showLastColumn="0" showRowStripes="1" showColumnStripes="0"/>
</table>
</file>

<file path=xl/tables/table12.xml><?xml version="1.0" encoding="utf-8"?>
<table xmlns="http://schemas.openxmlformats.org/spreadsheetml/2006/main" id="12" name="Tabela381013" displayName="Tabela381013" ref="A2:AC21" totalsRowCount="1" headerRowDxfId="196" totalsRowDxfId="194" tableBorderDxfId="195">
  <autoFilter ref="A2:AC20"/>
  <sortState ref="A3:AD20">
    <sortCondition ref="B2:B20"/>
  </sortState>
  <tableColumns count="29">
    <tableColumn id="1" name="Group" totalsRowLabel="Total" totalsRowDxfId="193"/>
    <tableColumn id="2" name="Instances" dataDxfId="192" totalsRowDxfId="191"/>
    <tableColumn id="3" name="Clients" totalsRowDxfId="190"/>
    <tableColumn id="4" name="Hurdle Rate" totalsRowDxfId="189"/>
    <tableColumn id="5" name="Number of Products" totalsRowDxfId="188"/>
    <tableColumn id="6" name="Budget" totalsRowDxfId="187"/>
    <tableColumn id="7" name="Offers" totalsRowDxfId="186"/>
    <tableColumn id="8" name="Objetive value Dissimilarity 18 stratified/Exact method" totalsRowFunction="average" dataDxfId="185" totalsRowDxfId="184"/>
    <tableColumn id="9" name="Time/s Dissimilarity 18 stratified/Exact method" totalsRowFunction="average" dataDxfId="183" totalsRowDxfId="182"/>
    <tableColumn id="10" name="GAP % Time/s Dissimilarity 18 stratified/Exact method" totalsRowFunction="average" dataDxfId="181" totalsRowDxfId="180"/>
    <tableColumn id="11" name="Objetive value Dissimilarity 18 stratified/GRASP Tabu" totalsRowFunction="average" dataDxfId="179" totalsRowDxfId="178"/>
    <tableColumn id="12" name="Time/s Dissimilarity 18 stratified/GRASP Tabu" totalsRowFunction="average" dataDxfId="177" totalsRowDxfId="176"/>
    <tableColumn id="13" name="Δ % (2020) Dissimilarity 18 stratified/GRASP Tabu" totalsRowFunction="average" totalsRowDxfId="175">
      <calculatedColumnFormula>((Tabela381013[[#This Row],[Objetive value Dissimilarity 18 stratified/Exact method]]-Tabela381013[[#This Row],[Objetive value Dissimilarity 18 stratified/GRASP Tabu]])/Tabela381013[[#This Row],[Objetive value Dissimilarity 18 stratified/Exact method]])*100</calculatedColumnFormula>
    </tableColumn>
    <tableColumn id="14" name="Objetive value Dissimilarity 18 stratified/GATeS" totalsRowFunction="average" dataDxfId="174" totalsRowDxfId="173"/>
    <tableColumn id="15" name="Time/s Dissimilarity 18 stratified/GATeS" totalsRowFunction="average" dataDxfId="172" totalsRowDxfId="171"/>
    <tableColumn id="16" name="Time/s Best Solution Dissimilarity 18 stratified/GATeS" totalsRowFunction="average" dataDxfId="170" totalsRowDxfId="169"/>
    <tableColumn id="17" name="Δ % (2020) Dissimilarity 18 stratified/GATeS" totalsRowFunction="average" dataDxfId="168" totalsRowDxfId="167">
      <calculatedColumnFormula>((Tabela381013[[#This Row],[Objetive value Dissimilarity 18 stratified/Exact method]]-Tabela381013[[#This Row],[Objetive value Dissimilarity 18 stratified/GATeS]])/Tabela381013[[#This Row],[Objetive value Dissimilarity 18 stratified/Exact method]])*100</calculatedColumnFormula>
    </tableColumn>
    <tableColumn id="18" name="Objetive value Dissimilarity 18 stratified/Relaxed model" totalsRowFunction="average" totalsRowDxfId="166"/>
    <tableColumn id="19" name="Time/s Dissimilarity 18 stratified/Relaxed model" totalsRowFunction="average" totalsRowDxfId="165"/>
    <tableColumn id="20" name="GAP % Dissimilarity 18 stratified/Relaxed model" totalsRowFunction="average" totalsRowDxfId="164"/>
    <tableColumn id="21" name="Δ % (2020) Dissimilarity 18 stratified/Relaxed model" totalsRowFunction="average" totalsRowDxfId="163">
      <calculatedColumnFormula>((Tabela381013[[#This Row],[Objetive value Dissimilarity 18 stratified/Exact method]]-Tabela381013[[#This Row],[Objetive value Dissimilarity 18 stratified/Relaxed model]])/Tabela381013[[#This Row],[Objetive value Dissimilarity 18 stratified/Exact method]])*100</calculatedColumnFormula>
    </tableColumn>
    <tableColumn id="22" name="Objetive Value Dissimilarity 18 stratified/H-R1" totalsRowFunction="average" dataDxfId="162" totalsRowDxfId="161"/>
    <tableColumn id="23" name="Time/s Dissimilarity 18 stratified/H-R1" totalsRowFunction="average" dataDxfId="160" totalsRowDxfId="159"/>
    <tableColumn id="24" name="GAP % Dissimilarity 18 stratified/H-R1" totalsRowFunction="average" dataDxfId="158" totalsRowDxfId="157"/>
    <tableColumn id="25" name="Δ % (2020) Dissimilarity 18 stratified/H-R1" totalsRowFunction="average" totalsRowDxfId="156">
      <calculatedColumnFormula>((Tabela381013[[#This Row],[Objetive value Dissimilarity 18 stratified/Exact method]]-Tabela381013[[#This Row],[Objetive Value Dissimilarity 18 stratified/H-R1]])/Tabela381013[[#This Row],[Objetive value Dissimilarity 18 stratified/Exact method]])*100</calculatedColumnFormula>
    </tableColumn>
    <tableColumn id="26" name="Objetive value Dissimilarity 18 stratified/H-R2" totalsRowFunction="average" dataDxfId="155" totalsRowDxfId="154"/>
    <tableColumn id="27" name="Time/s Dissimilarity 18 stratified/H-R1                " totalsRowFunction="average" dataDxfId="153" totalsRowDxfId="152"/>
    <tableColumn id="28" name="GAP% Dissimilarity 18 stratified/H-R1" totalsRowFunction="average" dataDxfId="151" totalsRowDxfId="150"/>
    <tableColumn id="29" name="Δ % (2020) Dissimilarity 18 stratified/H-R2" totalsRowFunction="average" totalsRowDxfId="149">
      <calculatedColumnFormula>((Tabela381013[[#This Row],[Objetive value Dissimilarity 18 stratified/Exact method]]-Tabela381013[[#This Row],[Objetive value Dissimilarity 18 stratified/H-R2]])/Tabela381013[[#This Row],[Objetive value Dissimilarity 18 stratified/Exact method]])*100</calculatedColumnFormula>
    </tableColumn>
  </tableColumns>
  <tableStyleInfo name="Sem fundo" showFirstColumn="0" showLastColumn="0" showRowStripes="1" showColumnStripes="0"/>
</table>
</file>

<file path=xl/tables/table2.xml><?xml version="1.0" encoding="utf-8"?>
<table xmlns="http://schemas.openxmlformats.org/spreadsheetml/2006/main" id="32" name="Tabela13633" displayName="Tabela13633" ref="A2:V327" totalsRowCount="1" headerRowDxfId="616" dataDxfId="614" totalsRowDxfId="613" headerRowBorderDxfId="615" totalsRowBorderDxfId="612">
  <autoFilter ref="A2:V326"/>
  <sortState ref="A3:AP326">
    <sortCondition ref="B2:B326"/>
  </sortState>
  <tableColumns count="22">
    <tableColumn id="1" name="Group" totalsRowLabel="Médias" dataDxfId="611" totalsRowDxfId="610"/>
    <tableColumn id="12" name="Instances" dataDxfId="609" totalsRowDxfId="608"/>
    <tableColumn id="3" name="Clients" dataDxfId="607" totalsRowDxfId="606"/>
    <tableColumn id="4" name="Hurdle Rate" dataDxfId="605" totalsRowDxfId="604"/>
    <tableColumn id="5" name="Number of Products" dataDxfId="603" totalsRowDxfId="602"/>
    <tableColumn id="6" name="Budget" dataDxfId="601" totalsRowDxfId="600"/>
    <tableColumn id="7" name="Offers" dataDxfId="599" totalsRowDxfId="598"/>
    <tableColumn id="8" name="Objetive value Cannibalism " totalsRowFunction="average" dataDxfId="597" totalsRowDxfId="596"/>
    <tableColumn id="9" name="Time/s Cannibalism" totalsRowFunction="average" dataDxfId="595" totalsRowDxfId="594"/>
    <tableColumn id="2" name="GAP % Cannibalism" totalsRowFunction="average" dataDxfId="593" totalsRowDxfId="592"/>
    <tableColumn id="32" name="Objetive value Cannibalism/GATeS" totalsRowFunction="average" dataDxfId="591" totalsRowDxfId="590"/>
    <tableColumn id="33" name="Time/s Cannibalism/GATeS" totalsRowFunction="average" dataDxfId="589" totalsRowDxfId="588"/>
    <tableColumn id="34" name="Time/s best solution Cannibalism/GATeS" totalsRowFunction="average" dataDxfId="587" totalsRowDxfId="586"/>
    <tableColumn id="35" name="Δ % (2020) Cannibalism/GATeS" totalsRowFunction="average" dataDxfId="585" totalsRowDxfId="584">
      <calculatedColumnFormula>((Tabela13633[[#This Row],[Objetive value Cannibalism ]]-Tabela13633[[#This Row],[Objetive value Cannibalism/GATeS]])/Tabela13633[[#This Row],[Objetive value Cannibalism ]])*100</calculatedColumnFormula>
    </tableColumn>
    <tableColumn id="13" name="Objetive value Cannibalism/H-R1" totalsRowFunction="average" dataDxfId="583" totalsRowDxfId="582"/>
    <tableColumn id="14" name="Time/s Cannibalism/H-R1" totalsRowFunction="average" dataDxfId="581" totalsRowDxfId="580"/>
    <tableColumn id="16" name="GAP % Cannibalism/H-R1" totalsRowFunction="average" dataDxfId="579" totalsRowDxfId="578"/>
    <tableColumn id="15" name="Δ % (2020) Cannibalism/H-R1                                       " totalsRowFunction="average" dataDxfId="577" totalsRowDxfId="576">
      <calculatedColumnFormula>(((Tabela13633[[#This Row],[Objetive value Cannibalism ]]-Tabela13633[[#This Row],[Objetive value Cannibalism/H-R1]])/Tabela13633[[#This Row],[Objetive value Cannibalism ]]))*100</calculatedColumnFormula>
    </tableColumn>
    <tableColumn id="18" name="Objetive value Cannibalism/H-R2" totalsRowFunction="average" dataDxfId="575" totalsRowDxfId="574"/>
    <tableColumn id="21" name="Time/s Cannibalism/H-R2                  " totalsRowFunction="average" dataDxfId="573" totalsRowDxfId="572"/>
    <tableColumn id="22" name="GAP% Cannibalism/H-R2" totalsRowFunction="average" dataDxfId="571" totalsRowDxfId="570"/>
    <tableColumn id="24" name="Δ % (2020) Cannibalism/H-R2" totalsRowFunction="average" dataDxfId="569" totalsRowDxfId="568">
      <calculatedColumnFormula>(((Tabela13633[[#This Row],[Objetive value Cannibalism ]]-Tabela13633[[#This Row],[Objetive value Cannibalism/H-R2]])/Tabela13633[[#This Row],[Objetive value Cannibalism ]]))*100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5" name="Tabela136" displayName="Tabela136" ref="A2:V327" totalsRowCount="1" headerRowDxfId="567" dataDxfId="565" totalsRowDxfId="564" headerRowBorderDxfId="566" totalsRowBorderDxfId="563">
  <autoFilter ref="A2:V326"/>
  <sortState ref="A3:AL326">
    <sortCondition ref="B2:B326"/>
  </sortState>
  <tableColumns count="22">
    <tableColumn id="1" name="Group" totalsRowLabel="Médias" dataDxfId="562" totalsRowDxfId="561"/>
    <tableColumn id="12" name="Instances" dataDxfId="560" totalsRowDxfId="559"/>
    <tableColumn id="3" name="Clients" dataDxfId="558" totalsRowDxfId="557"/>
    <tableColumn id="4" name="Hurdle Rate" dataDxfId="556" totalsRowDxfId="555"/>
    <tableColumn id="5" name="Number of Products" dataDxfId="554" totalsRowDxfId="553"/>
    <tableColumn id="6" name="Budget" dataDxfId="552" totalsRowDxfId="551"/>
    <tableColumn id="7" name="Offers" dataDxfId="550" totalsRowDxfId="549"/>
    <tableColumn id="8" name="Objetive value Similarity" totalsRowFunction="average" dataDxfId="548" totalsRowDxfId="547"/>
    <tableColumn id="9" name="Time/s Similarity" totalsRowFunction="average" dataDxfId="546" totalsRowDxfId="545"/>
    <tableColumn id="2" name="GAP % Similarity" totalsRowFunction="average" dataDxfId="544" totalsRowDxfId="543"/>
    <tableColumn id="10" name="Objetive value Similarity/GATeS" totalsRowFunction="average" dataDxfId="542" totalsRowDxfId="541"/>
    <tableColumn id="11" name="Time/s Similarity/GATeS" totalsRowFunction="average" dataDxfId="540" totalsRowDxfId="539"/>
    <tableColumn id="17" name="Time/s best solution Similarity/GATeS" totalsRowFunction="average" dataDxfId="538" totalsRowDxfId="537"/>
    <tableColumn id="19" name="Δ % (2020) Similarity/GATeS" totalsRowFunction="average" dataDxfId="536" totalsRowDxfId="535">
      <calculatedColumnFormula>(((Tabela136[[#This Row],[Objetive value Similarity]]-Tabela136[[#This Row],[Objetive value Similarity/GATeS]])/Tabela136[[#This Row],[Objetive value Similarity]]))*100</calculatedColumnFormula>
    </tableColumn>
    <tableColumn id="13" name="Objetive value Similarity/H-R1    " totalsRowFunction="average" dataDxfId="534" totalsRowDxfId="533"/>
    <tableColumn id="14" name="Time/s Similarity/H-R1    " totalsRowFunction="average" dataDxfId="532" totalsRowDxfId="531"/>
    <tableColumn id="16" name="GAP % Similarity/H-R1" totalsRowFunction="average" dataDxfId="530" totalsRowDxfId="529"/>
    <tableColumn id="15" name="Δ % (2020) Similarity/H-R1" totalsRowFunction="average" dataDxfId="528" totalsRowDxfId="527">
      <calculatedColumnFormula>(((Tabela136[[#This Row],[Objetive value Similarity]]-Tabela136[[#This Row],[Objetive value Similarity/H-R1    ]])/Tabela136[[#This Row],[Objetive value Similarity]]))*100</calculatedColumnFormula>
    </tableColumn>
    <tableColumn id="18" name="Objetive value Similarity/H-R2" totalsRowFunction="average" dataDxfId="526" totalsRowDxfId="525"/>
    <tableColumn id="21" name="Time/s Similarity/H-R2" totalsRowFunction="average" dataDxfId="524" totalsRowDxfId="523"/>
    <tableColumn id="22" name="GAP% Similarity/H-R2                       " totalsRowFunction="average" dataDxfId="522" totalsRowDxfId="521"/>
    <tableColumn id="24" name="Δ % (2020) Similarity/H-R2" totalsRowFunction="average" dataDxfId="520" totalsRowDxfId="519">
      <calculatedColumnFormula>(((Tabela136[[#This Row],[Objetive value Similarity]]-Tabela136[[#This Row],[Objetive value Similarity/H-R2]])/Tabela136[[#This Row],[Objetive value Similarity]]))*100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8" name="Tabela1369" displayName="Tabela1369" ref="A2:V327" totalsRowCount="1" headerRowDxfId="518" dataDxfId="516" totalsRowDxfId="515" headerRowBorderDxfId="517" totalsRowBorderDxfId="514">
  <autoFilter ref="A2:V326"/>
  <sortState ref="A3:AD326">
    <sortCondition ref="B2:B326"/>
  </sortState>
  <tableColumns count="22">
    <tableColumn id="1" name="Group" totalsRowLabel="Médias" dataDxfId="513" totalsRowDxfId="512"/>
    <tableColumn id="12" name="Instances" dataDxfId="511" totalsRowDxfId="510"/>
    <tableColumn id="3" name="Clients" dataDxfId="509" totalsRowDxfId="508"/>
    <tableColumn id="4" name="Hurdle Rate" dataDxfId="507" totalsRowDxfId="506"/>
    <tableColumn id="5" name="Number of Products" dataDxfId="505" totalsRowDxfId="504"/>
    <tableColumn id="6" name="Budget" dataDxfId="503" totalsRowDxfId="502"/>
    <tableColumn id="7" name="Offers" dataDxfId="501" totalsRowDxfId="500"/>
    <tableColumn id="8" name="Objetive value Dissimilarity" totalsRowFunction="average" dataDxfId="499" totalsRowDxfId="498"/>
    <tableColumn id="9" name="Time/s Disssimilarity" totalsRowFunction="average" dataDxfId="497" totalsRowDxfId="496"/>
    <tableColumn id="2" name="GAP% Dissimilarity" totalsRowFunction="average" dataDxfId="495" totalsRowDxfId="494"/>
    <tableColumn id="10" name="Objetive value Dissimilarity/GATeS" totalsRowFunction="average" dataDxfId="493" totalsRowDxfId="492"/>
    <tableColumn id="11" name="Time/s Dissimilarity/GATeS" totalsRowFunction="average" dataDxfId="491" totalsRowDxfId="490"/>
    <tableColumn id="17" name="Time/s best solution Dissimilarity/GATeS" totalsRowFunction="average" dataDxfId="489" totalsRowDxfId="488"/>
    <tableColumn id="19" name="Δ % (2020) Dissimilarity/GATeS" totalsRowFunction="average" dataDxfId="487" totalsRowDxfId="486">
      <calculatedColumnFormula>(((Tabela1369[[#This Row],[Objetive value Dissimilarity]]-Tabela1369[[#This Row],[Objetive value Dissimilarity/GATeS]])/Tabela1369[[#This Row],[Objetive value Dissimilarity]]))*100</calculatedColumnFormula>
    </tableColumn>
    <tableColumn id="13" name="Objetive Value Dissimilarity/H-R1" totalsRowFunction="average" dataDxfId="485" totalsRowDxfId="484"/>
    <tableColumn id="14" name="Time/s  Dissimilarity/H-R1" totalsRowFunction="average" dataDxfId="483" totalsRowDxfId="482"/>
    <tableColumn id="16" name="GAP %  Dissimilarity/H-R1 " totalsRowFunction="average" dataDxfId="481" totalsRowDxfId="480"/>
    <tableColumn id="15" name="Δ % (2020)  Dissimilarity/H-R1" totalsRowFunction="average" dataDxfId="479" totalsRowDxfId="478">
      <calculatedColumnFormula>(((Tabela1369[[#This Row],[Objetive value Dissimilarity]]-Tabela1369[[#This Row],[Objetive Value Dissimilarity/H-R1]])/Tabela1369[[#This Row],[Objetive value Dissimilarity]]))*100</calculatedColumnFormula>
    </tableColumn>
    <tableColumn id="18" name="Objetive value Dissimilarity/H-R2" totalsRowFunction="average" dataDxfId="477" totalsRowDxfId="476"/>
    <tableColumn id="21" name="Time/s Dissimilarity/H-R2  " totalsRowFunction="average" dataDxfId="475" totalsRowDxfId="474"/>
    <tableColumn id="22" name="GAP% Dissimilarity/H-R2                                     " totalsRowFunction="average" dataDxfId="473" totalsRowDxfId="472"/>
    <tableColumn id="24" name="Δ % (2020) Dissimilarity/H-R2                   " totalsRowFunction="average" dataDxfId="471" totalsRowDxfId="470">
      <calculatedColumnFormula>(((Tabela1369[[#This Row],[Objetive value Dissimilarity]]-Tabela1369[[#This Row],[Objetive value Dissimilarity/H-R2]])/Tabela1369[[#This Row],[Objetive value Dissimilarity]]))*100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6" name="Tabela1327" displayName="Tabela1327" ref="A2:T19" totalsRowCount="1" headerRowDxfId="469" dataDxfId="467" totalsRowDxfId="466" headerRowBorderDxfId="468" totalsRowBorderDxfId="465">
  <autoFilter ref="A2:T18"/>
  <sortState ref="A3:AC18">
    <sortCondition ref="B2:B18"/>
  </sortState>
  <tableColumns count="20">
    <tableColumn id="1" name="Group" totalsRowLabel="Total" dataDxfId="464" totalsRowDxfId="148"/>
    <tableColumn id="12" name="Instances" dataDxfId="463" totalsRowDxfId="147"/>
    <tableColumn id="3" name="Clients" dataDxfId="462" totalsRowDxfId="146"/>
    <tableColumn id="4" name="Hurdle Rate" dataDxfId="461" totalsRowDxfId="145"/>
    <tableColumn id="5" name="Number of Products" dataDxfId="460" totalsRowDxfId="144"/>
    <tableColumn id="31" name="Objetive value 16 Large/GATeS" totalsRowFunction="average" dataDxfId="131" totalsRowDxfId="132"/>
    <tableColumn id="32" name="Time/s 16 Large/GATeS" totalsRowFunction="average" dataDxfId="129" totalsRowDxfId="130"/>
    <tableColumn id="10" name="Time/s Best Solution 16 Large/GATeS" totalsRowFunction="average" dataDxfId="127" totalsRowDxfId="128"/>
    <tableColumn id="33" name="Δ % (2020) 16 Large/GATeS" totalsRowFunction="average" dataDxfId="125" totalsRowDxfId="126">
      <calculatedColumnFormula>((Tabela1327[[#This Row],[Objetive value 16 Large/Exact method]]-Tabela1327[[#This Row],[Objetive value 16 Large/GATeS]])/Tabela1327[[#This Row],[Objetive value 16 Large/Exact method]])*100</calculatedColumnFormula>
    </tableColumn>
    <tableColumn id="8" name="Objetive value 16 Large/Exact method" totalsRowFunction="average" dataDxfId="459" totalsRowDxfId="143"/>
    <tableColumn id="9" name="Time/s 16 Large/Exact method" totalsRowFunction="average" dataDxfId="458" totalsRowDxfId="142"/>
    <tableColumn id="2" name="Objetive value 16 Large/Exact method " totalsRowFunction="average" dataDxfId="457" totalsRowDxfId="141"/>
    <tableColumn id="13" name="Objetive Value 16 Large/H-R1" totalsRowFunction="average" dataDxfId="456" totalsRowDxfId="140"/>
    <tableColumn id="14" name="Time/s  16 Large/H-R1" totalsRowFunction="average" dataDxfId="455" totalsRowDxfId="139"/>
    <tableColumn id="16" name="GAP %  16 Large/H-R1" totalsRowFunction="average" dataDxfId="454" totalsRowDxfId="138"/>
    <tableColumn id="15" name="Δ % (2020) 16 Large/H-R1" totalsRowFunction="average" dataDxfId="453" totalsRowDxfId="137">
      <calculatedColumnFormula>(((Tabela1327[[#This Row],[Objetive value 16 Large/Exact method]]-Tabela1327[[#This Row],[Objetive Value 16 Large/H-R1]])/Tabela1327[[#This Row],[Objetive value 16 Large/Exact method]]))*100</calculatedColumnFormula>
    </tableColumn>
    <tableColumn id="18" name="Objetive value  16 Large/H-R2" totalsRowFunction="average" dataDxfId="452" totalsRowDxfId="136"/>
    <tableColumn id="21" name="Time/s  16 Large/H-R1                " totalsRowFunction="average" dataDxfId="451" totalsRowDxfId="135"/>
    <tableColumn id="22" name="GAP%  16 Large/H-R1" totalsRowFunction="average" dataDxfId="450" totalsRowDxfId="134"/>
    <tableColumn id="24" name="Δ % (2020)  16 Large/H-R2" totalsRowFunction="average" dataDxfId="449" totalsRowDxfId="133">
      <calculatedColumnFormula>(((Tabela1327[[#This Row],[Objetive value 16 Large/Exact method]]-Tabela1327[[#This Row],[Objetive value  16 Large/H-R2]])/Tabela1327[[#This Row],[Objetive value 16 Large/Exact method]]))*100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35" name="Tabela132436" displayName="Tabela132436" ref="A2:U19" totalsRowCount="1" headerRowDxfId="448" dataDxfId="446" totalsRowDxfId="445" headerRowBorderDxfId="447" totalsRowBorderDxfId="444">
  <autoFilter ref="A2:U18"/>
  <sortState ref="A3:AD18">
    <sortCondition ref="B2:B18"/>
  </sortState>
  <tableColumns count="21">
    <tableColumn id="1" name="Group" totalsRowLabel="Total" dataDxfId="443" totalsRowDxfId="442"/>
    <tableColumn id="12" name="Instances" dataDxfId="441" totalsRowDxfId="440"/>
    <tableColumn id="3" name="Clients" dataDxfId="439" totalsRowDxfId="438"/>
    <tableColumn id="4" name="Hurdle Rate" dataDxfId="437" totalsRowDxfId="436"/>
    <tableColumn id="5" name="Number of Products" dataDxfId="435" totalsRowDxfId="434"/>
    <tableColumn id="2" name="Objetive value Cannibalism 16 Large/GATeS" totalsRowFunction="average" dataDxfId="433" totalsRowDxfId="432"/>
    <tableColumn id="10" name="Time/s Cannibalism 16 Large/GATeS" totalsRowFunction="average" dataDxfId="431" totalsRowDxfId="430"/>
    <tableColumn id="25" name="Time/s Best Solution Cannibalism 16 Large/GATeS" totalsRowFunction="average" dataDxfId="429" totalsRowDxfId="428"/>
    <tableColumn id="11" name="Δ % (2020) Cannibalism 16 Large/GATeS" totalsRowFunction="average" dataDxfId="427" totalsRowDxfId="426">
      <calculatedColumnFormula>((Tabela132436[[#This Row],[Objetive value Cannibalism 16 Large/Exact method  ]]-Tabela132436[[#This Row],[Objetive value Cannibalism 16 Large/GATeS]])/Tabela132436[[#This Row],[Objetive value Cannibalism 16 Large/Exact method  ]])*100</calculatedColumnFormula>
    </tableColumn>
    <tableColumn id="8" name="Objetive value Cannibalism 16 Large/Exact method  " totalsRowFunction="average" dataDxfId="425" totalsRowDxfId="424"/>
    <tableColumn id="9" name="Time/s Cannibalism 16 Large/Exact method " totalsRowFunction="average" dataDxfId="423" totalsRowDxfId="422"/>
    <tableColumn id="19" name="GAP % Cannibalism 16 Large/Exact method " totalsRowFunction="average" dataDxfId="421" totalsRowDxfId="420"/>
    <tableColumn id="33" name="Δ % (2019)" totalsRowFunction="average" dataDxfId="419" totalsRowDxfId="418">
      <calculatedColumnFormula>(((Tabela132436[[#This Row],[Objetive value Cannibalism 16 Large/Exact method  ]]-#REF!)/Tabela132436[[#This Row],[Objetive value Cannibalism 16 Large/Exact method  ]]))*(-1)</calculatedColumnFormula>
    </tableColumn>
    <tableColumn id="13" name="Objetive Value Cannibalism 16 Large/H-R1" totalsRowFunction="average" dataDxfId="417" totalsRowDxfId="416"/>
    <tableColumn id="14" name="Time/s Cannibalism  16 Large/H-R1" totalsRowFunction="average" dataDxfId="415" totalsRowDxfId="414"/>
    <tableColumn id="16" name="GAP % Cannibalism  16 Large/H-R1" totalsRowFunction="average" dataDxfId="413" totalsRowDxfId="412"/>
    <tableColumn id="15" name="Δ % (2020) Cannibalism  16 Large/H-R1" totalsRowFunction="average" dataDxfId="411" totalsRowDxfId="410">
      <calculatedColumnFormula>(((Tabela132436[[#This Row],[Objetive value Cannibalism 16 Large/Exact method  ]]-Tabela132436[[#This Row],[Objetive Value Cannibalism 16 Large/H-R1]])/Tabela132436[[#This Row],[Objetive value Cannibalism 16 Large/Exact method  ]]))*100</calculatedColumnFormula>
    </tableColumn>
    <tableColumn id="18" name="Objetive value Cannibalism/H-R2 " totalsRowFunction="average" dataDxfId="409" totalsRowDxfId="408"/>
    <tableColumn id="21" name="Time/s Cannibalism/H-R2                     " totalsRowFunction="average" dataDxfId="407" totalsRowDxfId="406"/>
    <tableColumn id="22" name="GAP% Cannibalism /H-R2                                  " totalsRowFunction="average" dataDxfId="405" totalsRowDxfId="404"/>
    <tableColumn id="24" name="Δ % (2020) Cannibalism/H-R2                       " totalsRowFunction="average" dataDxfId="403" totalsRowDxfId="402">
      <calculatedColumnFormula>(((Tabela132436[[#This Row],[Objetive value Cannibalism 16 Large/Exact method  ]]-Tabela132436[[#This Row],[Objetive value Cannibalism/H-R2 ]])/Tabela132436[[#This Row],[Objetive value Cannibalism 16 Large/Exact method  ]]))*100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31" name="Tabela1321832" displayName="Tabela1321832" ref="A2:X19" totalsRowCount="1" headerRowDxfId="401" dataDxfId="399" totalsRowDxfId="398" headerRowBorderDxfId="400" totalsRowBorderDxfId="397">
  <autoFilter ref="A2:X18"/>
  <sortState ref="A3:AC18">
    <sortCondition ref="B2:B18"/>
  </sortState>
  <tableColumns count="24">
    <tableColumn id="1" name="Group" totalsRowLabel="Total" dataDxfId="396" totalsRowDxfId="395"/>
    <tableColumn id="12" name="Instances" dataDxfId="394" totalsRowDxfId="393"/>
    <tableColumn id="3" name="Clients" dataDxfId="392" totalsRowDxfId="391"/>
    <tableColumn id="4" name="Hurdle Rate" dataDxfId="390" totalsRowDxfId="389"/>
    <tableColumn id="5" name="Number of Products" dataDxfId="388" totalsRowDxfId="387"/>
    <tableColumn id="23" name="Objetive value Similarity 16 Large/GATeS" dataDxfId="386" totalsRowDxfId="385"/>
    <tableColumn id="2" name="Time/s Similarity  16 Large/GATeS" dataDxfId="384" totalsRowDxfId="383"/>
    <tableColumn id="9" name="Time/s Best Solution Similarity 16 Large/GATeS" dataDxfId="382" totalsRowDxfId="381"/>
    <tableColumn id="10" name="Δ % (2020) Similarity  16 Large/GATeS" totalsRowFunction="average" dataDxfId="380" totalsRowDxfId="379">
      <calculatedColumnFormula>((Tabela1321832[[#This Row],[Objetive value Similarity 16 Large/Exact method ]]-Tabela1321832[[#This Row],[Objetive value Similarity 16 Large/GATeS]])/Tabela1321832[[#This Row],[Objetive value Similarity 16 Large/Exact method ]])*100</calculatedColumnFormula>
    </tableColumn>
    <tableColumn id="8" name="Objetive value Similarity 16 Large/Exact method " totalsRowFunction="average" dataDxfId="378" totalsRowDxfId="377"/>
    <tableColumn id="17" name="Time/s Similarity 16 Large/Exact method" totalsRowFunction="average" dataDxfId="376" totalsRowDxfId="375"/>
    <tableColumn id="11" name="GAP % Time/s Similarity 16 Large/Exact method" totalsRowFunction="average" dataDxfId="374" totalsRowDxfId="373"/>
    <tableColumn id="45" name="Objetive value Similarity 16 Large/Relaxed model" totalsRowFunction="average" dataDxfId="372" totalsRowDxfId="371"/>
    <tableColumn id="46" name="Time/s Similarity 16 Large/Relaxed model" totalsRowFunction="average" dataDxfId="370" totalsRowDxfId="369"/>
    <tableColumn id="47" name="GAP % Similarity 16 Large/Relaxed model" totalsRowFunction="average" dataDxfId="368" totalsRowDxfId="367"/>
    <tableColumn id="48" name="Δ % (2019) Similarity 16 Large/Relaxed model" totalsRowFunction="average" dataDxfId="366" totalsRowDxfId="365">
      <calculatedColumnFormula>(((Tabela1321832[[#This Row],[Objetive value Similarity 16 Large/Exact method ]]-Tabela1321832[[#This Row],[Objetive value Similarity 16 Large/Relaxed model]])/Tabela1321832[[#This Row],[Objetive value Similarity 16 Large/Exact method ]]))*100</calculatedColumnFormula>
    </tableColumn>
    <tableColumn id="13" name="Objetive Value Similarity/H-R1" totalsRowFunction="average" dataDxfId="364" totalsRowDxfId="363"/>
    <tableColumn id="14" name="Time/s Similarity/H-R1" totalsRowFunction="average" dataDxfId="362" totalsRowDxfId="361"/>
    <tableColumn id="16" name="GAP %  Similarity/H-R1" totalsRowFunction="average" dataDxfId="360" totalsRowDxfId="359"/>
    <tableColumn id="15" name="Δ % (2019) Similarity/H-R1" totalsRowFunction="average" dataDxfId="358" totalsRowDxfId="357">
      <calculatedColumnFormula>(((Tabela1321832[[#This Row],[Objetive value Similarity 16 Large/Exact method ]]-Tabela1321832[[#This Row],[Objetive Value Similarity/H-R1]])/Tabela1321832[[#This Row],[Objetive value Similarity 16 Large/Exact method ]]))*100</calculatedColumnFormula>
    </tableColumn>
    <tableColumn id="18" name="Objetive value Similarity/H-R2" totalsRowFunction="average" dataDxfId="356" totalsRowDxfId="355"/>
    <tableColumn id="21" name="Time/s Similarity/H-R2" totalsRowFunction="average" dataDxfId="354" totalsRowDxfId="353"/>
    <tableColumn id="22" name="GAP% Similarity/H-R2" totalsRowFunction="average" dataDxfId="352" totalsRowDxfId="351"/>
    <tableColumn id="24" name="Δ % (2019) Similarity/H-R2" totalsRowFunction="average" dataDxfId="350" totalsRowDxfId="349">
      <calculatedColumnFormula>(((Tabela1321832[[#This Row],[Objetive value Similarity 16 Large/Exact method ]]-Tabela1321832[[#This Row],[Objetive value Similarity/H-R2]])/Tabela1321832[[#This Row],[Objetive value Similarity 16 Large/Exact method ]]))*100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26" name="Tabela1321827" displayName="Tabela1321827" ref="A2:T19" totalsRowCount="1" headerRowDxfId="348" dataDxfId="346" totalsRowDxfId="345" headerRowBorderDxfId="347" totalsRowBorderDxfId="344">
  <autoFilter ref="A2:T18"/>
  <sortState ref="A3:AC18">
    <sortCondition ref="B2:B18"/>
  </sortState>
  <tableColumns count="20">
    <tableColumn id="1" name="Group" totalsRowLabel="Médias" dataDxfId="343" totalsRowDxfId="342"/>
    <tableColumn id="12" name="Instances" dataDxfId="341" totalsRowDxfId="340"/>
    <tableColumn id="3" name="Clients" dataDxfId="339" totalsRowDxfId="338"/>
    <tableColumn id="4" name="Hurdle Rate" dataDxfId="337" totalsRowDxfId="336"/>
    <tableColumn id="5" name="Number of Products" dataDxfId="335" totalsRowDxfId="334"/>
    <tableColumn id="23" name="Objetive value  Dissimililarity 16 Large/GATeS" totalsRowFunction="average" dataDxfId="333" totalsRowDxfId="332"/>
    <tableColumn id="2" name="Time/s  Dissimililarity 16 Large/GATeS" totalsRowFunction="average" dataDxfId="331" totalsRowDxfId="330"/>
    <tableColumn id="9" name="Time/s Best Solution  Dissimililarity 16 Large/GATeS" totalsRowFunction="average" dataDxfId="329" totalsRowDxfId="328"/>
    <tableColumn id="10" name="Δ % (2020)  Dissimililarity  16 Large/GATeS" totalsRowFunction="average" dataDxfId="327" totalsRowDxfId="326">
      <calculatedColumnFormula>((Tabela1321827[[#This Row],[Objetive value Dissimililarity 16 Large/Exact method]]-Tabela1321827[[#This Row],[Objetive value  Dissimililarity 16 Large/GATeS]])/Tabela1321827[[#This Row],[Objetive value Dissimililarity 16 Large/Exact method]])*100</calculatedColumnFormula>
    </tableColumn>
    <tableColumn id="8" name="Objetive value Dissimililarity 16 Large/Exact method" totalsRowFunction="average" dataDxfId="325" totalsRowDxfId="324"/>
    <tableColumn id="17" name="Time/s  Dissimililarity 16 Large/Exact method" totalsRowFunction="average" dataDxfId="323" totalsRowDxfId="322"/>
    <tableColumn id="11" name="GAP % Time/s  Dissimililarity 16 Large/Exact method" totalsRowFunction="average" dataDxfId="321" totalsRowDxfId="320"/>
    <tableColumn id="13" name="Objetive Value Dissimililarity 16 Large/H-R1 " totalsRowFunction="average" dataDxfId="319" totalsRowDxfId="318"/>
    <tableColumn id="14" name="Time/s Dissimililarity 16 Large/H-R1" totalsRowFunction="average" dataDxfId="317" totalsRowDxfId="316"/>
    <tableColumn id="16" name="GAP %  Dissimililarity 16 Large/H-R1" totalsRowFunction="average" dataDxfId="315" totalsRowDxfId="314"/>
    <tableColumn id="15" name="Δ % (2020) Dissimililarity 16 Large/H-R1" totalsRowFunction="average" dataDxfId="313" totalsRowDxfId="312">
      <calculatedColumnFormula>(((Tabela1321827[[#This Row],[Objetive value Dissimililarity 16 Large/Exact method]]-Tabela1321827[[#This Row],[Objetive Value Dissimililarity 16 Large/H-R1 ]])/Tabela1321827[[#This Row],[Objetive value Dissimililarity 16 Large/Exact method]]))*100</calculatedColumnFormula>
    </tableColumn>
    <tableColumn id="18" name="Objetive value Dissimilarity 16 Large/H-R2" totalsRowFunction="average" dataDxfId="311" totalsRowDxfId="310"/>
    <tableColumn id="21" name="Time/s Dissimilarity 16 Large/H-R2" totalsRowFunction="average" dataDxfId="309" totalsRowDxfId="308"/>
    <tableColumn id="22" name="GAP% Dissimilarity 16 Large/H-R2" totalsRowFunction="average" dataDxfId="307" totalsRowDxfId="306"/>
    <tableColumn id="24" name="Δ % (2020) Dissimilarity 16 Large/H-R2" totalsRowFunction="average" dataDxfId="305" totalsRowDxfId="304">
      <calculatedColumnFormula>(((Tabela1321827[[#This Row],[Objetive value Dissimililarity 16 Large/Exact method]]-Tabela1321827[[#This Row],[Objetive value Dissimilarity 16 Large/H-R2]])/Tabela1321827[[#This Row],[Objetive value Dissimililarity 16 Large/Exact method]]))*100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3" name="Tabela3" displayName="Tabela3" ref="A2:R21" totalsRowCount="1" headerRowDxfId="303" totalsRowDxfId="301" tableBorderDxfId="302">
  <autoFilter ref="A2:R20"/>
  <sortState ref="A3:AD20">
    <sortCondition ref="B2:B20"/>
  </sortState>
  <tableColumns count="18">
    <tableColumn id="1" name="Group" totalsRowLabel="Total" totalsRowDxfId="300"/>
    <tableColumn id="2" name="Instances" totalsRowDxfId="299"/>
    <tableColumn id="3" name="Clients" totalsRowDxfId="298"/>
    <tableColumn id="4" name="Hurdle Rate" totalsRowDxfId="297"/>
    <tableColumn id="5" name="Number of Products" totalsRowDxfId="296"/>
    <tableColumn id="8" name="Objetive value 18 stratified/Exact method" totalsRowFunction="average" dataDxfId="295" totalsRowDxfId="294"/>
    <tableColumn id="9" name="Time/s 18 stratified/Exact method" totalsRowFunction="average" dataDxfId="293" totalsRowDxfId="292"/>
    <tableColumn id="10" name="GAP % Time/s  18 stratified/Exact method" totalsRowFunction="average" dataDxfId="291" totalsRowDxfId="290"/>
    <tableColumn id="14" name="Objetive value 18 stratified/GATeS" totalsRowFunction="average" dataDxfId="289" totalsRowDxfId="288"/>
    <tableColumn id="15" name="Time/s 18 stratified/GATeS" totalsRowFunction="average" dataDxfId="287" totalsRowDxfId="286"/>
    <tableColumn id="16" name="Time/s Best Solution 18 stratified/GATeS" totalsRowFunction="average" dataDxfId="285" totalsRowDxfId="284"/>
    <tableColumn id="17" name="Δ % (2020) 18 stratified/GATeS" totalsRowFunction="average" dataDxfId="283" totalsRowDxfId="282">
      <calculatedColumnFormula>((Tabela3[[#This Row],[Objetive value 18 stratified/Exact method]]-Tabela3[[#This Row],[Objetive value 18 stratified/GATeS]])/Tabela3[[#This Row],[Objetive value 18 stratified/Exact method]])*100</calculatedColumnFormula>
    </tableColumn>
    <tableColumn id="22" name="Objetive Value 18 stratified/H-R1" totalsRowFunction="average" totalsRowDxfId="281"/>
    <tableColumn id="23" name="Time/s  18 stratified/H-R1" totalsRowFunction="average" totalsRowDxfId="280"/>
    <tableColumn id="25" name="Δ % (2020) 18 stratified/H-R1" totalsRowFunction="average" totalsRowDxfId="279">
      <calculatedColumnFormula>((Tabela3[[#This Row],[Objetive value 18 stratified/Exact method]]-Tabela3[[#This Row],[Objetive Value 18 stratified/H-R1]])/Tabela3[[#This Row],[Objetive value 18 stratified/Exact method]])*100</calculatedColumnFormula>
    </tableColumn>
    <tableColumn id="26" name="Objetive value  18 stratified/H-R2" totalsRowFunction="average" totalsRowDxfId="278"/>
    <tableColumn id="27" name="Time/s  18 stratified/H-R1                " totalsRowFunction="average" totalsRowDxfId="277"/>
    <tableColumn id="29" name="Δ % (2020) 18 stratified/H-R2" totalsRowFunction="average" totalsRowDxfId="276">
      <calculatedColumnFormula>((Tabela3[[#This Row],[Objetive value 18 stratified/Exact method]]-Tabela3[[#This Row],[Objetive value  18 stratified/H-R2]])/Tabela3[[#This Row],[Objetive value 18 stratified/Exact method]])*100</calculatedColumnFormula>
    </tableColumn>
  </tableColumns>
  <tableStyleInfo name="Sem fund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tabSelected="1"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12.140625" defaultRowHeight="15" x14ac:dyDescent="0.25"/>
  <cols>
    <col min="1" max="1" width="11.140625" style="3" bestFit="1" customWidth="1"/>
    <col min="2" max="2" width="15.140625" style="39" customWidth="1"/>
    <col min="3" max="3" width="10" style="3" customWidth="1"/>
    <col min="4" max="4" width="11.85546875" style="3" customWidth="1"/>
    <col min="5" max="5" width="13" style="3" customWidth="1"/>
    <col min="6" max="6" width="10.85546875" style="3" customWidth="1"/>
    <col min="7" max="15" width="10" style="3" customWidth="1"/>
    <col min="16" max="23" width="10" style="34" customWidth="1"/>
    <col min="24" max="16384" width="12.140625" style="3"/>
  </cols>
  <sheetData>
    <row r="1" spans="1:23" ht="31.5" customHeight="1" x14ac:dyDescent="0.25">
      <c r="A1" s="102"/>
      <c r="B1" s="102"/>
      <c r="C1" s="103"/>
      <c r="D1" s="103"/>
      <c r="E1" s="103"/>
      <c r="F1" s="103"/>
      <c r="G1" s="103"/>
      <c r="H1" s="104" t="s">
        <v>0</v>
      </c>
      <c r="I1" s="215" t="s">
        <v>1494</v>
      </c>
      <c r="J1" s="215"/>
      <c r="K1" s="215"/>
      <c r="L1" s="216" t="s">
        <v>1493</v>
      </c>
      <c r="M1" s="216"/>
      <c r="N1" s="216"/>
      <c r="O1" s="216"/>
      <c r="P1" s="214" t="s">
        <v>1503</v>
      </c>
      <c r="Q1" s="214"/>
      <c r="R1" s="214"/>
      <c r="S1" s="214"/>
      <c r="T1" s="213" t="s">
        <v>1504</v>
      </c>
      <c r="U1" s="213"/>
      <c r="V1" s="213"/>
      <c r="W1" s="213"/>
    </row>
    <row r="2" spans="1:23" s="10" customFormat="1" ht="45" x14ac:dyDescent="0.25">
      <c r="A2" s="105" t="s">
        <v>1085</v>
      </c>
      <c r="B2" s="105" t="s">
        <v>1</v>
      </c>
      <c r="C2" s="105" t="s">
        <v>2</v>
      </c>
      <c r="D2" s="105" t="s">
        <v>3</v>
      </c>
      <c r="E2" s="105" t="s">
        <v>4</v>
      </c>
      <c r="F2" s="105" t="s">
        <v>5</v>
      </c>
      <c r="G2" s="105" t="s">
        <v>6</v>
      </c>
      <c r="H2" s="106" t="s">
        <v>7</v>
      </c>
      <c r="I2" s="83" t="s">
        <v>8</v>
      </c>
      <c r="J2" s="83" t="s">
        <v>1093</v>
      </c>
      <c r="K2" s="83" t="s">
        <v>9</v>
      </c>
      <c r="L2" s="132" t="s">
        <v>1495</v>
      </c>
      <c r="M2" s="132" t="s">
        <v>1496</v>
      </c>
      <c r="N2" s="132" t="s">
        <v>1497</v>
      </c>
      <c r="O2" s="132" t="s">
        <v>1498</v>
      </c>
      <c r="P2" s="108" t="s">
        <v>1505</v>
      </c>
      <c r="Q2" s="108" t="s">
        <v>1506</v>
      </c>
      <c r="R2" s="108" t="s">
        <v>1507</v>
      </c>
      <c r="S2" s="108" t="s">
        <v>1508</v>
      </c>
      <c r="T2" s="109" t="s">
        <v>1509</v>
      </c>
      <c r="U2" s="109" t="s">
        <v>1510</v>
      </c>
      <c r="V2" s="109" t="s">
        <v>1511</v>
      </c>
      <c r="W2" s="109" t="s">
        <v>1512</v>
      </c>
    </row>
    <row r="3" spans="1:23" s="10" customFormat="1" x14ac:dyDescent="0.25">
      <c r="A3" s="3" t="s">
        <v>319</v>
      </c>
      <c r="B3" s="39" t="s">
        <v>326</v>
      </c>
      <c r="C3" s="3">
        <v>10000</v>
      </c>
      <c r="D3" s="95">
        <v>0.1</v>
      </c>
      <c r="E3" s="3">
        <v>10</v>
      </c>
      <c r="F3" s="39" t="s">
        <v>13</v>
      </c>
      <c r="G3" s="39" t="s">
        <v>14</v>
      </c>
      <c r="H3" s="110">
        <v>233804</v>
      </c>
      <c r="I3" s="138">
        <v>233762</v>
      </c>
      <c r="J3" s="138">
        <v>189.092999999993</v>
      </c>
      <c r="K3" s="137">
        <v>0</v>
      </c>
      <c r="L3" s="125">
        <v>215076</v>
      </c>
      <c r="M3" s="125">
        <v>1843</v>
      </c>
      <c r="N3" s="125">
        <v>996</v>
      </c>
      <c r="O3" s="111">
        <f>((Tabela135[[#This Row],[Objetive value]]-Tabela135[[#This Row],[Objetive value/GATeS]])/Tabela135[[#This Row],[Objetive value]])*100</f>
        <v>7.9936003285392836</v>
      </c>
      <c r="P3" s="112">
        <v>233761</v>
      </c>
      <c r="Q3" s="112">
        <v>3.42</v>
      </c>
      <c r="R3" s="112">
        <v>0</v>
      </c>
      <c r="S3" s="112">
        <f>(((Tabela135[[#This Row],[Objetive value]]-Tabela135[[#This Row],[Objetive Value /H-R1]])/Tabela135[[#This Row],[Objetive value]]))*100</f>
        <v>4.2778552544896095E-4</v>
      </c>
      <c r="T3" s="113">
        <v>209316</v>
      </c>
      <c r="U3" s="113">
        <v>3.07</v>
      </c>
      <c r="V3" s="113">
        <v>0</v>
      </c>
      <c r="W3" s="113">
        <f>(((Tabela135[[#This Row],[Objetive value]]-Tabela135[[#This Row],[Objetive value /H-R2]])/Tabela135[[#This Row],[Objetive value]]))*100</f>
        <v>10.457644955125298</v>
      </c>
    </row>
    <row r="4" spans="1:23" s="10" customFormat="1" x14ac:dyDescent="0.25">
      <c r="A4" s="3" t="s">
        <v>319</v>
      </c>
      <c r="B4" s="39" t="s">
        <v>327</v>
      </c>
      <c r="C4" s="3">
        <v>10000</v>
      </c>
      <c r="D4" s="95">
        <v>0.1</v>
      </c>
      <c r="E4" s="3">
        <v>10</v>
      </c>
      <c r="F4" s="39" t="s">
        <v>13</v>
      </c>
      <c r="G4" s="39" t="s">
        <v>16</v>
      </c>
      <c r="H4" s="110">
        <v>126422</v>
      </c>
      <c r="I4" s="138">
        <v>122774</v>
      </c>
      <c r="J4" s="138">
        <v>444</v>
      </c>
      <c r="K4" s="137">
        <v>0</v>
      </c>
      <c r="L4" s="125">
        <v>120379</v>
      </c>
      <c r="M4" s="125">
        <v>1715</v>
      </c>
      <c r="N4" s="125">
        <v>171</v>
      </c>
      <c r="O4" s="111">
        <f>((Tabela135[[#This Row],[Objetive value]]-Tabela135[[#This Row],[Objetive value/GATeS]])/Tabela135[[#This Row],[Objetive value]])*100</f>
        <v>1.9507387557626206</v>
      </c>
      <c r="P4" s="112">
        <v>121508</v>
      </c>
      <c r="Q4" s="112">
        <v>4.32</v>
      </c>
      <c r="R4" s="112">
        <v>0</v>
      </c>
      <c r="S4" s="112">
        <f>(((Tabela135[[#This Row],[Objetive value]]-Tabela135[[#This Row],[Objetive Value /H-R1]])/Tabela135[[#This Row],[Objetive value]]))*100</f>
        <v>1.0311629498102204</v>
      </c>
      <c r="T4" s="113">
        <v>122743</v>
      </c>
      <c r="U4" s="113">
        <v>3.11</v>
      </c>
      <c r="V4" s="113">
        <v>0</v>
      </c>
      <c r="W4" s="113">
        <f>(((Tabela135[[#This Row],[Objetive value]]-Tabela135[[#This Row],[Objetive value /H-R2]])/Tabela135[[#This Row],[Objetive value]]))*100</f>
        <v>2.5249645690455635E-2</v>
      </c>
    </row>
    <row r="5" spans="1:23" s="10" customFormat="1" x14ac:dyDescent="0.25">
      <c r="A5" s="3" t="s">
        <v>319</v>
      </c>
      <c r="B5" s="39" t="s">
        <v>328</v>
      </c>
      <c r="C5" s="3">
        <v>10000</v>
      </c>
      <c r="D5" s="95">
        <v>0.1</v>
      </c>
      <c r="E5" s="3">
        <v>10</v>
      </c>
      <c r="F5" s="39" t="s">
        <v>18</v>
      </c>
      <c r="G5" s="39" t="s">
        <v>14</v>
      </c>
      <c r="H5" s="110">
        <v>216529</v>
      </c>
      <c r="I5" s="138">
        <v>216529</v>
      </c>
      <c r="J5" s="138">
        <v>187.717999999993</v>
      </c>
      <c r="K5" s="137">
        <v>0</v>
      </c>
      <c r="L5" s="125">
        <v>202700</v>
      </c>
      <c r="M5" s="125">
        <v>1690</v>
      </c>
      <c r="N5" s="125">
        <v>95</v>
      </c>
      <c r="O5" s="111">
        <f>((Tabela135[[#This Row],[Objetive value]]-Tabela135[[#This Row],[Objetive value/GATeS]])/Tabela135[[#This Row],[Objetive value]])*100</f>
        <v>6.3866733786236489</v>
      </c>
      <c r="P5" s="112">
        <v>211833</v>
      </c>
      <c r="Q5" s="112">
        <v>3.46</v>
      </c>
      <c r="R5" s="112">
        <v>0</v>
      </c>
      <c r="S5" s="112">
        <f>(((Tabela135[[#This Row],[Objetive value]]-Tabela135[[#This Row],[Objetive Value /H-R1]])/Tabela135[[#This Row],[Objetive value]]))*100</f>
        <v>2.1687626137838349</v>
      </c>
      <c r="T5" s="113">
        <v>212844</v>
      </c>
      <c r="U5" s="113">
        <v>2.85</v>
      </c>
      <c r="V5" s="113">
        <v>0</v>
      </c>
      <c r="W5" s="113">
        <f>(((Tabela135[[#This Row],[Objetive value]]-Tabela135[[#This Row],[Objetive value /H-R2]])/Tabela135[[#This Row],[Objetive value]]))*100</f>
        <v>1.7018505604330134</v>
      </c>
    </row>
    <row r="6" spans="1:23" s="10" customFormat="1" x14ac:dyDescent="0.25">
      <c r="A6" s="3" t="s">
        <v>319</v>
      </c>
      <c r="B6" s="39" t="s">
        <v>329</v>
      </c>
      <c r="C6" s="3">
        <v>10000</v>
      </c>
      <c r="D6" s="95">
        <v>0.1</v>
      </c>
      <c r="E6" s="3">
        <v>10</v>
      </c>
      <c r="F6" s="39" t="s">
        <v>18</v>
      </c>
      <c r="G6" s="39" t="s">
        <v>16</v>
      </c>
      <c r="H6" s="110">
        <v>130733</v>
      </c>
      <c r="I6" s="138">
        <v>130610</v>
      </c>
      <c r="J6" s="138">
        <v>291.21900000004098</v>
      </c>
      <c r="K6" s="137">
        <v>0</v>
      </c>
      <c r="L6" s="125">
        <v>130241</v>
      </c>
      <c r="M6" s="125">
        <v>1640</v>
      </c>
      <c r="N6" s="125">
        <v>649</v>
      </c>
      <c r="O6" s="111">
        <f>((Tabela135[[#This Row],[Objetive value]]-Tabela135[[#This Row],[Objetive value/GATeS]])/Tabela135[[#This Row],[Objetive value]])*100</f>
        <v>0.28252048082076409</v>
      </c>
      <c r="P6" s="112">
        <v>127311</v>
      </c>
      <c r="Q6" s="112">
        <v>4.6900000000000004</v>
      </c>
      <c r="R6" s="112">
        <v>0</v>
      </c>
      <c r="S6" s="112">
        <f>(((Tabela135[[#This Row],[Objetive value]]-Tabela135[[#This Row],[Objetive Value /H-R1]])/Tabela135[[#This Row],[Objetive value]]))*100</f>
        <v>2.525840287879948</v>
      </c>
      <c r="T6" s="113">
        <v>127311</v>
      </c>
      <c r="U6" s="113">
        <v>4.6900000000000004</v>
      </c>
      <c r="V6" s="113">
        <v>0</v>
      </c>
      <c r="W6" s="113">
        <f>(((Tabela135[[#This Row],[Objetive value]]-Tabela135[[#This Row],[Objetive value /H-R2]])/Tabela135[[#This Row],[Objetive value]]))*100</f>
        <v>2.525840287879948</v>
      </c>
    </row>
    <row r="7" spans="1:23" x14ac:dyDescent="0.25">
      <c r="A7" s="3" t="s">
        <v>319</v>
      </c>
      <c r="B7" s="39" t="s">
        <v>330</v>
      </c>
      <c r="C7" s="3">
        <v>10000</v>
      </c>
      <c r="D7" s="95">
        <v>0.1</v>
      </c>
      <c r="E7" s="3">
        <v>10</v>
      </c>
      <c r="F7" s="39" t="s">
        <v>21</v>
      </c>
      <c r="G7" s="39" t="s">
        <v>14</v>
      </c>
      <c r="H7" s="110">
        <v>177111</v>
      </c>
      <c r="I7" s="138">
        <v>117247</v>
      </c>
      <c r="J7" s="138">
        <v>106.375</v>
      </c>
      <c r="K7" s="137">
        <v>0</v>
      </c>
      <c r="L7" s="125">
        <v>101666</v>
      </c>
      <c r="M7" s="125">
        <v>1657</v>
      </c>
      <c r="N7" s="125">
        <v>1152</v>
      </c>
      <c r="O7" s="111">
        <f>((Tabela135[[#This Row],[Objetive value]]-Tabela135[[#This Row],[Objetive value/GATeS]])/Tabela135[[#This Row],[Objetive value]])*100</f>
        <v>13.289039378406271</v>
      </c>
      <c r="P7" s="112">
        <v>31966</v>
      </c>
      <c r="Q7" s="112">
        <v>9.09</v>
      </c>
      <c r="R7" s="112">
        <v>0</v>
      </c>
      <c r="S7" s="112">
        <f>(((Tabela135[[#This Row],[Objetive value]]-Tabela135[[#This Row],[Objetive Value /H-R1]])/Tabela135[[#This Row],[Objetive value]]))*100</f>
        <v>72.736189412095825</v>
      </c>
      <c r="T7" s="113">
        <v>117247</v>
      </c>
      <c r="U7" s="113">
        <v>5.34</v>
      </c>
      <c r="V7" s="113">
        <v>0</v>
      </c>
      <c r="W7" s="113">
        <f>(((Tabela135[[#This Row],[Objetive value]]-Tabela135[[#This Row],[Objetive value /H-R2]])/Tabela135[[#This Row],[Objetive value]]))*100</f>
        <v>0</v>
      </c>
    </row>
    <row r="8" spans="1:23" x14ac:dyDescent="0.25">
      <c r="A8" s="3" t="s">
        <v>319</v>
      </c>
      <c r="B8" s="39" t="s">
        <v>331</v>
      </c>
      <c r="C8" s="3">
        <v>10000</v>
      </c>
      <c r="D8" s="95">
        <v>0.1</v>
      </c>
      <c r="E8" s="3">
        <v>10</v>
      </c>
      <c r="F8" s="39" t="s">
        <v>21</v>
      </c>
      <c r="G8" s="39" t="s">
        <v>16</v>
      </c>
      <c r="H8" s="110">
        <v>127677</v>
      </c>
      <c r="I8" s="138">
        <v>121196</v>
      </c>
      <c r="J8" s="138">
        <v>241.687000000034</v>
      </c>
      <c r="K8" s="137">
        <v>0</v>
      </c>
      <c r="L8" s="125">
        <v>119774</v>
      </c>
      <c r="M8" s="125">
        <v>1714</v>
      </c>
      <c r="N8" s="125">
        <v>1125</v>
      </c>
      <c r="O8" s="111">
        <f>((Tabela135[[#This Row],[Objetive value]]-Tabela135[[#This Row],[Objetive value/GATeS]])/Tabela135[[#This Row],[Objetive value]])*100</f>
        <v>1.1733060497046108</v>
      </c>
      <c r="P8" s="112">
        <v>115352</v>
      </c>
      <c r="Q8" s="112">
        <v>8.18</v>
      </c>
      <c r="R8" s="112">
        <v>0</v>
      </c>
      <c r="S8" s="112">
        <f>(((Tabela135[[#This Row],[Objetive value]]-Tabela135[[#This Row],[Objetive Value /H-R1]])/Tabela135[[#This Row],[Objetive value]]))*100</f>
        <v>4.8219413181953197</v>
      </c>
      <c r="T8" s="113">
        <v>115393</v>
      </c>
      <c r="U8" s="113">
        <v>5.22</v>
      </c>
      <c r="V8" s="113">
        <v>0</v>
      </c>
      <c r="W8" s="113">
        <f>(((Tabela135[[#This Row],[Objetive value]]-Tabela135[[#This Row],[Objetive value /H-R2]])/Tabela135[[#This Row],[Objetive value]]))*100</f>
        <v>4.7881118188719096</v>
      </c>
    </row>
    <row r="9" spans="1:23" x14ac:dyDescent="0.25">
      <c r="A9" s="3" t="s">
        <v>338</v>
      </c>
      <c r="B9" s="39" t="s">
        <v>345</v>
      </c>
      <c r="C9" s="3">
        <v>10000</v>
      </c>
      <c r="D9" s="95">
        <v>0.1</v>
      </c>
      <c r="E9" s="3">
        <v>15</v>
      </c>
      <c r="F9" s="39" t="s">
        <v>13</v>
      </c>
      <c r="G9" s="39" t="s">
        <v>14</v>
      </c>
      <c r="H9" s="110">
        <v>281497</v>
      </c>
      <c r="I9" s="138">
        <v>281496</v>
      </c>
      <c r="J9" s="138">
        <v>3013.6709999999698</v>
      </c>
      <c r="K9" s="137">
        <v>0</v>
      </c>
      <c r="L9" s="125">
        <v>268998</v>
      </c>
      <c r="M9" s="125">
        <v>1782</v>
      </c>
      <c r="N9" s="125">
        <v>1009</v>
      </c>
      <c r="O9" s="111">
        <f>((Tabela135[[#This Row],[Objetive value]]-Tabela135[[#This Row],[Objetive value/GATeS]])/Tabela135[[#This Row],[Objetive value]])*100</f>
        <v>4.4398499445818054</v>
      </c>
      <c r="P9" s="112">
        <v>265566</v>
      </c>
      <c r="Q9" s="112">
        <v>12.24</v>
      </c>
      <c r="R9" s="112">
        <v>0</v>
      </c>
      <c r="S9" s="112">
        <f>(((Tabela135[[#This Row],[Objetive value]]-Tabela135[[#This Row],[Objetive Value /H-R1]])/Tabela135[[#This Row],[Objetive value]]))*100</f>
        <v>5.6590502174098392</v>
      </c>
      <c r="T9" s="113">
        <v>258844</v>
      </c>
      <c r="U9" s="113">
        <v>12.11</v>
      </c>
      <c r="V9" s="113">
        <v>0</v>
      </c>
      <c r="W9" s="113">
        <f>(((Tabela135[[#This Row],[Objetive value]]-Tabela135[[#This Row],[Objetive value /H-R2]])/Tabela135[[#This Row],[Objetive value]]))*100</f>
        <v>8.0470059965328105</v>
      </c>
    </row>
    <row r="10" spans="1:23" x14ac:dyDescent="0.25">
      <c r="A10" s="3" t="s">
        <v>338</v>
      </c>
      <c r="B10" s="39" t="s">
        <v>346</v>
      </c>
      <c r="C10" s="3">
        <v>10000</v>
      </c>
      <c r="D10" s="95">
        <v>0.1</v>
      </c>
      <c r="E10" s="3">
        <v>15</v>
      </c>
      <c r="F10" s="39" t="s">
        <v>13</v>
      </c>
      <c r="G10" s="39" t="s">
        <v>16</v>
      </c>
      <c r="H10" s="110">
        <v>173291</v>
      </c>
      <c r="I10" s="138">
        <v>168293</v>
      </c>
      <c r="J10" s="138">
        <v>2198.53100000007</v>
      </c>
      <c r="K10" s="137">
        <v>0.01</v>
      </c>
      <c r="L10" s="125">
        <v>164414</v>
      </c>
      <c r="M10" s="125">
        <v>1684</v>
      </c>
      <c r="N10" s="125">
        <v>647</v>
      </c>
      <c r="O10" s="111">
        <f>((Tabela135[[#This Row],[Objetive value]]-Tabela135[[#This Row],[Objetive value/GATeS]])/Tabela135[[#This Row],[Objetive value]])*100</f>
        <v>2.3049087008966502</v>
      </c>
      <c r="P10" s="112">
        <v>167520</v>
      </c>
      <c r="Q10" s="112">
        <v>11.27</v>
      </c>
      <c r="R10" s="112">
        <v>0</v>
      </c>
      <c r="S10" s="112">
        <f>(((Tabela135[[#This Row],[Objetive value]]-Tabela135[[#This Row],[Objetive Value /H-R1]])/Tabela135[[#This Row],[Objetive value]]))*100</f>
        <v>0.4593179751980177</v>
      </c>
      <c r="T10" s="113">
        <v>163329</v>
      </c>
      <c r="U10" s="113">
        <v>6.42</v>
      </c>
      <c r="V10" s="113">
        <v>0</v>
      </c>
      <c r="W10" s="113">
        <f>(((Tabela135[[#This Row],[Objetive value]]-Tabela135[[#This Row],[Objetive value /H-R2]])/Tabela135[[#This Row],[Objetive value]]))*100</f>
        <v>2.9496176311551876</v>
      </c>
    </row>
    <row r="11" spans="1:23" x14ac:dyDescent="0.25">
      <c r="A11" s="3" t="s">
        <v>338</v>
      </c>
      <c r="B11" s="39" t="s">
        <v>347</v>
      </c>
      <c r="C11" s="3">
        <v>10000</v>
      </c>
      <c r="D11" s="95">
        <v>0.1</v>
      </c>
      <c r="E11" s="3">
        <v>15</v>
      </c>
      <c r="F11" s="39" t="s">
        <v>18</v>
      </c>
      <c r="G11" s="39" t="s">
        <v>14</v>
      </c>
      <c r="H11" s="110">
        <v>331612</v>
      </c>
      <c r="I11" s="138">
        <v>329864</v>
      </c>
      <c r="J11" s="138">
        <v>1581.75</v>
      </c>
      <c r="K11" s="137">
        <v>0</v>
      </c>
      <c r="L11" s="125">
        <v>306997</v>
      </c>
      <c r="M11" s="125">
        <v>1863</v>
      </c>
      <c r="N11" s="125">
        <v>1830</v>
      </c>
      <c r="O11" s="111">
        <f>((Tabela135[[#This Row],[Objetive value]]-Tabela135[[#This Row],[Objetive value/GATeS]])/Tabela135[[#This Row],[Objetive value]])*100</f>
        <v>6.9322508670239857</v>
      </c>
      <c r="P11" s="112">
        <v>327492</v>
      </c>
      <c r="Q11" s="112">
        <v>5.9</v>
      </c>
      <c r="R11" s="112">
        <v>0</v>
      </c>
      <c r="S11" s="112">
        <f>(((Tabela135[[#This Row],[Objetive value]]-Tabela135[[#This Row],[Objetive Value /H-R1]])/Tabela135[[#This Row],[Objetive value]]))*100</f>
        <v>0.71908422865180799</v>
      </c>
      <c r="T11" s="113">
        <v>321550</v>
      </c>
      <c r="U11" s="113">
        <v>5.38</v>
      </c>
      <c r="V11" s="113">
        <v>0</v>
      </c>
      <c r="W11" s="113">
        <f>(((Tabela135[[#This Row],[Objetive value]]-Tabela135[[#This Row],[Objetive value /H-R2]])/Tabela135[[#This Row],[Objetive value]]))*100</f>
        <v>2.5204326631581502</v>
      </c>
    </row>
    <row r="12" spans="1:23" x14ac:dyDescent="0.25">
      <c r="A12" s="3" t="s">
        <v>338</v>
      </c>
      <c r="B12" s="39" t="s">
        <v>348</v>
      </c>
      <c r="C12" s="3">
        <v>10000</v>
      </c>
      <c r="D12" s="95">
        <v>0.1</v>
      </c>
      <c r="E12" s="3">
        <v>15</v>
      </c>
      <c r="F12" s="39" t="s">
        <v>18</v>
      </c>
      <c r="G12" s="39" t="s">
        <v>16</v>
      </c>
      <c r="H12" s="110">
        <v>172856</v>
      </c>
      <c r="I12" s="138">
        <v>170877</v>
      </c>
      <c r="J12" s="138">
        <v>3592.29700000002</v>
      </c>
      <c r="K12" s="137">
        <v>0.05</v>
      </c>
      <c r="L12" s="125">
        <v>164739</v>
      </c>
      <c r="M12" s="125">
        <v>1755</v>
      </c>
      <c r="N12" s="125">
        <v>1755</v>
      </c>
      <c r="O12" s="111">
        <f>((Tabela135[[#This Row],[Objetive value]]-Tabela135[[#This Row],[Objetive value/GATeS]])/Tabela135[[#This Row],[Objetive value]])*100</f>
        <v>3.5920574448287361</v>
      </c>
      <c r="P12" s="112">
        <v>165599</v>
      </c>
      <c r="Q12" s="112">
        <v>7.49</v>
      </c>
      <c r="R12" s="112">
        <v>0</v>
      </c>
      <c r="S12" s="112">
        <f>(((Tabela135[[#This Row],[Objetive value]]-Tabela135[[#This Row],[Objetive Value /H-R1]])/Tabela135[[#This Row],[Objetive value]]))*100</f>
        <v>3.088771455491377</v>
      </c>
      <c r="T12" s="113">
        <v>164609</v>
      </c>
      <c r="U12" s="113">
        <v>5.94</v>
      </c>
      <c r="V12" s="113">
        <v>0</v>
      </c>
      <c r="W12" s="113">
        <f>(((Tabela135[[#This Row],[Objetive value]]-Tabela135[[#This Row],[Objetive value /H-R2]])/Tabela135[[#This Row],[Objetive value]]))*100</f>
        <v>3.6681355594960117</v>
      </c>
    </row>
    <row r="13" spans="1:23" x14ac:dyDescent="0.25">
      <c r="A13" s="3" t="s">
        <v>338</v>
      </c>
      <c r="B13" s="39" t="s">
        <v>349</v>
      </c>
      <c r="C13" s="3">
        <v>10000</v>
      </c>
      <c r="D13" s="95">
        <v>0.1</v>
      </c>
      <c r="E13" s="3">
        <v>15</v>
      </c>
      <c r="F13" s="39" t="s">
        <v>21</v>
      </c>
      <c r="G13" s="39" t="s">
        <v>14</v>
      </c>
      <c r="H13" s="110">
        <v>342210</v>
      </c>
      <c r="I13" s="138">
        <v>322336</v>
      </c>
      <c r="J13" s="138">
        <v>157.827999999979</v>
      </c>
      <c r="K13" s="137">
        <v>0</v>
      </c>
      <c r="L13" s="125">
        <v>320995</v>
      </c>
      <c r="M13" s="125">
        <v>1837</v>
      </c>
      <c r="N13" s="125">
        <v>1031</v>
      </c>
      <c r="O13" s="111">
        <f>((Tabela135[[#This Row],[Objetive value]]-Tabela135[[#This Row],[Objetive value/GATeS]])/Tabela135[[#This Row],[Objetive value]])*100</f>
        <v>0.41602551374962771</v>
      </c>
      <c r="P13" s="112">
        <v>322336</v>
      </c>
      <c r="Q13" s="112">
        <v>13.61</v>
      </c>
      <c r="R13" s="112">
        <v>0</v>
      </c>
      <c r="S13" s="112">
        <f>(((Tabela135[[#This Row],[Objetive value]]-Tabela135[[#This Row],[Objetive Value /H-R1]])/Tabela135[[#This Row],[Objetive value]]))*100</f>
        <v>0</v>
      </c>
      <c r="T13" s="113">
        <v>320598</v>
      </c>
      <c r="U13" s="113">
        <v>6.93</v>
      </c>
      <c r="V13" s="113">
        <v>0</v>
      </c>
      <c r="W13" s="113">
        <f>(((Tabela135[[#This Row],[Objetive value]]-Tabela135[[#This Row],[Objetive value /H-R2]])/Tabela135[[#This Row],[Objetive value]]))*100</f>
        <v>0.53918892087759351</v>
      </c>
    </row>
    <row r="14" spans="1:23" x14ac:dyDescent="0.25">
      <c r="A14" s="3" t="s">
        <v>338</v>
      </c>
      <c r="B14" s="39" t="s">
        <v>350</v>
      </c>
      <c r="C14" s="3">
        <v>10000</v>
      </c>
      <c r="D14" s="95">
        <v>0.1</v>
      </c>
      <c r="E14" s="3">
        <v>15</v>
      </c>
      <c r="F14" s="39" t="s">
        <v>21</v>
      </c>
      <c r="G14" s="39" t="s">
        <v>16</v>
      </c>
      <c r="H14" s="110">
        <v>173324</v>
      </c>
      <c r="I14" s="138">
        <v>169323.99999999299</v>
      </c>
      <c r="J14" s="138">
        <v>2676.1870000000299</v>
      </c>
      <c r="K14" s="137">
        <v>0</v>
      </c>
      <c r="L14" s="125">
        <v>164712</v>
      </c>
      <c r="M14" s="125">
        <v>1694</v>
      </c>
      <c r="N14" s="125">
        <v>396</v>
      </c>
      <c r="O14" s="111">
        <f>((Tabela135[[#This Row],[Objetive value]]-Tabela135[[#This Row],[Objetive value/GATeS]])/Tabela135[[#This Row],[Objetive value]])*100</f>
        <v>2.7237721764151432</v>
      </c>
      <c r="P14" s="112">
        <v>166971</v>
      </c>
      <c r="Q14" s="112">
        <v>8.49</v>
      </c>
      <c r="R14" s="112">
        <v>0</v>
      </c>
      <c r="S14" s="112">
        <f>(((Tabela135[[#This Row],[Objetive value]]-Tabela135[[#This Row],[Objetive Value /H-R1]])/Tabela135[[#This Row],[Objetive value]]))*100</f>
        <v>1.3896435236546996</v>
      </c>
      <c r="T14" s="113">
        <v>164207</v>
      </c>
      <c r="U14" s="113">
        <v>6.17</v>
      </c>
      <c r="V14" s="113">
        <v>0</v>
      </c>
      <c r="W14" s="113">
        <f>(((Tabela135[[#This Row],[Objetive value]]-Tabela135[[#This Row],[Objetive value /H-R2]])/Tabela135[[#This Row],[Objetive value]]))*100</f>
        <v>3.0220169615607935</v>
      </c>
    </row>
    <row r="15" spans="1:23" x14ac:dyDescent="0.25">
      <c r="A15" s="3" t="s">
        <v>300</v>
      </c>
      <c r="B15" s="39" t="s">
        <v>307</v>
      </c>
      <c r="C15" s="3">
        <v>10000</v>
      </c>
      <c r="D15" s="95">
        <v>0.1</v>
      </c>
      <c r="E15" s="3">
        <v>5</v>
      </c>
      <c r="F15" s="39" t="s">
        <v>13</v>
      </c>
      <c r="G15" s="39" t="s">
        <v>14</v>
      </c>
      <c r="H15" s="110">
        <v>99328</v>
      </c>
      <c r="I15" s="138">
        <v>98470</v>
      </c>
      <c r="J15" s="138">
        <v>44.530999999959</v>
      </c>
      <c r="K15" s="137">
        <v>0</v>
      </c>
      <c r="L15" s="125">
        <v>98220</v>
      </c>
      <c r="M15" s="125">
        <v>1575</v>
      </c>
      <c r="N15" s="125">
        <v>252</v>
      </c>
      <c r="O15" s="111">
        <f>((Tabela135[[#This Row],[Objetive value]]-Tabela135[[#This Row],[Objetive value/GATeS]])/Tabela135[[#This Row],[Objetive value]])*100</f>
        <v>0.25388443180664161</v>
      </c>
      <c r="P15" s="112">
        <v>92991</v>
      </c>
      <c r="Q15" s="112">
        <v>1.43</v>
      </c>
      <c r="R15" s="112">
        <v>0</v>
      </c>
      <c r="S15" s="112">
        <f>(((Tabela135[[#This Row],[Objetive value]]-Tabela135[[#This Row],[Objetive Value /H-R1]])/Tabela135[[#This Row],[Objetive value]]))*100</f>
        <v>5.5641312074743574</v>
      </c>
      <c r="T15" s="113">
        <v>98470</v>
      </c>
      <c r="U15" s="113">
        <v>1.24</v>
      </c>
      <c r="V15" s="113">
        <v>0</v>
      </c>
      <c r="W15" s="113">
        <f>(((Tabela135[[#This Row],[Objetive value]]-Tabela135[[#This Row],[Objetive value /H-R2]])/Tabela135[[#This Row],[Objetive value]]))*100</f>
        <v>0</v>
      </c>
    </row>
    <row r="16" spans="1:23" x14ac:dyDescent="0.25">
      <c r="A16" s="3" t="s">
        <v>300</v>
      </c>
      <c r="B16" s="39" t="s">
        <v>308</v>
      </c>
      <c r="C16" s="3">
        <v>10000</v>
      </c>
      <c r="D16" s="95">
        <v>0.1</v>
      </c>
      <c r="E16" s="3">
        <v>5</v>
      </c>
      <c r="F16" s="39" t="s">
        <v>13</v>
      </c>
      <c r="G16" s="39" t="s">
        <v>16</v>
      </c>
      <c r="H16" s="110">
        <v>71754</v>
      </c>
      <c r="I16" s="138">
        <v>70754</v>
      </c>
      <c r="J16" s="138">
        <v>41.140000000013899</v>
      </c>
      <c r="K16" s="137">
        <v>0</v>
      </c>
      <c r="L16" s="125">
        <v>70669</v>
      </c>
      <c r="M16" s="125">
        <v>1600</v>
      </c>
      <c r="N16" s="125">
        <v>1444</v>
      </c>
      <c r="O16" s="111">
        <f>((Tabela135[[#This Row],[Objetive value]]-Tabela135[[#This Row],[Objetive value/GATeS]])/Tabela135[[#This Row],[Objetive value]])*100</f>
        <v>0.1201345506967804</v>
      </c>
      <c r="P16" s="112">
        <v>70754</v>
      </c>
      <c r="Q16" s="112">
        <v>2.0099999999999998</v>
      </c>
      <c r="R16" s="112">
        <v>0</v>
      </c>
      <c r="S16" s="112">
        <f>(((Tabela135[[#This Row],[Objetive value]]-Tabela135[[#This Row],[Objetive Value /H-R1]])/Tabela135[[#This Row],[Objetive value]]))*100</f>
        <v>0</v>
      </c>
      <c r="T16" s="113">
        <v>70754</v>
      </c>
      <c r="U16" s="113">
        <v>1.72</v>
      </c>
      <c r="V16" s="113">
        <v>0</v>
      </c>
      <c r="W16" s="113">
        <f>(((Tabela135[[#This Row],[Objetive value]]-Tabela135[[#This Row],[Objetive value /H-R2]])/Tabela135[[#This Row],[Objetive value]]))*100</f>
        <v>0</v>
      </c>
    </row>
    <row r="17" spans="1:23" x14ac:dyDescent="0.25">
      <c r="A17" s="3" t="s">
        <v>300</v>
      </c>
      <c r="B17" s="39" t="s">
        <v>309</v>
      </c>
      <c r="C17" s="3">
        <v>10000</v>
      </c>
      <c r="D17" s="95">
        <v>0.1</v>
      </c>
      <c r="E17" s="3">
        <v>5</v>
      </c>
      <c r="F17" s="39" t="s">
        <v>18</v>
      </c>
      <c r="G17" s="39" t="s">
        <v>14</v>
      </c>
      <c r="H17" s="110">
        <v>98435</v>
      </c>
      <c r="I17" s="138">
        <v>98435</v>
      </c>
      <c r="J17" s="138">
        <v>39.545999999972899</v>
      </c>
      <c r="K17" s="137">
        <v>0</v>
      </c>
      <c r="L17" s="125">
        <v>98364</v>
      </c>
      <c r="M17" s="125">
        <v>1576</v>
      </c>
      <c r="N17" s="125">
        <v>10</v>
      </c>
      <c r="O17" s="111">
        <f>((Tabela135[[#This Row],[Objetive value]]-Tabela135[[#This Row],[Objetive value/GATeS]])/Tabela135[[#This Row],[Objetive value]])*100</f>
        <v>7.21288159699294E-2</v>
      </c>
      <c r="P17" s="112">
        <v>95347</v>
      </c>
      <c r="Q17" s="112">
        <v>1.37</v>
      </c>
      <c r="R17" s="112">
        <v>0</v>
      </c>
      <c r="S17" s="112">
        <f>(((Tabela135[[#This Row],[Objetive value]]-Tabela135[[#This Row],[Objetive Value /H-R1]])/Tabela135[[#This Row],[Objetive value]]))*100</f>
        <v>3.1370955452836897</v>
      </c>
      <c r="T17" s="113">
        <v>92796</v>
      </c>
      <c r="U17" s="113">
        <v>1.51</v>
      </c>
      <c r="V17" s="113">
        <v>0</v>
      </c>
      <c r="W17" s="113">
        <f>(((Tabela135[[#This Row],[Objetive value]]-Tabela135[[#This Row],[Objetive value /H-R2]])/Tabela135[[#This Row],[Objetive value]]))*100</f>
        <v>5.7286534261187585</v>
      </c>
    </row>
    <row r="18" spans="1:23" x14ac:dyDescent="0.25">
      <c r="A18" s="3" t="s">
        <v>300</v>
      </c>
      <c r="B18" s="39" t="s">
        <v>310</v>
      </c>
      <c r="C18" s="3">
        <v>10000</v>
      </c>
      <c r="D18" s="95">
        <v>0.1</v>
      </c>
      <c r="E18" s="3">
        <v>5</v>
      </c>
      <c r="F18" s="39" t="s">
        <v>18</v>
      </c>
      <c r="G18" s="39" t="s">
        <v>16</v>
      </c>
      <c r="H18" s="110">
        <v>82360</v>
      </c>
      <c r="I18" s="138">
        <v>81007</v>
      </c>
      <c r="J18" s="138">
        <v>41.75</v>
      </c>
      <c r="K18" s="137">
        <v>0</v>
      </c>
      <c r="L18" s="125">
        <v>80642</v>
      </c>
      <c r="M18" s="125">
        <v>1575</v>
      </c>
      <c r="N18" s="125">
        <v>1203</v>
      </c>
      <c r="O18" s="111">
        <f>((Tabela135[[#This Row],[Objetive value]]-Tabela135[[#This Row],[Objetive value/GATeS]])/Tabela135[[#This Row],[Objetive value]])*100</f>
        <v>0.45057834508128924</v>
      </c>
      <c r="P18" s="112">
        <v>81005</v>
      </c>
      <c r="Q18" s="112">
        <v>2.0499999999999998</v>
      </c>
      <c r="R18" s="112">
        <v>0</v>
      </c>
      <c r="S18" s="112">
        <f>(((Tabela135[[#This Row],[Objetive value]]-Tabela135[[#This Row],[Objetive Value /H-R1]])/Tabela135[[#This Row],[Objetive value]]))*100</f>
        <v>2.468922438801585E-3</v>
      </c>
      <c r="T18" s="113">
        <v>78598</v>
      </c>
      <c r="U18" s="113">
        <v>1.39</v>
      </c>
      <c r="V18" s="113">
        <v>0</v>
      </c>
      <c r="W18" s="113">
        <f>(((Tabela135[[#This Row],[Objetive value]]-Tabela135[[#This Row],[Objetive value /H-R2]])/Tabela135[[#This Row],[Objetive value]]))*100</f>
        <v>2.9738170775365091</v>
      </c>
    </row>
    <row r="19" spans="1:23" x14ac:dyDescent="0.25">
      <c r="A19" s="3" t="s">
        <v>300</v>
      </c>
      <c r="B19" s="39" t="s">
        <v>311</v>
      </c>
      <c r="C19" s="3">
        <v>10000</v>
      </c>
      <c r="D19" s="95">
        <v>0.1</v>
      </c>
      <c r="E19" s="3">
        <v>5</v>
      </c>
      <c r="F19" s="39" t="s">
        <v>21</v>
      </c>
      <c r="G19" s="39" t="s">
        <v>14</v>
      </c>
      <c r="H19" s="110">
        <v>96679</v>
      </c>
      <c r="I19" s="138">
        <v>85040</v>
      </c>
      <c r="J19" s="138">
        <v>45.170999999972899</v>
      </c>
      <c r="K19" s="137">
        <v>0</v>
      </c>
      <c r="L19" s="125">
        <v>85040</v>
      </c>
      <c r="M19" s="125">
        <v>1405</v>
      </c>
      <c r="N19" s="125">
        <v>8</v>
      </c>
      <c r="O19" s="111">
        <f>((Tabela135[[#This Row],[Objetive value]]-Tabela135[[#This Row],[Objetive value/GATeS]])/Tabela135[[#This Row],[Objetive value]])*100</f>
        <v>0</v>
      </c>
      <c r="P19" s="112">
        <v>78685</v>
      </c>
      <c r="Q19" s="112">
        <v>1.4</v>
      </c>
      <c r="R19" s="112">
        <v>0</v>
      </c>
      <c r="S19" s="112">
        <f>(((Tabela135[[#This Row],[Objetive value]]-Tabela135[[#This Row],[Objetive Value /H-R1]])/Tabela135[[#This Row],[Objetive value]]))*100</f>
        <v>7.4729539040451556</v>
      </c>
      <c r="T19" s="113">
        <v>85040</v>
      </c>
      <c r="U19" s="113">
        <v>1.43</v>
      </c>
      <c r="V19" s="113">
        <v>0</v>
      </c>
      <c r="W19" s="113">
        <f>(((Tabela135[[#This Row],[Objetive value]]-Tabela135[[#This Row],[Objetive value /H-R2]])/Tabela135[[#This Row],[Objetive value]]))*100</f>
        <v>0</v>
      </c>
    </row>
    <row r="20" spans="1:23" x14ac:dyDescent="0.25">
      <c r="A20" s="3" t="s">
        <v>300</v>
      </c>
      <c r="B20" s="39" t="s">
        <v>312</v>
      </c>
      <c r="C20" s="3">
        <v>10000</v>
      </c>
      <c r="D20" s="95">
        <v>0.1</v>
      </c>
      <c r="E20" s="3">
        <v>5</v>
      </c>
      <c r="F20" s="39" t="s">
        <v>21</v>
      </c>
      <c r="G20" s="39" t="s">
        <v>16</v>
      </c>
      <c r="H20" s="110">
        <v>75961</v>
      </c>
      <c r="I20" s="138">
        <v>75961</v>
      </c>
      <c r="J20" s="138">
        <v>17.718999999924499</v>
      </c>
      <c r="K20" s="137">
        <v>0</v>
      </c>
      <c r="L20" s="125">
        <v>75961</v>
      </c>
      <c r="M20" s="125">
        <v>1444</v>
      </c>
      <c r="N20" s="125">
        <v>47</v>
      </c>
      <c r="O20" s="111">
        <f>((Tabela135[[#This Row],[Objetive value]]-Tabela135[[#This Row],[Objetive value/GATeS]])/Tabela135[[#This Row],[Objetive value]])*100</f>
        <v>0</v>
      </c>
      <c r="P20" s="112">
        <v>75961</v>
      </c>
      <c r="Q20" s="112">
        <v>1.93</v>
      </c>
      <c r="R20" s="112">
        <v>0</v>
      </c>
      <c r="S20" s="112">
        <f>(((Tabela135[[#This Row],[Objetive value]]-Tabela135[[#This Row],[Objetive Value /H-R1]])/Tabela135[[#This Row],[Objetive value]]))*100</f>
        <v>0</v>
      </c>
      <c r="T20" s="113">
        <v>75961</v>
      </c>
      <c r="U20" s="113">
        <v>1.36</v>
      </c>
      <c r="V20" s="113">
        <v>0</v>
      </c>
      <c r="W20" s="113">
        <f>(((Tabela135[[#This Row],[Objetive value]]-Tabela135[[#This Row],[Objetive value /H-R2]])/Tabela135[[#This Row],[Objetive value]]))*100</f>
        <v>0</v>
      </c>
    </row>
    <row r="21" spans="1:23" x14ac:dyDescent="0.25">
      <c r="A21" s="3" t="s">
        <v>319</v>
      </c>
      <c r="B21" s="39" t="s">
        <v>332</v>
      </c>
      <c r="C21" s="3">
        <v>10000</v>
      </c>
      <c r="D21" s="3">
        <v>0.15</v>
      </c>
      <c r="E21" s="3">
        <v>10</v>
      </c>
      <c r="F21" s="39" t="s">
        <v>13</v>
      </c>
      <c r="G21" s="39" t="s">
        <v>14</v>
      </c>
      <c r="H21" s="110">
        <v>226422</v>
      </c>
      <c r="I21" s="138">
        <v>226421</v>
      </c>
      <c r="J21" s="138">
        <v>280.85999999998597</v>
      </c>
      <c r="K21" s="137">
        <v>0</v>
      </c>
      <c r="L21" s="125">
        <v>209208</v>
      </c>
      <c r="M21" s="125">
        <v>1696</v>
      </c>
      <c r="N21" s="125">
        <v>978</v>
      </c>
      <c r="O21" s="111">
        <f>((Tabela135[[#This Row],[Objetive value]]-Tabela135[[#This Row],[Objetive value/GATeS]])/Tabela135[[#This Row],[Objetive value]])*100</f>
        <v>7.602210042354729</v>
      </c>
      <c r="P21" s="112">
        <v>226421</v>
      </c>
      <c r="Q21" s="112">
        <v>4.67</v>
      </c>
      <c r="R21" s="112">
        <v>0</v>
      </c>
      <c r="S21" s="112">
        <f>(((Tabela135[[#This Row],[Objetive value]]-Tabela135[[#This Row],[Objetive Value /H-R1]])/Tabela135[[#This Row],[Objetive value]]))*100</f>
        <v>0</v>
      </c>
      <c r="T21" s="113">
        <v>195878</v>
      </c>
      <c r="U21" s="113">
        <v>3.99</v>
      </c>
      <c r="V21" s="113">
        <v>0</v>
      </c>
      <c r="W21" s="113">
        <f>(((Tabela135[[#This Row],[Objetive value]]-Tabela135[[#This Row],[Objetive value /H-R2]])/Tabela135[[#This Row],[Objetive value]]))*100</f>
        <v>13.489473149575348</v>
      </c>
    </row>
    <row r="22" spans="1:23" x14ac:dyDescent="0.25">
      <c r="A22" s="3" t="s">
        <v>319</v>
      </c>
      <c r="B22" s="39" t="s">
        <v>333</v>
      </c>
      <c r="C22" s="3">
        <v>10000</v>
      </c>
      <c r="D22" s="3">
        <v>0.15</v>
      </c>
      <c r="E22" s="3">
        <v>10</v>
      </c>
      <c r="F22" s="39" t="s">
        <v>13</v>
      </c>
      <c r="G22" s="39" t="s">
        <v>16</v>
      </c>
      <c r="H22" s="110">
        <v>131593</v>
      </c>
      <c r="I22" s="138">
        <v>129305</v>
      </c>
      <c r="J22" s="138">
        <v>346.53099999995902</v>
      </c>
      <c r="K22" s="137">
        <v>0</v>
      </c>
      <c r="L22" s="125">
        <v>123062</v>
      </c>
      <c r="M22" s="125">
        <v>1652</v>
      </c>
      <c r="N22" s="125">
        <v>417</v>
      </c>
      <c r="O22" s="111">
        <f>((Tabela135[[#This Row],[Objetive value]]-Tabela135[[#This Row],[Objetive value/GATeS]])/Tabela135[[#This Row],[Objetive value]])*100</f>
        <v>4.8281195622752406</v>
      </c>
      <c r="P22" s="112">
        <v>129305</v>
      </c>
      <c r="Q22" s="112">
        <v>7.17</v>
      </c>
      <c r="R22" s="112">
        <v>0</v>
      </c>
      <c r="S22" s="112">
        <f>(((Tabela135[[#This Row],[Objetive value]]-Tabela135[[#This Row],[Objetive Value /H-R1]])/Tabela135[[#This Row],[Objetive value]]))*100</f>
        <v>0</v>
      </c>
      <c r="T22" s="113">
        <v>129294</v>
      </c>
      <c r="U22" s="113">
        <v>4.6900000000000004</v>
      </c>
      <c r="V22" s="113">
        <v>0</v>
      </c>
      <c r="W22" s="113">
        <f>(((Tabela135[[#This Row],[Objetive value]]-Tabela135[[#This Row],[Objetive value /H-R2]])/Tabela135[[#This Row],[Objetive value]]))*100</f>
        <v>8.507018290089324E-3</v>
      </c>
    </row>
    <row r="23" spans="1:23" x14ac:dyDescent="0.25">
      <c r="A23" s="3" t="s">
        <v>319</v>
      </c>
      <c r="B23" s="39" t="s">
        <v>334</v>
      </c>
      <c r="C23" s="3">
        <v>10000</v>
      </c>
      <c r="D23" s="3">
        <v>0.15</v>
      </c>
      <c r="E23" s="3">
        <v>10</v>
      </c>
      <c r="F23" s="39" t="s">
        <v>18</v>
      </c>
      <c r="G23" s="39" t="s">
        <v>14</v>
      </c>
      <c r="H23" s="110">
        <v>238627</v>
      </c>
      <c r="I23" s="138">
        <v>238381</v>
      </c>
      <c r="J23" s="138">
        <v>197.25</v>
      </c>
      <c r="K23" s="137">
        <v>0</v>
      </c>
      <c r="L23" s="125">
        <v>233398</v>
      </c>
      <c r="M23" s="125">
        <v>1727</v>
      </c>
      <c r="N23" s="125">
        <v>687</v>
      </c>
      <c r="O23" s="111">
        <f>((Tabela135[[#This Row],[Objetive value]]-Tabela135[[#This Row],[Objetive value/GATeS]])/Tabela135[[#This Row],[Objetive value]])*100</f>
        <v>2.0903511605371232</v>
      </c>
      <c r="P23" s="112">
        <v>235941</v>
      </c>
      <c r="Q23" s="112">
        <v>4.99</v>
      </c>
      <c r="R23" s="112">
        <v>0</v>
      </c>
      <c r="S23" s="112">
        <f>(((Tabela135[[#This Row],[Objetive value]]-Tabela135[[#This Row],[Objetive Value /H-R1]])/Tabela135[[#This Row],[Objetive value]]))*100</f>
        <v>1.023571509474329</v>
      </c>
      <c r="T23" s="113">
        <v>235125</v>
      </c>
      <c r="U23" s="113">
        <v>4.21</v>
      </c>
      <c r="V23" s="113">
        <v>0</v>
      </c>
      <c r="W23" s="113">
        <f>(((Tabela135[[#This Row],[Objetive value]]-Tabela135[[#This Row],[Objetive value /H-R2]])/Tabela135[[#This Row],[Objetive value]]))*100</f>
        <v>1.3658806700198423</v>
      </c>
    </row>
    <row r="24" spans="1:23" x14ac:dyDescent="0.25">
      <c r="A24" s="3" t="s">
        <v>319</v>
      </c>
      <c r="B24" s="39" t="s">
        <v>335</v>
      </c>
      <c r="C24" s="3">
        <v>10000</v>
      </c>
      <c r="D24" s="3">
        <v>0.15</v>
      </c>
      <c r="E24" s="3">
        <v>10</v>
      </c>
      <c r="F24" s="39" t="s">
        <v>18</v>
      </c>
      <c r="G24" s="39" t="s">
        <v>16</v>
      </c>
      <c r="H24" s="110">
        <v>125031</v>
      </c>
      <c r="I24" s="138">
        <v>123086</v>
      </c>
      <c r="J24" s="138">
        <v>547.45299999997906</v>
      </c>
      <c r="K24" s="137">
        <v>0</v>
      </c>
      <c r="L24" s="125">
        <v>121562</v>
      </c>
      <c r="M24" s="125">
        <v>1726</v>
      </c>
      <c r="N24" s="125">
        <v>700</v>
      </c>
      <c r="O24" s="111">
        <f>((Tabela135[[#This Row],[Objetive value]]-Tabela135[[#This Row],[Objetive value/GATeS]])/Tabela135[[#This Row],[Objetive value]])*100</f>
        <v>1.2381586857969225</v>
      </c>
      <c r="P24" s="112">
        <v>123086</v>
      </c>
      <c r="Q24" s="112">
        <v>5.89</v>
      </c>
      <c r="R24" s="112">
        <v>0</v>
      </c>
      <c r="S24" s="112">
        <f>(((Tabela135[[#This Row],[Objetive value]]-Tabela135[[#This Row],[Objetive Value /H-R1]])/Tabela135[[#This Row],[Objetive value]]))*100</f>
        <v>0</v>
      </c>
      <c r="T24" s="113">
        <v>121906</v>
      </c>
      <c r="U24" s="113">
        <v>3.76</v>
      </c>
      <c r="V24" s="113">
        <v>0</v>
      </c>
      <c r="W24" s="113">
        <f>(((Tabela135[[#This Row],[Objetive value]]-Tabela135[[#This Row],[Objetive value /H-R2]])/Tabela135[[#This Row],[Objetive value]]))*100</f>
        <v>0.95867929740181668</v>
      </c>
    </row>
    <row r="25" spans="1:23" x14ac:dyDescent="0.25">
      <c r="A25" s="3" t="s">
        <v>319</v>
      </c>
      <c r="B25" s="39" t="s">
        <v>336</v>
      </c>
      <c r="C25" s="3">
        <v>10000</v>
      </c>
      <c r="D25" s="3">
        <v>0.15</v>
      </c>
      <c r="E25" s="3">
        <v>10</v>
      </c>
      <c r="F25" s="39" t="s">
        <v>21</v>
      </c>
      <c r="G25" s="39" t="s">
        <v>14</v>
      </c>
      <c r="H25" s="110">
        <v>212944</v>
      </c>
      <c r="I25" s="138">
        <v>168712</v>
      </c>
      <c r="J25" s="138">
        <v>95.657000000006505</v>
      </c>
      <c r="K25" s="137">
        <v>0</v>
      </c>
      <c r="L25" s="125">
        <v>168712</v>
      </c>
      <c r="M25" s="125">
        <v>2020</v>
      </c>
      <c r="N25" s="125">
        <v>18</v>
      </c>
      <c r="O25" s="111">
        <f>((Tabela135[[#This Row],[Objetive value]]-Tabela135[[#This Row],[Objetive value/GATeS]])/Tabela135[[#This Row],[Objetive value]])*100</f>
        <v>0</v>
      </c>
      <c r="P25" s="112">
        <v>153936</v>
      </c>
      <c r="Q25" s="112">
        <v>12.54</v>
      </c>
      <c r="R25" s="112">
        <v>0</v>
      </c>
      <c r="S25" s="112">
        <f>(((Tabela135[[#This Row],[Objetive value]]-Tabela135[[#This Row],[Objetive Value /H-R1]])/Tabela135[[#This Row],[Objetive value]]))*100</f>
        <v>8.7581203471003839</v>
      </c>
      <c r="T25" s="113">
        <v>168712</v>
      </c>
      <c r="U25" s="113">
        <v>10.06</v>
      </c>
      <c r="V25" s="113">
        <v>0</v>
      </c>
      <c r="W25" s="113">
        <f>(((Tabela135[[#This Row],[Objetive value]]-Tabela135[[#This Row],[Objetive value /H-R2]])/Tabela135[[#This Row],[Objetive value]]))*100</f>
        <v>0</v>
      </c>
    </row>
    <row r="26" spans="1:23" x14ac:dyDescent="0.25">
      <c r="A26" s="3" t="s">
        <v>319</v>
      </c>
      <c r="B26" s="39" t="s">
        <v>337</v>
      </c>
      <c r="C26" s="3">
        <v>10000</v>
      </c>
      <c r="D26" s="3">
        <v>0.15</v>
      </c>
      <c r="E26" s="3">
        <v>10</v>
      </c>
      <c r="F26" s="39" t="s">
        <v>21</v>
      </c>
      <c r="G26" s="39" t="s">
        <v>16</v>
      </c>
      <c r="H26" s="110">
        <v>133904</v>
      </c>
      <c r="I26" s="138">
        <v>130492</v>
      </c>
      <c r="J26" s="138">
        <v>278.79700000001998</v>
      </c>
      <c r="K26" s="137">
        <v>0</v>
      </c>
      <c r="L26" s="125">
        <v>129040</v>
      </c>
      <c r="M26" s="125">
        <v>1604</v>
      </c>
      <c r="N26" s="125">
        <v>688</v>
      </c>
      <c r="O26" s="111">
        <f>((Tabela135[[#This Row],[Objetive value]]-Tabela135[[#This Row],[Objetive value/GATeS]])/Tabela135[[#This Row],[Objetive value]])*100</f>
        <v>1.1127118903840847</v>
      </c>
      <c r="P26" s="112">
        <v>126959</v>
      </c>
      <c r="Q26" s="112">
        <v>6.21</v>
      </c>
      <c r="R26" s="112">
        <v>0</v>
      </c>
      <c r="S26" s="112">
        <f>(((Tabela135[[#This Row],[Objetive value]]-Tabela135[[#This Row],[Objetive Value /H-R1]])/Tabela135[[#This Row],[Objetive value]]))*100</f>
        <v>2.7074456671673359</v>
      </c>
      <c r="T26" s="113">
        <v>125640</v>
      </c>
      <c r="U26" s="113">
        <v>5.97</v>
      </c>
      <c r="V26" s="113">
        <v>0</v>
      </c>
      <c r="W26" s="113">
        <f>(((Tabela135[[#This Row],[Objetive value]]-Tabela135[[#This Row],[Objetive value /H-R2]])/Tabela135[[#This Row],[Objetive value]]))*100</f>
        <v>3.718235600649848</v>
      </c>
    </row>
    <row r="27" spans="1:23" x14ac:dyDescent="0.25">
      <c r="A27" s="3" t="s">
        <v>338</v>
      </c>
      <c r="B27" s="39" t="s">
        <v>351</v>
      </c>
      <c r="C27" s="3">
        <v>10000</v>
      </c>
      <c r="D27" s="3">
        <v>0.15</v>
      </c>
      <c r="E27" s="3">
        <v>15</v>
      </c>
      <c r="F27" s="39" t="s">
        <v>13</v>
      </c>
      <c r="G27" s="39" t="s">
        <v>14</v>
      </c>
      <c r="H27" s="110">
        <v>336936</v>
      </c>
      <c r="I27" s="138">
        <v>336888</v>
      </c>
      <c r="J27" s="138">
        <v>2235.45299999997</v>
      </c>
      <c r="K27" s="137">
        <v>0</v>
      </c>
      <c r="L27" s="125">
        <v>308109</v>
      </c>
      <c r="M27" s="125">
        <v>1985</v>
      </c>
      <c r="N27" s="125">
        <v>822</v>
      </c>
      <c r="O27" s="111">
        <f>((Tabela135[[#This Row],[Objetive value]]-Tabela135[[#This Row],[Objetive value/GATeS]])/Tabela135[[#This Row],[Objetive value]])*100</f>
        <v>8.5426016955189858</v>
      </c>
      <c r="P27" s="112">
        <v>328490</v>
      </c>
      <c r="Q27" s="112">
        <v>6.26</v>
      </c>
      <c r="R27" s="112">
        <v>0</v>
      </c>
      <c r="S27" s="112">
        <f>(((Tabela135[[#This Row],[Objetive value]]-Tabela135[[#This Row],[Objetive Value /H-R1]])/Tabela135[[#This Row],[Objetive value]]))*100</f>
        <v>2.4928166037377411</v>
      </c>
      <c r="T27" s="113">
        <v>314144</v>
      </c>
      <c r="U27" s="113">
        <v>5.78</v>
      </c>
      <c r="V27" s="113">
        <v>0</v>
      </c>
      <c r="W27" s="113">
        <f>(((Tabela135[[#This Row],[Objetive value]]-Tabela135[[#This Row],[Objetive value /H-R2]])/Tabela135[[#This Row],[Objetive value]]))*100</f>
        <v>6.7512051482985447</v>
      </c>
    </row>
    <row r="28" spans="1:23" x14ac:dyDescent="0.25">
      <c r="A28" s="3" t="s">
        <v>338</v>
      </c>
      <c r="B28" s="39" t="s">
        <v>352</v>
      </c>
      <c r="C28" s="3">
        <v>10000</v>
      </c>
      <c r="D28" s="3">
        <v>0.15</v>
      </c>
      <c r="E28" s="3">
        <v>15</v>
      </c>
      <c r="F28" s="39" t="s">
        <v>13</v>
      </c>
      <c r="G28" s="39" t="s">
        <v>16</v>
      </c>
      <c r="H28" s="110">
        <v>172377</v>
      </c>
      <c r="I28" s="138">
        <v>166612.999999997</v>
      </c>
      <c r="J28" s="138">
        <v>3124.0929999999898</v>
      </c>
      <c r="K28" s="137">
        <v>0.05</v>
      </c>
      <c r="L28" s="125">
        <v>162857</v>
      </c>
      <c r="M28" s="125">
        <v>1726</v>
      </c>
      <c r="N28" s="125">
        <v>173</v>
      </c>
      <c r="O28" s="111">
        <f>((Tabela135[[#This Row],[Objetive value]]-Tabela135[[#This Row],[Objetive value/GATeS]])/Tabela135[[#This Row],[Objetive value]])*100</f>
        <v>2.2543258929357672</v>
      </c>
      <c r="P28" s="112">
        <v>165859</v>
      </c>
      <c r="Q28" s="112">
        <v>9.2799999999999994</v>
      </c>
      <c r="R28" s="112">
        <v>0</v>
      </c>
      <c r="S28" s="112">
        <f>(((Tabela135[[#This Row],[Objetive value]]-Tabela135[[#This Row],[Objetive Value /H-R1]])/Tabela135[[#This Row],[Objetive value]]))*100</f>
        <v>0.45254571971995938</v>
      </c>
      <c r="T28" s="113">
        <v>162940</v>
      </c>
      <c r="U28" s="113">
        <v>6.7</v>
      </c>
      <c r="V28" s="113">
        <v>0</v>
      </c>
      <c r="W28" s="113">
        <f>(((Tabela135[[#This Row],[Objetive value]]-Tabela135[[#This Row],[Objetive value /H-R2]])/Tabela135[[#This Row],[Objetive value]]))*100</f>
        <v>2.2045098521706401</v>
      </c>
    </row>
    <row r="29" spans="1:23" x14ac:dyDescent="0.25">
      <c r="A29" s="3" t="s">
        <v>338</v>
      </c>
      <c r="B29" s="39" t="s">
        <v>353</v>
      </c>
      <c r="C29" s="3">
        <v>10000</v>
      </c>
      <c r="D29" s="3">
        <v>0.15</v>
      </c>
      <c r="E29" s="3">
        <v>15</v>
      </c>
      <c r="F29" s="39" t="s">
        <v>18</v>
      </c>
      <c r="G29" s="39" t="s">
        <v>14</v>
      </c>
      <c r="H29" s="110">
        <v>335277</v>
      </c>
      <c r="I29" s="138">
        <v>335277</v>
      </c>
      <c r="J29" s="138">
        <v>1741.92200000002</v>
      </c>
      <c r="K29" s="137">
        <v>0</v>
      </c>
      <c r="L29" s="125">
        <v>329581</v>
      </c>
      <c r="M29" s="125">
        <v>1910</v>
      </c>
      <c r="N29" s="125">
        <v>1627</v>
      </c>
      <c r="O29" s="111">
        <f>((Tabela135[[#This Row],[Objetive value]]-Tabela135[[#This Row],[Objetive value/GATeS]])/Tabela135[[#This Row],[Objetive value]])*100</f>
        <v>1.6988937505405977</v>
      </c>
      <c r="P29" s="112">
        <v>323826</v>
      </c>
      <c r="Q29" s="112">
        <v>7.42</v>
      </c>
      <c r="R29" s="112">
        <v>0</v>
      </c>
      <c r="S29" s="112">
        <f>(((Tabela135[[#This Row],[Objetive value]]-Tabela135[[#This Row],[Objetive Value /H-R1]])/Tabela135[[#This Row],[Objetive value]]))*100</f>
        <v>3.4153848907023145</v>
      </c>
      <c r="T29" s="113">
        <v>331164</v>
      </c>
      <c r="U29" s="113">
        <v>6.17</v>
      </c>
      <c r="V29" s="113">
        <v>0</v>
      </c>
      <c r="W29" s="113">
        <f>(((Tabela135[[#This Row],[Objetive value]]-Tabela135[[#This Row],[Objetive value /H-R2]])/Tabela135[[#This Row],[Objetive value]]))*100</f>
        <v>1.2267468391807372</v>
      </c>
    </row>
    <row r="30" spans="1:23" x14ac:dyDescent="0.25">
      <c r="A30" s="3" t="s">
        <v>338</v>
      </c>
      <c r="B30" s="39" t="s">
        <v>354</v>
      </c>
      <c r="C30" s="3">
        <v>10000</v>
      </c>
      <c r="D30" s="3">
        <v>0.15</v>
      </c>
      <c r="E30" s="3">
        <v>15</v>
      </c>
      <c r="F30" s="39" t="s">
        <v>18</v>
      </c>
      <c r="G30" s="39" t="s">
        <v>16</v>
      </c>
      <c r="H30" s="110">
        <v>182905</v>
      </c>
      <c r="I30" s="138">
        <v>181487.99999999799</v>
      </c>
      <c r="J30" s="138">
        <v>2783.9690000000401</v>
      </c>
      <c r="K30" s="137">
        <v>0.12</v>
      </c>
      <c r="L30" s="125">
        <v>176571</v>
      </c>
      <c r="M30" s="125">
        <v>1767</v>
      </c>
      <c r="N30" s="125">
        <v>1200</v>
      </c>
      <c r="O30" s="111">
        <f>((Tabela135[[#This Row],[Objetive value]]-Tabela135[[#This Row],[Objetive value/GATeS]])/Tabela135[[#This Row],[Objetive value]])*100</f>
        <v>2.7092700343813623</v>
      </c>
      <c r="P30" s="112">
        <v>174656</v>
      </c>
      <c r="Q30" s="112">
        <v>9.84</v>
      </c>
      <c r="R30" s="112">
        <v>0</v>
      </c>
      <c r="S30" s="112">
        <f>(((Tabela135[[#This Row],[Objetive value]]-Tabela135[[#This Row],[Objetive Value /H-R1]])/Tabela135[[#This Row],[Objetive value]]))*100</f>
        <v>3.7644362161674971</v>
      </c>
      <c r="T30" s="113">
        <v>175271</v>
      </c>
      <c r="U30" s="113">
        <v>6.3</v>
      </c>
      <c r="V30" s="113">
        <v>0</v>
      </c>
      <c r="W30" s="113">
        <f>(((Tabela135[[#This Row],[Objetive value]]-Tabela135[[#This Row],[Objetive value /H-R2]])/Tabela135[[#This Row],[Objetive value]]))*100</f>
        <v>3.4255708366382684</v>
      </c>
    </row>
    <row r="31" spans="1:23" x14ac:dyDescent="0.25">
      <c r="A31" s="3" t="s">
        <v>338</v>
      </c>
      <c r="B31" s="39" t="s">
        <v>355</v>
      </c>
      <c r="C31" s="3">
        <v>10000</v>
      </c>
      <c r="D31" s="3">
        <v>0.15</v>
      </c>
      <c r="E31" s="3">
        <v>15</v>
      </c>
      <c r="F31" s="39" t="s">
        <v>21</v>
      </c>
      <c r="G31" s="39" t="s">
        <v>14</v>
      </c>
      <c r="H31" s="110">
        <v>356576</v>
      </c>
      <c r="I31" s="138">
        <v>345765</v>
      </c>
      <c r="J31" s="138">
        <v>151.92200000002001</v>
      </c>
      <c r="K31" s="137">
        <v>0</v>
      </c>
      <c r="L31" s="125">
        <v>326514</v>
      </c>
      <c r="M31" s="125">
        <v>2064</v>
      </c>
      <c r="N31" s="125">
        <v>1188</v>
      </c>
      <c r="O31" s="111">
        <f>((Tabela135[[#This Row],[Objetive value]]-Tabela135[[#This Row],[Objetive value/GATeS]])/Tabela135[[#This Row],[Objetive value]])*100</f>
        <v>5.5676543316992753</v>
      </c>
      <c r="P31" s="112">
        <v>345764</v>
      </c>
      <c r="Q31" s="112">
        <v>14.32</v>
      </c>
      <c r="R31" s="112">
        <v>0</v>
      </c>
      <c r="S31" s="112">
        <f>(((Tabela135[[#This Row],[Objetive value]]-Tabela135[[#This Row],[Objetive Value /H-R1]])/Tabela135[[#This Row],[Objetive value]]))*100</f>
        <v>2.8921377235983979E-4</v>
      </c>
      <c r="T31" s="113">
        <v>340959</v>
      </c>
      <c r="U31" s="113">
        <v>8.34</v>
      </c>
      <c r="V31" s="113">
        <v>0</v>
      </c>
      <c r="W31" s="113">
        <f>(((Tabela135[[#This Row],[Objetive value]]-Tabela135[[#This Row],[Objetive value /H-R2]])/Tabela135[[#This Row],[Objetive value]]))*100</f>
        <v>1.3899613899613898</v>
      </c>
    </row>
    <row r="32" spans="1:23" x14ac:dyDescent="0.25">
      <c r="A32" s="3" t="s">
        <v>338</v>
      </c>
      <c r="B32" s="39" t="s">
        <v>356</v>
      </c>
      <c r="C32" s="3">
        <v>10000</v>
      </c>
      <c r="D32" s="3">
        <v>0.15</v>
      </c>
      <c r="E32" s="3">
        <v>15</v>
      </c>
      <c r="F32" s="39" t="s">
        <v>21</v>
      </c>
      <c r="G32" s="39" t="s">
        <v>16</v>
      </c>
      <c r="H32" s="110">
        <v>176143</v>
      </c>
      <c r="I32" s="138">
        <v>170743.99999999901</v>
      </c>
      <c r="J32" s="138">
        <v>1733.4839999999299</v>
      </c>
      <c r="K32" s="137">
        <v>0.03</v>
      </c>
      <c r="L32" s="125">
        <v>169178</v>
      </c>
      <c r="M32" s="125">
        <v>1718</v>
      </c>
      <c r="N32" s="125">
        <v>912</v>
      </c>
      <c r="O32" s="111">
        <f>((Tabela135[[#This Row],[Objetive value]]-Tabela135[[#This Row],[Objetive value/GATeS]])/Tabela135[[#This Row],[Objetive value]])*100</f>
        <v>0.91716253572542494</v>
      </c>
      <c r="P32" s="112">
        <v>166734</v>
      </c>
      <c r="Q32" s="112">
        <v>9.2100000000000009</v>
      </c>
      <c r="R32" s="112">
        <v>0</v>
      </c>
      <c r="S32" s="112">
        <f>(((Tabela135[[#This Row],[Objetive value]]-Tabela135[[#This Row],[Objetive Value /H-R1]])/Tabela135[[#This Row],[Objetive value]]))*100</f>
        <v>2.3485451904600065</v>
      </c>
      <c r="T32" s="113">
        <v>163106</v>
      </c>
      <c r="U32" s="113">
        <v>6.58</v>
      </c>
      <c r="V32" s="113">
        <v>0</v>
      </c>
      <c r="W32" s="113">
        <f>(((Tabela135[[#This Row],[Objetive value]]-Tabela135[[#This Row],[Objetive value /H-R2]])/Tabela135[[#This Row],[Objetive value]]))*100</f>
        <v>4.4733636321036485</v>
      </c>
    </row>
    <row r="33" spans="1:23" x14ac:dyDescent="0.25">
      <c r="A33" s="3" t="s">
        <v>300</v>
      </c>
      <c r="B33" s="39" t="s">
        <v>313</v>
      </c>
      <c r="C33" s="3">
        <v>10000</v>
      </c>
      <c r="D33" s="3">
        <v>0.15</v>
      </c>
      <c r="E33" s="3">
        <v>5</v>
      </c>
      <c r="F33" s="39" t="s">
        <v>13</v>
      </c>
      <c r="G33" s="39" t="s">
        <v>14</v>
      </c>
      <c r="H33" s="110">
        <v>110528</v>
      </c>
      <c r="I33" s="138">
        <v>110521</v>
      </c>
      <c r="J33" s="138">
        <v>41.3130000000819</v>
      </c>
      <c r="K33" s="137">
        <v>0</v>
      </c>
      <c r="L33" s="125">
        <v>110484</v>
      </c>
      <c r="M33" s="125">
        <v>1462</v>
      </c>
      <c r="N33" s="125">
        <v>628</v>
      </c>
      <c r="O33" s="111">
        <f>((Tabela135[[#This Row],[Objetive value]]-Tabela135[[#This Row],[Objetive value/GATeS]])/Tabela135[[#This Row],[Objetive value]])*100</f>
        <v>3.3477800598981186E-2</v>
      </c>
      <c r="P33" s="112">
        <v>110521</v>
      </c>
      <c r="Q33" s="112">
        <v>1.59</v>
      </c>
      <c r="R33" s="112">
        <v>0</v>
      </c>
      <c r="S33" s="112">
        <f>(((Tabela135[[#This Row],[Objetive value]]-Tabela135[[#This Row],[Objetive Value /H-R1]])/Tabela135[[#This Row],[Objetive value]]))*100</f>
        <v>0</v>
      </c>
      <c r="T33" s="113">
        <v>107396</v>
      </c>
      <c r="U33" s="113">
        <v>1.55</v>
      </c>
      <c r="V33" s="113">
        <v>0</v>
      </c>
      <c r="W33" s="113">
        <f>(((Tabela135[[#This Row],[Objetive value]]-Tabela135[[#This Row],[Objetive value /H-R2]])/Tabela135[[#This Row],[Objetive value]]))*100</f>
        <v>2.8275169424815192</v>
      </c>
    </row>
    <row r="34" spans="1:23" x14ac:dyDescent="0.25">
      <c r="A34" s="3" t="s">
        <v>300</v>
      </c>
      <c r="B34" s="39" t="s">
        <v>314</v>
      </c>
      <c r="C34" s="3">
        <v>10000</v>
      </c>
      <c r="D34" s="3">
        <v>0.15</v>
      </c>
      <c r="E34" s="3">
        <v>5</v>
      </c>
      <c r="F34" s="39" t="s">
        <v>13</v>
      </c>
      <c r="G34" s="39" t="s">
        <v>16</v>
      </c>
      <c r="H34" s="110">
        <v>70429</v>
      </c>
      <c r="I34" s="138">
        <v>68758</v>
      </c>
      <c r="J34" s="138">
        <v>38.858999999938497</v>
      </c>
      <c r="K34" s="137">
        <v>0</v>
      </c>
      <c r="L34" s="125">
        <v>68661</v>
      </c>
      <c r="M34" s="125">
        <v>1354</v>
      </c>
      <c r="N34" s="125">
        <v>896</v>
      </c>
      <c r="O34" s="111">
        <f>((Tabela135[[#This Row],[Objetive value]]-Tabela135[[#This Row],[Objetive value/GATeS]])/Tabela135[[#This Row],[Objetive value]])*100</f>
        <v>0.14107449314988801</v>
      </c>
      <c r="P34" s="112">
        <v>68758</v>
      </c>
      <c r="Q34" s="112">
        <v>2.0299999999999998</v>
      </c>
      <c r="R34" s="112">
        <v>0</v>
      </c>
      <c r="S34" s="112">
        <f>(((Tabela135[[#This Row],[Objetive value]]-Tabela135[[#This Row],[Objetive Value /H-R1]])/Tabela135[[#This Row],[Objetive value]]))*100</f>
        <v>0</v>
      </c>
      <c r="T34" s="113">
        <v>58139</v>
      </c>
      <c r="U34" s="113">
        <v>1</v>
      </c>
      <c r="V34" s="113">
        <v>0</v>
      </c>
      <c r="W34" s="113">
        <f>(((Tabela135[[#This Row],[Objetive value]]-Tabela135[[#This Row],[Objetive value /H-R2]])/Tabela135[[#This Row],[Objetive value]]))*100</f>
        <v>15.444021059367637</v>
      </c>
    </row>
    <row r="35" spans="1:23" x14ac:dyDescent="0.25">
      <c r="A35" s="3" t="s">
        <v>300</v>
      </c>
      <c r="B35" s="39" t="s">
        <v>315</v>
      </c>
      <c r="C35" s="3">
        <v>10000</v>
      </c>
      <c r="D35" s="3">
        <v>0.15</v>
      </c>
      <c r="E35" s="3">
        <v>5</v>
      </c>
      <c r="F35" s="39" t="s">
        <v>18</v>
      </c>
      <c r="G35" s="39" t="s">
        <v>14</v>
      </c>
      <c r="H35" s="110">
        <v>116825</v>
      </c>
      <c r="I35" s="138">
        <v>109000</v>
      </c>
      <c r="J35" s="138">
        <v>43.265999999945002</v>
      </c>
      <c r="K35" s="137">
        <v>0</v>
      </c>
      <c r="L35" s="125">
        <v>108970</v>
      </c>
      <c r="M35" s="125">
        <v>1581</v>
      </c>
      <c r="N35" s="125">
        <v>830</v>
      </c>
      <c r="O35" s="111">
        <f>((Tabela135[[#This Row],[Objetive value]]-Tabela135[[#This Row],[Objetive value/GATeS]])/Tabela135[[#This Row],[Objetive value]])*100</f>
        <v>2.7522935779816515E-2</v>
      </c>
      <c r="P35" s="112">
        <v>109000</v>
      </c>
      <c r="Q35" s="112">
        <v>1.46</v>
      </c>
      <c r="R35" s="112">
        <v>0</v>
      </c>
      <c r="S35" s="112">
        <f>(((Tabela135[[#This Row],[Objetive value]]-Tabela135[[#This Row],[Objetive Value /H-R1]])/Tabela135[[#This Row],[Objetive value]]))*100</f>
        <v>0</v>
      </c>
      <c r="T35" s="113">
        <v>109000</v>
      </c>
      <c r="U35" s="113">
        <v>1.39</v>
      </c>
      <c r="V35" s="113">
        <v>0</v>
      </c>
      <c r="W35" s="113">
        <f>(((Tabela135[[#This Row],[Objetive value]]-Tabela135[[#This Row],[Objetive value /H-R2]])/Tabela135[[#This Row],[Objetive value]]))*100</f>
        <v>0</v>
      </c>
    </row>
    <row r="36" spans="1:23" x14ac:dyDescent="0.25">
      <c r="A36" s="3" t="s">
        <v>300</v>
      </c>
      <c r="B36" s="39" t="s">
        <v>316</v>
      </c>
      <c r="C36" s="3">
        <v>10000</v>
      </c>
      <c r="D36" s="3">
        <v>0.15</v>
      </c>
      <c r="E36" s="3">
        <v>5</v>
      </c>
      <c r="F36" s="39" t="s">
        <v>18</v>
      </c>
      <c r="G36" s="39" t="s">
        <v>16</v>
      </c>
      <c r="H36" s="110">
        <v>80330</v>
      </c>
      <c r="I36" s="138">
        <v>79208</v>
      </c>
      <c r="J36" s="138">
        <v>39.765999999945002</v>
      </c>
      <c r="K36" s="137">
        <v>0</v>
      </c>
      <c r="L36" s="125">
        <v>78700</v>
      </c>
      <c r="M36" s="125">
        <v>1579</v>
      </c>
      <c r="N36" s="125">
        <v>944</v>
      </c>
      <c r="O36" s="111">
        <f>((Tabela135[[#This Row],[Objetive value]]-Tabela135[[#This Row],[Objetive value/GATeS]])/Tabela135[[#This Row],[Objetive value]])*100</f>
        <v>0.64134935865064135</v>
      </c>
      <c r="P36" s="112">
        <v>79208</v>
      </c>
      <c r="Q36" s="112">
        <v>2.14</v>
      </c>
      <c r="R36" s="112">
        <v>0</v>
      </c>
      <c r="S36" s="112">
        <f>(((Tabela135[[#This Row],[Objetive value]]-Tabela135[[#This Row],[Objetive Value /H-R1]])/Tabela135[[#This Row],[Objetive value]]))*100</f>
        <v>0</v>
      </c>
      <c r="T36" s="113">
        <v>79201</v>
      </c>
      <c r="U36" s="113">
        <v>1.65</v>
      </c>
      <c r="V36" s="113">
        <v>0</v>
      </c>
      <c r="W36" s="113">
        <f>(((Tabela135[[#This Row],[Objetive value]]-Tabela135[[#This Row],[Objetive value /H-R2]])/Tabela135[[#This Row],[Objetive value]]))*100</f>
        <v>8.8374911625088374E-3</v>
      </c>
    </row>
    <row r="37" spans="1:23" x14ac:dyDescent="0.25">
      <c r="A37" s="3" t="s">
        <v>300</v>
      </c>
      <c r="B37" s="39" t="s">
        <v>317</v>
      </c>
      <c r="C37" s="3">
        <v>10000</v>
      </c>
      <c r="D37" s="3">
        <v>0.15</v>
      </c>
      <c r="E37" s="3">
        <v>5</v>
      </c>
      <c r="F37" s="39" t="s">
        <v>21</v>
      </c>
      <c r="G37" s="39" t="s">
        <v>14</v>
      </c>
      <c r="H37" s="110">
        <v>100051</v>
      </c>
      <c r="I37" s="138">
        <v>98612</v>
      </c>
      <c r="J37" s="138">
        <v>38.827999999979497</v>
      </c>
      <c r="K37" s="137">
        <v>0</v>
      </c>
      <c r="L37" s="125">
        <v>98612</v>
      </c>
      <c r="M37" s="125">
        <v>1273</v>
      </c>
      <c r="N37" s="125">
        <v>1</v>
      </c>
      <c r="O37" s="111">
        <f>((Tabela135[[#This Row],[Objetive value]]-Tabela135[[#This Row],[Objetive value/GATeS]])/Tabela135[[#This Row],[Objetive value]])*100</f>
        <v>0</v>
      </c>
      <c r="P37" s="112">
        <v>98612</v>
      </c>
      <c r="Q37" s="112">
        <v>1.7</v>
      </c>
      <c r="R37" s="112">
        <v>0</v>
      </c>
      <c r="S37" s="112">
        <f>(((Tabela135[[#This Row],[Objetive value]]-Tabela135[[#This Row],[Objetive Value /H-R1]])/Tabela135[[#This Row],[Objetive value]]))*100</f>
        <v>0</v>
      </c>
      <c r="T37" s="113">
        <v>98612</v>
      </c>
      <c r="U37" s="113">
        <v>1.1599999999999999</v>
      </c>
      <c r="V37" s="113">
        <v>0</v>
      </c>
      <c r="W37" s="113">
        <f>(((Tabela135[[#This Row],[Objetive value]]-Tabela135[[#This Row],[Objetive value /H-R2]])/Tabela135[[#This Row],[Objetive value]]))*100</f>
        <v>0</v>
      </c>
    </row>
    <row r="38" spans="1:23" x14ac:dyDescent="0.25">
      <c r="A38" s="3" t="s">
        <v>300</v>
      </c>
      <c r="B38" s="39" t="s">
        <v>318</v>
      </c>
      <c r="C38" s="3">
        <v>10000</v>
      </c>
      <c r="D38" s="3">
        <v>0.15</v>
      </c>
      <c r="E38" s="3">
        <v>5</v>
      </c>
      <c r="F38" s="39" t="s">
        <v>21</v>
      </c>
      <c r="G38" s="39" t="s">
        <v>16</v>
      </c>
      <c r="H38" s="110">
        <v>81458</v>
      </c>
      <c r="I38" s="138">
        <v>81458</v>
      </c>
      <c r="J38" s="138">
        <v>17.640000000013899</v>
      </c>
      <c r="K38" s="137">
        <v>0</v>
      </c>
      <c r="L38" s="125">
        <v>81425</v>
      </c>
      <c r="M38" s="125">
        <v>1606</v>
      </c>
      <c r="N38" s="125">
        <v>1257</v>
      </c>
      <c r="O38" s="111">
        <f>((Tabela135[[#This Row],[Objetive value]]-Tabela135[[#This Row],[Objetive value/GATeS]])/Tabela135[[#This Row],[Objetive value]])*100</f>
        <v>4.0511674728080732E-2</v>
      </c>
      <c r="P38" s="112">
        <v>77360</v>
      </c>
      <c r="Q38" s="112">
        <v>3.37</v>
      </c>
      <c r="R38" s="112">
        <v>0</v>
      </c>
      <c r="S38" s="112">
        <f>(((Tabela135[[#This Row],[Objetive value]]-Tabela135[[#This Row],[Objetive Value /H-R1]])/Tabela135[[#This Row],[Objetive value]]))*100</f>
        <v>5.0308134253234797</v>
      </c>
      <c r="T38" s="113">
        <v>77360</v>
      </c>
      <c r="U38" s="113">
        <v>2.19</v>
      </c>
      <c r="V38" s="113">
        <v>0</v>
      </c>
      <c r="W38" s="113">
        <f>(((Tabela135[[#This Row],[Objetive value]]-Tabela135[[#This Row],[Objetive value /H-R2]])/Tabela135[[#This Row],[Objetive value]]))*100</f>
        <v>5.0308134253234797</v>
      </c>
    </row>
    <row r="39" spans="1:23" x14ac:dyDescent="0.25">
      <c r="A39" s="3" t="s">
        <v>319</v>
      </c>
      <c r="B39" s="39" t="s">
        <v>320</v>
      </c>
      <c r="C39" s="3">
        <v>10000</v>
      </c>
      <c r="D39" s="3">
        <v>0.05</v>
      </c>
      <c r="E39" s="3">
        <v>10</v>
      </c>
      <c r="F39" s="39" t="s">
        <v>13</v>
      </c>
      <c r="G39" s="39" t="s">
        <v>14</v>
      </c>
      <c r="H39" s="110">
        <v>210271</v>
      </c>
      <c r="I39" s="138">
        <v>210276</v>
      </c>
      <c r="J39" s="138">
        <v>190.43699999991799</v>
      </c>
      <c r="K39" s="137">
        <v>0</v>
      </c>
      <c r="L39" s="125">
        <v>202506</v>
      </c>
      <c r="M39" s="125">
        <v>1654</v>
      </c>
      <c r="N39" s="125">
        <v>93</v>
      </c>
      <c r="O39" s="111">
        <f>((Tabela135[[#This Row],[Objetive value]]-Tabela135[[#This Row],[Objetive value/GATeS]])/Tabela135[[#This Row],[Objetive value]])*100</f>
        <v>3.6951435256520004</v>
      </c>
      <c r="P39" s="112">
        <v>206426</v>
      </c>
      <c r="Q39" s="112">
        <v>3.88</v>
      </c>
      <c r="R39" s="112">
        <v>0</v>
      </c>
      <c r="S39" s="112">
        <f>(((Tabela135[[#This Row],[Objetive value]]-Tabela135[[#This Row],[Objetive Value /H-R1]])/Tabela135[[#This Row],[Objetive value]]))*100</f>
        <v>1.83092697216991</v>
      </c>
      <c r="T39" s="113">
        <v>189231</v>
      </c>
      <c r="U39" s="113">
        <v>2.69</v>
      </c>
      <c r="V39" s="113">
        <v>0</v>
      </c>
      <c r="W39" s="113">
        <f>(((Tabela135[[#This Row],[Objetive value]]-Tabela135[[#This Row],[Objetive value /H-R2]])/Tabela135[[#This Row],[Objetive value]]))*100</f>
        <v>10.008274838783313</v>
      </c>
    </row>
    <row r="40" spans="1:23" x14ac:dyDescent="0.25">
      <c r="A40" s="3" t="s">
        <v>319</v>
      </c>
      <c r="B40" s="39" t="s">
        <v>321</v>
      </c>
      <c r="C40" s="3">
        <v>10000</v>
      </c>
      <c r="D40" s="3">
        <v>0.05</v>
      </c>
      <c r="E40" s="3">
        <v>10</v>
      </c>
      <c r="F40" s="39" t="s">
        <v>13</v>
      </c>
      <c r="G40" s="39" t="s">
        <v>16</v>
      </c>
      <c r="H40" s="110">
        <v>121938</v>
      </c>
      <c r="I40" s="138">
        <v>118959</v>
      </c>
      <c r="J40" s="138">
        <v>462.17200000001998</v>
      </c>
      <c r="K40" s="137">
        <v>0</v>
      </c>
      <c r="L40" s="125">
        <v>118467</v>
      </c>
      <c r="M40" s="125">
        <v>1609</v>
      </c>
      <c r="N40" s="125">
        <v>648</v>
      </c>
      <c r="O40" s="111">
        <f>((Tabela135[[#This Row],[Objetive value]]-Tabela135[[#This Row],[Objetive value/GATeS]])/Tabela135[[#This Row],[Objetive value]])*100</f>
        <v>0.4135878748140116</v>
      </c>
      <c r="P40" s="112">
        <v>118955</v>
      </c>
      <c r="Q40" s="112">
        <v>4.1900000000000004</v>
      </c>
      <c r="R40" s="112">
        <v>0</v>
      </c>
      <c r="S40" s="112">
        <f>(((Tabela135[[#This Row],[Objetive value]]-Tabela135[[#This Row],[Objetive Value /H-R1]])/Tabela135[[#This Row],[Objetive value]]))*100</f>
        <v>3.3625030472683864E-3</v>
      </c>
      <c r="T40" s="113">
        <v>118644</v>
      </c>
      <c r="U40" s="113">
        <v>3</v>
      </c>
      <c r="V40" s="113">
        <v>0</v>
      </c>
      <c r="W40" s="113">
        <f>(((Tabela135[[#This Row],[Objetive value]]-Tabela135[[#This Row],[Objetive value /H-R2]])/Tabela135[[#This Row],[Objetive value]]))*100</f>
        <v>0.26479711497238545</v>
      </c>
    </row>
    <row r="41" spans="1:23" x14ac:dyDescent="0.25">
      <c r="A41" s="3" t="s">
        <v>319</v>
      </c>
      <c r="B41" s="39" t="s">
        <v>322</v>
      </c>
      <c r="C41" s="3">
        <v>10000</v>
      </c>
      <c r="D41" s="3">
        <v>0.05</v>
      </c>
      <c r="E41" s="3">
        <v>10</v>
      </c>
      <c r="F41" s="39" t="s">
        <v>18</v>
      </c>
      <c r="G41" s="39" t="s">
        <v>14</v>
      </c>
      <c r="H41" s="110">
        <v>209976</v>
      </c>
      <c r="I41" s="138">
        <v>208783</v>
      </c>
      <c r="J41" s="138">
        <v>200.890000000013</v>
      </c>
      <c r="K41" s="137">
        <v>0</v>
      </c>
      <c r="L41" s="125">
        <v>208619</v>
      </c>
      <c r="M41" s="125">
        <v>1664</v>
      </c>
      <c r="N41" s="125">
        <v>111</v>
      </c>
      <c r="O41" s="111">
        <f>((Tabela135[[#This Row],[Objetive value]]-Tabela135[[#This Row],[Objetive value/GATeS]])/Tabela135[[#This Row],[Objetive value]])*100</f>
        <v>7.855045669427109E-2</v>
      </c>
      <c r="P41" s="112">
        <v>205411</v>
      </c>
      <c r="Q41" s="112">
        <v>3.15</v>
      </c>
      <c r="R41" s="112">
        <v>0</v>
      </c>
      <c r="S41" s="112">
        <f>(((Tabela135[[#This Row],[Objetive value]]-Tabela135[[#This Row],[Objetive Value /H-R1]])/Tabela135[[#This Row],[Objetive value]]))*100</f>
        <v>1.6150740242261103</v>
      </c>
      <c r="T41" s="113">
        <v>203939</v>
      </c>
      <c r="U41" s="113">
        <v>2.98</v>
      </c>
      <c r="V41" s="113">
        <v>0</v>
      </c>
      <c r="W41" s="113">
        <f>(((Tabela135[[#This Row],[Objetive value]]-Tabela135[[#This Row],[Objetive value /H-R2]])/Tabela135[[#This Row],[Objetive value]]))*100</f>
        <v>2.3201122696771286</v>
      </c>
    </row>
    <row r="42" spans="1:23" x14ac:dyDescent="0.25">
      <c r="A42" s="3" t="s">
        <v>319</v>
      </c>
      <c r="B42" s="39" t="s">
        <v>323</v>
      </c>
      <c r="C42" s="3">
        <v>10000</v>
      </c>
      <c r="D42" s="3">
        <v>0.05</v>
      </c>
      <c r="E42" s="3">
        <v>10</v>
      </c>
      <c r="F42" s="39" t="s">
        <v>18</v>
      </c>
      <c r="G42" s="39" t="s">
        <v>16</v>
      </c>
      <c r="H42" s="110">
        <v>120207</v>
      </c>
      <c r="I42" s="138">
        <v>116959</v>
      </c>
      <c r="J42" s="138">
        <v>419.640000000013</v>
      </c>
      <c r="K42" s="137">
        <v>2.67</v>
      </c>
      <c r="L42" s="125">
        <v>115448</v>
      </c>
      <c r="M42" s="125">
        <v>1669</v>
      </c>
      <c r="N42" s="125">
        <v>1521</v>
      </c>
      <c r="O42" s="111">
        <f>((Tabela135[[#This Row],[Objetive value]]-Tabela135[[#This Row],[Objetive value/GATeS]])/Tabela135[[#This Row],[Objetive value]])*100</f>
        <v>1.2919057105481409</v>
      </c>
      <c r="P42" s="112">
        <v>111952</v>
      </c>
      <c r="Q42" s="112">
        <v>4.63</v>
      </c>
      <c r="R42" s="112">
        <v>0</v>
      </c>
      <c r="S42" s="112">
        <f>(((Tabela135[[#This Row],[Objetive value]]-Tabela135[[#This Row],[Objetive Value /H-R1]])/Tabela135[[#This Row],[Objetive value]]))*100</f>
        <v>4.2809873545430452</v>
      </c>
      <c r="T42" s="113">
        <v>111952</v>
      </c>
      <c r="U42" s="113">
        <v>3.26</v>
      </c>
      <c r="V42" s="113">
        <v>0</v>
      </c>
      <c r="W42" s="113">
        <f>(((Tabela135[[#This Row],[Objetive value]]-Tabela135[[#This Row],[Objetive value /H-R2]])/Tabela135[[#This Row],[Objetive value]]))*100</f>
        <v>4.2809873545430452</v>
      </c>
    </row>
    <row r="43" spans="1:23" x14ac:dyDescent="0.25">
      <c r="A43" s="3" t="s">
        <v>319</v>
      </c>
      <c r="B43" s="39" t="s">
        <v>324</v>
      </c>
      <c r="C43" s="3">
        <v>10000</v>
      </c>
      <c r="D43" s="3">
        <v>0.05</v>
      </c>
      <c r="E43" s="3">
        <v>10</v>
      </c>
      <c r="F43" s="39" t="s">
        <v>21</v>
      </c>
      <c r="G43" s="39" t="s">
        <v>14</v>
      </c>
      <c r="H43" s="110">
        <v>174975</v>
      </c>
      <c r="I43" s="138">
        <v>165548</v>
      </c>
      <c r="J43" s="138">
        <v>190.859999999986</v>
      </c>
      <c r="K43" s="137">
        <v>0</v>
      </c>
      <c r="L43" s="125">
        <v>164886</v>
      </c>
      <c r="M43" s="125">
        <v>1674</v>
      </c>
      <c r="N43" s="125">
        <v>1661</v>
      </c>
      <c r="O43" s="111">
        <f>((Tabela135[[#This Row],[Objetive value]]-Tabela135[[#This Row],[Objetive value/GATeS]])/Tabela135[[#This Row],[Objetive value]])*100</f>
        <v>0.39988402155266151</v>
      </c>
      <c r="P43" s="112">
        <v>165548</v>
      </c>
      <c r="Q43" s="112">
        <v>2.84</v>
      </c>
      <c r="R43" s="112">
        <v>0</v>
      </c>
      <c r="S43" s="112">
        <f>(((Tabela135[[#This Row],[Objetive value]]-Tabela135[[#This Row],[Objetive Value /H-R1]])/Tabela135[[#This Row],[Objetive value]]))*100</f>
        <v>0</v>
      </c>
      <c r="T43" s="113">
        <v>165548</v>
      </c>
      <c r="U43" s="113">
        <v>2.4500000000000002</v>
      </c>
      <c r="V43" s="113">
        <v>0</v>
      </c>
      <c r="W43" s="113">
        <f>(((Tabela135[[#This Row],[Objetive value]]-Tabela135[[#This Row],[Objetive value /H-R2]])/Tabela135[[#This Row],[Objetive value]]))*100</f>
        <v>0</v>
      </c>
    </row>
    <row r="44" spans="1:23" x14ac:dyDescent="0.25">
      <c r="A44" s="3" t="s">
        <v>319</v>
      </c>
      <c r="B44" s="39" t="s">
        <v>325</v>
      </c>
      <c r="C44" s="3">
        <v>10000</v>
      </c>
      <c r="D44" s="3">
        <v>0.05</v>
      </c>
      <c r="E44" s="3">
        <v>10</v>
      </c>
      <c r="F44" s="39" t="s">
        <v>21</v>
      </c>
      <c r="G44" s="39" t="s">
        <v>16</v>
      </c>
      <c r="H44" s="110">
        <v>120275</v>
      </c>
      <c r="I44" s="138">
        <v>118878</v>
      </c>
      <c r="J44" s="138">
        <v>259.84399999992399</v>
      </c>
      <c r="K44" s="137">
        <v>0</v>
      </c>
      <c r="L44" s="125">
        <v>117975</v>
      </c>
      <c r="M44" s="125">
        <v>1686</v>
      </c>
      <c r="N44" s="125">
        <v>1455</v>
      </c>
      <c r="O44" s="111">
        <f>((Tabela135[[#This Row],[Objetive value]]-Tabela135[[#This Row],[Objetive value/GATeS]])/Tabela135[[#This Row],[Objetive value]])*100</f>
        <v>0.75960228133043961</v>
      </c>
      <c r="P44" s="112">
        <v>110105</v>
      </c>
      <c r="Q44" s="112">
        <v>5.73</v>
      </c>
      <c r="R44" s="112">
        <v>0</v>
      </c>
      <c r="S44" s="112">
        <f>(((Tabela135[[#This Row],[Objetive value]]-Tabela135[[#This Row],[Objetive Value /H-R1]])/Tabela135[[#This Row],[Objetive value]]))*100</f>
        <v>7.3798347886068063</v>
      </c>
      <c r="T44" s="113">
        <v>115270</v>
      </c>
      <c r="U44" s="113">
        <v>2.94</v>
      </c>
      <c r="V44" s="113">
        <v>0</v>
      </c>
      <c r="W44" s="113">
        <f>(((Tabela135[[#This Row],[Objetive value]]-Tabela135[[#This Row],[Objetive value /H-R2]])/Tabela135[[#This Row],[Objetive value]]))*100</f>
        <v>3.0350443311630411</v>
      </c>
    </row>
    <row r="45" spans="1:23" x14ac:dyDescent="0.25">
      <c r="A45" s="3" t="s">
        <v>338</v>
      </c>
      <c r="B45" s="39" t="s">
        <v>339</v>
      </c>
      <c r="C45" s="3">
        <v>10000</v>
      </c>
      <c r="D45" s="3">
        <v>0.05</v>
      </c>
      <c r="E45" s="3">
        <v>15</v>
      </c>
      <c r="F45" s="39" t="s">
        <v>13</v>
      </c>
      <c r="G45" s="39" t="s">
        <v>14</v>
      </c>
      <c r="H45" s="110">
        <v>334287</v>
      </c>
      <c r="I45" s="138">
        <v>334280.00000000698</v>
      </c>
      <c r="J45" s="138">
        <v>1956.2650000000101</v>
      </c>
      <c r="K45" s="137">
        <v>12.83</v>
      </c>
      <c r="L45" s="125">
        <v>309490</v>
      </c>
      <c r="M45" s="125">
        <v>1752</v>
      </c>
      <c r="N45" s="125">
        <v>196</v>
      </c>
      <c r="O45" s="111">
        <f>((Tabela135[[#This Row],[Objetive value]]-Tabela135[[#This Row],[Objetive value/GATeS]])/Tabela135[[#This Row],[Objetive value]])*100</f>
        <v>7.4159387339973879</v>
      </c>
      <c r="P45" s="112">
        <v>322311</v>
      </c>
      <c r="Q45" s="112">
        <v>8.14</v>
      </c>
      <c r="R45" s="112">
        <v>0</v>
      </c>
      <c r="S45" s="112">
        <f>(((Tabela135[[#This Row],[Objetive value]]-Tabela135[[#This Row],[Objetive Value /H-R1]])/Tabela135[[#This Row],[Objetive value]]))*100</f>
        <v>3.5805312911351965</v>
      </c>
      <c r="T45" s="113">
        <v>312812</v>
      </c>
      <c r="U45" s="113">
        <v>5.81</v>
      </c>
      <c r="V45" s="113">
        <v>0</v>
      </c>
      <c r="W45" s="113">
        <f>(((Tabela135[[#This Row],[Objetive value]]-Tabela135[[#This Row],[Objetive value /H-R2]])/Tabela135[[#This Row],[Objetive value]]))*100</f>
        <v>6.4221610625842223</v>
      </c>
    </row>
    <row r="46" spans="1:23" x14ac:dyDescent="0.25">
      <c r="A46" s="3" t="s">
        <v>338</v>
      </c>
      <c r="B46" s="39" t="s">
        <v>340</v>
      </c>
      <c r="C46" s="3">
        <v>10000</v>
      </c>
      <c r="D46" s="3">
        <v>0.05</v>
      </c>
      <c r="E46" s="3">
        <v>15</v>
      </c>
      <c r="F46" s="39" t="s">
        <v>13</v>
      </c>
      <c r="G46" s="39" t="s">
        <v>16</v>
      </c>
      <c r="H46" s="110">
        <v>173624</v>
      </c>
      <c r="I46" s="138">
        <v>171319</v>
      </c>
      <c r="J46" s="138">
        <v>3334.1400000000099</v>
      </c>
      <c r="K46" s="137">
        <v>0.05</v>
      </c>
      <c r="L46" s="125">
        <v>164016</v>
      </c>
      <c r="M46" s="125">
        <v>1697</v>
      </c>
      <c r="N46" s="125">
        <v>860</v>
      </c>
      <c r="O46" s="111">
        <f>((Tabela135[[#This Row],[Objetive value]]-Tabela135[[#This Row],[Objetive value/GATeS]])/Tabela135[[#This Row],[Objetive value]])*100</f>
        <v>4.2628079780993353</v>
      </c>
      <c r="P46" s="112">
        <v>171315</v>
      </c>
      <c r="Q46" s="112">
        <v>9.4700000000000006</v>
      </c>
      <c r="R46" s="112">
        <v>0</v>
      </c>
      <c r="S46" s="112">
        <f>(((Tabela135[[#This Row],[Objetive value]]-Tabela135[[#This Row],[Objetive Value /H-R1]])/Tabela135[[#This Row],[Objetive value]]))*100</f>
        <v>2.3348256760779597E-3</v>
      </c>
      <c r="T46" s="113">
        <v>165983</v>
      </c>
      <c r="U46" s="113">
        <v>5.71</v>
      </c>
      <c r="V46" s="113">
        <v>0</v>
      </c>
      <c r="W46" s="113">
        <f>(((Tabela135[[#This Row],[Objetive value]]-Tabela135[[#This Row],[Objetive value /H-R2]])/Tabela135[[#This Row],[Objetive value]]))*100</f>
        <v>3.1146574518879984</v>
      </c>
    </row>
    <row r="47" spans="1:23" x14ac:dyDescent="0.25">
      <c r="A47" s="3" t="s">
        <v>338</v>
      </c>
      <c r="B47" s="39" t="s">
        <v>341</v>
      </c>
      <c r="C47" s="3">
        <v>10000</v>
      </c>
      <c r="D47" s="3">
        <v>0.05</v>
      </c>
      <c r="E47" s="3">
        <v>15</v>
      </c>
      <c r="F47" s="39" t="s">
        <v>18</v>
      </c>
      <c r="G47" s="39" t="s">
        <v>14</v>
      </c>
      <c r="H47" s="110">
        <v>285232</v>
      </c>
      <c r="I47" s="138">
        <v>284855</v>
      </c>
      <c r="J47" s="138">
        <v>11653.1409999999</v>
      </c>
      <c r="K47" s="137">
        <v>1.59</v>
      </c>
      <c r="L47" s="125">
        <v>283700</v>
      </c>
      <c r="M47" s="125">
        <v>1728</v>
      </c>
      <c r="N47" s="125">
        <v>723</v>
      </c>
      <c r="O47" s="111">
        <f>((Tabela135[[#This Row],[Objetive value]]-Tabela135[[#This Row],[Objetive value/GATeS]])/Tabela135[[#This Row],[Objetive value]])*100</f>
        <v>0.40546944936897722</v>
      </c>
      <c r="P47" s="112">
        <v>278869</v>
      </c>
      <c r="Q47" s="112">
        <v>7.31</v>
      </c>
      <c r="R47" s="112">
        <v>0</v>
      </c>
      <c r="S47" s="112">
        <f>(((Tabela135[[#This Row],[Objetive value]]-Tabela135[[#This Row],[Objetive Value /H-R1]])/Tabela135[[#This Row],[Objetive value]]))*100</f>
        <v>2.1014200207122924</v>
      </c>
      <c r="T47" s="113">
        <v>270471</v>
      </c>
      <c r="U47" s="113">
        <v>5.85</v>
      </c>
      <c r="V47" s="113">
        <v>0</v>
      </c>
      <c r="W47" s="113">
        <f>(((Tabela135[[#This Row],[Objetive value]]-Tabela135[[#This Row],[Objetive value /H-R2]])/Tabela135[[#This Row],[Objetive value]]))*100</f>
        <v>5.0495866317951235</v>
      </c>
    </row>
    <row r="48" spans="1:23" x14ac:dyDescent="0.25">
      <c r="A48" s="3" t="s">
        <v>338</v>
      </c>
      <c r="B48" s="39" t="s">
        <v>342</v>
      </c>
      <c r="C48" s="3">
        <v>10000</v>
      </c>
      <c r="D48" s="3">
        <v>0.05</v>
      </c>
      <c r="E48" s="3">
        <v>15</v>
      </c>
      <c r="F48" s="39" t="s">
        <v>18</v>
      </c>
      <c r="G48" s="39" t="s">
        <v>16</v>
      </c>
      <c r="H48" s="110">
        <v>176770</v>
      </c>
      <c r="I48" s="138">
        <v>175387.99999999499</v>
      </c>
      <c r="J48" s="138">
        <v>3450.07799999997</v>
      </c>
      <c r="K48" s="137">
        <v>0.08</v>
      </c>
      <c r="L48" s="125">
        <v>172583</v>
      </c>
      <c r="M48" s="125">
        <v>1790</v>
      </c>
      <c r="N48" s="125">
        <v>984</v>
      </c>
      <c r="O48" s="111">
        <f>((Tabela135[[#This Row],[Objetive value]]-Tabela135[[#This Row],[Objetive value/GATeS]])/Tabela135[[#This Row],[Objetive value]])*100</f>
        <v>1.5993112413592001</v>
      </c>
      <c r="P48" s="112">
        <v>171349</v>
      </c>
      <c r="Q48" s="112">
        <v>7.07</v>
      </c>
      <c r="R48" s="112">
        <v>0</v>
      </c>
      <c r="S48" s="112">
        <f>(((Tabela135[[#This Row],[Objetive value]]-Tabela135[[#This Row],[Objetive Value /H-R1]])/Tabela135[[#This Row],[Objetive value]]))*100</f>
        <v>2.3028941546714194</v>
      </c>
      <c r="T48" s="113">
        <v>171157</v>
      </c>
      <c r="U48" s="113">
        <v>7.07</v>
      </c>
      <c r="V48" s="113">
        <v>0</v>
      </c>
      <c r="W48" s="113">
        <f>(((Tabela135[[#This Row],[Objetive value]]-Tabela135[[#This Row],[Objetive value /H-R2]])/Tabela135[[#This Row],[Objetive value]]))*100</f>
        <v>2.4123657262726725</v>
      </c>
    </row>
    <row r="49" spans="1:23" x14ac:dyDescent="0.25">
      <c r="A49" s="3" t="s">
        <v>338</v>
      </c>
      <c r="B49" s="39" t="s">
        <v>343</v>
      </c>
      <c r="C49" s="3">
        <v>10000</v>
      </c>
      <c r="D49" s="3">
        <v>0.05</v>
      </c>
      <c r="E49" s="3">
        <v>15</v>
      </c>
      <c r="F49" s="39" t="s">
        <v>21</v>
      </c>
      <c r="G49" s="39" t="s">
        <v>14</v>
      </c>
      <c r="H49" s="110">
        <v>323285</v>
      </c>
      <c r="I49" s="138">
        <v>286692</v>
      </c>
      <c r="J49" s="138">
        <v>276.28200000000601</v>
      </c>
      <c r="K49" s="137">
        <v>7.21</v>
      </c>
      <c r="L49" s="125">
        <v>212775</v>
      </c>
      <c r="M49" s="125">
        <v>4521</v>
      </c>
      <c r="N49" s="125">
        <v>868</v>
      </c>
      <c r="O49" s="111">
        <f>((Tabela135[[#This Row],[Objetive value]]-Tabela135[[#This Row],[Objetive value/GATeS]])/Tabela135[[#This Row],[Objetive value]])*100</f>
        <v>25.782721526934825</v>
      </c>
      <c r="P49" s="112">
        <v>222829</v>
      </c>
      <c r="Q49" s="112">
        <v>26.89</v>
      </c>
      <c r="R49" s="112">
        <v>0</v>
      </c>
      <c r="S49" s="112">
        <f>(((Tabela135[[#This Row],[Objetive value]]-Tabela135[[#This Row],[Objetive Value /H-R1]])/Tabela135[[#This Row],[Objetive value]]))*100</f>
        <v>22.27582213664839</v>
      </c>
      <c r="T49" s="113">
        <v>212155</v>
      </c>
      <c r="U49" s="113">
        <v>26.38</v>
      </c>
      <c r="V49" s="113">
        <v>0</v>
      </c>
      <c r="W49" s="113">
        <f>(((Tabela135[[#This Row],[Objetive value]]-Tabela135[[#This Row],[Objetive value /H-R2]])/Tabela135[[#This Row],[Objetive value]]))*100</f>
        <v>25.99898148535711</v>
      </c>
    </row>
    <row r="50" spans="1:23" x14ac:dyDescent="0.25">
      <c r="A50" s="3" t="s">
        <v>338</v>
      </c>
      <c r="B50" s="39" t="s">
        <v>344</v>
      </c>
      <c r="C50" s="3">
        <v>10000</v>
      </c>
      <c r="D50" s="3">
        <v>0.05</v>
      </c>
      <c r="E50" s="3">
        <v>15</v>
      </c>
      <c r="F50" s="39" t="s">
        <v>21</v>
      </c>
      <c r="G50" s="39" t="s">
        <v>16</v>
      </c>
      <c r="H50" s="110">
        <v>171571</v>
      </c>
      <c r="I50" s="138">
        <v>162729.999999997</v>
      </c>
      <c r="J50" s="138">
        <v>1739.8590000000499</v>
      </c>
      <c r="K50" s="137">
        <v>0.02</v>
      </c>
      <c r="L50" s="125">
        <v>159784</v>
      </c>
      <c r="M50" s="125">
        <v>1871</v>
      </c>
      <c r="N50" s="125">
        <v>895</v>
      </c>
      <c r="O50" s="111">
        <f>((Tabela135[[#This Row],[Objetive value]]-Tabela135[[#This Row],[Objetive value/GATeS]])/Tabela135[[#This Row],[Objetive value]])*100</f>
        <v>1.8103607202095844</v>
      </c>
      <c r="P50" s="112">
        <v>158037</v>
      </c>
      <c r="Q50" s="112">
        <v>11.21</v>
      </c>
      <c r="R50" s="112">
        <v>0</v>
      </c>
      <c r="S50" s="112">
        <f>(((Tabela135[[#This Row],[Objetive value]]-Tabela135[[#This Row],[Objetive Value /H-R1]])/Tabela135[[#This Row],[Objetive value]]))*100</f>
        <v>2.8839181466214519</v>
      </c>
      <c r="T50" s="113">
        <v>149636</v>
      </c>
      <c r="U50" s="113">
        <v>7.79</v>
      </c>
      <c r="V50" s="113">
        <v>0</v>
      </c>
      <c r="W50" s="113">
        <f>(((Tabela135[[#This Row],[Objetive value]]-Tabela135[[#This Row],[Objetive value /H-R2]])/Tabela135[[#This Row],[Objetive value]]))*100</f>
        <v>8.046457321942631</v>
      </c>
    </row>
    <row r="51" spans="1:23" x14ac:dyDescent="0.25">
      <c r="A51" s="3" t="s">
        <v>300</v>
      </c>
      <c r="B51" s="37" t="s">
        <v>301</v>
      </c>
      <c r="C51" s="3">
        <v>10000</v>
      </c>
      <c r="D51" s="3">
        <v>0.05</v>
      </c>
      <c r="E51" s="3">
        <v>5</v>
      </c>
      <c r="F51" s="39" t="s">
        <v>13</v>
      </c>
      <c r="G51" s="39" t="s">
        <v>14</v>
      </c>
      <c r="H51" s="110">
        <v>105539</v>
      </c>
      <c r="I51" s="138">
        <v>105467</v>
      </c>
      <c r="J51" s="138">
        <v>43.2190000000409</v>
      </c>
      <c r="K51" s="137">
        <v>0</v>
      </c>
      <c r="L51" s="125">
        <v>102168</v>
      </c>
      <c r="M51" s="125">
        <v>1559</v>
      </c>
      <c r="N51" s="125">
        <v>50</v>
      </c>
      <c r="O51" s="111">
        <f>((Tabela135[[#This Row],[Objetive value]]-Tabela135[[#This Row],[Objetive value/GATeS]])/Tabela135[[#This Row],[Objetive value]])*100</f>
        <v>3.127992642248286</v>
      </c>
      <c r="P51" s="112">
        <v>105466</v>
      </c>
      <c r="Q51" s="112">
        <v>1.51</v>
      </c>
      <c r="R51" s="112">
        <v>0</v>
      </c>
      <c r="S51" s="112">
        <f>(((Tabela135[[#This Row],[Objetive value]]-Tabela135[[#This Row],[Objetive Value /H-R1]])/Tabela135[[#This Row],[Objetive value]]))*100</f>
        <v>9.4816388064513073E-4</v>
      </c>
      <c r="T51" s="113">
        <v>74564</v>
      </c>
      <c r="U51" s="113">
        <v>0.97</v>
      </c>
      <c r="V51" s="113">
        <v>0</v>
      </c>
      <c r="W51" s="113">
        <f>(((Tabela135[[#This Row],[Objetive value]]-Tabela135[[#This Row],[Objetive value /H-R2]])/Tabela135[[#This Row],[Objetive value]]))*100</f>
        <v>29.301108403576475</v>
      </c>
    </row>
    <row r="52" spans="1:23" x14ac:dyDescent="0.25">
      <c r="A52" s="3" t="s">
        <v>300</v>
      </c>
      <c r="B52" s="39" t="s">
        <v>302</v>
      </c>
      <c r="C52" s="3">
        <v>10000</v>
      </c>
      <c r="D52" s="3">
        <v>0.05</v>
      </c>
      <c r="E52" s="3">
        <v>5</v>
      </c>
      <c r="F52" s="39" t="s">
        <v>13</v>
      </c>
      <c r="G52" s="39" t="s">
        <v>16</v>
      </c>
      <c r="H52" s="110">
        <v>66605</v>
      </c>
      <c r="I52" s="138">
        <v>60004</v>
      </c>
      <c r="J52" s="138">
        <v>39.531000000075402</v>
      </c>
      <c r="K52" s="137">
        <v>0</v>
      </c>
      <c r="L52" s="125">
        <v>59705</v>
      </c>
      <c r="M52" s="125">
        <v>994</v>
      </c>
      <c r="N52" s="125">
        <v>565</v>
      </c>
      <c r="O52" s="111">
        <f>((Tabela135[[#This Row],[Objetive value]]-Tabela135[[#This Row],[Objetive value/GATeS]])/Tabela135[[#This Row],[Objetive value]])*100</f>
        <v>0.49830011332577834</v>
      </c>
      <c r="P52" s="112">
        <v>60004</v>
      </c>
      <c r="Q52" s="112">
        <v>1.49</v>
      </c>
      <c r="R52" s="112">
        <v>0</v>
      </c>
      <c r="S52" s="112">
        <f>(((Tabela135[[#This Row],[Objetive value]]-Tabela135[[#This Row],[Objetive Value /H-R1]])/Tabela135[[#This Row],[Objetive value]]))*100</f>
        <v>0</v>
      </c>
      <c r="T52" s="113">
        <v>60002</v>
      </c>
      <c r="U52" s="113">
        <v>1.28</v>
      </c>
      <c r="V52" s="113">
        <v>0</v>
      </c>
      <c r="W52" s="113">
        <f>(((Tabela135[[#This Row],[Objetive value]]-Tabela135[[#This Row],[Objetive value /H-R2]])/Tabela135[[#This Row],[Objetive value]]))*100</f>
        <v>3.3331111259249382E-3</v>
      </c>
    </row>
    <row r="53" spans="1:23" x14ac:dyDescent="0.25">
      <c r="A53" s="3" t="s">
        <v>300</v>
      </c>
      <c r="B53" s="39" t="s">
        <v>303</v>
      </c>
      <c r="C53" s="3">
        <v>10000</v>
      </c>
      <c r="D53" s="3">
        <v>0.05</v>
      </c>
      <c r="E53" s="3">
        <v>5</v>
      </c>
      <c r="F53" s="39" t="s">
        <v>18</v>
      </c>
      <c r="G53" s="39" t="s">
        <v>14</v>
      </c>
      <c r="H53" s="110">
        <v>119596</v>
      </c>
      <c r="I53" s="138">
        <v>110462</v>
      </c>
      <c r="J53" s="138">
        <v>42.890000000013899</v>
      </c>
      <c r="K53" s="137">
        <v>0</v>
      </c>
      <c r="L53" s="125">
        <v>110462</v>
      </c>
      <c r="M53" s="125">
        <v>1584</v>
      </c>
      <c r="N53" s="125">
        <v>13</v>
      </c>
      <c r="O53" s="111">
        <f>((Tabela135[[#This Row],[Objetive value]]-Tabela135[[#This Row],[Objetive value/GATeS]])/Tabela135[[#This Row],[Objetive value]])*100</f>
        <v>0</v>
      </c>
      <c r="P53" s="112">
        <v>108821</v>
      </c>
      <c r="Q53" s="112">
        <v>1.48</v>
      </c>
      <c r="R53" s="112">
        <v>0</v>
      </c>
      <c r="S53" s="112">
        <f>(((Tabela135[[#This Row],[Objetive value]]-Tabela135[[#This Row],[Objetive Value /H-R1]])/Tabela135[[#This Row],[Objetive value]]))*100</f>
        <v>1.4855787510637142</v>
      </c>
      <c r="T53" s="113">
        <v>110462</v>
      </c>
      <c r="U53" s="113">
        <v>1.1299999999999999</v>
      </c>
      <c r="V53" s="113">
        <v>0</v>
      </c>
      <c r="W53" s="113">
        <f>(((Tabela135[[#This Row],[Objetive value]]-Tabela135[[#This Row],[Objetive value /H-R2]])/Tabela135[[#This Row],[Objetive value]]))*100</f>
        <v>0</v>
      </c>
    </row>
    <row r="54" spans="1:23" x14ac:dyDescent="0.25">
      <c r="A54" s="3" t="s">
        <v>300</v>
      </c>
      <c r="B54" s="39" t="s">
        <v>304</v>
      </c>
      <c r="C54" s="3">
        <v>10000</v>
      </c>
      <c r="D54" s="3">
        <v>0.05</v>
      </c>
      <c r="E54" s="3">
        <v>5</v>
      </c>
      <c r="F54" s="39" t="s">
        <v>18</v>
      </c>
      <c r="G54" s="39" t="s">
        <v>16</v>
      </c>
      <c r="H54" s="110">
        <v>74176</v>
      </c>
      <c r="I54" s="138">
        <v>74176</v>
      </c>
      <c r="J54" s="138">
        <v>17.829000000027001</v>
      </c>
      <c r="K54" s="137">
        <v>0</v>
      </c>
      <c r="L54" s="125">
        <v>74143</v>
      </c>
      <c r="M54" s="125">
        <v>1586</v>
      </c>
      <c r="N54" s="125">
        <v>1018</v>
      </c>
      <c r="O54" s="111">
        <f>((Tabela135[[#This Row],[Objetive value]]-Tabela135[[#This Row],[Objetive value/GATeS]])/Tabela135[[#This Row],[Objetive value]])*100</f>
        <v>4.4488783433994823E-2</v>
      </c>
      <c r="P54" s="112">
        <v>74176</v>
      </c>
      <c r="Q54" s="112">
        <v>2.2400000000000002</v>
      </c>
      <c r="R54" s="112">
        <v>0</v>
      </c>
      <c r="S54" s="112">
        <f>(((Tabela135[[#This Row],[Objetive value]]-Tabela135[[#This Row],[Objetive Value /H-R1]])/Tabela135[[#This Row],[Objetive value]]))*100</f>
        <v>0</v>
      </c>
      <c r="T54" s="113">
        <v>74176</v>
      </c>
      <c r="U54" s="113">
        <v>2.56</v>
      </c>
      <c r="V54" s="113">
        <v>0</v>
      </c>
      <c r="W54" s="113">
        <f>(((Tabela135[[#This Row],[Objetive value]]-Tabela135[[#This Row],[Objetive value /H-R2]])/Tabela135[[#This Row],[Objetive value]]))*100</f>
        <v>0</v>
      </c>
    </row>
    <row r="55" spans="1:23" x14ac:dyDescent="0.25">
      <c r="A55" s="3" t="s">
        <v>300</v>
      </c>
      <c r="B55" s="39" t="s">
        <v>305</v>
      </c>
      <c r="C55" s="3">
        <v>10000</v>
      </c>
      <c r="D55" s="3">
        <v>0.05</v>
      </c>
      <c r="E55" s="3">
        <v>5</v>
      </c>
      <c r="F55" s="39" t="s">
        <v>21</v>
      </c>
      <c r="G55" s="39" t="s">
        <v>14</v>
      </c>
      <c r="H55" s="110">
        <v>100894</v>
      </c>
      <c r="I55" s="138">
        <v>70353</v>
      </c>
      <c r="J55" s="138">
        <v>47.593999999924499</v>
      </c>
      <c r="K55" s="137">
        <v>0</v>
      </c>
      <c r="L55" s="125">
        <v>61049</v>
      </c>
      <c r="M55" s="125">
        <v>494</v>
      </c>
      <c r="N55" s="125">
        <v>26</v>
      </c>
      <c r="O55" s="111">
        <f>((Tabela135[[#This Row],[Objetive value]]-Tabela135[[#This Row],[Objetive value/GATeS]])/Tabela135[[#This Row],[Objetive value]])*100</f>
        <v>13.224738106406267</v>
      </c>
      <c r="P55" s="112">
        <v>28345</v>
      </c>
      <c r="Q55" s="112">
        <v>3.17</v>
      </c>
      <c r="R55" s="112">
        <v>0</v>
      </c>
      <c r="S55" s="112">
        <f>(((Tabela135[[#This Row],[Objetive value]]-Tabela135[[#This Row],[Objetive Value /H-R1]])/Tabela135[[#This Row],[Objetive value]]))*100</f>
        <v>59.710317967961565</v>
      </c>
      <c r="T55" s="113">
        <v>62032</v>
      </c>
      <c r="U55" s="113">
        <v>2.66</v>
      </c>
      <c r="V55" s="113">
        <v>0</v>
      </c>
      <c r="W55" s="113">
        <f>(((Tabela135[[#This Row],[Objetive value]]-Tabela135[[#This Row],[Objetive value /H-R2]])/Tabela135[[#This Row],[Objetive value]]))*100</f>
        <v>11.827498471991243</v>
      </c>
    </row>
    <row r="56" spans="1:23" x14ac:dyDescent="0.25">
      <c r="A56" s="3" t="s">
        <v>300</v>
      </c>
      <c r="B56" s="39" t="s">
        <v>306</v>
      </c>
      <c r="C56" s="3">
        <v>10000</v>
      </c>
      <c r="D56" s="3">
        <v>0.05</v>
      </c>
      <c r="E56" s="3">
        <v>5</v>
      </c>
      <c r="F56" s="39" t="s">
        <v>21</v>
      </c>
      <c r="G56" s="39" t="s">
        <v>16</v>
      </c>
      <c r="H56" s="110">
        <v>68600</v>
      </c>
      <c r="I56" s="138">
        <v>59777</v>
      </c>
      <c r="J56" s="138">
        <v>38.547000000020397</v>
      </c>
      <c r="K56" s="137">
        <v>0</v>
      </c>
      <c r="L56" s="125">
        <v>51269</v>
      </c>
      <c r="M56" s="125">
        <v>908</v>
      </c>
      <c r="N56" s="125">
        <v>131</v>
      </c>
      <c r="O56" s="111">
        <f>((Tabela135[[#This Row],[Objetive value]]-Tabela135[[#This Row],[Objetive value/GATeS]])/Tabela135[[#This Row],[Objetive value]])*100</f>
        <v>14.23289894106429</v>
      </c>
      <c r="P56" s="112">
        <v>59777</v>
      </c>
      <c r="Q56" s="112">
        <v>2.36</v>
      </c>
      <c r="R56" s="112">
        <v>0</v>
      </c>
      <c r="S56" s="112">
        <f>(((Tabela135[[#This Row],[Objetive value]]-Tabela135[[#This Row],[Objetive Value /H-R1]])/Tabela135[[#This Row],[Objetive value]]))*100</f>
        <v>0</v>
      </c>
      <c r="T56" s="113">
        <v>59777</v>
      </c>
      <c r="U56" s="113">
        <v>1.88</v>
      </c>
      <c r="V56" s="113">
        <v>0</v>
      </c>
      <c r="W56" s="113">
        <f>(((Tabela135[[#This Row],[Objetive value]]-Tabela135[[#This Row],[Objetive value /H-R2]])/Tabela135[[#This Row],[Objetive value]]))*100</f>
        <v>0</v>
      </c>
    </row>
    <row r="57" spans="1:23" x14ac:dyDescent="0.25">
      <c r="A57" s="3" t="s">
        <v>205</v>
      </c>
      <c r="B57" s="37" t="s">
        <v>212</v>
      </c>
      <c r="C57" s="3">
        <v>1000</v>
      </c>
      <c r="D57" s="114">
        <v>0.1</v>
      </c>
      <c r="E57" s="3">
        <v>10</v>
      </c>
      <c r="F57" s="39" t="s">
        <v>13</v>
      </c>
      <c r="G57" s="39" t="s">
        <v>14</v>
      </c>
      <c r="H57" s="110">
        <v>23385</v>
      </c>
      <c r="I57" s="138">
        <v>23386</v>
      </c>
      <c r="J57" s="138">
        <v>2.7660000000614602</v>
      </c>
      <c r="K57" s="137">
        <v>0</v>
      </c>
      <c r="L57" s="125">
        <v>22660</v>
      </c>
      <c r="M57" s="125">
        <v>70</v>
      </c>
      <c r="N57" s="125">
        <v>63</v>
      </c>
      <c r="O57" s="111">
        <f>((Tabela135[[#This Row],[Objetive value]]-Tabela135[[#This Row],[Objetive value/GATeS]])/Tabela135[[#This Row],[Objetive value]])*100</f>
        <v>3.1044214487300095</v>
      </c>
      <c r="P57" s="112">
        <v>23384</v>
      </c>
      <c r="Q57" s="112">
        <v>0.73</v>
      </c>
      <c r="R57" s="112">
        <v>0</v>
      </c>
      <c r="S57" s="112">
        <f>(((Tabela135[[#This Row],[Objetive value]]-Tabela135[[#This Row],[Objetive Value /H-R1]])/Tabela135[[#This Row],[Objetive value]]))*100</f>
        <v>8.5521252031129733E-3</v>
      </c>
      <c r="T57" s="113">
        <v>21516</v>
      </c>
      <c r="U57" s="113">
        <v>0.52</v>
      </c>
      <c r="V57" s="113">
        <v>0</v>
      </c>
      <c r="W57" s="113">
        <f>(((Tabela135[[#This Row],[Objetive value]]-Tabela135[[#This Row],[Objetive value /H-R2]])/Tabela135[[#This Row],[Objetive value]]))*100</f>
        <v>7.9962370649106305</v>
      </c>
    </row>
    <row r="58" spans="1:23" x14ac:dyDescent="0.25">
      <c r="A58" s="3" t="s">
        <v>205</v>
      </c>
      <c r="B58" s="39" t="s">
        <v>213</v>
      </c>
      <c r="C58" s="3">
        <v>1000</v>
      </c>
      <c r="D58" s="114">
        <v>0.1</v>
      </c>
      <c r="E58" s="3">
        <v>10</v>
      </c>
      <c r="F58" s="39" t="s">
        <v>13</v>
      </c>
      <c r="G58" s="39" t="s">
        <v>16</v>
      </c>
      <c r="H58" s="110">
        <v>12766</v>
      </c>
      <c r="I58" s="138">
        <v>12512</v>
      </c>
      <c r="J58" s="138">
        <v>10.280999999959</v>
      </c>
      <c r="K58" s="137">
        <v>0</v>
      </c>
      <c r="L58" s="125">
        <v>12463</v>
      </c>
      <c r="M58" s="125">
        <v>88</v>
      </c>
      <c r="N58" s="125">
        <v>77</v>
      </c>
      <c r="O58" s="111">
        <f>((Tabela135[[#This Row],[Objetive value]]-Tabela135[[#This Row],[Objetive value/GATeS]])/Tabela135[[#This Row],[Objetive value]])*100</f>
        <v>0.39162404092071607</v>
      </c>
      <c r="P58" s="112">
        <v>12454</v>
      </c>
      <c r="Q58" s="112">
        <v>0.89</v>
      </c>
      <c r="R58" s="112">
        <v>0</v>
      </c>
      <c r="S58" s="112">
        <f>(((Tabela135[[#This Row],[Objetive value]]-Tabela135[[#This Row],[Objetive Value /H-R1]])/Tabela135[[#This Row],[Objetive value]]))*100</f>
        <v>0.46355498721227623</v>
      </c>
      <c r="T58" s="113">
        <v>12511</v>
      </c>
      <c r="U58" s="113">
        <v>0.76</v>
      </c>
      <c r="V58" s="113">
        <v>0</v>
      </c>
      <c r="W58" s="113">
        <f>(((Tabela135[[#This Row],[Objetive value]]-Tabela135[[#This Row],[Objetive value /H-R2]])/Tabela135[[#This Row],[Objetive value]]))*100</f>
        <v>7.9923273657289007E-3</v>
      </c>
    </row>
    <row r="59" spans="1:23" x14ac:dyDescent="0.25">
      <c r="A59" s="3" t="s">
        <v>205</v>
      </c>
      <c r="B59" s="39" t="s">
        <v>214</v>
      </c>
      <c r="C59" s="3">
        <v>1000</v>
      </c>
      <c r="D59" s="114">
        <v>0.1</v>
      </c>
      <c r="E59" s="3">
        <v>10</v>
      </c>
      <c r="F59" s="3" t="s">
        <v>18</v>
      </c>
      <c r="G59" s="39" t="s">
        <v>14</v>
      </c>
      <c r="H59" s="110">
        <v>19413</v>
      </c>
      <c r="I59" s="138">
        <v>19413</v>
      </c>
      <c r="J59" s="138">
        <v>4.1870000000344501</v>
      </c>
      <c r="K59" s="137">
        <v>0</v>
      </c>
      <c r="L59" s="125">
        <v>19228</v>
      </c>
      <c r="M59" s="125">
        <v>51</v>
      </c>
      <c r="N59" s="125">
        <v>0</v>
      </c>
      <c r="O59" s="111">
        <f>((Tabela135[[#This Row],[Objetive value]]-Tabela135[[#This Row],[Objetive value/GATeS]])/Tabela135[[#This Row],[Objetive value]])*100</f>
        <v>0.95296965950651624</v>
      </c>
      <c r="P59" s="112">
        <v>19034</v>
      </c>
      <c r="Q59" s="112">
        <v>0.84</v>
      </c>
      <c r="R59" s="112">
        <v>0</v>
      </c>
      <c r="S59" s="112">
        <f>(((Tabela135[[#This Row],[Objetive value]]-Tabela135[[#This Row],[Objetive Value /H-R1]])/Tabela135[[#This Row],[Objetive value]]))*100</f>
        <v>1.9523000051511874</v>
      </c>
      <c r="T59" s="113">
        <v>19034</v>
      </c>
      <c r="U59" s="113">
        <v>0.97</v>
      </c>
      <c r="V59" s="113">
        <v>0</v>
      </c>
      <c r="W59" s="113">
        <f>(((Tabela135[[#This Row],[Objetive value]]-Tabela135[[#This Row],[Objetive value /H-R2]])/Tabela135[[#This Row],[Objetive value]]))*100</f>
        <v>1.9523000051511874</v>
      </c>
    </row>
    <row r="60" spans="1:23" x14ac:dyDescent="0.25">
      <c r="A60" s="3" t="s">
        <v>205</v>
      </c>
      <c r="B60" s="39" t="s">
        <v>215</v>
      </c>
      <c r="C60" s="3">
        <v>1000</v>
      </c>
      <c r="D60" s="114">
        <v>0.1</v>
      </c>
      <c r="E60" s="3">
        <v>10</v>
      </c>
      <c r="F60" s="3" t="s">
        <v>18</v>
      </c>
      <c r="G60" s="39" t="s">
        <v>16</v>
      </c>
      <c r="H60" s="110">
        <v>13214</v>
      </c>
      <c r="I60" s="138">
        <v>13214</v>
      </c>
      <c r="J60" s="138">
        <v>4.6719999999040702</v>
      </c>
      <c r="K60" s="137">
        <v>0</v>
      </c>
      <c r="L60" s="125">
        <v>13205</v>
      </c>
      <c r="M60" s="125">
        <v>99</v>
      </c>
      <c r="N60" s="125">
        <v>36</v>
      </c>
      <c r="O60" s="111">
        <f>((Tabela135[[#This Row],[Objetive value]]-Tabela135[[#This Row],[Objetive value/GATeS]])/Tabela135[[#This Row],[Objetive value]])*100</f>
        <v>6.8109580747691842E-2</v>
      </c>
      <c r="P60" s="112">
        <v>12849</v>
      </c>
      <c r="Q60" s="112">
        <v>0.84</v>
      </c>
      <c r="R60" s="112">
        <v>0</v>
      </c>
      <c r="S60" s="112">
        <f>(((Tabela135[[#This Row],[Objetive value]]-Tabela135[[#This Row],[Objetive Value /H-R1]])/Tabela135[[#This Row],[Objetive value]]))*100</f>
        <v>2.7622218858786138</v>
      </c>
      <c r="T60" s="113">
        <v>12849</v>
      </c>
      <c r="U60" s="113">
        <v>0.89</v>
      </c>
      <c r="V60" s="113">
        <v>0</v>
      </c>
      <c r="W60" s="113">
        <f>(((Tabela135[[#This Row],[Objetive value]]-Tabela135[[#This Row],[Objetive value /H-R2]])/Tabela135[[#This Row],[Objetive value]]))*100</f>
        <v>2.7622218858786138</v>
      </c>
    </row>
    <row r="61" spans="1:23" x14ac:dyDescent="0.25">
      <c r="A61" s="3" t="s">
        <v>205</v>
      </c>
      <c r="B61" s="39" t="s">
        <v>216</v>
      </c>
      <c r="C61" s="3">
        <v>1000</v>
      </c>
      <c r="D61" s="114">
        <v>0.1</v>
      </c>
      <c r="E61" s="3">
        <v>10</v>
      </c>
      <c r="F61" s="39" t="s">
        <v>21</v>
      </c>
      <c r="G61" s="39" t="s">
        <v>14</v>
      </c>
      <c r="H61" s="110">
        <v>22438</v>
      </c>
      <c r="I61" s="138">
        <v>22438</v>
      </c>
      <c r="J61" s="138">
        <v>1.48400000005494</v>
      </c>
      <c r="K61" s="137">
        <v>0</v>
      </c>
      <c r="L61" s="125">
        <v>19980</v>
      </c>
      <c r="M61" s="125">
        <v>44</v>
      </c>
      <c r="N61" s="125">
        <v>19</v>
      </c>
      <c r="O61" s="111">
        <f>((Tabela135[[#This Row],[Objetive value]]-Tabela135[[#This Row],[Objetive value/GATeS]])/Tabela135[[#This Row],[Objetive value]])*100</f>
        <v>10.95463053748106</v>
      </c>
      <c r="P61" s="112">
        <v>22438</v>
      </c>
      <c r="Q61" s="112">
        <v>0.75</v>
      </c>
      <c r="R61" s="112">
        <v>0</v>
      </c>
      <c r="S61" s="112">
        <f>(((Tabela135[[#This Row],[Objetive value]]-Tabela135[[#This Row],[Objetive Value /H-R1]])/Tabela135[[#This Row],[Objetive value]]))*100</f>
        <v>0</v>
      </c>
      <c r="T61" s="113">
        <v>22436</v>
      </c>
      <c r="U61" s="113">
        <v>0.67</v>
      </c>
      <c r="V61" s="113">
        <v>0</v>
      </c>
      <c r="W61" s="113">
        <f>(((Tabela135[[#This Row],[Objetive value]]-Tabela135[[#This Row],[Objetive value /H-R2]])/Tabela135[[#This Row],[Objetive value]]))*100</f>
        <v>8.913450396648542E-3</v>
      </c>
    </row>
    <row r="62" spans="1:23" x14ac:dyDescent="0.25">
      <c r="A62" s="3" t="s">
        <v>205</v>
      </c>
      <c r="B62" s="39" t="s">
        <v>217</v>
      </c>
      <c r="C62" s="3">
        <v>1000</v>
      </c>
      <c r="D62" s="114">
        <v>0.1</v>
      </c>
      <c r="E62" s="3">
        <v>10</v>
      </c>
      <c r="F62" s="39" t="s">
        <v>21</v>
      </c>
      <c r="G62" s="39" t="s">
        <v>16</v>
      </c>
      <c r="H62" s="110">
        <v>12121</v>
      </c>
      <c r="I62" s="138">
        <v>12121</v>
      </c>
      <c r="J62" s="138">
        <v>4.32799999997951</v>
      </c>
      <c r="K62" s="137">
        <v>0</v>
      </c>
      <c r="L62" s="125">
        <v>12012</v>
      </c>
      <c r="M62" s="125">
        <v>66</v>
      </c>
      <c r="N62" s="125">
        <v>1</v>
      </c>
      <c r="O62" s="111">
        <f>((Tabela135[[#This Row],[Objetive value]]-Tabela135[[#This Row],[Objetive value/GATeS]])/Tabela135[[#This Row],[Objetive value]])*100</f>
        <v>0.89926573715040004</v>
      </c>
      <c r="P62" s="112">
        <v>11936</v>
      </c>
      <c r="Q62" s="112">
        <v>0.76</v>
      </c>
      <c r="R62" s="112">
        <v>0</v>
      </c>
      <c r="S62" s="112">
        <f>(((Tabela135[[#This Row],[Objetive value]]-Tabela135[[#This Row],[Objetive Value /H-R1]])/Tabela135[[#This Row],[Objetive value]]))*100</f>
        <v>1.5262767098424221</v>
      </c>
      <c r="T62" s="113">
        <v>11601</v>
      </c>
      <c r="U62" s="113">
        <v>0.5</v>
      </c>
      <c r="V62" s="113">
        <v>0</v>
      </c>
      <c r="W62" s="113">
        <f>(((Tabela135[[#This Row],[Objetive value]]-Tabela135[[#This Row],[Objetive value /H-R2]])/Tabela135[[#This Row],[Objetive value]]))*100</f>
        <v>4.2900750763138351</v>
      </c>
    </row>
    <row r="63" spans="1:23" x14ac:dyDescent="0.25">
      <c r="A63" s="3" t="s">
        <v>224</v>
      </c>
      <c r="B63" s="37" t="s">
        <v>231</v>
      </c>
      <c r="C63" s="3">
        <v>1000</v>
      </c>
      <c r="D63" s="114">
        <v>0.1</v>
      </c>
      <c r="E63" s="3">
        <v>15</v>
      </c>
      <c r="F63" s="39" t="s">
        <v>13</v>
      </c>
      <c r="G63" s="39" t="s">
        <v>14</v>
      </c>
      <c r="H63" s="110">
        <v>31596</v>
      </c>
      <c r="I63" s="138">
        <v>31589</v>
      </c>
      <c r="J63" s="138">
        <v>40.312999999965498</v>
      </c>
      <c r="K63" s="137">
        <v>0</v>
      </c>
      <c r="L63" s="125">
        <v>29889</v>
      </c>
      <c r="M63" s="125">
        <v>130</v>
      </c>
      <c r="N63" s="125">
        <v>102</v>
      </c>
      <c r="O63" s="111">
        <f>((Tabela135[[#This Row],[Objetive value]]-Tabela135[[#This Row],[Objetive value/GATeS]])/Tabela135[[#This Row],[Objetive value]])*100</f>
        <v>5.38162018424135</v>
      </c>
      <c r="P63" s="112">
        <v>31311</v>
      </c>
      <c r="Q63" s="112">
        <v>0.51</v>
      </c>
      <c r="R63" s="112">
        <v>0</v>
      </c>
      <c r="S63" s="112">
        <f>(((Tabela135[[#This Row],[Objetive value]]-Tabela135[[#This Row],[Objetive Value /H-R1]])/Tabela135[[#This Row],[Objetive value]]))*100</f>
        <v>0.88005318307005609</v>
      </c>
      <c r="T63" s="113">
        <v>29707</v>
      </c>
      <c r="U63" s="113">
        <v>0.45</v>
      </c>
      <c r="V63" s="113">
        <v>0</v>
      </c>
      <c r="W63" s="113">
        <f>(((Tabela135[[#This Row],[Objetive value]]-Tabela135[[#This Row],[Objetive value /H-R2]])/Tabela135[[#This Row],[Objetive value]]))*100</f>
        <v>5.9577701098483651</v>
      </c>
    </row>
    <row r="64" spans="1:23" x14ac:dyDescent="0.25">
      <c r="A64" s="3" t="s">
        <v>224</v>
      </c>
      <c r="B64" s="39" t="s">
        <v>232</v>
      </c>
      <c r="C64" s="3">
        <v>1000</v>
      </c>
      <c r="D64" s="114">
        <v>0.1</v>
      </c>
      <c r="E64" s="3">
        <v>15</v>
      </c>
      <c r="F64" s="39" t="s">
        <v>13</v>
      </c>
      <c r="G64" s="39" t="s">
        <v>16</v>
      </c>
      <c r="H64" s="110">
        <v>17578</v>
      </c>
      <c r="I64" s="138">
        <v>17379</v>
      </c>
      <c r="J64" s="138">
        <v>59.297000000020397</v>
      </c>
      <c r="K64" s="137">
        <v>0</v>
      </c>
      <c r="L64" s="125">
        <v>17117</v>
      </c>
      <c r="M64" s="125">
        <v>159</v>
      </c>
      <c r="N64" s="125">
        <v>27</v>
      </c>
      <c r="O64" s="111">
        <f>((Tabela135[[#This Row],[Objetive value]]-Tabela135[[#This Row],[Objetive value/GATeS]])/Tabela135[[#This Row],[Objetive value]])*100</f>
        <v>1.5075666033718855</v>
      </c>
      <c r="P64" s="112">
        <v>17228</v>
      </c>
      <c r="Q64" s="112">
        <v>0.62</v>
      </c>
      <c r="R64" s="112">
        <v>0</v>
      </c>
      <c r="S64" s="112">
        <f>(((Tabela135[[#This Row],[Objetive value]]-Tabela135[[#This Row],[Objetive Value /H-R1]])/Tabela135[[#This Row],[Objetive value]]))*100</f>
        <v>0.86886472179066687</v>
      </c>
      <c r="T64" s="113">
        <v>17144</v>
      </c>
      <c r="U64" s="113">
        <v>0.7</v>
      </c>
      <c r="V64" s="113">
        <v>0</v>
      </c>
      <c r="W64" s="113">
        <f>(((Tabela135[[#This Row],[Objetive value]]-Tabela135[[#This Row],[Objetive value /H-R2]])/Tabela135[[#This Row],[Objetive value]]))*100</f>
        <v>1.352206686230508</v>
      </c>
    </row>
    <row r="65" spans="1:23" x14ac:dyDescent="0.25">
      <c r="A65" s="3" t="s">
        <v>224</v>
      </c>
      <c r="B65" s="39" t="s">
        <v>233</v>
      </c>
      <c r="C65" s="3">
        <v>1000</v>
      </c>
      <c r="D65" s="114">
        <v>0.1</v>
      </c>
      <c r="E65" s="3">
        <v>15</v>
      </c>
      <c r="F65" s="3" t="s">
        <v>18</v>
      </c>
      <c r="G65" s="39" t="s">
        <v>14</v>
      </c>
      <c r="H65" s="110">
        <v>31485</v>
      </c>
      <c r="I65" s="138">
        <v>31485</v>
      </c>
      <c r="J65" s="138">
        <v>34.672000000020397</v>
      </c>
      <c r="K65" s="137">
        <v>0</v>
      </c>
      <c r="L65" s="125">
        <v>30918</v>
      </c>
      <c r="M65" s="125">
        <v>108</v>
      </c>
      <c r="N65" s="125">
        <v>1</v>
      </c>
      <c r="O65" s="111">
        <f>((Tabela135[[#This Row],[Objetive value]]-Tabela135[[#This Row],[Objetive value/GATeS]])/Tabela135[[#This Row],[Objetive value]])*100</f>
        <v>1.8008575512148641</v>
      </c>
      <c r="P65" s="112">
        <v>31485</v>
      </c>
      <c r="Q65" s="112">
        <v>0.63</v>
      </c>
      <c r="R65" s="112">
        <v>0</v>
      </c>
      <c r="S65" s="112">
        <f>(((Tabela135[[#This Row],[Objetive value]]-Tabela135[[#This Row],[Objetive Value /H-R1]])/Tabela135[[#This Row],[Objetive value]]))*100</f>
        <v>0</v>
      </c>
      <c r="T65" s="113">
        <v>30774</v>
      </c>
      <c r="U65" s="113">
        <v>0.55000000000000004</v>
      </c>
      <c r="V65" s="113">
        <v>0</v>
      </c>
      <c r="W65" s="113">
        <f>(((Tabela135[[#This Row],[Objetive value]]-Tabela135[[#This Row],[Objetive value /H-R2]])/Tabela135[[#This Row],[Objetive value]]))*100</f>
        <v>2.2582181991424486</v>
      </c>
    </row>
    <row r="66" spans="1:23" x14ac:dyDescent="0.25">
      <c r="A66" s="3" t="s">
        <v>224</v>
      </c>
      <c r="B66" s="39" t="s">
        <v>234</v>
      </c>
      <c r="C66" s="3">
        <v>1000</v>
      </c>
      <c r="D66" s="114">
        <v>0.1</v>
      </c>
      <c r="E66" s="3">
        <v>15</v>
      </c>
      <c r="F66" s="3" t="s">
        <v>18</v>
      </c>
      <c r="G66" s="39" t="s">
        <v>16</v>
      </c>
      <c r="H66" s="110">
        <v>17552</v>
      </c>
      <c r="I66" s="138">
        <v>17529</v>
      </c>
      <c r="J66" s="138">
        <v>103.92200000002001</v>
      </c>
      <c r="K66" s="137">
        <v>7.0000000000000007E-2</v>
      </c>
      <c r="L66" s="125">
        <v>17210</v>
      </c>
      <c r="M66" s="125">
        <v>306</v>
      </c>
      <c r="N66" s="125">
        <v>262</v>
      </c>
      <c r="O66" s="111">
        <f>((Tabela135[[#This Row],[Objetive value]]-Tabela135[[#This Row],[Objetive value/GATeS]])/Tabela135[[#This Row],[Objetive value]])*100</f>
        <v>1.8198414056706029</v>
      </c>
      <c r="P66" s="112">
        <v>17289</v>
      </c>
      <c r="Q66" s="112">
        <v>0.7</v>
      </c>
      <c r="R66" s="112">
        <v>0</v>
      </c>
      <c r="S66" s="112">
        <f>(((Tabela135[[#This Row],[Objetive value]]-Tabela135[[#This Row],[Objetive Value /H-R1]])/Tabela135[[#This Row],[Objetive value]]))*100</f>
        <v>1.3691596782474755</v>
      </c>
      <c r="T66" s="113">
        <v>17122</v>
      </c>
      <c r="U66" s="113">
        <v>0.44</v>
      </c>
      <c r="V66" s="113">
        <v>0</v>
      </c>
      <c r="W66" s="113">
        <f>(((Tabela135[[#This Row],[Objetive value]]-Tabela135[[#This Row],[Objetive value /H-R2]])/Tabela135[[#This Row],[Objetive value]]))*100</f>
        <v>2.3218666210280108</v>
      </c>
    </row>
    <row r="67" spans="1:23" x14ac:dyDescent="0.25">
      <c r="A67" s="3" t="s">
        <v>224</v>
      </c>
      <c r="B67" s="39" t="s">
        <v>235</v>
      </c>
      <c r="C67" s="3">
        <v>1000</v>
      </c>
      <c r="D67" s="114">
        <v>0.1</v>
      </c>
      <c r="E67" s="3">
        <v>15</v>
      </c>
      <c r="F67" s="39" t="s">
        <v>21</v>
      </c>
      <c r="G67" s="39" t="s">
        <v>14</v>
      </c>
      <c r="H67" s="110">
        <v>22961</v>
      </c>
      <c r="I67" s="138">
        <v>21646</v>
      </c>
      <c r="J67" s="138">
        <v>2.53100000007543</v>
      </c>
      <c r="K67" s="137">
        <v>0</v>
      </c>
      <c r="L67" s="125">
        <v>21634</v>
      </c>
      <c r="M67" s="125">
        <v>57</v>
      </c>
      <c r="N67" s="125">
        <v>8</v>
      </c>
      <c r="O67" s="111">
        <f>((Tabela135[[#This Row],[Objetive value]]-Tabela135[[#This Row],[Objetive value/GATeS]])/Tabela135[[#This Row],[Objetive value]])*100</f>
        <v>5.5437494225261022E-2</v>
      </c>
      <c r="P67" s="112">
        <v>12913</v>
      </c>
      <c r="Q67" s="112">
        <v>2.81</v>
      </c>
      <c r="R67" s="112">
        <v>0</v>
      </c>
      <c r="S67" s="112">
        <f>(((Tabela135[[#This Row],[Objetive value]]-Tabela135[[#This Row],[Objetive Value /H-R1]])/Tabela135[[#This Row],[Objetive value]]))*100</f>
        <v>40.344636422433702</v>
      </c>
      <c r="T67" s="113">
        <v>19080</v>
      </c>
      <c r="U67" s="113">
        <v>2.2999999999999998</v>
      </c>
      <c r="V67" s="113">
        <v>0</v>
      </c>
      <c r="W67" s="113">
        <f>(((Tabela135[[#This Row],[Objetive value]]-Tabela135[[#This Row],[Objetive value /H-R2]])/Tabela135[[#This Row],[Objetive value]]))*100</f>
        <v>11.854384181834982</v>
      </c>
    </row>
    <row r="68" spans="1:23" x14ac:dyDescent="0.25">
      <c r="A68" s="3" t="s">
        <v>224</v>
      </c>
      <c r="B68" s="39" t="s">
        <v>236</v>
      </c>
      <c r="C68" s="3">
        <v>1000</v>
      </c>
      <c r="D68" s="114">
        <v>0.1</v>
      </c>
      <c r="E68" s="3">
        <v>15</v>
      </c>
      <c r="F68" s="39" t="s">
        <v>21</v>
      </c>
      <c r="G68" s="39" t="s">
        <v>16</v>
      </c>
      <c r="H68" s="110">
        <v>18051</v>
      </c>
      <c r="I68" s="138">
        <v>17021</v>
      </c>
      <c r="J68" s="138">
        <v>30.0160000000614</v>
      </c>
      <c r="K68" s="137">
        <v>0.13</v>
      </c>
      <c r="L68" s="125">
        <v>16726</v>
      </c>
      <c r="M68" s="125">
        <v>76</v>
      </c>
      <c r="N68" s="125">
        <v>67</v>
      </c>
      <c r="O68" s="111">
        <f>((Tabela135[[#This Row],[Objetive value]]-Tabela135[[#This Row],[Objetive value/GATeS]])/Tabela135[[#This Row],[Objetive value]])*100</f>
        <v>1.7331531637389108</v>
      </c>
      <c r="P68" s="112">
        <v>16794</v>
      </c>
      <c r="Q68" s="112">
        <v>0.7</v>
      </c>
      <c r="R68" s="112">
        <v>0</v>
      </c>
      <c r="S68" s="112">
        <f>(((Tabela135[[#This Row],[Objetive value]]-Tabela135[[#This Row],[Objetive Value /H-R1]])/Tabela135[[#This Row],[Objetive value]]))*100</f>
        <v>1.3336466717584161</v>
      </c>
      <c r="T68" s="113">
        <v>16739</v>
      </c>
      <c r="U68" s="113">
        <v>0.94</v>
      </c>
      <c r="V68" s="113">
        <v>0</v>
      </c>
      <c r="W68" s="113">
        <f>(((Tabela135[[#This Row],[Objetive value]]-Tabela135[[#This Row],[Objetive value /H-R2]])/Tabela135[[#This Row],[Objetive value]]))*100</f>
        <v>1.6567769226249929</v>
      </c>
    </row>
    <row r="69" spans="1:23" x14ac:dyDescent="0.25">
      <c r="A69" s="34" t="s">
        <v>186</v>
      </c>
      <c r="B69" s="39" t="s">
        <v>193</v>
      </c>
      <c r="C69" s="3">
        <v>1000</v>
      </c>
      <c r="D69" s="114">
        <v>0.1</v>
      </c>
      <c r="E69" s="3">
        <v>5</v>
      </c>
      <c r="F69" s="39" t="s">
        <v>13</v>
      </c>
      <c r="G69" s="39" t="s">
        <v>14</v>
      </c>
      <c r="H69" s="110">
        <v>10425</v>
      </c>
      <c r="I69" s="138">
        <v>10425</v>
      </c>
      <c r="J69" s="138">
        <v>0.625</v>
      </c>
      <c r="K69" s="137">
        <v>0</v>
      </c>
      <c r="L69" s="125">
        <v>10415</v>
      </c>
      <c r="M69" s="125">
        <v>62</v>
      </c>
      <c r="N69" s="125">
        <v>7</v>
      </c>
      <c r="O69" s="111">
        <f>((Tabela135[[#This Row],[Objetive value]]-Tabela135[[#This Row],[Objetive value/GATeS]])/Tabela135[[#This Row],[Objetive value]])*100</f>
        <v>9.5923261390887291E-2</v>
      </c>
      <c r="P69" s="112">
        <v>10425</v>
      </c>
      <c r="Q69" s="112">
        <v>0.65</v>
      </c>
      <c r="R69" s="112">
        <v>0</v>
      </c>
      <c r="S69" s="112">
        <f>(((Tabela135[[#This Row],[Objetive value]]-Tabela135[[#This Row],[Objetive Value /H-R1]])/Tabela135[[#This Row],[Objetive value]]))*100</f>
        <v>0</v>
      </c>
      <c r="T69" s="113">
        <v>8974</v>
      </c>
      <c r="U69" s="113">
        <v>0.46</v>
      </c>
      <c r="V69" s="113">
        <v>0</v>
      </c>
      <c r="W69" s="113">
        <f>(((Tabela135[[#This Row],[Objetive value]]-Tabela135[[#This Row],[Objetive value /H-R2]])/Tabela135[[#This Row],[Objetive value]]))*100</f>
        <v>13.918465227817745</v>
      </c>
    </row>
    <row r="70" spans="1:23" x14ac:dyDescent="0.25">
      <c r="A70" s="3" t="s">
        <v>186</v>
      </c>
      <c r="B70" s="39" t="s">
        <v>194</v>
      </c>
      <c r="C70" s="3">
        <v>1000</v>
      </c>
      <c r="D70" s="114">
        <v>0.1</v>
      </c>
      <c r="E70" s="3">
        <v>5</v>
      </c>
      <c r="F70" s="39" t="s">
        <v>13</v>
      </c>
      <c r="G70" s="39" t="s">
        <v>16</v>
      </c>
      <c r="H70" s="110">
        <v>7196</v>
      </c>
      <c r="I70" s="138">
        <v>7196</v>
      </c>
      <c r="J70" s="138">
        <v>0.46899999992456198</v>
      </c>
      <c r="K70" s="137">
        <v>0</v>
      </c>
      <c r="L70" s="125">
        <v>7158</v>
      </c>
      <c r="M70" s="125">
        <v>50</v>
      </c>
      <c r="N70" s="125">
        <v>24</v>
      </c>
      <c r="O70" s="111">
        <f>((Tabela135[[#This Row],[Objetive value]]-Tabela135[[#This Row],[Objetive value/GATeS]])/Tabela135[[#This Row],[Objetive value]])*100</f>
        <v>0.52807115063924404</v>
      </c>
      <c r="P70" s="112">
        <v>7196</v>
      </c>
      <c r="Q70" s="112">
        <v>0.78</v>
      </c>
      <c r="R70" s="112">
        <v>0</v>
      </c>
      <c r="S70" s="112">
        <f>(((Tabela135[[#This Row],[Objetive value]]-Tabela135[[#This Row],[Objetive Value /H-R1]])/Tabela135[[#This Row],[Objetive value]]))*100</f>
        <v>0</v>
      </c>
      <c r="T70" s="113">
        <v>7196</v>
      </c>
      <c r="U70" s="113">
        <v>0.63</v>
      </c>
      <c r="V70" s="113">
        <v>0</v>
      </c>
      <c r="W70" s="113">
        <f>(((Tabela135[[#This Row],[Objetive value]]-Tabela135[[#This Row],[Objetive value /H-R2]])/Tabela135[[#This Row],[Objetive value]]))*100</f>
        <v>0</v>
      </c>
    </row>
    <row r="71" spans="1:23" x14ac:dyDescent="0.25">
      <c r="A71" s="3" t="s">
        <v>186</v>
      </c>
      <c r="B71" s="39" t="s">
        <v>195</v>
      </c>
      <c r="C71" s="3">
        <v>1000</v>
      </c>
      <c r="D71" s="114">
        <v>0.1</v>
      </c>
      <c r="E71" s="3">
        <v>5</v>
      </c>
      <c r="F71" s="39" t="s">
        <v>18</v>
      </c>
      <c r="G71" s="39" t="s">
        <v>14</v>
      </c>
      <c r="H71" s="110">
        <v>10092</v>
      </c>
      <c r="I71" s="138">
        <v>10092</v>
      </c>
      <c r="J71" s="138">
        <v>0.56200000003445805</v>
      </c>
      <c r="K71" s="137">
        <v>0</v>
      </c>
      <c r="L71" s="125">
        <v>10057</v>
      </c>
      <c r="M71" s="125">
        <v>20</v>
      </c>
      <c r="N71" s="125">
        <v>0</v>
      </c>
      <c r="O71" s="111">
        <f>((Tabela135[[#This Row],[Objetive value]]-Tabela135[[#This Row],[Objetive value/GATeS]])/Tabela135[[#This Row],[Objetive value]])*100</f>
        <v>0.34680935394371781</v>
      </c>
      <c r="P71" s="112">
        <v>10092</v>
      </c>
      <c r="Q71" s="112">
        <v>0.52</v>
      </c>
      <c r="R71" s="112">
        <v>0</v>
      </c>
      <c r="S71" s="112">
        <f>(((Tabela135[[#This Row],[Objetive value]]-Tabela135[[#This Row],[Objetive Value /H-R1]])/Tabela135[[#This Row],[Objetive value]]))*100</f>
        <v>0</v>
      </c>
      <c r="T71" s="113">
        <v>10092</v>
      </c>
      <c r="U71" s="113">
        <v>0.38</v>
      </c>
      <c r="V71" s="113">
        <v>0</v>
      </c>
      <c r="W71" s="113">
        <f>(((Tabela135[[#This Row],[Objetive value]]-Tabela135[[#This Row],[Objetive value /H-R2]])/Tabela135[[#This Row],[Objetive value]]))*100</f>
        <v>0</v>
      </c>
    </row>
    <row r="72" spans="1:23" x14ac:dyDescent="0.25">
      <c r="A72" s="3" t="s">
        <v>186</v>
      </c>
      <c r="B72" s="39" t="s">
        <v>196</v>
      </c>
      <c r="C72" s="3">
        <v>1000</v>
      </c>
      <c r="D72" s="114">
        <v>0.1</v>
      </c>
      <c r="E72" s="3">
        <v>5</v>
      </c>
      <c r="F72" s="39" t="s">
        <v>18</v>
      </c>
      <c r="G72" s="39" t="s">
        <v>16</v>
      </c>
      <c r="H72" s="110">
        <v>7394</v>
      </c>
      <c r="I72" s="138">
        <v>7394</v>
      </c>
      <c r="J72" s="138">
        <v>0.375</v>
      </c>
      <c r="K72" s="137">
        <v>0</v>
      </c>
      <c r="L72" s="125">
        <v>7388</v>
      </c>
      <c r="M72" s="125">
        <v>42</v>
      </c>
      <c r="N72" s="125">
        <v>6</v>
      </c>
      <c r="O72" s="111">
        <f>((Tabela135[[#This Row],[Objetive value]]-Tabela135[[#This Row],[Objetive value/GATeS]])/Tabela135[[#This Row],[Objetive value]])*100</f>
        <v>8.114687584527995E-2</v>
      </c>
      <c r="P72" s="112">
        <v>7394</v>
      </c>
      <c r="Q72" s="112">
        <v>0.45</v>
      </c>
      <c r="R72" s="112">
        <v>0</v>
      </c>
      <c r="S72" s="112">
        <f>(((Tabela135[[#This Row],[Objetive value]]-Tabela135[[#This Row],[Objetive Value /H-R1]])/Tabela135[[#This Row],[Objetive value]]))*100</f>
        <v>0</v>
      </c>
      <c r="T72" s="113">
        <v>7394</v>
      </c>
      <c r="U72" s="113">
        <v>0.48</v>
      </c>
      <c r="V72" s="113">
        <v>0</v>
      </c>
      <c r="W72" s="113">
        <f>(((Tabela135[[#This Row],[Objetive value]]-Tabela135[[#This Row],[Objetive value /H-R2]])/Tabela135[[#This Row],[Objetive value]]))*100</f>
        <v>0</v>
      </c>
    </row>
    <row r="73" spans="1:23" x14ac:dyDescent="0.25">
      <c r="A73" s="3" t="s">
        <v>186</v>
      </c>
      <c r="B73" s="39" t="s">
        <v>197</v>
      </c>
      <c r="C73" s="3">
        <v>1000</v>
      </c>
      <c r="D73" s="114">
        <v>0.1</v>
      </c>
      <c r="E73" s="3">
        <v>5</v>
      </c>
      <c r="F73" s="39" t="s">
        <v>21</v>
      </c>
      <c r="G73" s="39" t="s">
        <v>14</v>
      </c>
      <c r="H73" s="110">
        <v>4788</v>
      </c>
      <c r="I73" s="138">
        <v>4788</v>
      </c>
      <c r="J73" s="138">
        <v>0.56199999991804295</v>
      </c>
      <c r="K73" s="137">
        <v>0</v>
      </c>
      <c r="L73" s="125">
        <v>4787</v>
      </c>
      <c r="M73" s="125">
        <v>18</v>
      </c>
      <c r="N73" s="125">
        <v>1</v>
      </c>
      <c r="O73" s="111">
        <f>((Tabela135[[#This Row],[Objetive value]]-Tabela135[[#This Row],[Objetive value/GATeS]])/Tabela135[[#This Row],[Objetive value]])*100</f>
        <v>2.0885547201336674E-2</v>
      </c>
      <c r="P73" s="112">
        <v>4788</v>
      </c>
      <c r="Q73" s="112">
        <v>0.43</v>
      </c>
      <c r="R73" s="112">
        <v>0</v>
      </c>
      <c r="S73" s="112">
        <f>(((Tabela135[[#This Row],[Objetive value]]-Tabela135[[#This Row],[Objetive Value /H-R1]])/Tabela135[[#This Row],[Objetive value]]))*100</f>
        <v>0</v>
      </c>
      <c r="T73" s="113">
        <v>4788</v>
      </c>
      <c r="U73" s="113">
        <v>0.28999999999999998</v>
      </c>
      <c r="V73" s="113">
        <v>0</v>
      </c>
      <c r="W73" s="113">
        <f>(((Tabela135[[#This Row],[Objetive value]]-Tabela135[[#This Row],[Objetive value /H-R2]])/Tabela135[[#This Row],[Objetive value]]))*100</f>
        <v>0</v>
      </c>
    </row>
    <row r="74" spans="1:23" x14ac:dyDescent="0.25">
      <c r="A74" s="3" t="s">
        <v>186</v>
      </c>
      <c r="B74" s="39" t="s">
        <v>198</v>
      </c>
      <c r="C74" s="3">
        <v>1000</v>
      </c>
      <c r="D74" s="114">
        <v>0.1</v>
      </c>
      <c r="E74" s="3">
        <v>5</v>
      </c>
      <c r="F74" s="39" t="s">
        <v>21</v>
      </c>
      <c r="G74" s="39" t="s">
        <v>16</v>
      </c>
      <c r="H74" s="110">
        <v>6488</v>
      </c>
      <c r="I74" s="138">
        <v>6452</v>
      </c>
      <c r="J74" s="138">
        <v>0.45299999997951002</v>
      </c>
      <c r="K74" s="137">
        <v>0</v>
      </c>
      <c r="L74" s="125">
        <v>6299</v>
      </c>
      <c r="M74" s="125">
        <v>20</v>
      </c>
      <c r="N74" s="125">
        <v>9</v>
      </c>
      <c r="O74" s="111">
        <f>((Tabela135[[#This Row],[Objetive value]]-Tabela135[[#This Row],[Objetive value/GATeS]])/Tabela135[[#This Row],[Objetive value]])*100</f>
        <v>2.3713577185368879</v>
      </c>
      <c r="P74" s="112">
        <v>6448</v>
      </c>
      <c r="Q74" s="112">
        <v>0.65</v>
      </c>
      <c r="R74" s="112">
        <v>0</v>
      </c>
      <c r="S74" s="112">
        <f>(((Tabela135[[#This Row],[Objetive value]]-Tabela135[[#This Row],[Objetive Value /H-R1]])/Tabela135[[#This Row],[Objetive value]]))*100</f>
        <v>6.1996280223186609E-2</v>
      </c>
      <c r="T74" s="113">
        <v>6342</v>
      </c>
      <c r="U74" s="113">
        <v>0.73</v>
      </c>
      <c r="V74" s="113">
        <v>0</v>
      </c>
      <c r="W74" s="113">
        <f>(((Tabela135[[#This Row],[Objetive value]]-Tabela135[[#This Row],[Objetive value /H-R2]])/Tabela135[[#This Row],[Objetive value]]))*100</f>
        <v>1.7048977061376318</v>
      </c>
    </row>
    <row r="75" spans="1:23" x14ac:dyDescent="0.25">
      <c r="A75" s="3" t="s">
        <v>205</v>
      </c>
      <c r="B75" s="37" t="s">
        <v>218</v>
      </c>
      <c r="C75" s="3">
        <v>1000</v>
      </c>
      <c r="D75" s="3">
        <v>0.15</v>
      </c>
      <c r="E75" s="3">
        <v>10</v>
      </c>
      <c r="F75" s="39" t="s">
        <v>13</v>
      </c>
      <c r="G75" s="39" t="s">
        <v>14</v>
      </c>
      <c r="H75" s="110">
        <v>19689</v>
      </c>
      <c r="I75" s="138">
        <v>19121</v>
      </c>
      <c r="J75" s="138">
        <v>6.3910000000614602</v>
      </c>
      <c r="K75" s="137">
        <v>0</v>
      </c>
      <c r="L75" s="125">
        <v>19004</v>
      </c>
      <c r="M75" s="125">
        <v>60</v>
      </c>
      <c r="N75" s="125">
        <v>54</v>
      </c>
      <c r="O75" s="111">
        <f>((Tabela135[[#This Row],[Objetive value]]-Tabela135[[#This Row],[Objetive value/GATeS]])/Tabela135[[#This Row],[Objetive value]])*100</f>
        <v>0.61189268343705872</v>
      </c>
      <c r="P75" s="112">
        <v>19072</v>
      </c>
      <c r="Q75" s="112">
        <v>0.5</v>
      </c>
      <c r="R75" s="112">
        <v>0</v>
      </c>
      <c r="S75" s="112">
        <f>(((Tabela135[[#This Row],[Objetive value]]-Tabela135[[#This Row],[Objetive Value /H-R1]])/Tabela135[[#This Row],[Objetive value]]))*100</f>
        <v>0.2562627477642383</v>
      </c>
      <c r="T75" s="113">
        <v>18545</v>
      </c>
      <c r="U75" s="113">
        <v>0.5</v>
      </c>
      <c r="V75" s="113">
        <v>0</v>
      </c>
      <c r="W75" s="113">
        <f>(((Tabela135[[#This Row],[Objetive value]]-Tabela135[[#This Row],[Objetive value /H-R2]])/Tabela135[[#This Row],[Objetive value]]))*100</f>
        <v>3.0123947492285965</v>
      </c>
    </row>
    <row r="76" spans="1:23" x14ac:dyDescent="0.25">
      <c r="A76" s="3" t="s">
        <v>205</v>
      </c>
      <c r="B76" s="39" t="s">
        <v>219</v>
      </c>
      <c r="C76" s="3">
        <v>1000</v>
      </c>
      <c r="D76" s="3">
        <v>0.15</v>
      </c>
      <c r="E76" s="3">
        <v>10</v>
      </c>
      <c r="F76" s="39" t="s">
        <v>13</v>
      </c>
      <c r="G76" s="39" t="s">
        <v>16</v>
      </c>
      <c r="H76" s="110">
        <v>12041</v>
      </c>
      <c r="I76" s="138">
        <v>11627</v>
      </c>
      <c r="J76" s="138">
        <v>9.28099999995902</v>
      </c>
      <c r="K76" s="137">
        <v>3.25</v>
      </c>
      <c r="L76" s="125">
        <v>11541</v>
      </c>
      <c r="M76" s="125">
        <v>133</v>
      </c>
      <c r="N76" s="125">
        <v>44</v>
      </c>
      <c r="O76" s="111">
        <f>((Tabela135[[#This Row],[Objetive value]]-Tabela135[[#This Row],[Objetive value/GATeS]])/Tabela135[[#This Row],[Objetive value]])*100</f>
        <v>0.73965769330007736</v>
      </c>
      <c r="P76" s="112">
        <v>11627</v>
      </c>
      <c r="Q76" s="112">
        <v>0.76</v>
      </c>
      <c r="R76" s="112">
        <v>0</v>
      </c>
      <c r="S76" s="112">
        <f>(((Tabela135[[#This Row],[Objetive value]]-Tabela135[[#This Row],[Objetive Value /H-R1]])/Tabela135[[#This Row],[Objetive value]]))*100</f>
        <v>0</v>
      </c>
      <c r="T76" s="113">
        <v>11484</v>
      </c>
      <c r="U76" s="113">
        <v>0.85</v>
      </c>
      <c r="V76" s="113">
        <v>0</v>
      </c>
      <c r="W76" s="113">
        <f>(((Tabela135[[#This Row],[Objetive value]]-Tabela135[[#This Row],[Objetive value /H-R2]])/Tabela135[[#This Row],[Objetive value]]))*100</f>
        <v>1.229895931882687</v>
      </c>
    </row>
    <row r="77" spans="1:23" x14ac:dyDescent="0.25">
      <c r="A77" s="3" t="s">
        <v>205</v>
      </c>
      <c r="B77" s="39" t="s">
        <v>220</v>
      </c>
      <c r="C77" s="3">
        <v>1000</v>
      </c>
      <c r="D77" s="3">
        <v>0.15</v>
      </c>
      <c r="E77" s="3">
        <v>10</v>
      </c>
      <c r="F77" s="39" t="s">
        <v>18</v>
      </c>
      <c r="G77" s="39" t="s">
        <v>14</v>
      </c>
      <c r="H77" s="110">
        <v>19251</v>
      </c>
      <c r="I77" s="138">
        <v>19251</v>
      </c>
      <c r="J77" s="138">
        <v>4.7349999999860302</v>
      </c>
      <c r="K77" s="137">
        <v>0</v>
      </c>
      <c r="L77" s="125">
        <v>19204</v>
      </c>
      <c r="M77" s="125">
        <v>76</v>
      </c>
      <c r="N77" s="125">
        <v>14</v>
      </c>
      <c r="O77" s="111">
        <f>((Tabela135[[#This Row],[Objetive value]]-Tabela135[[#This Row],[Objetive value/GATeS]])/Tabela135[[#This Row],[Objetive value]])*100</f>
        <v>0.24414316139421327</v>
      </c>
      <c r="P77" s="112">
        <v>19251</v>
      </c>
      <c r="Q77" s="112">
        <v>0.85</v>
      </c>
      <c r="R77" s="112">
        <v>0</v>
      </c>
      <c r="S77" s="112">
        <f>(((Tabela135[[#This Row],[Objetive value]]-Tabela135[[#This Row],[Objetive Value /H-R1]])/Tabela135[[#This Row],[Objetive value]]))*100</f>
        <v>0</v>
      </c>
      <c r="T77" s="113">
        <v>19251</v>
      </c>
      <c r="U77" s="113">
        <v>0.47</v>
      </c>
      <c r="V77" s="113">
        <v>0</v>
      </c>
      <c r="W77" s="113">
        <f>(((Tabela135[[#This Row],[Objetive value]]-Tabela135[[#This Row],[Objetive value /H-R2]])/Tabela135[[#This Row],[Objetive value]]))*100</f>
        <v>0</v>
      </c>
    </row>
    <row r="78" spans="1:23" x14ac:dyDescent="0.25">
      <c r="A78" s="3" t="s">
        <v>205</v>
      </c>
      <c r="B78" s="39" t="s">
        <v>221</v>
      </c>
      <c r="C78" s="3">
        <v>1000</v>
      </c>
      <c r="D78" s="3">
        <v>0.15</v>
      </c>
      <c r="E78" s="3">
        <v>10</v>
      </c>
      <c r="F78" s="39" t="s">
        <v>18</v>
      </c>
      <c r="G78" s="39" t="s">
        <v>16</v>
      </c>
      <c r="H78" s="110">
        <v>13137</v>
      </c>
      <c r="I78" s="138">
        <v>13137</v>
      </c>
      <c r="J78" s="138">
        <v>6.57799999997951</v>
      </c>
      <c r="K78" s="137">
        <v>0</v>
      </c>
      <c r="L78" s="125">
        <v>13045</v>
      </c>
      <c r="M78" s="125">
        <v>80</v>
      </c>
      <c r="N78" s="125">
        <v>37</v>
      </c>
      <c r="O78" s="111">
        <f>((Tabela135[[#This Row],[Objetive value]]-Tabela135[[#This Row],[Objetive value/GATeS]])/Tabela135[[#This Row],[Objetive value]])*100</f>
        <v>0.70031209560782515</v>
      </c>
      <c r="P78" s="112">
        <v>12942</v>
      </c>
      <c r="Q78" s="112">
        <v>0.62</v>
      </c>
      <c r="R78" s="112">
        <v>0</v>
      </c>
      <c r="S78" s="112">
        <f>(((Tabela135[[#This Row],[Objetive value]]-Tabela135[[#This Row],[Objetive Value /H-R1]])/Tabela135[[#This Row],[Objetive value]]))*100</f>
        <v>1.4843571591687599</v>
      </c>
      <c r="T78" s="113">
        <v>12942</v>
      </c>
      <c r="U78" s="113">
        <v>0.65</v>
      </c>
      <c r="V78" s="113">
        <v>0</v>
      </c>
      <c r="W78" s="113">
        <f>(((Tabela135[[#This Row],[Objetive value]]-Tabela135[[#This Row],[Objetive value /H-R2]])/Tabela135[[#This Row],[Objetive value]]))*100</f>
        <v>1.4843571591687599</v>
      </c>
    </row>
    <row r="79" spans="1:23" x14ac:dyDescent="0.25">
      <c r="A79" s="3" t="s">
        <v>205</v>
      </c>
      <c r="B79" s="39" t="s">
        <v>222</v>
      </c>
      <c r="C79" s="3">
        <v>1000</v>
      </c>
      <c r="D79" s="3">
        <v>0.15</v>
      </c>
      <c r="E79" s="3">
        <v>10</v>
      </c>
      <c r="F79" s="39" t="s">
        <v>21</v>
      </c>
      <c r="G79" s="39" t="s">
        <v>14</v>
      </c>
      <c r="H79" s="110">
        <v>15789</v>
      </c>
      <c r="I79" s="138">
        <v>15789</v>
      </c>
      <c r="J79" s="138">
        <v>1.56299999996554</v>
      </c>
      <c r="K79" s="137">
        <v>0</v>
      </c>
      <c r="L79" s="125">
        <v>15741</v>
      </c>
      <c r="M79" s="125">
        <v>74</v>
      </c>
      <c r="N79" s="125">
        <v>0</v>
      </c>
      <c r="O79" s="111">
        <f>((Tabela135[[#This Row],[Objetive value]]-Tabela135[[#This Row],[Objetive value/GATeS]])/Tabela135[[#This Row],[Objetive value]])*100</f>
        <v>0.30400912027360821</v>
      </c>
      <c r="P79" s="112">
        <v>3381</v>
      </c>
      <c r="Q79" s="112">
        <v>3.05</v>
      </c>
      <c r="R79" s="112">
        <v>0</v>
      </c>
      <c r="S79" s="112">
        <f>(((Tabela135[[#This Row],[Objetive value]]-Tabela135[[#This Row],[Objetive Value /H-R1]])/Tabela135[[#This Row],[Objetive value]]))*100</f>
        <v>78.586357590727715</v>
      </c>
      <c r="T79" s="113">
        <v>12552</v>
      </c>
      <c r="U79" s="113">
        <v>1.77</v>
      </c>
      <c r="V79" s="113">
        <v>0</v>
      </c>
      <c r="W79" s="113">
        <f>(((Tabela135[[#This Row],[Objetive value]]-Tabela135[[#This Row],[Objetive value /H-R2]])/Tabela135[[#This Row],[Objetive value]]))*100</f>
        <v>20.501615048451455</v>
      </c>
    </row>
    <row r="80" spans="1:23" x14ac:dyDescent="0.25">
      <c r="A80" s="3" t="s">
        <v>205</v>
      </c>
      <c r="B80" s="39" t="s">
        <v>223</v>
      </c>
      <c r="C80" s="3">
        <v>1000</v>
      </c>
      <c r="D80" s="3">
        <v>0.15</v>
      </c>
      <c r="E80" s="3">
        <v>10</v>
      </c>
      <c r="F80" s="39" t="s">
        <v>21</v>
      </c>
      <c r="G80" s="39" t="s">
        <v>16</v>
      </c>
      <c r="H80" s="110">
        <v>13041</v>
      </c>
      <c r="I80" s="138">
        <v>13041</v>
      </c>
      <c r="J80" s="138">
        <v>2.98400000005494</v>
      </c>
      <c r="K80" s="137">
        <v>0</v>
      </c>
      <c r="L80" s="125">
        <v>12966</v>
      </c>
      <c r="M80" s="125">
        <v>100</v>
      </c>
      <c r="N80" s="125">
        <v>94</v>
      </c>
      <c r="O80" s="111">
        <f>((Tabela135[[#This Row],[Objetive value]]-Tabela135[[#This Row],[Objetive value/GATeS]])/Tabela135[[#This Row],[Objetive value]])*100</f>
        <v>0.57510927076144469</v>
      </c>
      <c r="P80" s="112">
        <v>12880</v>
      </c>
      <c r="Q80" s="112">
        <v>0.74</v>
      </c>
      <c r="R80" s="112">
        <v>0</v>
      </c>
      <c r="S80" s="112">
        <f>(((Tabela135[[#This Row],[Objetive value]]-Tabela135[[#This Row],[Objetive Value /H-R1]])/Tabela135[[#This Row],[Objetive value]]))*100</f>
        <v>1.2345679012345678</v>
      </c>
      <c r="T80" s="113">
        <v>12556</v>
      </c>
      <c r="U80" s="113">
        <v>0.52</v>
      </c>
      <c r="V80" s="113">
        <v>0</v>
      </c>
      <c r="W80" s="113">
        <f>(((Tabela135[[#This Row],[Objetive value]]-Tabela135[[#This Row],[Objetive value /H-R2]])/Tabela135[[#This Row],[Objetive value]]))*100</f>
        <v>3.7190399509240089</v>
      </c>
    </row>
    <row r="81" spans="1:23" x14ac:dyDescent="0.25">
      <c r="A81" s="3" t="s">
        <v>224</v>
      </c>
      <c r="B81" s="37" t="s">
        <v>237</v>
      </c>
      <c r="C81" s="3">
        <v>1000</v>
      </c>
      <c r="D81" s="3">
        <v>0.15</v>
      </c>
      <c r="E81" s="3">
        <v>15</v>
      </c>
      <c r="F81" s="39" t="s">
        <v>13</v>
      </c>
      <c r="G81" s="39" t="s">
        <v>14</v>
      </c>
      <c r="H81" s="110">
        <v>34160</v>
      </c>
      <c r="I81" s="138">
        <v>34158.999999999898</v>
      </c>
      <c r="J81" s="138">
        <v>31.407000000006501</v>
      </c>
      <c r="K81" s="137">
        <v>3.77</v>
      </c>
      <c r="L81" s="125">
        <v>30870</v>
      </c>
      <c r="M81" s="125">
        <v>92</v>
      </c>
      <c r="N81" s="125">
        <v>56</v>
      </c>
      <c r="O81" s="111">
        <f>((Tabela135[[#This Row],[Objetive value]]-Tabela135[[#This Row],[Objetive value/GATeS]])/Tabela135[[#This Row],[Objetive value]])*100</f>
        <v>9.6285020053277552</v>
      </c>
      <c r="P81" s="112">
        <v>34159</v>
      </c>
      <c r="Q81" s="112">
        <v>0.65</v>
      </c>
      <c r="R81" s="112">
        <v>0</v>
      </c>
      <c r="S81" s="112">
        <f>(((Tabela135[[#This Row],[Objetive value]]-Tabela135[[#This Row],[Objetive Value /H-R1]])/Tabela135[[#This Row],[Objetive value]]))*100</f>
        <v>-2.9820371380476085E-13</v>
      </c>
      <c r="T81" s="113">
        <v>32721</v>
      </c>
      <c r="U81" s="113">
        <v>0.57999999999999996</v>
      </c>
      <c r="V81" s="113">
        <v>0</v>
      </c>
      <c r="W81" s="113">
        <f>(((Tabela135[[#This Row],[Objetive value]]-Tabela135[[#This Row],[Objetive value /H-R2]])/Tabela135[[#This Row],[Objetive value]]))*100</f>
        <v>4.2097251090485743</v>
      </c>
    </row>
    <row r="82" spans="1:23" x14ac:dyDescent="0.25">
      <c r="A82" s="3" t="s">
        <v>224</v>
      </c>
      <c r="B82" s="39" t="s">
        <v>238</v>
      </c>
      <c r="C82" s="3">
        <v>1000</v>
      </c>
      <c r="D82" s="3">
        <v>0.15</v>
      </c>
      <c r="E82" s="3">
        <v>15</v>
      </c>
      <c r="F82" s="39" t="s">
        <v>13</v>
      </c>
      <c r="G82" s="39" t="s">
        <v>16</v>
      </c>
      <c r="H82" s="110">
        <v>18347</v>
      </c>
      <c r="I82" s="138">
        <v>18289</v>
      </c>
      <c r="J82" s="138">
        <v>30.234999999986002</v>
      </c>
      <c r="K82" s="137">
        <v>0.02</v>
      </c>
      <c r="L82" s="125">
        <v>18171</v>
      </c>
      <c r="M82" s="125">
        <v>248</v>
      </c>
      <c r="N82" s="125">
        <v>65</v>
      </c>
      <c r="O82" s="111">
        <f>((Tabela135[[#This Row],[Objetive value]]-Tabela135[[#This Row],[Objetive value/GATeS]])/Tabela135[[#This Row],[Objetive value]])*100</f>
        <v>0.64519656624200339</v>
      </c>
      <c r="P82" s="112">
        <v>17960</v>
      </c>
      <c r="Q82" s="112">
        <v>0.63</v>
      </c>
      <c r="R82" s="112">
        <v>0</v>
      </c>
      <c r="S82" s="112">
        <f>(((Tabela135[[#This Row],[Objetive value]]-Tabela135[[#This Row],[Objetive Value /H-R1]])/Tabela135[[#This Row],[Objetive value]]))*100</f>
        <v>1.7988955109628737</v>
      </c>
      <c r="T82" s="113">
        <v>17790</v>
      </c>
      <c r="U82" s="113">
        <v>0.5</v>
      </c>
      <c r="V82" s="113">
        <v>0</v>
      </c>
      <c r="W82" s="113">
        <f>(((Tabela135[[#This Row],[Objetive value]]-Tabela135[[#This Row],[Objetive value /H-R2]])/Tabela135[[#This Row],[Objetive value]]))*100</f>
        <v>2.728415987752201</v>
      </c>
    </row>
    <row r="83" spans="1:23" x14ac:dyDescent="0.25">
      <c r="A83" s="3" t="s">
        <v>224</v>
      </c>
      <c r="B83" s="39" t="s">
        <v>239</v>
      </c>
      <c r="C83" s="3">
        <v>1000</v>
      </c>
      <c r="D83" s="3">
        <v>0.15</v>
      </c>
      <c r="E83" s="3">
        <v>15</v>
      </c>
      <c r="F83" s="39" t="s">
        <v>18</v>
      </c>
      <c r="G83" s="39" t="s">
        <v>14</v>
      </c>
      <c r="H83" s="110">
        <v>32345</v>
      </c>
      <c r="I83" s="138">
        <v>32345</v>
      </c>
      <c r="J83" s="138">
        <v>29.343999999924499</v>
      </c>
      <c r="K83" s="137">
        <v>0</v>
      </c>
      <c r="L83" s="125">
        <v>31129</v>
      </c>
      <c r="M83" s="125">
        <v>142</v>
      </c>
      <c r="N83" s="125">
        <v>129</v>
      </c>
      <c r="O83" s="111">
        <f>((Tabela135[[#This Row],[Objetive value]]-Tabela135[[#This Row],[Objetive value/GATeS]])/Tabela135[[#This Row],[Objetive value]])*100</f>
        <v>3.7594682331117637</v>
      </c>
      <c r="P83" s="112">
        <v>32345</v>
      </c>
      <c r="Q83" s="112">
        <v>0.63</v>
      </c>
      <c r="R83" s="112">
        <v>0</v>
      </c>
      <c r="S83" s="112">
        <f>(((Tabela135[[#This Row],[Objetive value]]-Tabela135[[#This Row],[Objetive Value /H-R1]])/Tabela135[[#This Row],[Objetive value]]))*100</f>
        <v>0</v>
      </c>
      <c r="T83" s="113">
        <v>30540</v>
      </c>
      <c r="U83" s="113">
        <v>0.49</v>
      </c>
      <c r="V83" s="113">
        <v>0</v>
      </c>
      <c r="W83" s="113">
        <f>(((Tabela135[[#This Row],[Objetive value]]-Tabela135[[#This Row],[Objetive value /H-R2]])/Tabela135[[#This Row],[Objetive value]]))*100</f>
        <v>5.5804606585252738</v>
      </c>
    </row>
    <row r="84" spans="1:23" x14ac:dyDescent="0.25">
      <c r="A84" s="3" t="s">
        <v>224</v>
      </c>
      <c r="B84" s="39" t="s">
        <v>240</v>
      </c>
      <c r="C84" s="3">
        <v>1000</v>
      </c>
      <c r="D84" s="3">
        <v>0.15</v>
      </c>
      <c r="E84" s="3">
        <v>15</v>
      </c>
      <c r="F84" s="39" t="s">
        <v>18</v>
      </c>
      <c r="G84" s="39" t="s">
        <v>16</v>
      </c>
      <c r="H84" s="110">
        <v>17835</v>
      </c>
      <c r="I84" s="138">
        <v>17834.999999999902</v>
      </c>
      <c r="J84" s="138">
        <v>80.515000000013899</v>
      </c>
      <c r="K84" s="137">
        <v>0</v>
      </c>
      <c r="L84" s="125">
        <v>17810</v>
      </c>
      <c r="M84" s="125">
        <v>234</v>
      </c>
      <c r="N84" s="125">
        <v>163</v>
      </c>
      <c r="O84" s="111">
        <f>((Tabela135[[#This Row],[Objetive value]]-Tabela135[[#This Row],[Objetive value/GATeS]])/Tabela135[[#This Row],[Objetive value]])*100</f>
        <v>0.14017381553070879</v>
      </c>
      <c r="P84" s="112">
        <v>17661</v>
      </c>
      <c r="Q84" s="112">
        <v>0.64</v>
      </c>
      <c r="R84" s="112">
        <v>0</v>
      </c>
      <c r="S84" s="112">
        <f>(((Tabela135[[#This Row],[Objetive value]]-Tabela135[[#This Row],[Objetive Value /H-R1]])/Tabela135[[#This Row],[Objetive value]]))*100</f>
        <v>0.97560975609701561</v>
      </c>
      <c r="T84" s="113">
        <v>17591</v>
      </c>
      <c r="U84" s="113">
        <v>0.51</v>
      </c>
      <c r="V84" s="113">
        <v>0</v>
      </c>
      <c r="W84" s="113">
        <f>(((Tabela135[[#This Row],[Objetive value]]-Tabela135[[#This Row],[Objetive value /H-R2]])/Tabela135[[#This Row],[Objetive value]]))*100</f>
        <v>1.3680964395845423</v>
      </c>
    </row>
    <row r="85" spans="1:23" x14ac:dyDescent="0.25">
      <c r="A85" s="3" t="s">
        <v>224</v>
      </c>
      <c r="B85" s="39" t="s">
        <v>241</v>
      </c>
      <c r="C85" s="3">
        <v>1000</v>
      </c>
      <c r="D85" s="3">
        <v>0.15</v>
      </c>
      <c r="E85" s="3">
        <v>15</v>
      </c>
      <c r="F85" s="39" t="s">
        <v>21</v>
      </c>
      <c r="G85" s="39" t="s">
        <v>14</v>
      </c>
      <c r="H85" s="110">
        <v>21875</v>
      </c>
      <c r="I85" s="138">
        <v>21875</v>
      </c>
      <c r="J85" s="138">
        <v>2.375</v>
      </c>
      <c r="K85" s="137">
        <v>0</v>
      </c>
      <c r="L85" s="125">
        <v>19849</v>
      </c>
      <c r="M85" s="125">
        <v>89</v>
      </c>
      <c r="N85" s="125">
        <v>72</v>
      </c>
      <c r="O85" s="111">
        <f>((Tabela135[[#This Row],[Objetive value]]-Tabela135[[#This Row],[Objetive value/GATeS]])/Tabela135[[#This Row],[Objetive value]])*100</f>
        <v>9.2617142857142856</v>
      </c>
      <c r="P85" s="115"/>
      <c r="Q85" s="115"/>
      <c r="R85" s="115"/>
      <c r="S85" s="115">
        <v>100</v>
      </c>
      <c r="T85" s="113">
        <v>21364</v>
      </c>
      <c r="U85" s="113">
        <v>1.1000000000000001</v>
      </c>
      <c r="V85" s="113">
        <v>0</v>
      </c>
      <c r="W85" s="113">
        <f>(((Tabela135[[#This Row],[Objetive value]]-Tabela135[[#This Row],[Objetive value /H-R2]])/Tabela135[[#This Row],[Objetive value]]))*100</f>
        <v>2.3359999999999999</v>
      </c>
    </row>
    <row r="86" spans="1:23" x14ac:dyDescent="0.25">
      <c r="A86" s="3" t="s">
        <v>224</v>
      </c>
      <c r="B86" s="39" t="s">
        <v>242</v>
      </c>
      <c r="C86" s="3">
        <v>1000</v>
      </c>
      <c r="D86" s="3">
        <v>0.15</v>
      </c>
      <c r="E86" s="3">
        <v>15</v>
      </c>
      <c r="F86" s="39" t="s">
        <v>21</v>
      </c>
      <c r="G86" s="39" t="s">
        <v>16</v>
      </c>
      <c r="H86" s="110">
        <v>17440</v>
      </c>
      <c r="I86" s="138">
        <v>17371</v>
      </c>
      <c r="J86" s="138">
        <v>42.234999999986002</v>
      </c>
      <c r="K86" s="137">
        <v>0.15</v>
      </c>
      <c r="L86" s="125">
        <v>17313</v>
      </c>
      <c r="M86" s="125">
        <v>169</v>
      </c>
      <c r="N86" s="125">
        <v>137</v>
      </c>
      <c r="O86" s="111">
        <f>((Tabela135[[#This Row],[Objetive value]]-Tabela135[[#This Row],[Objetive value/GATeS]])/Tabela135[[#This Row],[Objetive value]])*100</f>
        <v>0.333889816360601</v>
      </c>
      <c r="P86" s="112">
        <v>16709</v>
      </c>
      <c r="Q86" s="112">
        <v>0.81</v>
      </c>
      <c r="R86" s="112">
        <v>0</v>
      </c>
      <c r="S86" s="112">
        <f>(((Tabela135[[#This Row],[Objetive value]]-Tabela135[[#This Row],[Objetive Value /H-R1]])/Tabela135[[#This Row],[Objetive value]]))*100</f>
        <v>3.810949283288239</v>
      </c>
      <c r="T86" s="113">
        <v>16218</v>
      </c>
      <c r="U86" s="113">
        <v>0.65</v>
      </c>
      <c r="V86" s="113">
        <v>0</v>
      </c>
      <c r="W86" s="113">
        <f>(((Tabela135[[#This Row],[Objetive value]]-Tabela135[[#This Row],[Objetive value /H-R2]])/Tabela135[[#This Row],[Objetive value]]))*100</f>
        <v>6.6374992804098785</v>
      </c>
    </row>
    <row r="87" spans="1:23" x14ac:dyDescent="0.25">
      <c r="A87" s="34" t="s">
        <v>186</v>
      </c>
      <c r="B87" s="39" t="s">
        <v>199</v>
      </c>
      <c r="C87" s="3">
        <v>1000</v>
      </c>
      <c r="D87" s="3">
        <v>0.15</v>
      </c>
      <c r="E87" s="3">
        <v>5</v>
      </c>
      <c r="F87" s="39" t="s">
        <v>13</v>
      </c>
      <c r="G87" s="39" t="s">
        <v>14</v>
      </c>
      <c r="H87" s="110">
        <v>11481</v>
      </c>
      <c r="I87" s="138">
        <v>11481</v>
      </c>
      <c r="J87" s="138">
        <v>0.60999999998603005</v>
      </c>
      <c r="K87" s="137">
        <v>50.86</v>
      </c>
      <c r="L87" s="125">
        <v>11468</v>
      </c>
      <c r="M87" s="125">
        <v>53</v>
      </c>
      <c r="N87" s="125">
        <v>44</v>
      </c>
      <c r="O87" s="111">
        <f>((Tabela135[[#This Row],[Objetive value]]-Tabela135[[#This Row],[Objetive value/GATeS]])/Tabela135[[#This Row],[Objetive value]])*100</f>
        <v>0.11323055482971867</v>
      </c>
      <c r="P87" s="112">
        <v>11480</v>
      </c>
      <c r="Q87" s="112">
        <v>0.78</v>
      </c>
      <c r="R87" s="112">
        <v>0</v>
      </c>
      <c r="S87" s="112">
        <f>(((Tabela135[[#This Row],[Objetive value]]-Tabela135[[#This Row],[Objetive Value /H-R1]])/Tabela135[[#This Row],[Objetive value]]))*100</f>
        <v>8.7100426792091276E-3</v>
      </c>
      <c r="T87" s="113">
        <v>11481</v>
      </c>
      <c r="U87" s="113">
        <v>0.46</v>
      </c>
      <c r="V87" s="113">
        <v>0</v>
      </c>
      <c r="W87" s="113">
        <f>(((Tabela135[[#This Row],[Objetive value]]-Tabela135[[#This Row],[Objetive value /H-R2]])/Tabela135[[#This Row],[Objetive value]]))*100</f>
        <v>0</v>
      </c>
    </row>
    <row r="88" spans="1:23" x14ac:dyDescent="0.25">
      <c r="A88" s="3" t="s">
        <v>186</v>
      </c>
      <c r="B88" s="39" t="s">
        <v>200</v>
      </c>
      <c r="C88" s="3">
        <v>1000</v>
      </c>
      <c r="D88" s="3">
        <v>0.15</v>
      </c>
      <c r="E88" s="3">
        <v>5</v>
      </c>
      <c r="F88" s="39" t="s">
        <v>13</v>
      </c>
      <c r="G88" s="39" t="s">
        <v>16</v>
      </c>
      <c r="H88" s="110">
        <v>6493</v>
      </c>
      <c r="I88" s="138">
        <v>6471</v>
      </c>
      <c r="J88" s="138">
        <v>0.953000000095926</v>
      </c>
      <c r="K88" s="137">
        <v>0</v>
      </c>
      <c r="L88" s="125">
        <v>6372</v>
      </c>
      <c r="M88" s="125">
        <v>26</v>
      </c>
      <c r="N88" s="125">
        <v>0</v>
      </c>
      <c r="O88" s="111">
        <f>((Tabela135[[#This Row],[Objetive value]]-Tabela135[[#This Row],[Objetive value/GATeS]])/Tabela135[[#This Row],[Objetive value]])*100</f>
        <v>1.52990264255911</v>
      </c>
      <c r="P88" s="112">
        <v>6471</v>
      </c>
      <c r="Q88" s="112">
        <v>0.46</v>
      </c>
      <c r="R88" s="112">
        <v>0</v>
      </c>
      <c r="S88" s="112">
        <f>(((Tabela135[[#This Row],[Objetive value]]-Tabela135[[#This Row],[Objetive Value /H-R1]])/Tabela135[[#This Row],[Objetive value]]))*100</f>
        <v>0</v>
      </c>
      <c r="T88" s="113">
        <v>6471</v>
      </c>
      <c r="U88" s="113">
        <v>0.52</v>
      </c>
      <c r="V88" s="113">
        <v>0</v>
      </c>
      <c r="W88" s="113">
        <f>(((Tabela135[[#This Row],[Objetive value]]-Tabela135[[#This Row],[Objetive value /H-R2]])/Tabela135[[#This Row],[Objetive value]]))*100</f>
        <v>0</v>
      </c>
    </row>
    <row r="89" spans="1:23" x14ac:dyDescent="0.25">
      <c r="A89" s="3" t="s">
        <v>186</v>
      </c>
      <c r="B89" s="39" t="s">
        <v>201</v>
      </c>
      <c r="C89" s="3">
        <v>1000</v>
      </c>
      <c r="D89" s="3">
        <v>0.15</v>
      </c>
      <c r="E89" s="3">
        <v>5</v>
      </c>
      <c r="F89" s="39" t="s">
        <v>18</v>
      </c>
      <c r="G89" s="39" t="s">
        <v>14</v>
      </c>
      <c r="H89" s="110">
        <v>12129</v>
      </c>
      <c r="I89" s="138">
        <v>11864</v>
      </c>
      <c r="J89" s="138">
        <v>0.56300000008195605</v>
      </c>
      <c r="K89" s="137">
        <v>0</v>
      </c>
      <c r="L89" s="125">
        <v>11864</v>
      </c>
      <c r="M89" s="125">
        <v>51</v>
      </c>
      <c r="N89" s="125">
        <v>12</v>
      </c>
      <c r="O89" s="111">
        <f>((Tabela135[[#This Row],[Objetive value]]-Tabela135[[#This Row],[Objetive value/GATeS]])/Tabela135[[#This Row],[Objetive value]])*100</f>
        <v>0</v>
      </c>
      <c r="P89" s="112">
        <v>11864</v>
      </c>
      <c r="Q89" s="112">
        <v>0.34</v>
      </c>
      <c r="R89" s="112">
        <v>0</v>
      </c>
      <c r="S89" s="112">
        <f>(((Tabela135[[#This Row],[Objetive value]]-Tabela135[[#This Row],[Objetive Value /H-R1]])/Tabela135[[#This Row],[Objetive value]]))*100</f>
        <v>0</v>
      </c>
      <c r="T89" s="113">
        <v>11249</v>
      </c>
      <c r="U89" s="113">
        <v>0.4</v>
      </c>
      <c r="V89" s="113">
        <v>0</v>
      </c>
      <c r="W89" s="113">
        <f>(((Tabela135[[#This Row],[Objetive value]]-Tabela135[[#This Row],[Objetive value /H-R2]])/Tabela135[[#This Row],[Objetive value]]))*100</f>
        <v>5.183749157113958</v>
      </c>
    </row>
    <row r="90" spans="1:23" x14ac:dyDescent="0.25">
      <c r="A90" s="3" t="s">
        <v>186</v>
      </c>
      <c r="B90" s="39" t="s">
        <v>202</v>
      </c>
      <c r="C90" s="3">
        <v>1000</v>
      </c>
      <c r="D90" s="3">
        <v>0.15</v>
      </c>
      <c r="E90" s="3">
        <v>5</v>
      </c>
      <c r="F90" s="39" t="s">
        <v>18</v>
      </c>
      <c r="G90" s="39" t="s">
        <v>16</v>
      </c>
      <c r="H90" s="110">
        <v>7286</v>
      </c>
      <c r="I90" s="138">
        <v>7286</v>
      </c>
      <c r="J90" s="138">
        <v>0.81300000008195605</v>
      </c>
      <c r="K90" s="137">
        <v>0</v>
      </c>
      <c r="L90" s="125">
        <v>7277</v>
      </c>
      <c r="M90" s="125">
        <v>22</v>
      </c>
      <c r="N90" s="125">
        <v>10</v>
      </c>
      <c r="O90" s="111">
        <f>((Tabela135[[#This Row],[Objetive value]]-Tabela135[[#This Row],[Objetive value/GATeS]])/Tabela135[[#This Row],[Objetive value]])*100</f>
        <v>0.12352456766401318</v>
      </c>
      <c r="P90" s="112">
        <v>7096</v>
      </c>
      <c r="Q90" s="112">
        <v>0.54</v>
      </c>
      <c r="R90" s="112">
        <v>0</v>
      </c>
      <c r="S90" s="112">
        <f>(((Tabela135[[#This Row],[Objetive value]]-Tabela135[[#This Row],[Objetive Value /H-R1]])/Tabela135[[#This Row],[Objetive value]]))*100</f>
        <v>2.6077408729069447</v>
      </c>
      <c r="T90" s="113">
        <v>7286</v>
      </c>
      <c r="U90" s="113">
        <v>0.45</v>
      </c>
      <c r="V90" s="113">
        <v>0</v>
      </c>
      <c r="W90" s="113">
        <f>(((Tabela135[[#This Row],[Objetive value]]-Tabela135[[#This Row],[Objetive value /H-R2]])/Tabela135[[#This Row],[Objetive value]]))*100</f>
        <v>0</v>
      </c>
    </row>
    <row r="91" spans="1:23" x14ac:dyDescent="0.25">
      <c r="A91" s="3" t="s">
        <v>186</v>
      </c>
      <c r="B91" s="39" t="s">
        <v>203</v>
      </c>
      <c r="C91" s="3">
        <v>1000</v>
      </c>
      <c r="D91" s="3">
        <v>0.15</v>
      </c>
      <c r="E91" s="3">
        <v>5</v>
      </c>
      <c r="F91" s="39" t="s">
        <v>21</v>
      </c>
      <c r="G91" s="39" t="s">
        <v>14</v>
      </c>
      <c r="H91" s="110">
        <v>10266</v>
      </c>
      <c r="I91" s="138">
        <v>10266</v>
      </c>
      <c r="J91" s="138">
        <v>0.46899999992456198</v>
      </c>
      <c r="K91" s="137">
        <v>0</v>
      </c>
      <c r="L91" s="125">
        <v>10130</v>
      </c>
      <c r="M91" s="125">
        <v>28</v>
      </c>
      <c r="N91" s="125">
        <v>2</v>
      </c>
      <c r="O91" s="111">
        <f>((Tabela135[[#This Row],[Objetive value]]-Tabela135[[#This Row],[Objetive value/GATeS]])/Tabela135[[#This Row],[Objetive value]])*100</f>
        <v>1.3247613481394895</v>
      </c>
      <c r="P91" s="112">
        <v>10266</v>
      </c>
      <c r="Q91" s="112">
        <v>0.62</v>
      </c>
      <c r="R91" s="112">
        <v>0</v>
      </c>
      <c r="S91" s="112">
        <f>(((Tabela135[[#This Row],[Objetive value]]-Tabela135[[#This Row],[Objetive Value /H-R1]])/Tabela135[[#This Row],[Objetive value]]))*100</f>
        <v>0</v>
      </c>
      <c r="T91" s="113">
        <v>10266</v>
      </c>
      <c r="U91" s="113">
        <v>0.8</v>
      </c>
      <c r="V91" s="113">
        <v>0</v>
      </c>
      <c r="W91" s="113">
        <f>(((Tabela135[[#This Row],[Objetive value]]-Tabela135[[#This Row],[Objetive value /H-R2]])/Tabela135[[#This Row],[Objetive value]]))*100</f>
        <v>0</v>
      </c>
    </row>
    <row r="92" spans="1:23" x14ac:dyDescent="0.25">
      <c r="A92" s="3" t="s">
        <v>186</v>
      </c>
      <c r="B92" s="39" t="s">
        <v>204</v>
      </c>
      <c r="C92" s="3">
        <v>1000</v>
      </c>
      <c r="D92" s="3">
        <v>0.15</v>
      </c>
      <c r="E92" s="3">
        <v>5</v>
      </c>
      <c r="F92" s="39" t="s">
        <v>21</v>
      </c>
      <c r="G92" s="39" t="s">
        <v>16</v>
      </c>
      <c r="H92" s="110">
        <v>6323</v>
      </c>
      <c r="I92" s="138">
        <v>6256</v>
      </c>
      <c r="J92" s="138">
        <v>0.45299999997951002</v>
      </c>
      <c r="K92" s="137">
        <v>0</v>
      </c>
      <c r="L92" s="125">
        <v>6156</v>
      </c>
      <c r="M92" s="125">
        <v>18</v>
      </c>
      <c r="N92" s="125">
        <v>16</v>
      </c>
      <c r="O92" s="111">
        <f>((Tabela135[[#This Row],[Objetive value]]-Tabela135[[#This Row],[Objetive value/GATeS]])/Tabela135[[#This Row],[Objetive value]])*100</f>
        <v>1.5984654731457801</v>
      </c>
      <c r="P92" s="112">
        <v>6256</v>
      </c>
      <c r="Q92" s="112">
        <v>0.54</v>
      </c>
      <c r="R92" s="112">
        <v>0</v>
      </c>
      <c r="S92" s="112">
        <f>(((Tabela135[[#This Row],[Objetive value]]-Tabela135[[#This Row],[Objetive Value /H-R1]])/Tabela135[[#This Row],[Objetive value]]))*100</f>
        <v>0</v>
      </c>
      <c r="T92" s="113">
        <v>6178</v>
      </c>
      <c r="U92" s="113">
        <v>0.36</v>
      </c>
      <c r="V92" s="113">
        <v>0</v>
      </c>
      <c r="W92" s="113">
        <f>(((Tabela135[[#This Row],[Objetive value]]-Tabela135[[#This Row],[Objetive value /H-R2]])/Tabela135[[#This Row],[Objetive value]]))*100</f>
        <v>1.2468030690537084</v>
      </c>
    </row>
    <row r="93" spans="1:23" x14ac:dyDescent="0.25">
      <c r="A93" s="3" t="s">
        <v>205</v>
      </c>
      <c r="B93" s="39" t="s">
        <v>206</v>
      </c>
      <c r="C93" s="3">
        <v>1000</v>
      </c>
      <c r="D93" s="3">
        <v>0.05</v>
      </c>
      <c r="E93" s="3">
        <v>10</v>
      </c>
      <c r="F93" s="39" t="s">
        <v>13</v>
      </c>
      <c r="G93" s="39" t="s">
        <v>14</v>
      </c>
      <c r="H93" s="110">
        <v>14587</v>
      </c>
      <c r="I93" s="138">
        <v>14587</v>
      </c>
      <c r="J93" s="138">
        <v>7.53099999995902</v>
      </c>
      <c r="K93" s="137">
        <v>0</v>
      </c>
      <c r="L93" s="125">
        <v>14208</v>
      </c>
      <c r="M93" s="125">
        <v>63</v>
      </c>
      <c r="N93" s="125">
        <v>39</v>
      </c>
      <c r="O93" s="111">
        <f>((Tabela135[[#This Row],[Objetive value]]-Tabela135[[#This Row],[Objetive value/GATeS]])/Tabela135[[#This Row],[Objetive value]])*100</f>
        <v>2.5982038801672722</v>
      </c>
      <c r="P93" s="112">
        <v>14586</v>
      </c>
      <c r="Q93" s="112">
        <v>0.98</v>
      </c>
      <c r="R93" s="112">
        <v>0</v>
      </c>
      <c r="S93" s="112">
        <f>(((Tabela135[[#This Row],[Objetive value]]-Tabela135[[#This Row],[Objetive Value /H-R1]])/Tabela135[[#This Row],[Objetive value]]))*100</f>
        <v>6.8554192088846238E-3</v>
      </c>
      <c r="T93" s="113">
        <v>12489</v>
      </c>
      <c r="U93" s="113">
        <v>0.64</v>
      </c>
      <c r="V93" s="113">
        <v>0</v>
      </c>
      <c r="W93" s="113">
        <f>(((Tabela135[[#This Row],[Objetive value]]-Tabela135[[#This Row],[Objetive value /H-R2]])/Tabela135[[#This Row],[Objetive value]]))*100</f>
        <v>14.382669500239938</v>
      </c>
    </row>
    <row r="94" spans="1:23" x14ac:dyDescent="0.25">
      <c r="A94" s="3" t="s">
        <v>205</v>
      </c>
      <c r="B94" s="39" t="s">
        <v>207</v>
      </c>
      <c r="C94" s="3">
        <v>1000</v>
      </c>
      <c r="D94" s="3">
        <v>0.05</v>
      </c>
      <c r="E94" s="3">
        <v>10</v>
      </c>
      <c r="F94" s="39" t="s">
        <v>13</v>
      </c>
      <c r="G94" s="39" t="s">
        <v>16</v>
      </c>
      <c r="H94" s="110">
        <v>12066</v>
      </c>
      <c r="I94" s="138">
        <v>12027</v>
      </c>
      <c r="J94" s="138">
        <v>8.65599999995902</v>
      </c>
      <c r="K94" s="137">
        <v>0</v>
      </c>
      <c r="L94" s="125">
        <v>11826</v>
      </c>
      <c r="M94" s="125">
        <v>53</v>
      </c>
      <c r="N94" s="125">
        <v>32</v>
      </c>
      <c r="O94" s="111">
        <f>((Tabela135[[#This Row],[Objetive value]]-Tabela135[[#This Row],[Objetive value/GATeS]])/Tabela135[[#This Row],[Objetive value]])*100</f>
        <v>1.6712397106510353</v>
      </c>
      <c r="P94" s="112">
        <v>12026</v>
      </c>
      <c r="Q94" s="112">
        <v>0.82</v>
      </c>
      <c r="R94" s="112">
        <v>0</v>
      </c>
      <c r="S94" s="112">
        <f>(((Tabela135[[#This Row],[Objetive value]]-Tabela135[[#This Row],[Objetive Value /H-R1]])/Tabela135[[#This Row],[Objetive value]]))*100</f>
        <v>8.3146254261245531E-3</v>
      </c>
      <c r="T94" s="113">
        <v>12000</v>
      </c>
      <c r="U94" s="113">
        <v>0.54</v>
      </c>
      <c r="V94" s="113">
        <v>0</v>
      </c>
      <c r="W94" s="113">
        <f>(((Tabela135[[#This Row],[Objetive value]]-Tabela135[[#This Row],[Objetive value /H-R2]])/Tabela135[[#This Row],[Objetive value]]))*100</f>
        <v>0.22449488650536295</v>
      </c>
    </row>
    <row r="95" spans="1:23" x14ac:dyDescent="0.25">
      <c r="A95" s="3" t="s">
        <v>205</v>
      </c>
      <c r="B95" s="39" t="s">
        <v>208</v>
      </c>
      <c r="C95" s="3">
        <v>1000</v>
      </c>
      <c r="D95" s="3">
        <v>0.05</v>
      </c>
      <c r="E95" s="3">
        <v>10</v>
      </c>
      <c r="F95" s="39" t="s">
        <v>18</v>
      </c>
      <c r="G95" s="39" t="s">
        <v>14</v>
      </c>
      <c r="H95" s="110">
        <v>21364</v>
      </c>
      <c r="I95" s="138">
        <v>21364</v>
      </c>
      <c r="J95" s="138">
        <v>2.8440000000409702</v>
      </c>
      <c r="K95" s="137">
        <v>0</v>
      </c>
      <c r="L95" s="125">
        <v>21101</v>
      </c>
      <c r="M95" s="125">
        <v>74</v>
      </c>
      <c r="N95" s="125">
        <v>0</v>
      </c>
      <c r="O95" s="111">
        <f>((Tabela135[[#This Row],[Objetive value]]-Tabela135[[#This Row],[Objetive value/GATeS]])/Tabela135[[#This Row],[Objetive value]])*100</f>
        <v>1.2310428758659426</v>
      </c>
      <c r="P95" s="112">
        <v>21364</v>
      </c>
      <c r="Q95" s="112">
        <v>0.56999999999999995</v>
      </c>
      <c r="R95" s="112">
        <v>0</v>
      </c>
      <c r="S95" s="112">
        <f>(((Tabela135[[#This Row],[Objetive value]]-Tabela135[[#This Row],[Objetive Value /H-R1]])/Tabela135[[#This Row],[Objetive value]]))*100</f>
        <v>0</v>
      </c>
      <c r="T95" s="113">
        <v>19803</v>
      </c>
      <c r="U95" s="113">
        <v>0.53</v>
      </c>
      <c r="V95" s="113">
        <v>0</v>
      </c>
      <c r="W95" s="113">
        <f>(((Tabela135[[#This Row],[Objetive value]]-Tabela135[[#This Row],[Objetive value /H-R2]])/Tabela135[[#This Row],[Objetive value]]))*100</f>
        <v>7.3066841415465262</v>
      </c>
    </row>
    <row r="96" spans="1:23" x14ac:dyDescent="0.25">
      <c r="A96" s="3" t="s">
        <v>205</v>
      </c>
      <c r="B96" s="39" t="s">
        <v>209</v>
      </c>
      <c r="C96" s="3">
        <v>1000</v>
      </c>
      <c r="D96" s="3">
        <v>0.05</v>
      </c>
      <c r="E96" s="3">
        <v>10</v>
      </c>
      <c r="F96" s="39" t="s">
        <v>18</v>
      </c>
      <c r="G96" s="39" t="s">
        <v>16</v>
      </c>
      <c r="H96" s="110">
        <v>12089</v>
      </c>
      <c r="I96" s="138">
        <v>12062</v>
      </c>
      <c r="J96" s="138">
        <v>6.9679999999934799</v>
      </c>
      <c r="K96" s="137">
        <v>0</v>
      </c>
      <c r="L96" s="125">
        <v>11705</v>
      </c>
      <c r="M96" s="125">
        <v>66</v>
      </c>
      <c r="N96" s="125">
        <v>1</v>
      </c>
      <c r="O96" s="111">
        <f>((Tabela135[[#This Row],[Objetive value]]-Tabela135[[#This Row],[Objetive value/GATeS]])/Tabela135[[#This Row],[Objetive value]])*100</f>
        <v>2.9597081744321008</v>
      </c>
      <c r="P96" s="112">
        <v>12061</v>
      </c>
      <c r="Q96" s="112">
        <v>0.79</v>
      </c>
      <c r="R96" s="112">
        <v>0</v>
      </c>
      <c r="S96" s="112">
        <f>(((Tabela135[[#This Row],[Objetive value]]-Tabela135[[#This Row],[Objetive Value /H-R1]])/Tabela135[[#This Row],[Objetive value]]))*100</f>
        <v>8.2904990880451005E-3</v>
      </c>
      <c r="T96" s="113">
        <v>11604</v>
      </c>
      <c r="U96" s="113">
        <v>0.62</v>
      </c>
      <c r="V96" s="113">
        <v>0</v>
      </c>
      <c r="W96" s="113">
        <f>(((Tabela135[[#This Row],[Objetive value]]-Tabela135[[#This Row],[Objetive value /H-R2]])/Tabela135[[#This Row],[Objetive value]]))*100</f>
        <v>3.7970485823246558</v>
      </c>
    </row>
    <row r="97" spans="1:23" x14ac:dyDescent="0.25">
      <c r="A97" s="3" t="s">
        <v>205</v>
      </c>
      <c r="B97" s="39" t="s">
        <v>210</v>
      </c>
      <c r="C97" s="3">
        <v>1000</v>
      </c>
      <c r="D97" s="3">
        <v>0.05</v>
      </c>
      <c r="E97" s="3">
        <v>10</v>
      </c>
      <c r="F97" s="39" t="s">
        <v>21</v>
      </c>
      <c r="G97" s="39" t="s">
        <v>14</v>
      </c>
      <c r="H97" s="110">
        <v>16422</v>
      </c>
      <c r="I97" s="138">
        <v>16330</v>
      </c>
      <c r="J97" s="138">
        <v>1.40600000007543</v>
      </c>
      <c r="K97" s="137">
        <v>96.04</v>
      </c>
      <c r="L97" s="125">
        <v>14190</v>
      </c>
      <c r="M97" s="125">
        <v>42</v>
      </c>
      <c r="N97" s="125">
        <v>5</v>
      </c>
      <c r="O97" s="111">
        <f>((Tabela135[[#This Row],[Objetive value]]-Tabela135[[#This Row],[Objetive value/GATeS]])/Tabela135[[#This Row],[Objetive value]])*100</f>
        <v>13.104715248009798</v>
      </c>
      <c r="P97" s="112">
        <v>16331</v>
      </c>
      <c r="Q97" s="112">
        <v>1.27</v>
      </c>
      <c r="R97" s="112">
        <v>0</v>
      </c>
      <c r="S97" s="112">
        <f>(((Tabela135[[#This Row],[Objetive value]]-Tabela135[[#This Row],[Objetive Value /H-R1]])/Tabela135[[#This Row],[Objetive value]]))*100</f>
        <v>-6.1236987140232697E-3</v>
      </c>
      <c r="T97" s="113">
        <v>16331</v>
      </c>
      <c r="U97" s="113">
        <v>1.87</v>
      </c>
      <c r="V97" s="113">
        <v>0</v>
      </c>
      <c r="W97" s="113">
        <f>(((Tabela135[[#This Row],[Objetive value]]-Tabela135[[#This Row],[Objetive value /H-R2]])/Tabela135[[#This Row],[Objetive value]]))*100</f>
        <v>-6.1236987140232697E-3</v>
      </c>
    </row>
    <row r="98" spans="1:23" x14ac:dyDescent="0.25">
      <c r="A98" s="3" t="s">
        <v>205</v>
      </c>
      <c r="B98" s="39" t="s">
        <v>211</v>
      </c>
      <c r="C98" s="3">
        <v>1000</v>
      </c>
      <c r="D98" s="3">
        <v>0.05</v>
      </c>
      <c r="E98" s="3">
        <v>10</v>
      </c>
      <c r="F98" s="39" t="s">
        <v>21</v>
      </c>
      <c r="G98" s="39" t="s">
        <v>16</v>
      </c>
      <c r="H98" s="110">
        <v>12105</v>
      </c>
      <c r="I98" s="138">
        <v>12105</v>
      </c>
      <c r="J98" s="138">
        <v>2.1720000000204802</v>
      </c>
      <c r="K98" s="137">
        <v>0</v>
      </c>
      <c r="L98" s="125">
        <v>11867</v>
      </c>
      <c r="M98" s="125">
        <v>44</v>
      </c>
      <c r="N98" s="125">
        <v>9</v>
      </c>
      <c r="O98" s="111">
        <f>((Tabela135[[#This Row],[Objetive value]]-Tabela135[[#This Row],[Objetive value/GATeS]])/Tabela135[[#This Row],[Objetive value]])*100</f>
        <v>1.966129698471706</v>
      </c>
      <c r="P98" s="112">
        <v>11373</v>
      </c>
      <c r="Q98" s="112">
        <v>0.95</v>
      </c>
      <c r="R98" s="112">
        <v>0</v>
      </c>
      <c r="S98" s="112">
        <f>(((Tabela135[[#This Row],[Objetive value]]-Tabela135[[#This Row],[Objetive Value /H-R1]])/Tabela135[[#This Row],[Objetive value]]))*100</f>
        <v>6.0470879801734823</v>
      </c>
      <c r="T98" s="113">
        <v>11373</v>
      </c>
      <c r="U98" s="113">
        <v>0.75</v>
      </c>
      <c r="V98" s="113">
        <v>0</v>
      </c>
      <c r="W98" s="113">
        <f>(((Tabela135[[#This Row],[Objetive value]]-Tabela135[[#This Row],[Objetive value /H-R2]])/Tabela135[[#This Row],[Objetive value]]))*100</f>
        <v>6.0470879801734823</v>
      </c>
    </row>
    <row r="99" spans="1:23" x14ac:dyDescent="0.25">
      <c r="A99" s="3" t="s">
        <v>224</v>
      </c>
      <c r="B99" s="37" t="s">
        <v>225</v>
      </c>
      <c r="C99" s="3">
        <v>1000</v>
      </c>
      <c r="D99" s="3">
        <v>0.05</v>
      </c>
      <c r="E99" s="3">
        <v>15</v>
      </c>
      <c r="F99" s="39" t="s">
        <v>13</v>
      </c>
      <c r="G99" s="39" t="s">
        <v>14</v>
      </c>
      <c r="H99" s="110">
        <v>28264</v>
      </c>
      <c r="I99" s="138">
        <v>28264</v>
      </c>
      <c r="J99" s="138">
        <v>75.766000000061396</v>
      </c>
      <c r="K99" s="137">
        <v>0</v>
      </c>
      <c r="L99" s="125">
        <v>27226</v>
      </c>
      <c r="M99" s="125">
        <v>111</v>
      </c>
      <c r="N99" s="125">
        <v>1</v>
      </c>
      <c r="O99" s="111">
        <f>((Tabela135[[#This Row],[Objetive value]]-Tabela135[[#This Row],[Objetive value/GATeS]])/Tabela135[[#This Row],[Objetive value]])*100</f>
        <v>3.6725162751202944</v>
      </c>
      <c r="P99" s="112">
        <v>27887</v>
      </c>
      <c r="Q99" s="112">
        <v>0.51</v>
      </c>
      <c r="R99" s="112">
        <v>0</v>
      </c>
      <c r="S99" s="112">
        <f>(((Tabela135[[#This Row],[Objetive value]]-Tabela135[[#This Row],[Objetive Value /H-R1]])/Tabela135[[#This Row],[Objetive value]]))*100</f>
        <v>1.3338522502122843</v>
      </c>
      <c r="T99" s="113">
        <v>26752</v>
      </c>
      <c r="U99" s="113">
        <v>0.74</v>
      </c>
      <c r="V99" s="113">
        <v>0</v>
      </c>
      <c r="W99" s="113">
        <f>(((Tabela135[[#This Row],[Objetive value]]-Tabela135[[#This Row],[Objetive value /H-R2]])/Tabela135[[#This Row],[Objetive value]]))*100</f>
        <v>5.3495612793659779</v>
      </c>
    </row>
    <row r="100" spans="1:23" x14ac:dyDescent="0.25">
      <c r="A100" s="3" t="s">
        <v>224</v>
      </c>
      <c r="B100" s="39" t="s">
        <v>226</v>
      </c>
      <c r="C100" s="3">
        <v>1000</v>
      </c>
      <c r="D100" s="3">
        <v>0.05</v>
      </c>
      <c r="E100" s="3">
        <v>15</v>
      </c>
      <c r="F100" s="39" t="s">
        <v>13</v>
      </c>
      <c r="G100" s="39" t="s">
        <v>16</v>
      </c>
      <c r="H100" s="110">
        <v>17532</v>
      </c>
      <c r="I100" s="138">
        <v>17340</v>
      </c>
      <c r="J100" s="138">
        <v>43.422000000020397</v>
      </c>
      <c r="K100" s="137">
        <v>0.09</v>
      </c>
      <c r="L100" s="125">
        <v>16876</v>
      </c>
      <c r="M100" s="125">
        <v>200</v>
      </c>
      <c r="N100" s="125">
        <v>176</v>
      </c>
      <c r="O100" s="111">
        <f>((Tabela135[[#This Row],[Objetive value]]-Tabela135[[#This Row],[Objetive value/GATeS]])/Tabela135[[#This Row],[Objetive value]])*100</f>
        <v>2.6758938869665512</v>
      </c>
      <c r="P100" s="112">
        <v>16967</v>
      </c>
      <c r="Q100" s="112">
        <v>0.62</v>
      </c>
      <c r="R100" s="112">
        <v>0</v>
      </c>
      <c r="S100" s="112">
        <f>(((Tabela135[[#This Row],[Objetive value]]-Tabela135[[#This Row],[Objetive Value /H-R1]])/Tabela135[[#This Row],[Objetive value]]))*100</f>
        <v>2.1510957324106115</v>
      </c>
      <c r="T100" s="113">
        <v>17015</v>
      </c>
      <c r="U100" s="113">
        <v>0.79</v>
      </c>
      <c r="V100" s="113">
        <v>0</v>
      </c>
      <c r="W100" s="113">
        <f>(((Tabela135[[#This Row],[Objetive value]]-Tabela135[[#This Row],[Objetive value /H-R2]])/Tabela135[[#This Row],[Objetive value]]))*100</f>
        <v>1.8742791234140714</v>
      </c>
    </row>
    <row r="101" spans="1:23" x14ac:dyDescent="0.25">
      <c r="A101" s="3" t="s">
        <v>224</v>
      </c>
      <c r="B101" s="39" t="s">
        <v>227</v>
      </c>
      <c r="C101" s="3">
        <v>1000</v>
      </c>
      <c r="D101" s="3">
        <v>0.05</v>
      </c>
      <c r="E101" s="3">
        <v>15</v>
      </c>
      <c r="F101" s="39" t="s">
        <v>18</v>
      </c>
      <c r="G101" s="39" t="s">
        <v>14</v>
      </c>
      <c r="H101" s="110">
        <v>30446</v>
      </c>
      <c r="I101" s="138">
        <v>30446</v>
      </c>
      <c r="J101" s="138">
        <v>52.047000000020397</v>
      </c>
      <c r="K101" s="137">
        <v>0</v>
      </c>
      <c r="L101" s="125">
        <v>29546</v>
      </c>
      <c r="M101" s="125">
        <v>119</v>
      </c>
      <c r="N101" s="125">
        <v>1</v>
      </c>
      <c r="O101" s="111">
        <f>((Tabela135[[#This Row],[Objetive value]]-Tabela135[[#This Row],[Objetive value/GATeS]])/Tabela135[[#This Row],[Objetive value]])*100</f>
        <v>2.9560533403402744</v>
      </c>
      <c r="P101" s="112">
        <v>29729</v>
      </c>
      <c r="Q101" s="112">
        <v>0.88</v>
      </c>
      <c r="R101" s="112">
        <v>0</v>
      </c>
      <c r="S101" s="112">
        <f>(((Tabela135[[#This Row],[Objetive value]]-Tabela135[[#This Row],[Objetive Value /H-R1]])/Tabela135[[#This Row],[Objetive value]]))*100</f>
        <v>2.3549891611377523</v>
      </c>
      <c r="T101" s="113">
        <v>29883</v>
      </c>
      <c r="U101" s="113">
        <v>0.56000000000000005</v>
      </c>
      <c r="V101" s="113">
        <v>0</v>
      </c>
      <c r="W101" s="113">
        <f>(((Tabela135[[#This Row],[Objetive value]]-Tabela135[[#This Row],[Objetive value /H-R2]])/Tabela135[[#This Row],[Objetive value]]))*100</f>
        <v>1.8491755895684161</v>
      </c>
    </row>
    <row r="102" spans="1:23" x14ac:dyDescent="0.25">
      <c r="A102" s="3" t="s">
        <v>224</v>
      </c>
      <c r="B102" s="39" t="s">
        <v>228</v>
      </c>
      <c r="C102" s="3">
        <v>1000</v>
      </c>
      <c r="D102" s="3">
        <v>0.05</v>
      </c>
      <c r="E102" s="3">
        <v>15</v>
      </c>
      <c r="F102" s="39" t="s">
        <v>18</v>
      </c>
      <c r="G102" s="39" t="s">
        <v>16</v>
      </c>
      <c r="H102" s="110">
        <v>18074</v>
      </c>
      <c r="I102" s="138">
        <v>17949</v>
      </c>
      <c r="J102" s="138">
        <v>57.391000000061403</v>
      </c>
      <c r="K102" s="137">
        <v>0.1</v>
      </c>
      <c r="L102" s="125">
        <v>17166</v>
      </c>
      <c r="M102" s="125">
        <v>171</v>
      </c>
      <c r="N102" s="125">
        <v>23</v>
      </c>
      <c r="O102" s="111">
        <f>((Tabela135[[#This Row],[Objetive value]]-Tabela135[[#This Row],[Objetive value/GATeS]])/Tabela135[[#This Row],[Objetive value]])*100</f>
        <v>4.362360020056828</v>
      </c>
      <c r="P102" s="112">
        <v>16969</v>
      </c>
      <c r="Q102" s="112">
        <v>0.64</v>
      </c>
      <c r="R102" s="112">
        <v>0</v>
      </c>
      <c r="S102" s="112">
        <f>(((Tabela135[[#This Row],[Objetive value]]-Tabela135[[#This Row],[Objetive Value /H-R1]])/Tabela135[[#This Row],[Objetive value]]))*100</f>
        <v>5.4599142013482638</v>
      </c>
      <c r="T102" s="113">
        <v>17231</v>
      </c>
      <c r="U102" s="113">
        <v>0.68</v>
      </c>
      <c r="V102" s="113">
        <v>0</v>
      </c>
      <c r="W102" s="113">
        <f>(((Tabela135[[#This Row],[Objetive value]]-Tabela135[[#This Row],[Objetive value /H-R2]])/Tabela135[[#This Row],[Objetive value]]))*100</f>
        <v>4.0002228536408717</v>
      </c>
    </row>
    <row r="103" spans="1:23" x14ac:dyDescent="0.25">
      <c r="A103" s="3" t="s">
        <v>224</v>
      </c>
      <c r="B103" s="39" t="s">
        <v>229</v>
      </c>
      <c r="C103" s="3">
        <v>1000</v>
      </c>
      <c r="D103" s="3">
        <v>0.05</v>
      </c>
      <c r="E103" s="3">
        <v>15</v>
      </c>
      <c r="F103" s="39" t="s">
        <v>21</v>
      </c>
      <c r="G103" s="39" t="s">
        <v>14</v>
      </c>
      <c r="H103" s="110">
        <v>21883</v>
      </c>
      <c r="I103" s="138">
        <v>19801</v>
      </c>
      <c r="J103" s="138">
        <v>2.53099999995902</v>
      </c>
      <c r="K103" s="137">
        <v>144.44999999999999</v>
      </c>
      <c r="L103" s="125">
        <v>17735</v>
      </c>
      <c r="M103" s="125">
        <v>66</v>
      </c>
      <c r="N103" s="125">
        <v>11</v>
      </c>
      <c r="O103" s="111">
        <f>((Tabela135[[#This Row],[Objetive value]]-Tabela135[[#This Row],[Objetive value/GATeS]])/Tabela135[[#This Row],[Objetive value]])*100</f>
        <v>10.433816473915458</v>
      </c>
      <c r="P103" s="112">
        <v>1954</v>
      </c>
      <c r="Q103" s="112">
        <v>2.68</v>
      </c>
      <c r="R103" s="112">
        <v>0</v>
      </c>
      <c r="S103" s="112">
        <f>(((Tabela135[[#This Row],[Objetive value]]-Tabela135[[#This Row],[Objetive Value /H-R1]])/Tabela135[[#This Row],[Objetive value]]))*100</f>
        <v>90.131811524670468</v>
      </c>
      <c r="T103" s="113">
        <v>18651</v>
      </c>
      <c r="U103" s="113">
        <v>1.25</v>
      </c>
      <c r="V103" s="113">
        <v>0</v>
      </c>
      <c r="W103" s="113">
        <f>(((Tabela135[[#This Row],[Objetive value]]-Tabela135[[#This Row],[Objetive value /H-R2]])/Tabela135[[#This Row],[Objetive value]]))*100</f>
        <v>5.8077874854805316</v>
      </c>
    </row>
    <row r="104" spans="1:23" x14ac:dyDescent="0.25">
      <c r="A104" s="3" t="s">
        <v>224</v>
      </c>
      <c r="B104" s="39" t="s">
        <v>230</v>
      </c>
      <c r="C104" s="3">
        <v>1000</v>
      </c>
      <c r="D104" s="3">
        <v>0.05</v>
      </c>
      <c r="E104" s="3">
        <v>15</v>
      </c>
      <c r="F104" s="39" t="s">
        <v>21</v>
      </c>
      <c r="G104" s="39" t="s">
        <v>16</v>
      </c>
      <c r="H104" s="110">
        <v>16954</v>
      </c>
      <c r="I104" s="138">
        <v>16457.999999999902</v>
      </c>
      <c r="J104" s="138">
        <v>39.061999999918001</v>
      </c>
      <c r="K104" s="137">
        <v>0.02</v>
      </c>
      <c r="L104" s="125">
        <v>16367</v>
      </c>
      <c r="M104" s="125">
        <v>107</v>
      </c>
      <c r="N104" s="125">
        <v>89</v>
      </c>
      <c r="O104" s="111">
        <f>((Tabela135[[#This Row],[Objetive value]]-Tabela135[[#This Row],[Objetive value/GATeS]])/Tabela135[[#This Row],[Objetive value]])*100</f>
        <v>0.55292259083668927</v>
      </c>
      <c r="P104" s="112">
        <v>15736</v>
      </c>
      <c r="Q104" s="112">
        <v>0.69</v>
      </c>
      <c r="R104" s="112">
        <v>0</v>
      </c>
      <c r="S104" s="112">
        <f>(((Tabela135[[#This Row],[Objetive value]]-Tabela135[[#This Row],[Objetive Value /H-R1]])/Tabela135[[#This Row],[Objetive value]]))*100</f>
        <v>4.3869242921369915</v>
      </c>
      <c r="T104" s="113">
        <v>15738</v>
      </c>
      <c r="U104" s="113">
        <v>0.55000000000000004</v>
      </c>
      <c r="V104" s="113">
        <v>0</v>
      </c>
      <c r="W104" s="113">
        <f>(((Tabela135[[#This Row],[Objetive value]]-Tabela135[[#This Row],[Objetive value /H-R2]])/Tabela135[[#This Row],[Objetive value]]))*100</f>
        <v>4.3747721472834247</v>
      </c>
    </row>
    <row r="105" spans="1:23" x14ac:dyDescent="0.25">
      <c r="A105" s="34" t="s">
        <v>186</v>
      </c>
      <c r="B105" s="39" t="s">
        <v>187</v>
      </c>
      <c r="C105" s="3">
        <v>1000</v>
      </c>
      <c r="D105" s="3">
        <v>0.05</v>
      </c>
      <c r="E105" s="3">
        <v>5</v>
      </c>
      <c r="F105" s="39" t="s">
        <v>13</v>
      </c>
      <c r="G105" s="39" t="s">
        <v>14</v>
      </c>
      <c r="H105" s="110">
        <v>10937</v>
      </c>
      <c r="I105" s="138">
        <v>10549</v>
      </c>
      <c r="J105" s="138">
        <v>0.60999999998603005</v>
      </c>
      <c r="K105" s="137">
        <v>0</v>
      </c>
      <c r="L105" s="125">
        <v>10525</v>
      </c>
      <c r="M105" s="125">
        <v>33</v>
      </c>
      <c r="N105" s="125">
        <v>13</v>
      </c>
      <c r="O105" s="111">
        <f>((Tabela135[[#This Row],[Objetive value]]-Tabela135[[#This Row],[Objetive value/GATeS]])/Tabela135[[#This Row],[Objetive value]])*100</f>
        <v>0.22750971656081148</v>
      </c>
      <c r="P105" s="112">
        <v>10425</v>
      </c>
      <c r="Q105" s="112">
        <v>0.53</v>
      </c>
      <c r="R105" s="112">
        <v>0</v>
      </c>
      <c r="S105" s="112">
        <f>(((Tabela135[[#This Row],[Objetive value]]-Tabela135[[#This Row],[Objetive Value /H-R1]])/Tabela135[[#This Row],[Objetive value]]))*100</f>
        <v>1.1754668688975258</v>
      </c>
      <c r="T105" s="113">
        <v>10549</v>
      </c>
      <c r="U105" s="113">
        <v>0.65</v>
      </c>
      <c r="V105" s="113">
        <v>0</v>
      </c>
      <c r="W105" s="113">
        <f>(((Tabela135[[#This Row],[Objetive value]]-Tabela135[[#This Row],[Objetive value /H-R2]])/Tabela135[[#This Row],[Objetive value]]))*100</f>
        <v>0</v>
      </c>
    </row>
    <row r="106" spans="1:23" x14ac:dyDescent="0.25">
      <c r="A106" s="3" t="s">
        <v>186</v>
      </c>
      <c r="B106" s="39" t="s">
        <v>188</v>
      </c>
      <c r="C106" s="3">
        <v>1000</v>
      </c>
      <c r="D106" s="3">
        <v>0.05</v>
      </c>
      <c r="E106" s="3">
        <v>5</v>
      </c>
      <c r="F106" s="39" t="s">
        <v>13</v>
      </c>
      <c r="G106" s="39" t="s">
        <v>16</v>
      </c>
      <c r="H106" s="110">
        <v>7322</v>
      </c>
      <c r="I106" s="138">
        <v>7321</v>
      </c>
      <c r="J106" s="138">
        <v>0.92099999997299098</v>
      </c>
      <c r="K106" s="137">
        <v>0</v>
      </c>
      <c r="L106" s="125">
        <v>7297</v>
      </c>
      <c r="M106" s="125">
        <v>43</v>
      </c>
      <c r="N106" s="125">
        <v>40</v>
      </c>
      <c r="O106" s="111">
        <f>((Tabela135[[#This Row],[Objetive value]]-Tabela135[[#This Row],[Objetive value/GATeS]])/Tabela135[[#This Row],[Objetive value]])*100</f>
        <v>0.32782406775030731</v>
      </c>
      <c r="P106" s="112">
        <v>7197</v>
      </c>
      <c r="Q106" s="112">
        <v>0.6</v>
      </c>
      <c r="R106" s="112">
        <v>0</v>
      </c>
      <c r="S106" s="112">
        <f>(((Tabela135[[#This Row],[Objetive value]]-Tabela135[[#This Row],[Objetive Value /H-R1]])/Tabela135[[#This Row],[Objetive value]]))*100</f>
        <v>1.6937576833765879</v>
      </c>
      <c r="T106" s="113">
        <v>7321</v>
      </c>
      <c r="U106" s="113">
        <v>0.39</v>
      </c>
      <c r="V106" s="113">
        <v>0</v>
      </c>
      <c r="W106" s="113">
        <f>(((Tabela135[[#This Row],[Objetive value]]-Tabela135[[#This Row],[Objetive value /H-R2]])/Tabela135[[#This Row],[Objetive value]]))*100</f>
        <v>0</v>
      </c>
    </row>
    <row r="107" spans="1:23" x14ac:dyDescent="0.25">
      <c r="A107" s="3" t="s">
        <v>186</v>
      </c>
      <c r="B107" s="39" t="s">
        <v>189</v>
      </c>
      <c r="C107" s="3">
        <v>1000</v>
      </c>
      <c r="D107" s="3">
        <v>0.05</v>
      </c>
      <c r="E107" s="3">
        <v>5</v>
      </c>
      <c r="F107" s="39" t="s">
        <v>18</v>
      </c>
      <c r="G107" s="39" t="s">
        <v>14</v>
      </c>
      <c r="H107" s="110">
        <v>10309</v>
      </c>
      <c r="I107" s="138">
        <v>10309</v>
      </c>
      <c r="J107" s="138">
        <v>0.54599999997299098</v>
      </c>
      <c r="K107" s="137">
        <v>0</v>
      </c>
      <c r="L107" s="125">
        <v>10292</v>
      </c>
      <c r="M107" s="125">
        <v>40</v>
      </c>
      <c r="N107" s="125">
        <v>11</v>
      </c>
      <c r="O107" s="111">
        <f>((Tabela135[[#This Row],[Objetive value]]-Tabela135[[#This Row],[Objetive value/GATeS]])/Tabela135[[#This Row],[Objetive value]])*100</f>
        <v>0.16490445242021534</v>
      </c>
      <c r="P107" s="112">
        <v>10309</v>
      </c>
      <c r="Q107" s="112">
        <v>0.39</v>
      </c>
      <c r="R107" s="112">
        <v>0</v>
      </c>
      <c r="S107" s="112">
        <f>(((Tabela135[[#This Row],[Objetive value]]-Tabela135[[#This Row],[Objetive Value /H-R1]])/Tabela135[[#This Row],[Objetive value]]))*100</f>
        <v>0</v>
      </c>
      <c r="T107" s="113">
        <v>10308</v>
      </c>
      <c r="U107" s="113">
        <v>0.48</v>
      </c>
      <c r="V107" s="113">
        <v>0</v>
      </c>
      <c r="W107" s="113">
        <f>(((Tabela135[[#This Row],[Objetive value]]-Tabela135[[#This Row],[Objetive value /H-R2]])/Tabela135[[#This Row],[Objetive value]]))*100</f>
        <v>9.7002619070714908E-3</v>
      </c>
    </row>
    <row r="108" spans="1:23" x14ac:dyDescent="0.25">
      <c r="A108" s="3" t="s">
        <v>186</v>
      </c>
      <c r="B108" s="39" t="s">
        <v>190</v>
      </c>
      <c r="C108" s="3">
        <v>1000</v>
      </c>
      <c r="D108" s="3">
        <v>0.05</v>
      </c>
      <c r="E108" s="3">
        <v>5</v>
      </c>
      <c r="F108" s="39" t="s">
        <v>18</v>
      </c>
      <c r="G108" s="39" t="s">
        <v>16</v>
      </c>
      <c r="H108" s="110">
        <v>7597</v>
      </c>
      <c r="I108" s="138">
        <v>7597</v>
      </c>
      <c r="J108" s="138">
        <v>0.375</v>
      </c>
      <c r="K108" s="137">
        <v>0</v>
      </c>
      <c r="L108" s="125">
        <v>7596</v>
      </c>
      <c r="M108" s="125">
        <v>45</v>
      </c>
      <c r="N108" s="125">
        <v>9</v>
      </c>
      <c r="O108" s="111">
        <f>((Tabela135[[#This Row],[Objetive value]]-Tabela135[[#This Row],[Objetive value/GATeS]])/Tabela135[[#This Row],[Objetive value]])*100</f>
        <v>1.3163090693694878E-2</v>
      </c>
      <c r="P108" s="112">
        <v>7597</v>
      </c>
      <c r="Q108" s="112">
        <v>0.46</v>
      </c>
      <c r="R108" s="112">
        <v>0</v>
      </c>
      <c r="S108" s="112">
        <f>(((Tabela135[[#This Row],[Objetive value]]-Tabela135[[#This Row],[Objetive Value /H-R1]])/Tabela135[[#This Row],[Objetive value]]))*100</f>
        <v>0</v>
      </c>
      <c r="T108" s="113">
        <v>7469</v>
      </c>
      <c r="U108" s="113">
        <v>0.61</v>
      </c>
      <c r="V108" s="113">
        <v>0</v>
      </c>
      <c r="W108" s="113">
        <f>(((Tabela135[[#This Row],[Objetive value]]-Tabela135[[#This Row],[Objetive value /H-R2]])/Tabela135[[#This Row],[Objetive value]]))*100</f>
        <v>1.6848756087929444</v>
      </c>
    </row>
    <row r="109" spans="1:23" x14ac:dyDescent="0.25">
      <c r="A109" s="3" t="s">
        <v>186</v>
      </c>
      <c r="B109" s="39" t="s">
        <v>191</v>
      </c>
      <c r="C109" s="3">
        <v>1000</v>
      </c>
      <c r="D109" s="3">
        <v>0.05</v>
      </c>
      <c r="E109" s="3">
        <v>5</v>
      </c>
      <c r="F109" s="39" t="s">
        <v>21</v>
      </c>
      <c r="G109" s="39" t="s">
        <v>14</v>
      </c>
      <c r="H109" s="110">
        <v>6861</v>
      </c>
      <c r="I109" s="138">
        <v>6861</v>
      </c>
      <c r="J109" s="138">
        <v>0.5</v>
      </c>
      <c r="K109" s="137">
        <v>0</v>
      </c>
      <c r="L109" s="125">
        <v>6834</v>
      </c>
      <c r="M109" s="125">
        <v>30</v>
      </c>
      <c r="N109" s="125">
        <v>3</v>
      </c>
      <c r="O109" s="111">
        <f>((Tabela135[[#This Row],[Objetive value]]-Tabela135[[#This Row],[Objetive value/GATeS]])/Tabela135[[#This Row],[Objetive value]])*100</f>
        <v>0.39352864013992128</v>
      </c>
      <c r="P109" s="112">
        <v>6861</v>
      </c>
      <c r="Q109" s="112">
        <v>0.4</v>
      </c>
      <c r="R109" s="112">
        <v>0</v>
      </c>
      <c r="S109" s="112">
        <f>(((Tabela135[[#This Row],[Objetive value]]-Tabela135[[#This Row],[Objetive Value /H-R1]])/Tabela135[[#This Row],[Objetive value]]))*100</f>
        <v>0</v>
      </c>
      <c r="T109" s="113">
        <v>6861</v>
      </c>
      <c r="U109" s="113">
        <v>0.37</v>
      </c>
      <c r="V109" s="113">
        <v>0</v>
      </c>
      <c r="W109" s="113">
        <f>(((Tabela135[[#This Row],[Objetive value]]-Tabela135[[#This Row],[Objetive value /H-R2]])/Tabela135[[#This Row],[Objetive value]]))*100</f>
        <v>0</v>
      </c>
    </row>
    <row r="110" spans="1:23" x14ac:dyDescent="0.25">
      <c r="A110" s="3" t="s">
        <v>186</v>
      </c>
      <c r="B110" s="39" t="s">
        <v>192</v>
      </c>
      <c r="C110" s="3">
        <v>1000</v>
      </c>
      <c r="D110" s="3">
        <v>0.05</v>
      </c>
      <c r="E110" s="3">
        <v>5</v>
      </c>
      <c r="F110" s="39" t="s">
        <v>21</v>
      </c>
      <c r="G110" s="39" t="s">
        <v>16</v>
      </c>
      <c r="H110" s="110">
        <v>7619</v>
      </c>
      <c r="I110" s="138">
        <v>7619</v>
      </c>
      <c r="J110" s="138">
        <v>0.40599999995902097</v>
      </c>
      <c r="K110" s="137">
        <v>0</v>
      </c>
      <c r="L110" s="125">
        <v>7615</v>
      </c>
      <c r="M110" s="125">
        <v>41</v>
      </c>
      <c r="N110" s="125">
        <v>9</v>
      </c>
      <c r="O110" s="111">
        <f>((Tabela135[[#This Row],[Objetive value]]-Tabela135[[#This Row],[Objetive value/GATeS]])/Tabela135[[#This Row],[Objetive value]])*100</f>
        <v>5.2500328127050799E-2</v>
      </c>
      <c r="P110" s="112">
        <v>7619</v>
      </c>
      <c r="Q110" s="112">
        <v>0.55000000000000004</v>
      </c>
      <c r="R110" s="112">
        <v>0</v>
      </c>
      <c r="S110" s="112">
        <f>(((Tabela135[[#This Row],[Objetive value]]-Tabela135[[#This Row],[Objetive Value /H-R1]])/Tabela135[[#This Row],[Objetive value]]))*100</f>
        <v>0</v>
      </c>
      <c r="T110" s="113">
        <v>7000</v>
      </c>
      <c r="U110" s="113">
        <v>0.6</v>
      </c>
      <c r="V110" s="113">
        <v>0</v>
      </c>
      <c r="W110" s="113">
        <f>(((Tabela135[[#This Row],[Objetive value]]-Tabela135[[#This Row],[Objetive value /H-R2]])/Tabela135[[#This Row],[Objetive value]]))*100</f>
        <v>8.1244257776611111</v>
      </c>
    </row>
    <row r="111" spans="1:23" x14ac:dyDescent="0.25">
      <c r="A111" s="3" t="s">
        <v>262</v>
      </c>
      <c r="B111" s="37" t="s">
        <v>269</v>
      </c>
      <c r="C111" s="3">
        <v>2000</v>
      </c>
      <c r="D111" s="95">
        <v>0.1</v>
      </c>
      <c r="E111" s="3">
        <v>10</v>
      </c>
      <c r="F111" s="39" t="s">
        <v>13</v>
      </c>
      <c r="G111" s="39" t="s">
        <v>14</v>
      </c>
      <c r="H111" s="110">
        <v>32924</v>
      </c>
      <c r="I111" s="138">
        <v>32897</v>
      </c>
      <c r="J111" s="138">
        <v>17.0940000000409</v>
      </c>
      <c r="K111" s="137">
        <v>0</v>
      </c>
      <c r="L111" s="125">
        <v>31768</v>
      </c>
      <c r="M111" s="125">
        <v>180</v>
      </c>
      <c r="N111" s="125">
        <v>115</v>
      </c>
      <c r="O111" s="111">
        <f>((Tabela135[[#This Row],[Objetive value]]-Tabela135[[#This Row],[Objetive value/GATeS]])/Tabela135[[#This Row],[Objetive value]])*100</f>
        <v>3.4319238836368058</v>
      </c>
      <c r="P111" s="112">
        <v>32769</v>
      </c>
      <c r="Q111" s="112">
        <v>0.61</v>
      </c>
      <c r="R111" s="112">
        <v>0</v>
      </c>
      <c r="S111" s="112">
        <f>(((Tabela135[[#This Row],[Objetive value]]-Tabela135[[#This Row],[Objetive Value /H-R1]])/Tabela135[[#This Row],[Objetive value]]))*100</f>
        <v>0.38909323038574944</v>
      </c>
      <c r="T111" s="113">
        <v>26955</v>
      </c>
      <c r="U111" s="113">
        <v>0.55000000000000004</v>
      </c>
      <c r="V111" s="113">
        <v>0</v>
      </c>
      <c r="W111" s="113">
        <f>(((Tabela135[[#This Row],[Objetive value]]-Tabela135[[#This Row],[Objetive value /H-R2]])/Tabela135[[#This Row],[Objetive value]]))*100</f>
        <v>18.062437304313463</v>
      </c>
    </row>
    <row r="112" spans="1:23" x14ac:dyDescent="0.25">
      <c r="A112" s="3" t="s">
        <v>262</v>
      </c>
      <c r="B112" s="39" t="s">
        <v>270</v>
      </c>
      <c r="C112" s="3">
        <v>2000</v>
      </c>
      <c r="D112" s="95">
        <v>0.1</v>
      </c>
      <c r="E112" s="3">
        <v>10</v>
      </c>
      <c r="F112" s="39" t="s">
        <v>13</v>
      </c>
      <c r="G112" s="39" t="s">
        <v>16</v>
      </c>
      <c r="H112" s="110">
        <v>24320</v>
      </c>
      <c r="I112" s="138">
        <v>23995</v>
      </c>
      <c r="J112" s="138">
        <v>21.8279999999795</v>
      </c>
      <c r="K112" s="137">
        <v>23.01</v>
      </c>
      <c r="L112" s="125">
        <v>23704</v>
      </c>
      <c r="M112" s="125">
        <v>354</v>
      </c>
      <c r="N112" s="125">
        <v>290</v>
      </c>
      <c r="O112" s="111">
        <f>((Tabela135[[#This Row],[Objetive value]]-Tabela135[[#This Row],[Objetive value/GATeS]])/Tabela135[[#This Row],[Objetive value]])*100</f>
        <v>1.2127526568035008</v>
      </c>
      <c r="P112" s="112">
        <v>23995</v>
      </c>
      <c r="Q112" s="112">
        <v>0.89</v>
      </c>
      <c r="R112" s="112">
        <v>0</v>
      </c>
      <c r="S112" s="112">
        <f>(((Tabela135[[#This Row],[Objetive value]]-Tabela135[[#This Row],[Objetive Value /H-R1]])/Tabela135[[#This Row],[Objetive value]]))*100</f>
        <v>0</v>
      </c>
      <c r="T112" s="113">
        <v>23665</v>
      </c>
      <c r="U112" s="113">
        <v>0.61</v>
      </c>
      <c r="V112" s="113">
        <v>0</v>
      </c>
      <c r="W112" s="113">
        <f>(((Tabela135[[#This Row],[Objetive value]]-Tabela135[[#This Row],[Objetive value /H-R2]])/Tabela135[[#This Row],[Objetive value]]))*100</f>
        <v>1.3752865180245883</v>
      </c>
    </row>
    <row r="113" spans="1:23" x14ac:dyDescent="0.25">
      <c r="A113" s="3" t="s">
        <v>262</v>
      </c>
      <c r="B113" s="39" t="s">
        <v>271</v>
      </c>
      <c r="C113" s="3">
        <v>2000</v>
      </c>
      <c r="D113" s="114">
        <v>0.1</v>
      </c>
      <c r="E113" s="3">
        <v>10</v>
      </c>
      <c r="F113" s="39" t="s">
        <v>18</v>
      </c>
      <c r="G113" s="39" t="s">
        <v>14</v>
      </c>
      <c r="H113" s="110">
        <v>44387</v>
      </c>
      <c r="I113" s="138">
        <v>44387</v>
      </c>
      <c r="J113" s="138">
        <v>21.0470000000204</v>
      </c>
      <c r="K113" s="137">
        <v>0</v>
      </c>
      <c r="L113" s="125">
        <v>42823</v>
      </c>
      <c r="M113" s="125">
        <v>193</v>
      </c>
      <c r="N113" s="125">
        <v>1</v>
      </c>
      <c r="O113" s="111">
        <f>((Tabela135[[#This Row],[Objetive value]]-Tabela135[[#This Row],[Objetive value/GATeS]])/Tabela135[[#This Row],[Objetive value]])*100</f>
        <v>3.5235541937954808</v>
      </c>
      <c r="P113" s="112">
        <v>41110</v>
      </c>
      <c r="Q113" s="112">
        <v>0.79</v>
      </c>
      <c r="R113" s="112">
        <v>0</v>
      </c>
      <c r="S113" s="112">
        <f>(((Tabela135[[#This Row],[Objetive value]]-Tabela135[[#This Row],[Objetive Value /H-R1]])/Tabela135[[#This Row],[Objetive value]]))*100</f>
        <v>7.3827922589947512</v>
      </c>
      <c r="T113" s="113">
        <v>42138</v>
      </c>
      <c r="U113" s="113">
        <v>0.99</v>
      </c>
      <c r="V113" s="113">
        <v>0</v>
      </c>
      <c r="W113" s="113">
        <f>(((Tabela135[[#This Row],[Objetive value]]-Tabela135[[#This Row],[Objetive value /H-R2]])/Tabela135[[#This Row],[Objetive value]]))*100</f>
        <v>5.0667988374974655</v>
      </c>
    </row>
    <row r="114" spans="1:23" x14ac:dyDescent="0.25">
      <c r="A114" s="3" t="s">
        <v>262</v>
      </c>
      <c r="B114" s="39" t="s">
        <v>272</v>
      </c>
      <c r="C114" s="3">
        <v>2000</v>
      </c>
      <c r="D114" s="114">
        <v>0.1</v>
      </c>
      <c r="E114" s="3">
        <v>10</v>
      </c>
      <c r="F114" s="39" t="s">
        <v>18</v>
      </c>
      <c r="G114" s="39" t="s">
        <v>16</v>
      </c>
      <c r="H114" s="110">
        <v>24289</v>
      </c>
      <c r="I114" s="138">
        <v>24119</v>
      </c>
      <c r="J114" s="138">
        <v>23.5160000000614</v>
      </c>
      <c r="K114" s="137">
        <v>0</v>
      </c>
      <c r="L114" s="125">
        <v>23240</v>
      </c>
      <c r="M114" s="125">
        <v>332</v>
      </c>
      <c r="N114" s="125">
        <v>46</v>
      </c>
      <c r="O114" s="111">
        <f>((Tabela135[[#This Row],[Objetive value]]-Tabela135[[#This Row],[Objetive value/GATeS]])/Tabela135[[#This Row],[Objetive value]])*100</f>
        <v>3.6444297027239934</v>
      </c>
      <c r="P114" s="112">
        <v>23422</v>
      </c>
      <c r="Q114" s="112">
        <v>0.68</v>
      </c>
      <c r="R114" s="112">
        <v>0</v>
      </c>
      <c r="S114" s="112">
        <f>(((Tabela135[[#This Row],[Objetive value]]-Tabela135[[#This Row],[Objetive Value /H-R1]])/Tabela135[[#This Row],[Objetive value]]))*100</f>
        <v>2.8898378871429165</v>
      </c>
      <c r="T114" s="113">
        <v>22808</v>
      </c>
      <c r="U114" s="113">
        <v>0.57999999999999996</v>
      </c>
      <c r="V114" s="113">
        <v>0</v>
      </c>
      <c r="W114" s="113">
        <f>(((Tabela135[[#This Row],[Objetive value]]-Tabela135[[#This Row],[Objetive value /H-R2]])/Tabela135[[#This Row],[Objetive value]]))*100</f>
        <v>5.4355487375098468</v>
      </c>
    </row>
    <row r="115" spans="1:23" x14ac:dyDescent="0.25">
      <c r="A115" s="3" t="s">
        <v>262</v>
      </c>
      <c r="B115" s="39" t="s">
        <v>273</v>
      </c>
      <c r="C115" s="3">
        <v>2000</v>
      </c>
      <c r="D115" s="95">
        <v>0.1</v>
      </c>
      <c r="E115" s="3">
        <v>10</v>
      </c>
      <c r="F115" s="39" t="s">
        <v>21</v>
      </c>
      <c r="G115" s="39" t="s">
        <v>14</v>
      </c>
      <c r="H115" s="110">
        <v>40301</v>
      </c>
      <c r="I115" s="138">
        <v>37848</v>
      </c>
      <c r="J115" s="138">
        <v>5.78099999995902</v>
      </c>
      <c r="K115" s="137">
        <v>0</v>
      </c>
      <c r="L115" s="125">
        <v>33490</v>
      </c>
      <c r="M115" s="125">
        <v>184</v>
      </c>
      <c r="N115" s="125">
        <v>128</v>
      </c>
      <c r="O115" s="111">
        <f>((Tabela135[[#This Row],[Objetive value]]-Tabela135[[#This Row],[Objetive value/GATeS]])/Tabela135[[#This Row],[Objetive value]])*100</f>
        <v>11.514478968505601</v>
      </c>
      <c r="P115" s="112">
        <v>27908</v>
      </c>
      <c r="Q115" s="112">
        <v>1.95</v>
      </c>
      <c r="R115" s="112">
        <v>0</v>
      </c>
      <c r="S115" s="112">
        <f>(((Tabela135[[#This Row],[Objetive value]]-Tabela135[[#This Row],[Objetive Value /H-R1]])/Tabela135[[#This Row],[Objetive value]]))*100</f>
        <v>26.262946522933838</v>
      </c>
      <c r="T115" s="113">
        <v>37848</v>
      </c>
      <c r="U115" s="113">
        <v>0.71</v>
      </c>
      <c r="V115" s="113">
        <v>0</v>
      </c>
      <c r="W115" s="113">
        <f>(((Tabela135[[#This Row],[Objetive value]]-Tabela135[[#This Row],[Objetive value /H-R2]])/Tabela135[[#This Row],[Objetive value]]))*100</f>
        <v>0</v>
      </c>
    </row>
    <row r="116" spans="1:23" x14ac:dyDescent="0.25">
      <c r="A116" s="3" t="s">
        <v>262</v>
      </c>
      <c r="B116" s="39" t="s">
        <v>274</v>
      </c>
      <c r="C116" s="3">
        <v>2000</v>
      </c>
      <c r="D116" s="95">
        <v>0.1</v>
      </c>
      <c r="E116" s="3">
        <v>10</v>
      </c>
      <c r="F116" s="39" t="s">
        <v>21</v>
      </c>
      <c r="G116" s="39" t="s">
        <v>16</v>
      </c>
      <c r="H116" s="110">
        <v>25839</v>
      </c>
      <c r="I116" s="138">
        <v>25839</v>
      </c>
      <c r="J116" s="138">
        <v>7.75</v>
      </c>
      <c r="K116" s="137">
        <v>0</v>
      </c>
      <c r="L116" s="125">
        <v>25839</v>
      </c>
      <c r="M116" s="125">
        <v>272</v>
      </c>
      <c r="N116" s="125">
        <v>259</v>
      </c>
      <c r="O116" s="111">
        <f>((Tabela135[[#This Row],[Objetive value]]-Tabela135[[#This Row],[Objetive value/GATeS]])/Tabela135[[#This Row],[Objetive value]])*100</f>
        <v>0</v>
      </c>
      <c r="P116" s="112">
        <v>23518</v>
      </c>
      <c r="Q116" s="112">
        <v>0.98</v>
      </c>
      <c r="R116" s="112">
        <v>0</v>
      </c>
      <c r="S116" s="112">
        <f>(((Tabela135[[#This Row],[Objetive value]]-Tabela135[[#This Row],[Objetive Value /H-R1]])/Tabela135[[#This Row],[Objetive value]]))*100</f>
        <v>8.9825457641549598</v>
      </c>
      <c r="T116" s="113">
        <v>23864</v>
      </c>
      <c r="U116" s="113">
        <v>0.66</v>
      </c>
      <c r="V116" s="113">
        <v>0</v>
      </c>
      <c r="W116" s="113">
        <f>(((Tabela135[[#This Row],[Objetive value]]-Tabela135[[#This Row],[Objetive value /H-R2]])/Tabela135[[#This Row],[Objetive value]]))*100</f>
        <v>7.6434846549789075</v>
      </c>
    </row>
    <row r="117" spans="1:23" x14ac:dyDescent="0.25">
      <c r="A117" s="3" t="s">
        <v>281</v>
      </c>
      <c r="B117" s="37" t="s">
        <v>288</v>
      </c>
      <c r="C117" s="3">
        <v>2000</v>
      </c>
      <c r="D117" s="114">
        <v>0.1</v>
      </c>
      <c r="E117" s="3">
        <v>15</v>
      </c>
      <c r="F117" s="39" t="s">
        <v>13</v>
      </c>
      <c r="G117" s="39" t="s">
        <v>14</v>
      </c>
      <c r="H117" s="110">
        <v>67783</v>
      </c>
      <c r="I117" s="138">
        <v>67785</v>
      </c>
      <c r="J117" s="138">
        <v>151.202999999979</v>
      </c>
      <c r="K117" s="137">
        <v>0</v>
      </c>
      <c r="L117" s="125">
        <v>64957</v>
      </c>
      <c r="M117" s="125">
        <v>374</v>
      </c>
      <c r="N117" s="125">
        <v>3</v>
      </c>
      <c r="O117" s="111">
        <f>((Tabela135[[#This Row],[Objetive value]]-Tabela135[[#This Row],[Objetive value/GATeS]])/Tabela135[[#This Row],[Objetive value]])*100</f>
        <v>4.1720144574758429</v>
      </c>
      <c r="P117" s="112">
        <v>67626</v>
      </c>
      <c r="Q117" s="112">
        <v>1.28</v>
      </c>
      <c r="R117" s="112">
        <v>0</v>
      </c>
      <c r="S117" s="112">
        <f>(((Tabela135[[#This Row],[Objetive value]]-Tabela135[[#This Row],[Objetive Value /H-R1]])/Tabela135[[#This Row],[Objetive value]]))*100</f>
        <v>0.23456516928524013</v>
      </c>
      <c r="T117" s="113">
        <v>63800</v>
      </c>
      <c r="U117" s="113">
        <v>0.75</v>
      </c>
      <c r="V117" s="113">
        <v>0</v>
      </c>
      <c r="W117" s="113">
        <f>(((Tabela135[[#This Row],[Objetive value]]-Tabela135[[#This Row],[Objetive value /H-R2]])/Tabela135[[#This Row],[Objetive value]]))*100</f>
        <v>5.8788817585011435</v>
      </c>
    </row>
    <row r="118" spans="1:23" x14ac:dyDescent="0.25">
      <c r="A118" s="3" t="s">
        <v>281</v>
      </c>
      <c r="B118" s="39" t="s">
        <v>289</v>
      </c>
      <c r="C118" s="3">
        <v>2000</v>
      </c>
      <c r="D118" s="114">
        <v>0.1</v>
      </c>
      <c r="E118" s="3">
        <v>15</v>
      </c>
      <c r="F118" s="39" t="s">
        <v>13</v>
      </c>
      <c r="G118" s="39" t="s">
        <v>16</v>
      </c>
      <c r="H118" s="110">
        <v>35607</v>
      </c>
      <c r="I118" s="138">
        <v>34845</v>
      </c>
      <c r="J118" s="138">
        <v>98.937000000034402</v>
      </c>
      <c r="K118" s="137">
        <v>0.17</v>
      </c>
      <c r="L118" s="125">
        <v>34186</v>
      </c>
      <c r="M118" s="125">
        <v>395</v>
      </c>
      <c r="N118" s="125">
        <v>282</v>
      </c>
      <c r="O118" s="111">
        <f>((Tabela135[[#This Row],[Objetive value]]-Tabela135[[#This Row],[Objetive value/GATeS]])/Tabela135[[#This Row],[Objetive value]])*100</f>
        <v>1.8912326015210215</v>
      </c>
      <c r="P118" s="112">
        <v>34844</v>
      </c>
      <c r="Q118" s="112">
        <v>1.74</v>
      </c>
      <c r="R118" s="112">
        <v>0</v>
      </c>
      <c r="S118" s="112">
        <f>(((Tabela135[[#This Row],[Objetive value]]-Tabela135[[#This Row],[Objetive Value /H-R1]])/Tabela135[[#This Row],[Objetive value]]))*100</f>
        <v>2.8698522026115655E-3</v>
      </c>
      <c r="T118" s="113">
        <v>34327</v>
      </c>
      <c r="U118" s="113">
        <v>0.88</v>
      </c>
      <c r="V118" s="113">
        <v>0</v>
      </c>
      <c r="W118" s="113">
        <f>(((Tabela135[[#This Row],[Objetive value]]-Tabela135[[#This Row],[Objetive value /H-R2]])/Tabela135[[#This Row],[Objetive value]]))*100</f>
        <v>1.4865834409527909</v>
      </c>
    </row>
    <row r="119" spans="1:23" x14ac:dyDescent="0.25">
      <c r="A119" s="3" t="s">
        <v>281</v>
      </c>
      <c r="B119" s="39" t="s">
        <v>290</v>
      </c>
      <c r="C119" s="3">
        <v>2000</v>
      </c>
      <c r="D119" s="114">
        <v>0.1</v>
      </c>
      <c r="E119" s="3">
        <v>15</v>
      </c>
      <c r="F119" s="3" t="s">
        <v>18</v>
      </c>
      <c r="G119" s="39" t="s">
        <v>14</v>
      </c>
      <c r="H119" s="110">
        <v>70681</v>
      </c>
      <c r="I119" s="138">
        <v>70681</v>
      </c>
      <c r="J119" s="138">
        <v>76.829000000026994</v>
      </c>
      <c r="K119" s="137">
        <v>0</v>
      </c>
      <c r="L119" s="125">
        <v>68870</v>
      </c>
      <c r="M119" s="125">
        <v>350</v>
      </c>
      <c r="N119" s="125">
        <v>258</v>
      </c>
      <c r="O119" s="111">
        <f>((Tabela135[[#This Row],[Objetive value]]-Tabela135[[#This Row],[Objetive value/GATeS]])/Tabela135[[#This Row],[Objetive value]])*100</f>
        <v>2.5622161542705961</v>
      </c>
      <c r="P119" s="112">
        <v>70346</v>
      </c>
      <c r="Q119" s="112">
        <v>0.96</v>
      </c>
      <c r="R119" s="112">
        <v>0</v>
      </c>
      <c r="S119" s="112">
        <f>(((Tabela135[[#This Row],[Objetive value]]-Tabela135[[#This Row],[Objetive Value /H-R1]])/Tabela135[[#This Row],[Objetive value]]))*100</f>
        <v>0.47396047028197108</v>
      </c>
      <c r="T119" s="113">
        <v>69035</v>
      </c>
      <c r="U119" s="113">
        <v>1.27</v>
      </c>
      <c r="V119" s="113">
        <v>0</v>
      </c>
      <c r="W119" s="113">
        <f>(((Tabela135[[#This Row],[Objetive value]]-Tabela135[[#This Row],[Objetive value /H-R2]])/Tabela135[[#This Row],[Objetive value]]))*100</f>
        <v>2.3287729375645503</v>
      </c>
    </row>
    <row r="120" spans="1:23" x14ac:dyDescent="0.25">
      <c r="A120" s="3" t="s">
        <v>281</v>
      </c>
      <c r="B120" s="39" t="s">
        <v>291</v>
      </c>
      <c r="C120" s="3">
        <v>2000</v>
      </c>
      <c r="D120" s="114">
        <v>0.1</v>
      </c>
      <c r="E120" s="3">
        <v>15</v>
      </c>
      <c r="F120" s="3" t="s">
        <v>18</v>
      </c>
      <c r="G120" s="39" t="s">
        <v>16</v>
      </c>
      <c r="H120" s="110">
        <v>34776</v>
      </c>
      <c r="I120" s="138">
        <v>34326</v>
      </c>
      <c r="J120" s="138">
        <v>162.875</v>
      </c>
      <c r="K120" s="137">
        <v>0.01</v>
      </c>
      <c r="L120" s="125">
        <v>34144</v>
      </c>
      <c r="M120" s="125">
        <v>691</v>
      </c>
      <c r="N120" s="125">
        <v>672</v>
      </c>
      <c r="O120" s="111">
        <f>((Tabela135[[#This Row],[Objetive value]]-Tabela135[[#This Row],[Objetive value/GATeS]])/Tabela135[[#This Row],[Objetive value]])*100</f>
        <v>0.53021033618831204</v>
      </c>
      <c r="P120" s="112">
        <v>32740</v>
      </c>
      <c r="Q120" s="112">
        <v>1.39</v>
      </c>
      <c r="R120" s="112">
        <v>0</v>
      </c>
      <c r="S120" s="112">
        <f>(((Tabela135[[#This Row],[Objetive value]]-Tabela135[[#This Row],[Objetive Value /H-R1]])/Tabela135[[#This Row],[Objetive value]]))*100</f>
        <v>4.6204043582124337</v>
      </c>
      <c r="T120" s="113">
        <v>33385</v>
      </c>
      <c r="U120" s="113">
        <v>0.81</v>
      </c>
      <c r="V120" s="113">
        <v>0</v>
      </c>
      <c r="W120" s="113">
        <f>(((Tabela135[[#This Row],[Objetive value]]-Tabela135[[#This Row],[Objetive value /H-R2]])/Tabela135[[#This Row],[Objetive value]]))*100</f>
        <v>2.7413622327098994</v>
      </c>
    </row>
    <row r="121" spans="1:23" x14ac:dyDescent="0.25">
      <c r="A121" s="3" t="s">
        <v>281</v>
      </c>
      <c r="B121" s="39" t="s">
        <v>292</v>
      </c>
      <c r="C121" s="3">
        <v>2000</v>
      </c>
      <c r="D121" s="114">
        <v>0.1</v>
      </c>
      <c r="E121" s="3">
        <v>15</v>
      </c>
      <c r="F121" s="39" t="s">
        <v>21</v>
      </c>
      <c r="G121" s="39" t="s">
        <v>14</v>
      </c>
      <c r="H121" s="110">
        <v>64679</v>
      </c>
      <c r="I121" s="138">
        <v>60497</v>
      </c>
      <c r="J121" s="138">
        <v>7.10900000005494</v>
      </c>
      <c r="K121" s="137">
        <v>0</v>
      </c>
      <c r="L121" s="125">
        <v>56978</v>
      </c>
      <c r="M121" s="125">
        <v>449</v>
      </c>
      <c r="N121" s="125">
        <v>3</v>
      </c>
      <c r="O121" s="111">
        <f>((Tabela135[[#This Row],[Objetive value]]-Tabela135[[#This Row],[Objetive value/GATeS]])/Tabela135[[#This Row],[Objetive value]])*100</f>
        <v>5.8168173628444384</v>
      </c>
      <c r="P121" s="112">
        <v>13537</v>
      </c>
      <c r="Q121" s="112">
        <v>5.4</v>
      </c>
      <c r="R121" s="112">
        <v>0</v>
      </c>
      <c r="S121" s="112">
        <f>(((Tabela135[[#This Row],[Objetive value]]-Tabela135[[#This Row],[Objetive Value /H-R1]])/Tabela135[[#This Row],[Objetive value]]))*100</f>
        <v>77.623683819032351</v>
      </c>
      <c r="T121" s="113">
        <v>48967</v>
      </c>
      <c r="U121" s="113">
        <v>3.36</v>
      </c>
      <c r="V121" s="113">
        <v>0</v>
      </c>
      <c r="W121" s="113">
        <f>(((Tabela135[[#This Row],[Objetive value]]-Tabela135[[#This Row],[Objetive value /H-R2]])/Tabela135[[#This Row],[Objetive value]]))*100</f>
        <v>19.058796303948956</v>
      </c>
    </row>
    <row r="122" spans="1:23" x14ac:dyDescent="0.25">
      <c r="A122" s="3" t="s">
        <v>281</v>
      </c>
      <c r="B122" s="39" t="s">
        <v>293</v>
      </c>
      <c r="C122" s="3">
        <v>2000</v>
      </c>
      <c r="D122" s="114">
        <v>0.1</v>
      </c>
      <c r="E122" s="3">
        <v>15</v>
      </c>
      <c r="F122" s="39" t="s">
        <v>21</v>
      </c>
      <c r="G122" s="39" t="s">
        <v>16</v>
      </c>
      <c r="H122" s="110">
        <v>36775</v>
      </c>
      <c r="I122" s="138">
        <v>36443</v>
      </c>
      <c r="J122" s="138">
        <v>53.156000000075402</v>
      </c>
      <c r="K122" s="137">
        <v>0.13</v>
      </c>
      <c r="L122" s="125">
        <v>35822</v>
      </c>
      <c r="M122" s="125">
        <v>232</v>
      </c>
      <c r="N122" s="125">
        <v>63</v>
      </c>
      <c r="O122" s="111">
        <f>((Tabela135[[#This Row],[Objetive value]]-Tabela135[[#This Row],[Objetive value/GATeS]])/Tabela135[[#This Row],[Objetive value]])*100</f>
        <v>1.7040309524462858</v>
      </c>
      <c r="P122" s="112">
        <v>34986</v>
      </c>
      <c r="Q122" s="112">
        <v>1.56</v>
      </c>
      <c r="R122" s="112">
        <v>0</v>
      </c>
      <c r="S122" s="112">
        <f>(((Tabela135[[#This Row],[Objetive value]]-Tabela135[[#This Row],[Objetive Value /H-R1]])/Tabela135[[#This Row],[Objetive value]]))*100</f>
        <v>3.9980243119391927</v>
      </c>
      <c r="T122" s="113">
        <v>34680</v>
      </c>
      <c r="U122" s="113">
        <v>1.1599999999999999</v>
      </c>
      <c r="V122" s="113">
        <v>0</v>
      </c>
      <c r="W122" s="113">
        <f>(((Tabela135[[#This Row],[Objetive value]]-Tabela135[[#This Row],[Objetive value /H-R2]])/Tabela135[[#This Row],[Objetive value]]))*100</f>
        <v>4.8376917377822899</v>
      </c>
    </row>
    <row r="123" spans="1:23" x14ac:dyDescent="0.25">
      <c r="A123" s="3" t="s">
        <v>243</v>
      </c>
      <c r="B123" s="37" t="s">
        <v>250</v>
      </c>
      <c r="C123" s="3">
        <v>2000</v>
      </c>
      <c r="D123" s="114">
        <v>0.1</v>
      </c>
      <c r="E123" s="3">
        <v>5</v>
      </c>
      <c r="F123" s="39" t="s">
        <v>13</v>
      </c>
      <c r="G123" s="39" t="s">
        <v>14</v>
      </c>
      <c r="H123" s="110">
        <v>20466</v>
      </c>
      <c r="I123" s="138">
        <v>20466</v>
      </c>
      <c r="J123" s="138">
        <v>2.2179999999934799</v>
      </c>
      <c r="K123" s="137">
        <v>0</v>
      </c>
      <c r="L123" s="125">
        <v>20403</v>
      </c>
      <c r="M123" s="125">
        <v>118</v>
      </c>
      <c r="N123" s="125">
        <v>87</v>
      </c>
      <c r="O123" s="111">
        <f>((Tabela135[[#This Row],[Objetive value]]-Tabela135[[#This Row],[Objetive value/GATeS]])/Tabela135[[#This Row],[Objetive value]])*100</f>
        <v>0.30782761653474056</v>
      </c>
      <c r="P123" s="112">
        <v>20466</v>
      </c>
      <c r="Q123" s="112">
        <v>0.44</v>
      </c>
      <c r="R123" s="112">
        <v>0</v>
      </c>
      <c r="S123" s="112">
        <f>(((Tabela135[[#This Row],[Objetive value]]-Tabela135[[#This Row],[Objetive Value /H-R1]])/Tabela135[[#This Row],[Objetive value]]))*100</f>
        <v>0</v>
      </c>
      <c r="T123" s="113">
        <v>17797</v>
      </c>
      <c r="U123" s="113">
        <v>0.6</v>
      </c>
      <c r="V123" s="113">
        <v>0</v>
      </c>
      <c r="W123" s="113">
        <f>(((Tabela135[[#This Row],[Objetive value]]-Tabela135[[#This Row],[Objetive value /H-R2]])/Tabela135[[#This Row],[Objetive value]]))*100</f>
        <v>13.0411414052575</v>
      </c>
    </row>
    <row r="124" spans="1:23" x14ac:dyDescent="0.25">
      <c r="A124" s="3" t="s">
        <v>243</v>
      </c>
      <c r="B124" s="39" t="s">
        <v>251</v>
      </c>
      <c r="C124" s="3">
        <v>2000</v>
      </c>
      <c r="D124" s="114">
        <v>0.1</v>
      </c>
      <c r="E124" s="3">
        <v>5</v>
      </c>
      <c r="F124" s="39" t="s">
        <v>13</v>
      </c>
      <c r="G124" s="39" t="s">
        <v>16</v>
      </c>
      <c r="H124" s="110">
        <v>15179</v>
      </c>
      <c r="I124" s="138">
        <v>14829</v>
      </c>
      <c r="J124" s="138">
        <v>2.8900000000139698</v>
      </c>
      <c r="K124" s="137">
        <v>23.01</v>
      </c>
      <c r="L124" s="125">
        <v>14640</v>
      </c>
      <c r="M124" s="125">
        <v>84</v>
      </c>
      <c r="N124" s="125">
        <v>0</v>
      </c>
      <c r="O124" s="111">
        <f>((Tabela135[[#This Row],[Objetive value]]-Tabela135[[#This Row],[Objetive value/GATeS]])/Tabela135[[#This Row],[Objetive value]])*100</f>
        <v>1.2745296378717379</v>
      </c>
      <c r="P124" s="112">
        <v>14829</v>
      </c>
      <c r="Q124" s="112">
        <v>0.56000000000000005</v>
      </c>
      <c r="R124" s="112">
        <v>0</v>
      </c>
      <c r="S124" s="112">
        <f>(((Tabela135[[#This Row],[Objetive value]]-Tabela135[[#This Row],[Objetive Value /H-R1]])/Tabela135[[#This Row],[Objetive value]]))*100</f>
        <v>0</v>
      </c>
      <c r="T124" s="113">
        <v>14829</v>
      </c>
      <c r="U124" s="113">
        <v>0.63</v>
      </c>
      <c r="V124" s="113">
        <v>0</v>
      </c>
      <c r="W124" s="113">
        <f>(((Tabela135[[#This Row],[Objetive value]]-Tabela135[[#This Row],[Objetive value /H-R2]])/Tabela135[[#This Row],[Objetive value]]))*100</f>
        <v>0</v>
      </c>
    </row>
    <row r="125" spans="1:23" x14ac:dyDescent="0.25">
      <c r="A125" s="3" t="s">
        <v>243</v>
      </c>
      <c r="B125" s="39" t="s">
        <v>252</v>
      </c>
      <c r="C125" s="3">
        <v>2000</v>
      </c>
      <c r="D125" s="114">
        <v>0.1</v>
      </c>
      <c r="E125" s="3">
        <v>5</v>
      </c>
      <c r="F125" s="3" t="s">
        <v>18</v>
      </c>
      <c r="G125" s="39" t="s">
        <v>14</v>
      </c>
      <c r="H125" s="110">
        <v>19211</v>
      </c>
      <c r="I125" s="138">
        <v>19211</v>
      </c>
      <c r="J125" s="138">
        <v>1.92199999990407</v>
      </c>
      <c r="K125" s="137">
        <v>0</v>
      </c>
      <c r="L125" s="125">
        <v>19198</v>
      </c>
      <c r="M125" s="125">
        <v>126</v>
      </c>
      <c r="N125" s="125">
        <v>32</v>
      </c>
      <c r="O125" s="111">
        <f>((Tabela135[[#This Row],[Objetive value]]-Tabela135[[#This Row],[Objetive value/GATeS]])/Tabela135[[#This Row],[Objetive value]])*100</f>
        <v>6.7669564312112851E-2</v>
      </c>
      <c r="P125" s="112">
        <v>19211</v>
      </c>
      <c r="Q125" s="112">
        <v>0.56000000000000005</v>
      </c>
      <c r="R125" s="112">
        <v>0</v>
      </c>
      <c r="S125" s="112">
        <f>(((Tabela135[[#This Row],[Objetive value]]-Tabela135[[#This Row],[Objetive Value /H-R1]])/Tabela135[[#This Row],[Objetive value]]))*100</f>
        <v>0</v>
      </c>
      <c r="T125" s="113">
        <v>18989</v>
      </c>
      <c r="U125" s="113">
        <v>0.41</v>
      </c>
      <c r="V125" s="113">
        <v>0</v>
      </c>
      <c r="W125" s="113">
        <f>(((Tabela135[[#This Row],[Objetive value]]-Tabela135[[#This Row],[Objetive value /H-R2]])/Tabela135[[#This Row],[Objetive value]]))*100</f>
        <v>1.1555879444068502</v>
      </c>
    </row>
    <row r="126" spans="1:23" x14ac:dyDescent="0.25">
      <c r="A126" s="3" t="s">
        <v>243</v>
      </c>
      <c r="B126" s="39" t="s">
        <v>253</v>
      </c>
      <c r="C126" s="3">
        <v>2000</v>
      </c>
      <c r="D126" s="114">
        <v>0.1</v>
      </c>
      <c r="E126" s="3">
        <v>5</v>
      </c>
      <c r="F126" s="3" t="s">
        <v>18</v>
      </c>
      <c r="G126" s="39" t="s">
        <v>16</v>
      </c>
      <c r="H126" s="110">
        <v>15195</v>
      </c>
      <c r="I126" s="138">
        <v>15195</v>
      </c>
      <c r="J126" s="138">
        <v>1.375</v>
      </c>
      <c r="K126" s="137">
        <v>0</v>
      </c>
      <c r="L126" s="125">
        <v>15174</v>
      </c>
      <c r="M126" s="125">
        <v>101</v>
      </c>
      <c r="N126" s="125">
        <v>26</v>
      </c>
      <c r="O126" s="111">
        <f>((Tabela135[[#This Row],[Objetive value]]-Tabela135[[#This Row],[Objetive value/GATeS]])/Tabela135[[#This Row],[Objetive value]])*100</f>
        <v>0.13820335636722605</v>
      </c>
      <c r="P126" s="112">
        <v>15195</v>
      </c>
      <c r="Q126" s="112">
        <v>0.55000000000000004</v>
      </c>
      <c r="R126" s="112">
        <v>0</v>
      </c>
      <c r="S126" s="112">
        <f>(((Tabela135[[#This Row],[Objetive value]]-Tabela135[[#This Row],[Objetive Value /H-R1]])/Tabela135[[#This Row],[Objetive value]]))*100</f>
        <v>0</v>
      </c>
      <c r="T126" s="113">
        <v>14732</v>
      </c>
      <c r="U126" s="113">
        <v>0.34</v>
      </c>
      <c r="V126" s="113">
        <v>0</v>
      </c>
      <c r="W126" s="113">
        <f>(((Tabela135[[#This Row],[Objetive value]]-Tabela135[[#This Row],[Objetive value /H-R2]])/Tabela135[[#This Row],[Objetive value]]))*100</f>
        <v>3.0470549522869366</v>
      </c>
    </row>
    <row r="127" spans="1:23" x14ac:dyDescent="0.25">
      <c r="A127" s="3" t="s">
        <v>243</v>
      </c>
      <c r="B127" s="39" t="s">
        <v>254</v>
      </c>
      <c r="C127" s="3">
        <v>2000</v>
      </c>
      <c r="D127" s="114">
        <v>0.1</v>
      </c>
      <c r="E127" s="3">
        <v>5</v>
      </c>
      <c r="F127" s="39" t="s">
        <v>21</v>
      </c>
      <c r="G127" s="39" t="s">
        <v>14</v>
      </c>
      <c r="H127" s="110">
        <v>14618</v>
      </c>
      <c r="I127" s="138">
        <v>14618</v>
      </c>
      <c r="J127" s="138">
        <v>2.15599999995902</v>
      </c>
      <c r="K127" s="137">
        <v>0</v>
      </c>
      <c r="L127" s="125">
        <v>14527</v>
      </c>
      <c r="M127" s="125">
        <v>46</v>
      </c>
      <c r="N127" s="125">
        <v>34</v>
      </c>
      <c r="O127" s="111">
        <f>((Tabela135[[#This Row],[Objetive value]]-Tabela135[[#This Row],[Objetive value/GATeS]])/Tabela135[[#This Row],[Objetive value]])*100</f>
        <v>0.62252018059926117</v>
      </c>
      <c r="P127" s="112">
        <v>13057</v>
      </c>
      <c r="Q127" s="112">
        <v>0.92</v>
      </c>
      <c r="R127" s="112">
        <v>0</v>
      </c>
      <c r="S127" s="112">
        <f>(((Tabela135[[#This Row],[Objetive value]]-Tabela135[[#This Row],[Objetive Value /H-R1]])/Tabela135[[#This Row],[Objetive value]]))*100</f>
        <v>10.678615405664249</v>
      </c>
      <c r="T127" s="113">
        <v>14618</v>
      </c>
      <c r="U127" s="113">
        <v>0.44</v>
      </c>
      <c r="V127" s="113">
        <v>0</v>
      </c>
      <c r="W127" s="113">
        <f>(((Tabela135[[#This Row],[Objetive value]]-Tabela135[[#This Row],[Objetive value /H-R2]])/Tabela135[[#This Row],[Objetive value]]))*100</f>
        <v>0</v>
      </c>
    </row>
    <row r="128" spans="1:23" x14ac:dyDescent="0.25">
      <c r="A128" s="3" t="s">
        <v>243</v>
      </c>
      <c r="B128" s="39" t="s">
        <v>255</v>
      </c>
      <c r="C128" s="3">
        <v>2000</v>
      </c>
      <c r="D128" s="114">
        <v>0.1</v>
      </c>
      <c r="E128" s="3">
        <v>5</v>
      </c>
      <c r="F128" s="39" t="s">
        <v>21</v>
      </c>
      <c r="G128" s="39" t="s">
        <v>16</v>
      </c>
      <c r="H128" s="110">
        <v>13266</v>
      </c>
      <c r="I128" s="138">
        <v>13266</v>
      </c>
      <c r="J128" s="138">
        <v>2.9849999999860302</v>
      </c>
      <c r="K128" s="137">
        <v>0</v>
      </c>
      <c r="L128" s="125">
        <v>13259</v>
      </c>
      <c r="M128" s="125">
        <v>81</v>
      </c>
      <c r="N128" s="125">
        <v>55</v>
      </c>
      <c r="O128" s="111">
        <f>((Tabela135[[#This Row],[Objetive value]]-Tabela135[[#This Row],[Objetive value/GATeS]])/Tabela135[[#This Row],[Objetive value]])*100</f>
        <v>5.2766470676918434E-2</v>
      </c>
      <c r="P128" s="112">
        <v>13266</v>
      </c>
      <c r="Q128" s="112">
        <v>0.53</v>
      </c>
      <c r="R128" s="112">
        <v>0</v>
      </c>
      <c r="S128" s="112">
        <f>(((Tabela135[[#This Row],[Objetive value]]-Tabela135[[#This Row],[Objetive Value /H-R1]])/Tabela135[[#This Row],[Objetive value]]))*100</f>
        <v>0</v>
      </c>
      <c r="T128" s="113">
        <v>13266</v>
      </c>
      <c r="U128" s="113">
        <v>0.68</v>
      </c>
      <c r="V128" s="113">
        <v>0</v>
      </c>
      <c r="W128" s="113">
        <f>(((Tabela135[[#This Row],[Objetive value]]-Tabela135[[#This Row],[Objetive value /H-R2]])/Tabela135[[#This Row],[Objetive value]]))*100</f>
        <v>0</v>
      </c>
    </row>
    <row r="129" spans="1:23" x14ac:dyDescent="0.25">
      <c r="A129" s="3" t="s">
        <v>262</v>
      </c>
      <c r="B129" s="37" t="s">
        <v>275</v>
      </c>
      <c r="C129" s="3">
        <v>2000</v>
      </c>
      <c r="D129" s="3">
        <v>0.15</v>
      </c>
      <c r="E129" s="3">
        <v>10</v>
      </c>
      <c r="F129" s="39" t="s">
        <v>13</v>
      </c>
      <c r="G129" s="39" t="s">
        <v>14</v>
      </c>
      <c r="H129" s="110">
        <v>37665</v>
      </c>
      <c r="I129" s="138">
        <v>37665</v>
      </c>
      <c r="J129" s="138">
        <v>23.656000000075402</v>
      </c>
      <c r="K129" s="137">
        <v>0</v>
      </c>
      <c r="L129" s="125">
        <v>36035</v>
      </c>
      <c r="M129" s="125">
        <v>164</v>
      </c>
      <c r="N129" s="125">
        <v>74</v>
      </c>
      <c r="O129" s="111">
        <f>((Tabela135[[#This Row],[Objetive value]]-Tabela135[[#This Row],[Objetive value/GATeS]])/Tabela135[[#This Row],[Objetive value]])*100</f>
        <v>4.3276251161555823</v>
      </c>
      <c r="P129" s="112">
        <v>37665</v>
      </c>
      <c r="Q129" s="112">
        <v>0.87</v>
      </c>
      <c r="R129" s="112">
        <v>0</v>
      </c>
      <c r="S129" s="112">
        <f>(((Tabela135[[#This Row],[Objetive value]]-Tabela135[[#This Row],[Objetive Value /H-R1]])/Tabela135[[#This Row],[Objetive value]]))*100</f>
        <v>0</v>
      </c>
      <c r="T129" s="113">
        <v>35084</v>
      </c>
      <c r="U129" s="113">
        <v>0.6</v>
      </c>
      <c r="V129" s="113">
        <v>0</v>
      </c>
      <c r="W129" s="113">
        <f>(((Tabela135[[#This Row],[Objetive value]]-Tabela135[[#This Row],[Objetive value /H-R2]])/Tabela135[[#This Row],[Objetive value]]))*100</f>
        <v>6.8525155980353105</v>
      </c>
    </row>
    <row r="130" spans="1:23" x14ac:dyDescent="0.25">
      <c r="A130" s="3" t="s">
        <v>262</v>
      </c>
      <c r="B130" s="39" t="s">
        <v>276</v>
      </c>
      <c r="C130" s="3">
        <v>2000</v>
      </c>
      <c r="D130" s="3">
        <v>0.15</v>
      </c>
      <c r="E130" s="3">
        <v>10</v>
      </c>
      <c r="F130" s="39" t="s">
        <v>13</v>
      </c>
      <c r="G130" s="39" t="s">
        <v>16</v>
      </c>
      <c r="H130" s="110">
        <v>24745</v>
      </c>
      <c r="I130" s="138">
        <v>24247</v>
      </c>
      <c r="J130" s="138">
        <v>28.265000000013899</v>
      </c>
      <c r="K130" s="137">
        <v>0</v>
      </c>
      <c r="L130" s="125">
        <v>23393</v>
      </c>
      <c r="M130" s="125">
        <v>174</v>
      </c>
      <c r="N130" s="125">
        <v>45</v>
      </c>
      <c r="O130" s="111">
        <f>((Tabela135[[#This Row],[Objetive value]]-Tabela135[[#This Row],[Objetive value/GATeS]])/Tabela135[[#This Row],[Objetive value]])*100</f>
        <v>3.5220852064172887</v>
      </c>
      <c r="P130" s="112">
        <v>24247</v>
      </c>
      <c r="Q130" s="112">
        <v>0.71</v>
      </c>
      <c r="R130" s="112">
        <v>0</v>
      </c>
      <c r="S130" s="112">
        <f>(((Tabela135[[#This Row],[Objetive value]]-Tabela135[[#This Row],[Objetive Value /H-R1]])/Tabela135[[#This Row],[Objetive value]]))*100</f>
        <v>0</v>
      </c>
      <c r="T130" s="113">
        <v>23734</v>
      </c>
      <c r="U130" s="113">
        <v>0.62</v>
      </c>
      <c r="V130" s="113">
        <v>0</v>
      </c>
      <c r="W130" s="113">
        <f>(((Tabela135[[#This Row],[Objetive value]]-Tabela135[[#This Row],[Objetive value /H-R2]])/Tabela135[[#This Row],[Objetive value]]))*100</f>
        <v>2.1157256567822822</v>
      </c>
    </row>
    <row r="131" spans="1:23" x14ac:dyDescent="0.25">
      <c r="A131" s="3" t="s">
        <v>262</v>
      </c>
      <c r="B131" s="39" t="s">
        <v>277</v>
      </c>
      <c r="C131" s="3">
        <v>2000</v>
      </c>
      <c r="D131" s="3">
        <v>0.15</v>
      </c>
      <c r="E131" s="3">
        <v>10</v>
      </c>
      <c r="F131" s="39" t="s">
        <v>18</v>
      </c>
      <c r="G131" s="39" t="s">
        <v>14</v>
      </c>
      <c r="H131" s="110">
        <v>48012</v>
      </c>
      <c r="I131" s="138">
        <v>48012</v>
      </c>
      <c r="J131" s="138">
        <v>10.9060000000754</v>
      </c>
      <c r="K131" s="137">
        <v>0</v>
      </c>
      <c r="L131" s="125">
        <v>47968</v>
      </c>
      <c r="M131" s="125">
        <v>225</v>
      </c>
      <c r="N131" s="125">
        <v>147</v>
      </c>
      <c r="O131" s="111">
        <f>((Tabela135[[#This Row],[Objetive value]]-Tabela135[[#This Row],[Objetive value/GATeS]])/Tabela135[[#This Row],[Objetive value]])*100</f>
        <v>9.1643755727734727E-2</v>
      </c>
      <c r="P131" s="112">
        <v>48012</v>
      </c>
      <c r="Q131" s="112">
        <v>0.79</v>
      </c>
      <c r="R131" s="112">
        <v>0</v>
      </c>
      <c r="S131" s="112">
        <f>(((Tabela135[[#This Row],[Objetive value]]-Tabela135[[#This Row],[Objetive Value /H-R1]])/Tabela135[[#This Row],[Objetive value]]))*100</f>
        <v>0</v>
      </c>
      <c r="T131" s="113">
        <v>48012</v>
      </c>
      <c r="U131" s="113">
        <v>0.6</v>
      </c>
      <c r="V131" s="113">
        <v>0</v>
      </c>
      <c r="W131" s="113">
        <f>(((Tabela135[[#This Row],[Objetive value]]-Tabela135[[#This Row],[Objetive value /H-R2]])/Tabela135[[#This Row],[Objetive value]]))*100</f>
        <v>0</v>
      </c>
    </row>
    <row r="132" spans="1:23" x14ac:dyDescent="0.25">
      <c r="A132" s="3" t="s">
        <v>262</v>
      </c>
      <c r="B132" s="39" t="s">
        <v>278</v>
      </c>
      <c r="C132" s="3">
        <v>2000</v>
      </c>
      <c r="D132" s="3">
        <v>0.15</v>
      </c>
      <c r="E132" s="3">
        <v>10</v>
      </c>
      <c r="F132" s="39" t="s">
        <v>18</v>
      </c>
      <c r="G132" s="39" t="s">
        <v>16</v>
      </c>
      <c r="H132" s="110">
        <v>25125</v>
      </c>
      <c r="I132" s="138">
        <v>24887</v>
      </c>
      <c r="J132" s="138">
        <v>22.983999999938501</v>
      </c>
      <c r="K132" s="137">
        <v>0</v>
      </c>
      <c r="L132" s="125">
        <v>24653</v>
      </c>
      <c r="M132" s="125">
        <v>217</v>
      </c>
      <c r="N132" s="125">
        <v>168</v>
      </c>
      <c r="O132" s="111">
        <f>((Tabela135[[#This Row],[Objetive value]]-Tabela135[[#This Row],[Objetive value/GATeS]])/Tabela135[[#This Row],[Objetive value]])*100</f>
        <v>0.94024992968216337</v>
      </c>
      <c r="P132" s="112">
        <v>24730</v>
      </c>
      <c r="Q132" s="112">
        <v>0.82</v>
      </c>
      <c r="R132" s="112">
        <v>0</v>
      </c>
      <c r="S132" s="112">
        <f>(((Tabela135[[#This Row],[Objetive value]]-Tabela135[[#This Row],[Objetive Value /H-R1]])/Tabela135[[#This Row],[Objetive value]]))*100</f>
        <v>0.63085144854743447</v>
      </c>
      <c r="T132" s="113">
        <v>24730</v>
      </c>
      <c r="U132" s="113">
        <v>0.53</v>
      </c>
      <c r="V132" s="113">
        <v>0</v>
      </c>
      <c r="W132" s="113">
        <f>(((Tabela135[[#This Row],[Objetive value]]-Tabela135[[#This Row],[Objetive value /H-R2]])/Tabela135[[#This Row],[Objetive value]]))*100</f>
        <v>0.63085144854743447</v>
      </c>
    </row>
    <row r="133" spans="1:23" x14ac:dyDescent="0.25">
      <c r="A133" s="3" t="s">
        <v>262</v>
      </c>
      <c r="B133" s="39" t="s">
        <v>279</v>
      </c>
      <c r="C133" s="3">
        <v>2000</v>
      </c>
      <c r="D133" s="3">
        <v>0.15</v>
      </c>
      <c r="E133" s="3">
        <v>10</v>
      </c>
      <c r="F133" s="39" t="s">
        <v>21</v>
      </c>
      <c r="G133" s="39" t="s">
        <v>14</v>
      </c>
      <c r="H133" s="110">
        <v>37742</v>
      </c>
      <c r="I133" s="138">
        <v>30105</v>
      </c>
      <c r="J133" s="138">
        <v>5.0470000000204802</v>
      </c>
      <c r="K133" s="137">
        <v>0</v>
      </c>
      <c r="L133" s="125">
        <v>30065</v>
      </c>
      <c r="M133" s="125">
        <v>113</v>
      </c>
      <c r="N133" s="125">
        <v>35</v>
      </c>
      <c r="O133" s="111">
        <f>((Tabela135[[#This Row],[Objetive value]]-Tabela135[[#This Row],[Objetive value/GATeS]])/Tabela135[[#This Row],[Objetive value]])*100</f>
        <v>0.13286829430327188</v>
      </c>
      <c r="P133" s="115"/>
      <c r="Q133" s="115"/>
      <c r="R133" s="115"/>
      <c r="S133" s="115">
        <v>100</v>
      </c>
      <c r="T133" s="113">
        <v>30105</v>
      </c>
      <c r="U133" s="113">
        <v>1.01</v>
      </c>
      <c r="V133" s="113">
        <v>0</v>
      </c>
      <c r="W133" s="113">
        <f>(((Tabela135[[#This Row],[Objetive value]]-Tabela135[[#This Row],[Objetive value /H-R2]])/Tabela135[[#This Row],[Objetive value]]))*100</f>
        <v>0</v>
      </c>
    </row>
    <row r="134" spans="1:23" x14ac:dyDescent="0.25">
      <c r="A134" s="3" t="s">
        <v>262</v>
      </c>
      <c r="B134" s="39" t="s">
        <v>280</v>
      </c>
      <c r="C134" s="3">
        <v>2000</v>
      </c>
      <c r="D134" s="3">
        <v>0.15</v>
      </c>
      <c r="E134" s="3">
        <v>10</v>
      </c>
      <c r="F134" s="39" t="s">
        <v>21</v>
      </c>
      <c r="G134" s="39" t="s">
        <v>16</v>
      </c>
      <c r="H134" s="110">
        <v>26363</v>
      </c>
      <c r="I134" s="138">
        <v>25718</v>
      </c>
      <c r="J134" s="138">
        <v>18.483999999938501</v>
      </c>
      <c r="K134" s="137">
        <v>0</v>
      </c>
      <c r="L134" s="125">
        <v>24987</v>
      </c>
      <c r="M134" s="125">
        <v>229</v>
      </c>
      <c r="N134" s="125">
        <v>19</v>
      </c>
      <c r="O134" s="111">
        <f>((Tabela135[[#This Row],[Objetive value]]-Tabela135[[#This Row],[Objetive value/GATeS]])/Tabela135[[#This Row],[Objetive value]])*100</f>
        <v>2.8423672136246987</v>
      </c>
      <c r="P134" s="112">
        <v>25718</v>
      </c>
      <c r="Q134" s="112">
        <v>0.76</v>
      </c>
      <c r="R134" s="112">
        <v>0</v>
      </c>
      <c r="S134" s="112">
        <f>(((Tabela135[[#This Row],[Objetive value]]-Tabela135[[#This Row],[Objetive Value /H-R1]])/Tabela135[[#This Row],[Objetive value]]))*100</f>
        <v>0</v>
      </c>
      <c r="T134" s="113">
        <v>25718</v>
      </c>
      <c r="U134" s="113">
        <v>0.9</v>
      </c>
      <c r="V134" s="113">
        <v>0</v>
      </c>
      <c r="W134" s="113">
        <f>(((Tabela135[[#This Row],[Objetive value]]-Tabela135[[#This Row],[Objetive value /H-R2]])/Tabela135[[#This Row],[Objetive value]]))*100</f>
        <v>0</v>
      </c>
    </row>
    <row r="135" spans="1:23" x14ac:dyDescent="0.25">
      <c r="A135" s="3" t="s">
        <v>281</v>
      </c>
      <c r="B135" s="39" t="s">
        <v>294</v>
      </c>
      <c r="C135" s="3">
        <v>2000</v>
      </c>
      <c r="D135" s="3">
        <v>0.15</v>
      </c>
      <c r="E135" s="3">
        <v>15</v>
      </c>
      <c r="F135" s="39" t="s">
        <v>13</v>
      </c>
      <c r="G135" s="39" t="s">
        <v>14</v>
      </c>
      <c r="H135" s="110">
        <v>63332</v>
      </c>
      <c r="I135" s="138">
        <v>63131</v>
      </c>
      <c r="J135" s="138">
        <v>154.75</v>
      </c>
      <c r="K135" s="137">
        <v>0</v>
      </c>
      <c r="L135" s="125">
        <v>62033</v>
      </c>
      <c r="M135" s="125">
        <v>364</v>
      </c>
      <c r="N135" s="125">
        <v>4</v>
      </c>
      <c r="O135" s="111">
        <f>((Tabela135[[#This Row],[Objetive value]]-Tabela135[[#This Row],[Objetive value/GATeS]])/Tabela135[[#This Row],[Objetive value]])*100</f>
        <v>1.7392406266335081</v>
      </c>
      <c r="P135" s="112">
        <v>63131</v>
      </c>
      <c r="Q135" s="112">
        <v>0.96</v>
      </c>
      <c r="R135" s="112">
        <v>0</v>
      </c>
      <c r="S135" s="112">
        <f>(((Tabela135[[#This Row],[Objetive value]]-Tabela135[[#This Row],[Objetive Value /H-R1]])/Tabela135[[#This Row],[Objetive value]]))*100</f>
        <v>0</v>
      </c>
      <c r="T135" s="113">
        <v>62510</v>
      </c>
      <c r="U135" s="113">
        <v>0.81</v>
      </c>
      <c r="V135" s="113">
        <v>0</v>
      </c>
      <c r="W135" s="113">
        <f>(((Tabela135[[#This Row],[Objetive value]]-Tabela135[[#This Row],[Objetive value /H-R2]])/Tabela135[[#This Row],[Objetive value]]))*100</f>
        <v>0.98366887899763977</v>
      </c>
    </row>
    <row r="136" spans="1:23" x14ac:dyDescent="0.25">
      <c r="A136" s="3" t="s">
        <v>281</v>
      </c>
      <c r="B136" s="39" t="s">
        <v>295</v>
      </c>
      <c r="C136" s="3">
        <v>2000</v>
      </c>
      <c r="D136" s="3">
        <v>0.15</v>
      </c>
      <c r="E136" s="3">
        <v>15</v>
      </c>
      <c r="F136" s="39" t="s">
        <v>13</v>
      </c>
      <c r="G136" s="39" t="s">
        <v>16</v>
      </c>
      <c r="H136" s="110">
        <v>35728</v>
      </c>
      <c r="I136" s="138">
        <v>35102</v>
      </c>
      <c r="J136" s="138">
        <v>86.202999999979497</v>
      </c>
      <c r="K136" s="137">
        <v>0.12</v>
      </c>
      <c r="L136" s="125">
        <v>34286</v>
      </c>
      <c r="M136" s="125">
        <v>483</v>
      </c>
      <c r="N136" s="125">
        <v>378</v>
      </c>
      <c r="O136" s="111">
        <f>((Tabela135[[#This Row],[Objetive value]]-Tabela135[[#This Row],[Objetive value/GATeS]])/Tabela135[[#This Row],[Objetive value]])*100</f>
        <v>2.3246538658765883</v>
      </c>
      <c r="P136" s="112">
        <v>35102</v>
      </c>
      <c r="Q136" s="112">
        <v>1.71</v>
      </c>
      <c r="R136" s="112">
        <v>0</v>
      </c>
      <c r="S136" s="112">
        <f>(((Tabela135[[#This Row],[Objetive value]]-Tabela135[[#This Row],[Objetive Value /H-R1]])/Tabela135[[#This Row],[Objetive value]]))*100</f>
        <v>0</v>
      </c>
      <c r="T136" s="113">
        <v>33846</v>
      </c>
      <c r="U136" s="113">
        <v>0.82</v>
      </c>
      <c r="V136" s="113">
        <v>0</v>
      </c>
      <c r="W136" s="113">
        <f>(((Tabela135[[#This Row],[Objetive value]]-Tabela135[[#This Row],[Objetive value /H-R2]])/Tabela135[[#This Row],[Objetive value]]))*100</f>
        <v>3.5781436955159251</v>
      </c>
    </row>
    <row r="137" spans="1:23" x14ac:dyDescent="0.25">
      <c r="A137" s="3" t="s">
        <v>281</v>
      </c>
      <c r="B137" s="39" t="s">
        <v>296</v>
      </c>
      <c r="C137" s="3">
        <v>2000</v>
      </c>
      <c r="D137" s="3">
        <v>0.15</v>
      </c>
      <c r="E137" s="3">
        <v>15</v>
      </c>
      <c r="F137" s="39" t="s">
        <v>18</v>
      </c>
      <c r="G137" s="39" t="s">
        <v>14</v>
      </c>
      <c r="H137" s="110">
        <v>60752</v>
      </c>
      <c r="I137" s="138">
        <v>60752</v>
      </c>
      <c r="J137" s="138">
        <v>144.48400000005401</v>
      </c>
      <c r="K137" s="137">
        <v>0</v>
      </c>
      <c r="L137" s="125">
        <v>60687</v>
      </c>
      <c r="M137" s="125">
        <v>443</v>
      </c>
      <c r="N137" s="125">
        <v>4</v>
      </c>
      <c r="O137" s="111">
        <f>((Tabela135[[#This Row],[Objetive value]]-Tabela135[[#This Row],[Objetive value/GATeS]])/Tabela135[[#This Row],[Objetive value]])*100</f>
        <v>0.1069923623913616</v>
      </c>
      <c r="P137" s="112">
        <v>58964</v>
      </c>
      <c r="Q137" s="112">
        <v>1.5</v>
      </c>
      <c r="R137" s="112">
        <v>0</v>
      </c>
      <c r="S137" s="112">
        <f>(((Tabela135[[#This Row],[Objetive value]]-Tabela135[[#This Row],[Objetive Value /H-R1]])/Tabela135[[#This Row],[Objetive value]]))*100</f>
        <v>2.9431129839346855</v>
      </c>
      <c r="T137" s="113">
        <v>57533</v>
      </c>
      <c r="U137" s="113">
        <v>0.83</v>
      </c>
      <c r="V137" s="113">
        <v>0</v>
      </c>
      <c r="W137" s="113">
        <f>(((Tabela135[[#This Row],[Objetive value]]-Tabela135[[#This Row],[Objetive value /H-R2]])/Tabela135[[#This Row],[Objetive value]]))*100</f>
        <v>5.2985909928891228</v>
      </c>
    </row>
    <row r="138" spans="1:23" x14ac:dyDescent="0.25">
      <c r="A138" s="3" t="s">
        <v>281</v>
      </c>
      <c r="B138" s="39" t="s">
        <v>297</v>
      </c>
      <c r="C138" s="3">
        <v>2000</v>
      </c>
      <c r="D138" s="3">
        <v>0.15</v>
      </c>
      <c r="E138" s="3">
        <v>15</v>
      </c>
      <c r="F138" s="39" t="s">
        <v>18</v>
      </c>
      <c r="G138" s="39" t="s">
        <v>16</v>
      </c>
      <c r="H138" s="110">
        <v>35144</v>
      </c>
      <c r="I138" s="138">
        <v>34739</v>
      </c>
      <c r="J138" s="138">
        <v>205.375</v>
      </c>
      <c r="K138" s="137">
        <v>0.2</v>
      </c>
      <c r="L138" s="125">
        <v>34028</v>
      </c>
      <c r="M138" s="125">
        <v>751</v>
      </c>
      <c r="N138" s="125">
        <v>741</v>
      </c>
      <c r="O138" s="111">
        <f>((Tabela135[[#This Row],[Objetive value]]-Tabela135[[#This Row],[Objetive value/GATeS]])/Tabela135[[#This Row],[Objetive value]])*100</f>
        <v>2.0466910388900086</v>
      </c>
      <c r="P138" s="112">
        <v>34052</v>
      </c>
      <c r="Q138" s="112">
        <v>1.01</v>
      </c>
      <c r="R138" s="112">
        <v>0</v>
      </c>
      <c r="S138" s="112">
        <f>(((Tabela135[[#This Row],[Objetive value]]-Tabela135[[#This Row],[Objetive Value /H-R1]])/Tabela135[[#This Row],[Objetive value]]))*100</f>
        <v>1.9776044215435102</v>
      </c>
      <c r="T138" s="113">
        <v>33944</v>
      </c>
      <c r="U138" s="113">
        <v>1</v>
      </c>
      <c r="V138" s="113">
        <v>0</v>
      </c>
      <c r="W138" s="113">
        <f>(((Tabela135[[#This Row],[Objetive value]]-Tabela135[[#This Row],[Objetive value /H-R2]])/Tabela135[[#This Row],[Objetive value]]))*100</f>
        <v>2.2884941996027521</v>
      </c>
    </row>
    <row r="139" spans="1:23" x14ac:dyDescent="0.25">
      <c r="A139" s="3" t="s">
        <v>281</v>
      </c>
      <c r="B139" s="39" t="s">
        <v>298</v>
      </c>
      <c r="C139" s="3">
        <v>2000</v>
      </c>
      <c r="D139" s="3">
        <v>0.15</v>
      </c>
      <c r="E139" s="3">
        <v>15</v>
      </c>
      <c r="F139" s="39" t="s">
        <v>21</v>
      </c>
      <c r="G139" s="39" t="s">
        <v>14</v>
      </c>
      <c r="H139" s="110">
        <v>70033</v>
      </c>
      <c r="I139" s="138">
        <v>67756</v>
      </c>
      <c r="J139" s="138">
        <v>6.85899999993853</v>
      </c>
      <c r="K139" s="137">
        <v>60.84</v>
      </c>
      <c r="L139" s="125">
        <v>60722</v>
      </c>
      <c r="M139" s="125">
        <v>439</v>
      </c>
      <c r="N139" s="125">
        <v>394</v>
      </c>
      <c r="O139" s="111">
        <f>((Tabela135[[#This Row],[Objetive value]]-Tabela135[[#This Row],[Objetive value/GATeS]])/Tabela135[[#This Row],[Objetive value]])*100</f>
        <v>10.381368439695377</v>
      </c>
      <c r="P139" s="112">
        <v>44948</v>
      </c>
      <c r="Q139" s="112">
        <v>5</v>
      </c>
      <c r="R139" s="112">
        <v>0</v>
      </c>
      <c r="S139" s="112">
        <f>(((Tabela135[[#This Row],[Objetive value]]-Tabela135[[#This Row],[Objetive Value /H-R1]])/Tabela135[[#This Row],[Objetive value]]))*100</f>
        <v>33.661963516146173</v>
      </c>
      <c r="T139" s="113">
        <v>67751</v>
      </c>
      <c r="U139" s="113">
        <v>2</v>
      </c>
      <c r="V139" s="113">
        <v>0</v>
      </c>
      <c r="W139" s="113">
        <f>(((Tabela135[[#This Row],[Objetive value]]-Tabela135[[#This Row],[Objetive value /H-R2]])/Tabela135[[#This Row],[Objetive value]]))*100</f>
        <v>7.3794202727433733E-3</v>
      </c>
    </row>
    <row r="140" spans="1:23" x14ac:dyDescent="0.25">
      <c r="A140" s="3" t="s">
        <v>281</v>
      </c>
      <c r="B140" s="39" t="s">
        <v>299</v>
      </c>
      <c r="C140" s="3">
        <v>2000</v>
      </c>
      <c r="D140" s="3">
        <v>0.15</v>
      </c>
      <c r="E140" s="3">
        <v>15</v>
      </c>
      <c r="F140" s="39" t="s">
        <v>21</v>
      </c>
      <c r="G140" s="39" t="s">
        <v>16</v>
      </c>
      <c r="H140" s="110">
        <v>36353</v>
      </c>
      <c r="I140" s="138">
        <v>36252</v>
      </c>
      <c r="J140" s="138">
        <v>34.4690000000409</v>
      </c>
      <c r="K140" s="137">
        <v>0.01</v>
      </c>
      <c r="L140" s="125">
        <v>34975</v>
      </c>
      <c r="M140" s="125">
        <v>669</v>
      </c>
      <c r="N140" s="125">
        <v>242</v>
      </c>
      <c r="O140" s="111">
        <f>((Tabela135[[#This Row],[Objetive value]]-Tabela135[[#This Row],[Objetive value/GATeS]])/Tabela135[[#This Row],[Objetive value]])*100</f>
        <v>3.5225642723160102</v>
      </c>
      <c r="P140" s="112">
        <v>34982</v>
      </c>
      <c r="Q140" s="112">
        <v>1.7</v>
      </c>
      <c r="R140" s="112">
        <v>0</v>
      </c>
      <c r="S140" s="112">
        <f>(((Tabela135[[#This Row],[Objetive value]]-Tabela135[[#This Row],[Objetive Value /H-R1]])/Tabela135[[#This Row],[Objetive value]]))*100</f>
        <v>3.5032549928279817</v>
      </c>
      <c r="T140" s="113">
        <v>34982</v>
      </c>
      <c r="U140" s="113">
        <v>0.95</v>
      </c>
      <c r="V140" s="113">
        <v>0</v>
      </c>
      <c r="W140" s="113">
        <f>(((Tabela135[[#This Row],[Objetive value]]-Tabela135[[#This Row],[Objetive value /H-R2]])/Tabela135[[#This Row],[Objetive value]]))*100</f>
        <v>3.5032549928279817</v>
      </c>
    </row>
    <row r="141" spans="1:23" x14ac:dyDescent="0.25">
      <c r="A141" s="3" t="s">
        <v>243</v>
      </c>
      <c r="B141" s="37" t="s">
        <v>256</v>
      </c>
      <c r="C141" s="3">
        <v>2000</v>
      </c>
      <c r="D141" s="3">
        <v>0.15</v>
      </c>
      <c r="E141" s="3">
        <v>5</v>
      </c>
      <c r="F141" s="39" t="s">
        <v>13</v>
      </c>
      <c r="G141" s="39" t="s">
        <v>14</v>
      </c>
      <c r="H141" s="110">
        <v>20099</v>
      </c>
      <c r="I141" s="138">
        <v>20068</v>
      </c>
      <c r="J141" s="138">
        <v>2.07799999997951</v>
      </c>
      <c r="K141" s="137">
        <v>0</v>
      </c>
      <c r="L141" s="125">
        <v>20028</v>
      </c>
      <c r="M141" s="125">
        <v>71</v>
      </c>
      <c r="N141" s="125">
        <v>55</v>
      </c>
      <c r="O141" s="111">
        <f>((Tabela135[[#This Row],[Objetive value]]-Tabela135[[#This Row],[Objetive value/GATeS]])/Tabela135[[#This Row],[Objetive value]])*100</f>
        <v>0.19932230416583618</v>
      </c>
      <c r="P141" s="112">
        <v>20068</v>
      </c>
      <c r="Q141" s="112">
        <v>0.38</v>
      </c>
      <c r="R141" s="112">
        <v>0</v>
      </c>
      <c r="S141" s="112">
        <f>(((Tabela135[[#This Row],[Objetive value]]-Tabela135[[#This Row],[Objetive Value /H-R1]])/Tabela135[[#This Row],[Objetive value]]))*100</f>
        <v>0</v>
      </c>
      <c r="T141" s="113">
        <v>18858</v>
      </c>
      <c r="U141" s="113">
        <v>0.43</v>
      </c>
      <c r="V141" s="113">
        <v>0</v>
      </c>
      <c r="W141" s="113">
        <f>(((Tabela135[[#This Row],[Objetive value]]-Tabela135[[#This Row],[Objetive value /H-R2]])/Tabela135[[#This Row],[Objetive value]]))*100</f>
        <v>6.0294997010165439</v>
      </c>
    </row>
    <row r="142" spans="1:23" x14ac:dyDescent="0.25">
      <c r="A142" s="3" t="s">
        <v>243</v>
      </c>
      <c r="B142" s="39" t="s">
        <v>257</v>
      </c>
      <c r="C142" s="3">
        <v>2000</v>
      </c>
      <c r="D142" s="3">
        <v>0.15</v>
      </c>
      <c r="E142" s="3">
        <v>5</v>
      </c>
      <c r="F142" s="39" t="s">
        <v>13</v>
      </c>
      <c r="G142" s="39" t="s">
        <v>16</v>
      </c>
      <c r="H142" s="110">
        <v>13957</v>
      </c>
      <c r="I142" s="138">
        <v>13911</v>
      </c>
      <c r="J142" s="138">
        <v>2.875</v>
      </c>
      <c r="K142" s="137">
        <v>0</v>
      </c>
      <c r="L142" s="125">
        <v>13565</v>
      </c>
      <c r="M142" s="125">
        <v>75</v>
      </c>
      <c r="N142" s="125">
        <v>16</v>
      </c>
      <c r="O142" s="111">
        <f>((Tabela135[[#This Row],[Objetive value]]-Tabela135[[#This Row],[Objetive value/GATeS]])/Tabela135[[#This Row],[Objetive value]])*100</f>
        <v>2.4872403134210339</v>
      </c>
      <c r="P142" s="112">
        <v>13911</v>
      </c>
      <c r="Q142" s="112">
        <v>0.45</v>
      </c>
      <c r="R142" s="112">
        <v>0</v>
      </c>
      <c r="S142" s="112">
        <f>(((Tabela135[[#This Row],[Objetive value]]-Tabela135[[#This Row],[Objetive Value /H-R1]])/Tabela135[[#This Row],[Objetive value]]))*100</f>
        <v>0</v>
      </c>
      <c r="T142" s="113">
        <v>13910</v>
      </c>
      <c r="U142" s="113">
        <v>0.43</v>
      </c>
      <c r="V142" s="113">
        <v>0</v>
      </c>
      <c r="W142" s="113">
        <f>(((Tabela135[[#This Row],[Objetive value]]-Tabela135[[#This Row],[Objetive value /H-R2]])/Tabela135[[#This Row],[Objetive value]]))*100</f>
        <v>7.1885558191359354E-3</v>
      </c>
    </row>
    <row r="143" spans="1:23" x14ac:dyDescent="0.25">
      <c r="A143" s="3" t="s">
        <v>243</v>
      </c>
      <c r="B143" s="39" t="s">
        <v>258</v>
      </c>
      <c r="C143" s="3">
        <v>2000</v>
      </c>
      <c r="D143" s="3">
        <v>0.15</v>
      </c>
      <c r="E143" s="3">
        <v>5</v>
      </c>
      <c r="F143" s="39" t="s">
        <v>18</v>
      </c>
      <c r="G143" s="39" t="s">
        <v>14</v>
      </c>
      <c r="H143" s="110">
        <v>20282</v>
      </c>
      <c r="I143" s="138">
        <v>20282</v>
      </c>
      <c r="J143" s="138">
        <v>1.75</v>
      </c>
      <c r="K143" s="137">
        <v>0</v>
      </c>
      <c r="L143" s="125">
        <v>20264</v>
      </c>
      <c r="M143" s="125">
        <v>96</v>
      </c>
      <c r="N143" s="125">
        <v>61</v>
      </c>
      <c r="O143" s="111">
        <f>((Tabela135[[#This Row],[Objetive value]]-Tabela135[[#This Row],[Objetive value/GATeS]])/Tabela135[[#This Row],[Objetive value]])*100</f>
        <v>8.8748644117937092E-2</v>
      </c>
      <c r="P143" s="112">
        <v>20282</v>
      </c>
      <c r="Q143" s="112">
        <v>0.61</v>
      </c>
      <c r="R143" s="112">
        <v>0</v>
      </c>
      <c r="S143" s="112">
        <f>(((Tabela135[[#This Row],[Objetive value]]-Tabela135[[#This Row],[Objetive Value /H-R1]])/Tabela135[[#This Row],[Objetive value]]))*100</f>
        <v>0</v>
      </c>
      <c r="T143" s="113">
        <v>20282</v>
      </c>
      <c r="U143" s="113">
        <v>0.33</v>
      </c>
      <c r="V143" s="113">
        <v>0</v>
      </c>
      <c r="W143" s="113">
        <f>(((Tabela135[[#This Row],[Objetive value]]-Tabela135[[#This Row],[Objetive value /H-R2]])/Tabela135[[#This Row],[Objetive value]]))*100</f>
        <v>0</v>
      </c>
    </row>
    <row r="144" spans="1:23" x14ac:dyDescent="0.25">
      <c r="A144" s="3" t="s">
        <v>243</v>
      </c>
      <c r="B144" s="39" t="s">
        <v>259</v>
      </c>
      <c r="C144" s="3">
        <v>2000</v>
      </c>
      <c r="D144" s="3">
        <v>0.15</v>
      </c>
      <c r="E144" s="3">
        <v>5</v>
      </c>
      <c r="F144" s="39" t="s">
        <v>18</v>
      </c>
      <c r="G144" s="39" t="s">
        <v>16</v>
      </c>
      <c r="H144" s="110">
        <v>14935</v>
      </c>
      <c r="I144" s="138">
        <v>14935</v>
      </c>
      <c r="J144" s="138">
        <v>1.28099999995902</v>
      </c>
      <c r="K144" s="137">
        <v>0</v>
      </c>
      <c r="L144" s="125">
        <v>14576</v>
      </c>
      <c r="M144" s="125">
        <v>85</v>
      </c>
      <c r="N144" s="125">
        <v>28</v>
      </c>
      <c r="O144" s="111">
        <f>((Tabela135[[#This Row],[Objetive value]]-Tabela135[[#This Row],[Objetive value/GATeS]])/Tabela135[[#This Row],[Objetive value]])*100</f>
        <v>2.4037495815199197</v>
      </c>
      <c r="P144" s="112">
        <v>14935</v>
      </c>
      <c r="Q144" s="112">
        <v>0.69</v>
      </c>
      <c r="R144" s="112">
        <v>0</v>
      </c>
      <c r="S144" s="112">
        <f>(((Tabela135[[#This Row],[Objetive value]]-Tabela135[[#This Row],[Objetive Value /H-R1]])/Tabela135[[#This Row],[Objetive value]]))*100</f>
        <v>0</v>
      </c>
      <c r="T144" s="113">
        <v>14935</v>
      </c>
      <c r="U144" s="113">
        <v>0.43</v>
      </c>
      <c r="V144" s="113">
        <v>0</v>
      </c>
      <c r="W144" s="113">
        <f>(((Tabela135[[#This Row],[Objetive value]]-Tabela135[[#This Row],[Objetive value /H-R2]])/Tabela135[[#This Row],[Objetive value]]))*100</f>
        <v>0</v>
      </c>
    </row>
    <row r="145" spans="1:23" x14ac:dyDescent="0.25">
      <c r="A145" s="3" t="s">
        <v>243</v>
      </c>
      <c r="B145" s="39" t="s">
        <v>260</v>
      </c>
      <c r="C145" s="3">
        <v>2000</v>
      </c>
      <c r="D145" s="3">
        <v>0.15</v>
      </c>
      <c r="E145" s="3">
        <v>5</v>
      </c>
      <c r="F145" s="39" t="s">
        <v>21</v>
      </c>
      <c r="G145" s="39" t="s">
        <v>14</v>
      </c>
      <c r="H145" s="110">
        <v>21319</v>
      </c>
      <c r="I145" s="138">
        <v>21319</v>
      </c>
      <c r="J145" s="138">
        <v>2.0159999999450502</v>
      </c>
      <c r="K145" s="137">
        <v>0</v>
      </c>
      <c r="L145" s="125">
        <v>21266</v>
      </c>
      <c r="M145" s="125">
        <v>71</v>
      </c>
      <c r="N145" s="125">
        <v>0</v>
      </c>
      <c r="O145" s="111">
        <f>((Tabela135[[#This Row],[Objetive value]]-Tabela135[[#This Row],[Objetive value/GATeS]])/Tabela135[[#This Row],[Objetive value]])*100</f>
        <v>0.24860453116937942</v>
      </c>
      <c r="P145" s="112">
        <v>21319</v>
      </c>
      <c r="Q145" s="112">
        <v>0.56000000000000005</v>
      </c>
      <c r="R145" s="112">
        <v>0</v>
      </c>
      <c r="S145" s="112">
        <f>(((Tabela135[[#This Row],[Objetive value]]-Tabela135[[#This Row],[Objetive Value /H-R1]])/Tabela135[[#This Row],[Objetive value]]))*100</f>
        <v>0</v>
      </c>
      <c r="T145" s="113">
        <v>19464</v>
      </c>
      <c r="U145" s="113">
        <v>0.35</v>
      </c>
      <c r="V145" s="113">
        <v>0</v>
      </c>
      <c r="W145" s="113">
        <f>(((Tabela135[[#This Row],[Objetive value]]-Tabela135[[#This Row],[Objetive value /H-R2]])/Tabela135[[#This Row],[Objetive value]]))*100</f>
        <v>8.70115859092828</v>
      </c>
    </row>
    <row r="146" spans="1:23" x14ac:dyDescent="0.25">
      <c r="A146" s="3" t="s">
        <v>243</v>
      </c>
      <c r="B146" s="39" t="s">
        <v>261</v>
      </c>
      <c r="C146" s="3">
        <v>2000</v>
      </c>
      <c r="D146" s="3">
        <v>0.15</v>
      </c>
      <c r="E146" s="3">
        <v>5</v>
      </c>
      <c r="F146" s="39" t="s">
        <v>21</v>
      </c>
      <c r="G146" s="39" t="s">
        <v>16</v>
      </c>
      <c r="H146" s="110">
        <v>14569</v>
      </c>
      <c r="I146" s="138">
        <v>14569</v>
      </c>
      <c r="J146" s="138">
        <v>1.32800000009592</v>
      </c>
      <c r="K146" s="137">
        <v>0</v>
      </c>
      <c r="L146" s="125">
        <v>14569</v>
      </c>
      <c r="M146" s="125">
        <v>53</v>
      </c>
      <c r="N146" s="125">
        <v>17</v>
      </c>
      <c r="O146" s="111">
        <f>((Tabela135[[#This Row],[Objetive value]]-Tabela135[[#This Row],[Objetive value/GATeS]])/Tabela135[[#This Row],[Objetive value]])*100</f>
        <v>0</v>
      </c>
      <c r="P146" s="112">
        <v>14569</v>
      </c>
      <c r="Q146" s="112">
        <v>0.4</v>
      </c>
      <c r="R146" s="112">
        <v>0</v>
      </c>
      <c r="S146" s="112">
        <f>(((Tabela135[[#This Row],[Objetive value]]-Tabela135[[#This Row],[Objetive Value /H-R1]])/Tabela135[[#This Row],[Objetive value]]))*100</f>
        <v>0</v>
      </c>
      <c r="T146" s="113">
        <v>14569</v>
      </c>
      <c r="U146" s="113">
        <v>0.65</v>
      </c>
      <c r="V146" s="113">
        <v>0</v>
      </c>
      <c r="W146" s="113">
        <f>(((Tabela135[[#This Row],[Objetive value]]-Tabela135[[#This Row],[Objetive value /H-R2]])/Tabela135[[#This Row],[Objetive value]]))*100</f>
        <v>0</v>
      </c>
    </row>
    <row r="147" spans="1:23" x14ac:dyDescent="0.25">
      <c r="A147" s="3" t="s">
        <v>262</v>
      </c>
      <c r="B147" s="37" t="s">
        <v>263</v>
      </c>
      <c r="C147" s="3">
        <v>2000</v>
      </c>
      <c r="D147" s="3">
        <v>0.05</v>
      </c>
      <c r="E147" s="3">
        <v>10</v>
      </c>
      <c r="F147" s="39" t="s">
        <v>13</v>
      </c>
      <c r="G147" s="39" t="s">
        <v>14</v>
      </c>
      <c r="H147" s="110">
        <v>40390</v>
      </c>
      <c r="I147" s="138">
        <v>40391</v>
      </c>
      <c r="J147" s="138">
        <v>21.311999999918001</v>
      </c>
      <c r="K147" s="137">
        <v>54.47</v>
      </c>
      <c r="L147" s="125">
        <v>38038</v>
      </c>
      <c r="M147" s="125">
        <v>280</v>
      </c>
      <c r="N147" s="125">
        <v>259</v>
      </c>
      <c r="O147" s="111">
        <f>((Tabela135[[#This Row],[Objetive value]]-Tabela135[[#This Row],[Objetive value/GATeS]])/Tabela135[[#This Row],[Objetive value]])*100</f>
        <v>5.825555197940135</v>
      </c>
      <c r="P147" s="112">
        <v>40031</v>
      </c>
      <c r="Q147" s="112">
        <v>0.7</v>
      </c>
      <c r="R147" s="112">
        <v>0</v>
      </c>
      <c r="S147" s="112">
        <f>(((Tabela135[[#This Row],[Objetive value]]-Tabela135[[#This Row],[Objetive Value /H-R1]])/Tabela135[[#This Row],[Objetive value]]))*100</f>
        <v>0.89128766309326324</v>
      </c>
      <c r="T147" s="113">
        <v>38199</v>
      </c>
      <c r="U147" s="113">
        <v>0.65</v>
      </c>
      <c r="V147" s="113">
        <v>0</v>
      </c>
      <c r="W147" s="113">
        <f>(((Tabela135[[#This Row],[Objetive value]]-Tabela135[[#This Row],[Objetive value /H-R2]])/Tabela135[[#This Row],[Objetive value]]))*100</f>
        <v>5.4269515486123145</v>
      </c>
    </row>
    <row r="148" spans="1:23" x14ac:dyDescent="0.25">
      <c r="A148" s="3" t="s">
        <v>262</v>
      </c>
      <c r="B148" s="39" t="s">
        <v>264</v>
      </c>
      <c r="C148" s="3">
        <v>2000</v>
      </c>
      <c r="D148" s="3">
        <v>0.05</v>
      </c>
      <c r="E148" s="3">
        <v>10</v>
      </c>
      <c r="F148" s="39" t="s">
        <v>13</v>
      </c>
      <c r="G148" s="39" t="s">
        <v>16</v>
      </c>
      <c r="H148" s="110">
        <v>24233</v>
      </c>
      <c r="I148" s="138">
        <v>23840</v>
      </c>
      <c r="J148" s="138">
        <v>36.234999999986002</v>
      </c>
      <c r="K148" s="137">
        <v>0</v>
      </c>
      <c r="L148" s="125">
        <v>23382</v>
      </c>
      <c r="M148" s="125">
        <v>262</v>
      </c>
      <c r="N148" s="125">
        <v>186</v>
      </c>
      <c r="O148" s="111">
        <f>((Tabela135[[#This Row],[Objetive value]]-Tabela135[[#This Row],[Objetive value/GATeS]])/Tabela135[[#This Row],[Objetive value]])*100</f>
        <v>1.9211409395973156</v>
      </c>
      <c r="P148" s="112">
        <v>23720</v>
      </c>
      <c r="Q148" s="112">
        <v>0.89</v>
      </c>
      <c r="R148" s="112">
        <v>0</v>
      </c>
      <c r="S148" s="112">
        <f>(((Tabela135[[#This Row],[Objetive value]]-Tabela135[[#This Row],[Objetive Value /H-R1]])/Tabela135[[#This Row],[Objetive value]]))*100</f>
        <v>0.50335570469798652</v>
      </c>
      <c r="T148" s="113">
        <v>23720</v>
      </c>
      <c r="U148" s="113">
        <v>0.74</v>
      </c>
      <c r="V148" s="113">
        <v>0</v>
      </c>
      <c r="W148" s="113">
        <f>(((Tabela135[[#This Row],[Objetive value]]-Tabela135[[#This Row],[Objetive value /H-R2]])/Tabela135[[#This Row],[Objetive value]]))*100</f>
        <v>0.50335570469798652</v>
      </c>
    </row>
    <row r="149" spans="1:23" x14ac:dyDescent="0.25">
      <c r="A149" s="3" t="s">
        <v>262</v>
      </c>
      <c r="B149" s="39" t="s">
        <v>265</v>
      </c>
      <c r="C149" s="3">
        <v>2000</v>
      </c>
      <c r="D149" s="3">
        <v>0.05</v>
      </c>
      <c r="E149" s="3">
        <v>10</v>
      </c>
      <c r="F149" s="39" t="s">
        <v>18</v>
      </c>
      <c r="G149" s="39" t="s">
        <v>14</v>
      </c>
      <c r="H149" s="110">
        <v>38080</v>
      </c>
      <c r="I149" s="138">
        <v>38012</v>
      </c>
      <c r="J149" s="138">
        <v>23.842999999993399</v>
      </c>
      <c r="K149" s="137">
        <v>0</v>
      </c>
      <c r="L149" s="125">
        <v>37844</v>
      </c>
      <c r="M149" s="125">
        <v>160</v>
      </c>
      <c r="N149" s="125">
        <v>53</v>
      </c>
      <c r="O149" s="111">
        <f>((Tabela135[[#This Row],[Objetive value]]-Tabela135[[#This Row],[Objetive value/GATeS]])/Tabela135[[#This Row],[Objetive value]])*100</f>
        <v>0.44196569504367045</v>
      </c>
      <c r="P149" s="112">
        <v>38012</v>
      </c>
      <c r="Q149" s="112">
        <v>0.66</v>
      </c>
      <c r="R149" s="112">
        <v>0</v>
      </c>
      <c r="S149" s="112">
        <f>(((Tabela135[[#This Row],[Objetive value]]-Tabela135[[#This Row],[Objetive Value /H-R1]])/Tabela135[[#This Row],[Objetive value]]))*100</f>
        <v>0</v>
      </c>
      <c r="T149" s="113">
        <v>36747</v>
      </c>
      <c r="U149" s="113">
        <v>0.51</v>
      </c>
      <c r="V149" s="113">
        <v>0</v>
      </c>
      <c r="W149" s="113">
        <f>(((Tabela135[[#This Row],[Objetive value]]-Tabela135[[#This Row],[Objetive value /H-R2]])/Tabela135[[#This Row],[Objetive value]]))*100</f>
        <v>3.327896453751447</v>
      </c>
    </row>
    <row r="150" spans="1:23" x14ac:dyDescent="0.25">
      <c r="A150" s="3" t="s">
        <v>262</v>
      </c>
      <c r="B150" s="39" t="s">
        <v>266</v>
      </c>
      <c r="C150" s="3">
        <v>2000</v>
      </c>
      <c r="D150" s="3">
        <v>0.05</v>
      </c>
      <c r="E150" s="3">
        <v>10</v>
      </c>
      <c r="F150" s="39" t="s">
        <v>18</v>
      </c>
      <c r="G150" s="39" t="s">
        <v>16</v>
      </c>
      <c r="H150" s="110">
        <v>24114</v>
      </c>
      <c r="I150" s="138">
        <v>23637</v>
      </c>
      <c r="J150" s="138">
        <v>31.406000000075402</v>
      </c>
      <c r="K150" s="137">
        <v>0</v>
      </c>
      <c r="L150" s="125">
        <v>23069</v>
      </c>
      <c r="M150" s="125">
        <v>354</v>
      </c>
      <c r="N150" s="125">
        <v>5</v>
      </c>
      <c r="O150" s="111">
        <f>((Tabela135[[#This Row],[Objetive value]]-Tabela135[[#This Row],[Objetive value/GATeS]])/Tabela135[[#This Row],[Objetive value]])*100</f>
        <v>2.4030122265938996</v>
      </c>
      <c r="P150" s="112">
        <v>22622</v>
      </c>
      <c r="Q150" s="112">
        <v>1.1299999999999999</v>
      </c>
      <c r="R150" s="112">
        <v>0</v>
      </c>
      <c r="S150" s="112">
        <f>(((Tabela135[[#This Row],[Objetive value]]-Tabela135[[#This Row],[Objetive Value /H-R1]])/Tabela135[[#This Row],[Objetive value]]))*100</f>
        <v>4.2941151584380419</v>
      </c>
      <c r="T150" s="113">
        <v>22878</v>
      </c>
      <c r="U150" s="113">
        <v>0.7</v>
      </c>
      <c r="V150" s="113">
        <v>0</v>
      </c>
      <c r="W150" s="113">
        <f>(((Tabela135[[#This Row],[Objetive value]]-Tabela135[[#This Row],[Objetive value /H-R2]])/Tabela135[[#This Row],[Objetive value]]))*100</f>
        <v>3.2110673943393833</v>
      </c>
    </row>
    <row r="151" spans="1:23" x14ac:dyDescent="0.25">
      <c r="A151" s="3" t="s">
        <v>262</v>
      </c>
      <c r="B151" s="39" t="s">
        <v>267</v>
      </c>
      <c r="C151" s="3">
        <v>2000</v>
      </c>
      <c r="D151" s="3">
        <v>0.05</v>
      </c>
      <c r="E151" s="3">
        <v>10</v>
      </c>
      <c r="F151" s="39" t="s">
        <v>21</v>
      </c>
      <c r="G151" s="39" t="s">
        <v>14</v>
      </c>
      <c r="H151" s="110">
        <v>37184</v>
      </c>
      <c r="I151" s="138">
        <v>34331</v>
      </c>
      <c r="J151" s="138">
        <v>5.7969999999040702</v>
      </c>
      <c r="K151" s="137">
        <v>0</v>
      </c>
      <c r="L151" s="125">
        <v>33247</v>
      </c>
      <c r="M151" s="125">
        <v>288</v>
      </c>
      <c r="N151" s="125">
        <v>2</v>
      </c>
      <c r="O151" s="111">
        <f>((Tabela135[[#This Row],[Objetive value]]-Tabela135[[#This Row],[Objetive value/GATeS]])/Tabela135[[#This Row],[Objetive value]])*100</f>
        <v>3.1574961405144042</v>
      </c>
      <c r="P151" s="112">
        <v>7158</v>
      </c>
      <c r="Q151" s="112">
        <v>2.7</v>
      </c>
      <c r="R151" s="112">
        <v>0</v>
      </c>
      <c r="S151" s="112">
        <f>(((Tabela135[[#This Row],[Objetive value]]-Tabela135[[#This Row],[Objetive Value /H-R1]])/Tabela135[[#This Row],[Objetive value]]))*100</f>
        <v>79.150039323060795</v>
      </c>
      <c r="T151" s="113">
        <v>31773</v>
      </c>
      <c r="U151" s="113">
        <v>0.67</v>
      </c>
      <c r="V151" s="113">
        <v>0</v>
      </c>
      <c r="W151" s="113">
        <f>(((Tabela135[[#This Row],[Objetive value]]-Tabela135[[#This Row],[Objetive value /H-R2]])/Tabela135[[#This Row],[Objetive value]]))*100</f>
        <v>7.4509918149777175</v>
      </c>
    </row>
    <row r="152" spans="1:23" x14ac:dyDescent="0.25">
      <c r="A152" s="3" t="s">
        <v>262</v>
      </c>
      <c r="B152" s="39" t="s">
        <v>268</v>
      </c>
      <c r="C152" s="3">
        <v>2000</v>
      </c>
      <c r="D152" s="3">
        <v>0.05</v>
      </c>
      <c r="E152" s="3">
        <v>10</v>
      </c>
      <c r="F152" s="39" t="s">
        <v>21</v>
      </c>
      <c r="G152" s="39" t="s">
        <v>16</v>
      </c>
      <c r="H152" s="110">
        <v>25080</v>
      </c>
      <c r="I152" s="138">
        <v>25080</v>
      </c>
      <c r="J152" s="138">
        <v>14.655999999959</v>
      </c>
      <c r="K152" s="137">
        <v>0</v>
      </c>
      <c r="L152" s="125">
        <v>24993</v>
      </c>
      <c r="M152" s="125">
        <v>235</v>
      </c>
      <c r="N152" s="125">
        <v>48</v>
      </c>
      <c r="O152" s="111">
        <f>((Tabela135[[#This Row],[Objetive value]]-Tabela135[[#This Row],[Objetive value/GATeS]])/Tabela135[[#This Row],[Objetive value]])*100</f>
        <v>0.34688995215311003</v>
      </c>
      <c r="P152" s="112">
        <v>24719</v>
      </c>
      <c r="Q152" s="112">
        <v>1.02</v>
      </c>
      <c r="R152" s="112">
        <v>0</v>
      </c>
      <c r="S152" s="112">
        <f>(((Tabela135[[#This Row],[Objetive value]]-Tabela135[[#This Row],[Objetive Value /H-R1]])/Tabela135[[#This Row],[Objetive value]]))*100</f>
        <v>1.4393939393939394</v>
      </c>
      <c r="T152" s="113">
        <v>24692</v>
      </c>
      <c r="U152" s="113">
        <v>0.66</v>
      </c>
      <c r="V152" s="113">
        <v>0</v>
      </c>
      <c r="W152" s="113">
        <f>(((Tabela135[[#This Row],[Objetive value]]-Tabela135[[#This Row],[Objetive value /H-R2]])/Tabela135[[#This Row],[Objetive value]]))*100</f>
        <v>1.5470494417862839</v>
      </c>
    </row>
    <row r="153" spans="1:23" x14ac:dyDescent="0.25">
      <c r="A153" s="3" t="s">
        <v>281</v>
      </c>
      <c r="B153" s="37" t="s">
        <v>282</v>
      </c>
      <c r="C153" s="3">
        <v>2000</v>
      </c>
      <c r="D153" s="3">
        <v>0.05</v>
      </c>
      <c r="E153" s="3">
        <v>15</v>
      </c>
      <c r="F153" s="39" t="s">
        <v>13</v>
      </c>
      <c r="G153" s="39" t="s">
        <v>14</v>
      </c>
      <c r="H153" s="110">
        <v>52717</v>
      </c>
      <c r="I153" s="138">
        <v>52718</v>
      </c>
      <c r="J153" s="138">
        <v>158.82900000002701</v>
      </c>
      <c r="K153" s="137">
        <v>2.02</v>
      </c>
      <c r="L153" s="125">
        <v>50257</v>
      </c>
      <c r="M153" s="125">
        <v>387</v>
      </c>
      <c r="N153" s="125">
        <v>110</v>
      </c>
      <c r="O153" s="111">
        <f>((Tabela135[[#This Row],[Objetive value]]-Tabela135[[#This Row],[Objetive value/GATeS]])/Tabela135[[#This Row],[Objetive value]])*100</f>
        <v>4.6682347585264994</v>
      </c>
      <c r="P153" s="112">
        <v>51817</v>
      </c>
      <c r="Q153" s="112">
        <v>1.24</v>
      </c>
      <c r="R153" s="112">
        <v>0</v>
      </c>
      <c r="S153" s="112">
        <f>(((Tabela135[[#This Row],[Objetive value]]-Tabela135[[#This Row],[Objetive Value /H-R1]])/Tabela135[[#This Row],[Objetive value]]))*100</f>
        <v>1.709093668196821</v>
      </c>
      <c r="T153" s="113">
        <v>48123</v>
      </c>
      <c r="U153" s="113">
        <v>0.89</v>
      </c>
      <c r="V153" s="113">
        <v>0</v>
      </c>
      <c r="W153" s="113">
        <f>(((Tabela135[[#This Row],[Objetive value]]-Tabela135[[#This Row],[Objetive value /H-R2]])/Tabela135[[#This Row],[Objetive value]]))*100</f>
        <v>8.7161880192723551</v>
      </c>
    </row>
    <row r="154" spans="1:23" x14ac:dyDescent="0.25">
      <c r="A154" s="3" t="s">
        <v>281</v>
      </c>
      <c r="B154" s="39" t="s">
        <v>283</v>
      </c>
      <c r="C154" s="3">
        <v>2000</v>
      </c>
      <c r="D154" s="3">
        <v>0.05</v>
      </c>
      <c r="E154" s="3">
        <v>15</v>
      </c>
      <c r="F154" s="39" t="s">
        <v>13</v>
      </c>
      <c r="G154" s="39" t="s">
        <v>16</v>
      </c>
      <c r="H154" s="110">
        <v>34473</v>
      </c>
      <c r="I154" s="138">
        <v>33816</v>
      </c>
      <c r="J154" s="138">
        <v>92.484999999986002</v>
      </c>
      <c r="K154" s="137">
        <v>0.03</v>
      </c>
      <c r="L154" s="125">
        <v>33234</v>
      </c>
      <c r="M154" s="125">
        <v>322</v>
      </c>
      <c r="N154" s="125">
        <v>261</v>
      </c>
      <c r="O154" s="111">
        <f>((Tabela135[[#This Row],[Objetive value]]-Tabela135[[#This Row],[Objetive value/GATeS]])/Tabela135[[#This Row],[Objetive value]])*100</f>
        <v>1.7210787792760824</v>
      </c>
      <c r="P154" s="112">
        <v>33088</v>
      </c>
      <c r="Q154" s="112">
        <v>1.19</v>
      </c>
      <c r="R154" s="112">
        <v>0</v>
      </c>
      <c r="S154" s="112">
        <f>(((Tabela135[[#This Row],[Objetive value]]-Tabela135[[#This Row],[Objetive Value /H-R1]])/Tabela135[[#This Row],[Objetive value]]))*100</f>
        <v>2.1528270641116629</v>
      </c>
      <c r="T154" s="113">
        <v>33088</v>
      </c>
      <c r="U154" s="113">
        <v>0.9</v>
      </c>
      <c r="V154" s="113">
        <v>0</v>
      </c>
      <c r="W154" s="113">
        <f>(((Tabela135[[#This Row],[Objetive value]]-Tabela135[[#This Row],[Objetive value /H-R2]])/Tabela135[[#This Row],[Objetive value]]))*100</f>
        <v>2.1528270641116629</v>
      </c>
    </row>
    <row r="155" spans="1:23" x14ac:dyDescent="0.25">
      <c r="A155" s="3" t="s">
        <v>281</v>
      </c>
      <c r="B155" s="39" t="s">
        <v>284</v>
      </c>
      <c r="C155" s="3">
        <v>2000</v>
      </c>
      <c r="D155" s="3">
        <v>0.05</v>
      </c>
      <c r="E155" s="3">
        <v>15</v>
      </c>
      <c r="F155" s="39" t="s">
        <v>18</v>
      </c>
      <c r="G155" s="39" t="s">
        <v>14</v>
      </c>
      <c r="H155" s="110">
        <v>62885</v>
      </c>
      <c r="I155" s="138">
        <v>62860</v>
      </c>
      <c r="J155" s="138">
        <v>77.061999999918001</v>
      </c>
      <c r="K155" s="137">
        <v>0</v>
      </c>
      <c r="L155" s="125">
        <v>62444</v>
      </c>
      <c r="M155" s="125">
        <v>518</v>
      </c>
      <c r="N155" s="125">
        <v>14</v>
      </c>
      <c r="O155" s="111">
        <f>((Tabela135[[#This Row],[Objetive value]]-Tabela135[[#This Row],[Objetive value/GATeS]])/Tabela135[[#This Row],[Objetive value]])*100</f>
        <v>0.66178810054088455</v>
      </c>
      <c r="P155" s="112">
        <v>62860</v>
      </c>
      <c r="Q155" s="112">
        <v>0.89</v>
      </c>
      <c r="R155" s="112">
        <v>0</v>
      </c>
      <c r="S155" s="112">
        <f>(((Tabela135[[#This Row],[Objetive value]]-Tabela135[[#This Row],[Objetive Value /H-R1]])/Tabela135[[#This Row],[Objetive value]]))*100</f>
        <v>0</v>
      </c>
      <c r="T155" s="113">
        <v>62860</v>
      </c>
      <c r="U155" s="113">
        <v>1.01</v>
      </c>
      <c r="V155" s="113">
        <v>0</v>
      </c>
      <c r="W155" s="113">
        <f>(((Tabela135[[#This Row],[Objetive value]]-Tabela135[[#This Row],[Objetive value /H-R2]])/Tabela135[[#This Row],[Objetive value]]))*100</f>
        <v>0</v>
      </c>
    </row>
    <row r="156" spans="1:23" x14ac:dyDescent="0.25">
      <c r="A156" s="3" t="s">
        <v>281</v>
      </c>
      <c r="B156" s="39" t="s">
        <v>285</v>
      </c>
      <c r="C156" s="3">
        <v>2000</v>
      </c>
      <c r="D156" s="3">
        <v>0.05</v>
      </c>
      <c r="E156" s="3">
        <v>15</v>
      </c>
      <c r="F156" s="39" t="s">
        <v>18</v>
      </c>
      <c r="G156" s="39" t="s">
        <v>16</v>
      </c>
      <c r="H156" s="110">
        <v>35307</v>
      </c>
      <c r="I156" s="138">
        <v>35287</v>
      </c>
      <c r="J156" s="138">
        <v>100.577999999979</v>
      </c>
      <c r="K156" s="137">
        <v>0.05</v>
      </c>
      <c r="L156" s="125">
        <v>35018</v>
      </c>
      <c r="M156" s="125">
        <v>689</v>
      </c>
      <c r="N156" s="125">
        <v>660</v>
      </c>
      <c r="O156" s="111">
        <f>((Tabela135[[#This Row],[Objetive value]]-Tabela135[[#This Row],[Objetive value/GATeS]])/Tabela135[[#This Row],[Objetive value]])*100</f>
        <v>0.76232040128092504</v>
      </c>
      <c r="P156" s="112">
        <v>33664</v>
      </c>
      <c r="Q156" s="112">
        <v>1.19</v>
      </c>
      <c r="R156" s="112">
        <v>0</v>
      </c>
      <c r="S156" s="112">
        <f>(((Tabela135[[#This Row],[Objetive value]]-Tabela135[[#This Row],[Objetive Value /H-R1]])/Tabela135[[#This Row],[Objetive value]]))*100</f>
        <v>4.5994275512228304</v>
      </c>
      <c r="T156" s="113">
        <v>33664</v>
      </c>
      <c r="U156" s="113">
        <v>0.82</v>
      </c>
      <c r="V156" s="113">
        <v>0</v>
      </c>
      <c r="W156" s="113">
        <f>(((Tabela135[[#This Row],[Objetive value]]-Tabela135[[#This Row],[Objetive value /H-R2]])/Tabela135[[#This Row],[Objetive value]]))*100</f>
        <v>4.5994275512228304</v>
      </c>
    </row>
    <row r="157" spans="1:23" x14ac:dyDescent="0.25">
      <c r="A157" s="3" t="s">
        <v>281</v>
      </c>
      <c r="B157" s="39" t="s">
        <v>286</v>
      </c>
      <c r="C157" s="3">
        <v>2000</v>
      </c>
      <c r="D157" s="3">
        <v>0.05</v>
      </c>
      <c r="E157" s="3">
        <v>15</v>
      </c>
      <c r="F157" s="39" t="s">
        <v>21</v>
      </c>
      <c r="G157" s="39" t="s">
        <v>14</v>
      </c>
      <c r="H157" s="110">
        <v>63526</v>
      </c>
      <c r="I157" s="138">
        <v>59951</v>
      </c>
      <c r="J157" s="138">
        <v>10.9220000000204</v>
      </c>
      <c r="K157" s="137">
        <v>0</v>
      </c>
      <c r="L157" s="125">
        <v>49684</v>
      </c>
      <c r="M157" s="125">
        <v>277</v>
      </c>
      <c r="N157" s="125">
        <v>212</v>
      </c>
      <c r="O157" s="111">
        <f>((Tabela135[[#This Row],[Objetive value]]-Tabela135[[#This Row],[Objetive value/GATeS]])/Tabela135[[#This Row],[Objetive value]])*100</f>
        <v>17.125652616303313</v>
      </c>
      <c r="P157" s="112">
        <v>59951</v>
      </c>
      <c r="Q157" s="112">
        <v>2.14</v>
      </c>
      <c r="R157" s="112">
        <v>0</v>
      </c>
      <c r="S157" s="112">
        <f>(((Tabela135[[#This Row],[Objetive value]]-Tabela135[[#This Row],[Objetive Value /H-R1]])/Tabela135[[#This Row],[Objetive value]]))*100</f>
        <v>0</v>
      </c>
      <c r="T157" s="113">
        <v>59061</v>
      </c>
      <c r="U157" s="113">
        <v>0.89</v>
      </c>
      <c r="V157" s="113">
        <v>0</v>
      </c>
      <c r="W157" s="113">
        <f>(((Tabela135[[#This Row],[Objetive value]]-Tabela135[[#This Row],[Objetive value /H-R2]])/Tabela135[[#This Row],[Objetive value]]))*100</f>
        <v>1.4845457123317376</v>
      </c>
    </row>
    <row r="158" spans="1:23" x14ac:dyDescent="0.25">
      <c r="A158" s="3" t="s">
        <v>281</v>
      </c>
      <c r="B158" s="39" t="s">
        <v>287</v>
      </c>
      <c r="C158" s="3">
        <v>2000</v>
      </c>
      <c r="D158" s="3">
        <v>0.05</v>
      </c>
      <c r="E158" s="3">
        <v>15</v>
      </c>
      <c r="F158" s="39" t="s">
        <v>21</v>
      </c>
      <c r="G158" s="39" t="s">
        <v>16</v>
      </c>
      <c r="H158" s="110">
        <v>32984</v>
      </c>
      <c r="I158" s="138">
        <v>30867</v>
      </c>
      <c r="J158" s="138">
        <v>43.266000000061403</v>
      </c>
      <c r="K158" s="149">
        <v>0.01</v>
      </c>
      <c r="L158" s="125">
        <v>30363</v>
      </c>
      <c r="M158" s="125">
        <v>253</v>
      </c>
      <c r="N158" s="125">
        <v>119</v>
      </c>
      <c r="O158" s="111">
        <f>((Tabela135[[#This Row],[Objetive value]]-Tabela135[[#This Row],[Objetive value/GATeS]])/Tabela135[[#This Row],[Objetive value]])*100</f>
        <v>1.6328117406939451</v>
      </c>
      <c r="P158" s="112">
        <v>29938</v>
      </c>
      <c r="Q158" s="112">
        <v>1.32</v>
      </c>
      <c r="R158" s="112">
        <v>0</v>
      </c>
      <c r="S158" s="112">
        <f>(((Tabela135[[#This Row],[Objetive value]]-Tabela135[[#This Row],[Objetive Value /H-R1]])/Tabela135[[#This Row],[Objetive value]]))*100</f>
        <v>3.0096867204457833</v>
      </c>
      <c r="T158" s="113">
        <v>29708</v>
      </c>
      <c r="U158" s="113">
        <v>1.1200000000000001</v>
      </c>
      <c r="V158" s="113">
        <v>0</v>
      </c>
      <c r="W158" s="113">
        <f>(((Tabela135[[#This Row],[Objetive value]]-Tabela135[[#This Row],[Objetive value /H-R2]])/Tabela135[[#This Row],[Objetive value]]))*100</f>
        <v>3.7548190624291315</v>
      </c>
    </row>
    <row r="159" spans="1:23" x14ac:dyDescent="0.25">
      <c r="A159" s="3" t="s">
        <v>243</v>
      </c>
      <c r="B159" s="37" t="s">
        <v>244</v>
      </c>
      <c r="C159" s="3">
        <v>2000</v>
      </c>
      <c r="D159" s="3">
        <v>0.05</v>
      </c>
      <c r="E159" s="3">
        <v>5</v>
      </c>
      <c r="F159" s="39" t="s">
        <v>13</v>
      </c>
      <c r="G159" s="39" t="s">
        <v>14</v>
      </c>
      <c r="H159" s="110">
        <v>22751</v>
      </c>
      <c r="I159" s="138">
        <v>22751</v>
      </c>
      <c r="J159" s="138">
        <v>2.3900000000139698</v>
      </c>
      <c r="K159" s="137">
        <v>54.47</v>
      </c>
      <c r="L159" s="125">
        <v>19939</v>
      </c>
      <c r="M159" s="125">
        <v>135</v>
      </c>
      <c r="N159" s="125">
        <v>48</v>
      </c>
      <c r="O159" s="111">
        <f>((Tabela135[[#This Row],[Objetive value]]-Tabela135[[#This Row],[Objetive value/GATeS]])/Tabela135[[#This Row],[Objetive value]])*100</f>
        <v>12.359896268295898</v>
      </c>
      <c r="P159" s="112">
        <v>22752</v>
      </c>
      <c r="Q159" s="112">
        <v>0.62</v>
      </c>
      <c r="R159" s="112">
        <v>0</v>
      </c>
      <c r="S159" s="112">
        <f>(((Tabela135[[#This Row],[Objetive value]]-Tabela135[[#This Row],[Objetive Value /H-R1]])/Tabela135[[#This Row],[Objetive value]]))*100</f>
        <v>-4.3954111907168912E-3</v>
      </c>
      <c r="T159" s="113">
        <v>19983</v>
      </c>
      <c r="U159" s="113">
        <v>0.72</v>
      </c>
      <c r="V159" s="113">
        <v>0</v>
      </c>
      <c r="W159" s="113">
        <f>(((Tabela135[[#This Row],[Objetive value]]-Tabela135[[#This Row],[Objetive value /H-R2]])/Tabela135[[#This Row],[Objetive value]]))*100</f>
        <v>12.166498175904355</v>
      </c>
    </row>
    <row r="160" spans="1:23" x14ac:dyDescent="0.25">
      <c r="A160" s="3" t="s">
        <v>243</v>
      </c>
      <c r="B160" s="39" t="s">
        <v>245</v>
      </c>
      <c r="C160" s="3">
        <v>2000</v>
      </c>
      <c r="D160" s="3">
        <v>0.05</v>
      </c>
      <c r="E160" s="3">
        <v>5</v>
      </c>
      <c r="F160" s="39" t="s">
        <v>13</v>
      </c>
      <c r="G160" s="39" t="s">
        <v>16</v>
      </c>
      <c r="H160" s="110">
        <v>15581</v>
      </c>
      <c r="I160" s="138">
        <v>15581</v>
      </c>
      <c r="J160" s="138">
        <v>1.42200000002048</v>
      </c>
      <c r="K160" s="137">
        <v>0</v>
      </c>
      <c r="L160" s="125">
        <v>14332</v>
      </c>
      <c r="M160" s="125">
        <v>69</v>
      </c>
      <c r="N160" s="125">
        <v>61</v>
      </c>
      <c r="O160" s="111">
        <f>((Tabela135[[#This Row],[Objetive value]]-Tabela135[[#This Row],[Objetive value/GATeS]])/Tabela135[[#This Row],[Objetive value]])*100</f>
        <v>8.0161735447018803</v>
      </c>
      <c r="P160" s="112">
        <v>15581</v>
      </c>
      <c r="Q160" s="112">
        <v>0.64</v>
      </c>
      <c r="R160" s="112">
        <v>0</v>
      </c>
      <c r="S160" s="112">
        <f>(((Tabela135[[#This Row],[Objetive value]]-Tabela135[[#This Row],[Objetive Value /H-R1]])/Tabela135[[#This Row],[Objetive value]]))*100</f>
        <v>0</v>
      </c>
      <c r="T160" s="113">
        <v>14571</v>
      </c>
      <c r="U160" s="113">
        <v>0.49</v>
      </c>
      <c r="V160" s="113">
        <v>0</v>
      </c>
      <c r="W160" s="113">
        <f>(((Tabela135[[#This Row],[Objetive value]]-Tabela135[[#This Row],[Objetive value /H-R2]])/Tabela135[[#This Row],[Objetive value]]))*100</f>
        <v>6.4822540273409919</v>
      </c>
    </row>
    <row r="161" spans="1:23" x14ac:dyDescent="0.25">
      <c r="A161" s="3" t="s">
        <v>243</v>
      </c>
      <c r="B161" s="39" t="s">
        <v>246</v>
      </c>
      <c r="C161" s="3">
        <v>2000</v>
      </c>
      <c r="D161" s="3">
        <v>0.05</v>
      </c>
      <c r="E161" s="3">
        <v>5</v>
      </c>
      <c r="F161" s="39" t="s">
        <v>18</v>
      </c>
      <c r="G161" s="39" t="s">
        <v>14</v>
      </c>
      <c r="H161" s="110">
        <v>18965</v>
      </c>
      <c r="I161" s="138">
        <v>18965</v>
      </c>
      <c r="J161" s="138">
        <v>1.9369999999180401</v>
      </c>
      <c r="K161" s="137">
        <v>0</v>
      </c>
      <c r="L161" s="125">
        <v>18951</v>
      </c>
      <c r="M161" s="125">
        <v>146</v>
      </c>
      <c r="N161" s="125">
        <v>71</v>
      </c>
      <c r="O161" s="111">
        <f>((Tabela135[[#This Row],[Objetive value]]-Tabela135[[#This Row],[Objetive value/GATeS]])/Tabela135[[#This Row],[Objetive value]])*100</f>
        <v>7.3820195096229904E-2</v>
      </c>
      <c r="P161" s="112">
        <v>18965</v>
      </c>
      <c r="Q161" s="112">
        <v>0.39</v>
      </c>
      <c r="R161" s="112">
        <v>0</v>
      </c>
      <c r="S161" s="112">
        <f>(((Tabela135[[#This Row],[Objetive value]]-Tabela135[[#This Row],[Objetive Value /H-R1]])/Tabela135[[#This Row],[Objetive value]]))*100</f>
        <v>0</v>
      </c>
      <c r="T161" s="113">
        <v>18737</v>
      </c>
      <c r="U161" s="113">
        <v>0.56000000000000005</v>
      </c>
      <c r="V161" s="113">
        <v>0</v>
      </c>
      <c r="W161" s="113">
        <f>(((Tabela135[[#This Row],[Objetive value]]-Tabela135[[#This Row],[Objetive value /H-R2]])/Tabela135[[#This Row],[Objetive value]]))*100</f>
        <v>1.2022146058528869</v>
      </c>
    </row>
    <row r="162" spans="1:23" x14ac:dyDescent="0.25">
      <c r="A162" s="3" t="s">
        <v>243</v>
      </c>
      <c r="B162" s="39" t="s">
        <v>247</v>
      </c>
      <c r="C162" s="3">
        <v>2000</v>
      </c>
      <c r="D162" s="3">
        <v>0.05</v>
      </c>
      <c r="E162" s="3">
        <v>5</v>
      </c>
      <c r="F162" s="39" t="s">
        <v>18</v>
      </c>
      <c r="G162" s="39" t="s">
        <v>16</v>
      </c>
      <c r="H162" s="110">
        <v>14248</v>
      </c>
      <c r="I162" s="138">
        <v>14248</v>
      </c>
      <c r="J162" s="138">
        <v>1.125</v>
      </c>
      <c r="K162" s="137">
        <v>0</v>
      </c>
      <c r="L162" s="125">
        <v>14245</v>
      </c>
      <c r="M162" s="125">
        <v>113</v>
      </c>
      <c r="N162" s="125">
        <v>104</v>
      </c>
      <c r="O162" s="111">
        <f>((Tabela135[[#This Row],[Objetive value]]-Tabela135[[#This Row],[Objetive value/GATeS]])/Tabela135[[#This Row],[Objetive value]])*100</f>
        <v>2.1055586749017405E-2</v>
      </c>
      <c r="P162" s="112">
        <v>14248</v>
      </c>
      <c r="Q162" s="112">
        <v>0.63</v>
      </c>
      <c r="R162" s="112">
        <v>0</v>
      </c>
      <c r="S162" s="112">
        <f>(((Tabela135[[#This Row],[Objetive value]]-Tabela135[[#This Row],[Objetive Value /H-R1]])/Tabela135[[#This Row],[Objetive value]]))*100</f>
        <v>0</v>
      </c>
      <c r="T162" s="113">
        <v>14248</v>
      </c>
      <c r="U162" s="113">
        <v>0.34</v>
      </c>
      <c r="V162" s="113">
        <v>0</v>
      </c>
      <c r="W162" s="113">
        <f>(((Tabela135[[#This Row],[Objetive value]]-Tabela135[[#This Row],[Objetive value /H-R2]])/Tabela135[[#This Row],[Objetive value]]))*100</f>
        <v>0</v>
      </c>
    </row>
    <row r="163" spans="1:23" x14ac:dyDescent="0.25">
      <c r="A163" s="3" t="s">
        <v>243</v>
      </c>
      <c r="B163" s="39" t="s">
        <v>248</v>
      </c>
      <c r="C163" s="3">
        <v>2000</v>
      </c>
      <c r="D163" s="3">
        <v>0.05</v>
      </c>
      <c r="E163" s="3">
        <v>5</v>
      </c>
      <c r="F163" s="39" t="s">
        <v>21</v>
      </c>
      <c r="G163" s="39" t="s">
        <v>14</v>
      </c>
      <c r="H163" s="110">
        <v>12137</v>
      </c>
      <c r="I163" s="138">
        <v>10279</v>
      </c>
      <c r="J163" s="138">
        <v>1.95299999997951</v>
      </c>
      <c r="K163" s="137">
        <v>0</v>
      </c>
      <c r="L163" s="125">
        <v>10279</v>
      </c>
      <c r="M163" s="125">
        <v>51</v>
      </c>
      <c r="N163" s="125">
        <v>0</v>
      </c>
      <c r="O163" s="111">
        <f>((Tabela135[[#This Row],[Objetive value]]-Tabela135[[#This Row],[Objetive value/GATeS]])/Tabela135[[#This Row],[Objetive value]])*100</f>
        <v>0</v>
      </c>
      <c r="P163" s="112">
        <v>5063</v>
      </c>
      <c r="Q163" s="112">
        <v>1.35</v>
      </c>
      <c r="R163" s="112">
        <v>0</v>
      </c>
      <c r="S163" s="112">
        <f>(((Tabela135[[#This Row],[Objetive value]]-Tabela135[[#This Row],[Objetive Value /H-R1]])/Tabela135[[#This Row],[Objetive value]]))*100</f>
        <v>50.74423582060512</v>
      </c>
      <c r="T163" s="113">
        <v>10279</v>
      </c>
      <c r="U163" s="113">
        <v>0.82</v>
      </c>
      <c r="V163" s="113">
        <v>0</v>
      </c>
      <c r="W163" s="113">
        <f>(((Tabela135[[#This Row],[Objetive value]]-Tabela135[[#This Row],[Objetive value /H-R2]])/Tabela135[[#This Row],[Objetive value]]))*100</f>
        <v>0</v>
      </c>
    </row>
    <row r="164" spans="1:23" x14ac:dyDescent="0.25">
      <c r="A164" s="3" t="s">
        <v>243</v>
      </c>
      <c r="B164" s="39" t="s">
        <v>249</v>
      </c>
      <c r="C164" s="3">
        <v>2000</v>
      </c>
      <c r="D164" s="3">
        <v>0.05</v>
      </c>
      <c r="E164" s="3">
        <v>5</v>
      </c>
      <c r="F164" s="39" t="s">
        <v>21</v>
      </c>
      <c r="G164" s="39" t="s">
        <v>16</v>
      </c>
      <c r="H164" s="110">
        <v>13414</v>
      </c>
      <c r="I164" s="138">
        <v>13347</v>
      </c>
      <c r="J164" s="138">
        <v>1.2820000000065099</v>
      </c>
      <c r="K164" s="137">
        <v>0</v>
      </c>
      <c r="L164" s="125">
        <v>13287</v>
      </c>
      <c r="M164" s="125">
        <v>60</v>
      </c>
      <c r="N164" s="125">
        <v>38</v>
      </c>
      <c r="O164" s="111">
        <f>((Tabela135[[#This Row],[Objetive value]]-Tabela135[[#This Row],[Objetive value/GATeS]])/Tabela135[[#This Row],[Objetive value]])*100</f>
        <v>0.44953922229714549</v>
      </c>
      <c r="P164" s="112">
        <v>13346</v>
      </c>
      <c r="Q164" s="112">
        <v>1.21</v>
      </c>
      <c r="R164" s="112">
        <v>0</v>
      </c>
      <c r="S164" s="112">
        <f>(((Tabela135[[#This Row],[Objetive value]]-Tabela135[[#This Row],[Objetive Value /H-R1]])/Tabela135[[#This Row],[Objetive value]]))*100</f>
        <v>7.4923203716190899E-3</v>
      </c>
      <c r="T164" s="113">
        <v>13347</v>
      </c>
      <c r="U164" s="113">
        <v>1.04</v>
      </c>
      <c r="V164" s="113">
        <v>0</v>
      </c>
      <c r="W164" s="113">
        <f>(((Tabela135[[#This Row],[Objetive value]]-Tabela135[[#This Row],[Objetive value /H-R2]])/Tabela135[[#This Row],[Objetive value]]))*100</f>
        <v>0</v>
      </c>
    </row>
    <row r="165" spans="1:23" x14ac:dyDescent="0.25">
      <c r="A165" s="3" t="s">
        <v>35</v>
      </c>
      <c r="B165" s="39" t="s">
        <v>42</v>
      </c>
      <c r="C165" s="3">
        <v>100</v>
      </c>
      <c r="D165" s="114">
        <v>0.1</v>
      </c>
      <c r="E165" s="3">
        <v>10</v>
      </c>
      <c r="F165" s="39" t="s">
        <v>13</v>
      </c>
      <c r="G165" s="39" t="s">
        <v>14</v>
      </c>
      <c r="H165" s="110">
        <v>2150</v>
      </c>
      <c r="I165" s="138">
        <v>2150</v>
      </c>
      <c r="J165" s="138">
        <v>0.18799999996554101</v>
      </c>
      <c r="K165" s="137">
        <v>0</v>
      </c>
      <c r="L165" s="125">
        <v>2127</v>
      </c>
      <c r="M165" s="125">
        <v>15</v>
      </c>
      <c r="N165" s="125">
        <v>0</v>
      </c>
      <c r="O165" s="111">
        <f>((Tabela135[[#This Row],[Objetive value]]-Tabela135[[#This Row],[Objetive value/GATeS]])/Tabela135[[#This Row],[Objetive value]])*100</f>
        <v>1.0697674418604652</v>
      </c>
      <c r="P165" s="112">
        <v>1950</v>
      </c>
      <c r="Q165" s="112">
        <v>0.41</v>
      </c>
      <c r="R165" s="112">
        <v>0</v>
      </c>
      <c r="S165" s="112">
        <f>(((Tabela135[[#This Row],[Objetive value]]-Tabela135[[#This Row],[Objetive Value /H-R1]])/Tabela135[[#This Row],[Objetive value]]))*100</f>
        <v>9.3023255813953494</v>
      </c>
      <c r="T165" s="113">
        <v>2092</v>
      </c>
      <c r="U165" s="113">
        <v>0.39</v>
      </c>
      <c r="V165" s="113">
        <v>0</v>
      </c>
      <c r="W165" s="113">
        <f>(((Tabela135[[#This Row],[Objetive value]]-Tabela135[[#This Row],[Objetive value /H-R2]])/Tabela135[[#This Row],[Objetive value]]))*100</f>
        <v>2.6976744186046511</v>
      </c>
    </row>
    <row r="166" spans="1:23" x14ac:dyDescent="0.25">
      <c r="A166" s="3" t="s">
        <v>35</v>
      </c>
      <c r="B166" s="39" t="s">
        <v>43</v>
      </c>
      <c r="C166" s="3">
        <v>100</v>
      </c>
      <c r="D166" s="114">
        <v>0.1</v>
      </c>
      <c r="E166" s="3">
        <v>10</v>
      </c>
      <c r="F166" s="39" t="s">
        <v>13</v>
      </c>
      <c r="G166" s="39" t="s">
        <v>16</v>
      </c>
      <c r="H166" s="110">
        <v>1135</v>
      </c>
      <c r="I166" s="138">
        <v>1135</v>
      </c>
      <c r="J166" s="138">
        <v>0.43700000003445799</v>
      </c>
      <c r="K166" s="137">
        <v>0</v>
      </c>
      <c r="L166" s="125">
        <v>1120</v>
      </c>
      <c r="M166" s="125">
        <v>5</v>
      </c>
      <c r="N166" s="125">
        <v>2</v>
      </c>
      <c r="O166" s="111">
        <f>((Tabela135[[#This Row],[Objetive value]]-Tabela135[[#This Row],[Objetive value/GATeS]])/Tabela135[[#This Row],[Objetive value]])*100</f>
        <v>1.3215859030837005</v>
      </c>
      <c r="P166" s="112">
        <v>1132</v>
      </c>
      <c r="Q166" s="112">
        <v>0.74</v>
      </c>
      <c r="R166" s="112">
        <v>0</v>
      </c>
      <c r="S166" s="112">
        <f>(((Tabela135[[#This Row],[Objetive value]]-Tabela135[[#This Row],[Objetive Value /H-R1]])/Tabela135[[#This Row],[Objetive value]]))*100</f>
        <v>0.26431718061674009</v>
      </c>
      <c r="T166" s="113">
        <v>1115</v>
      </c>
      <c r="U166" s="113">
        <v>0.28000000000000003</v>
      </c>
      <c r="V166" s="113">
        <v>0</v>
      </c>
      <c r="W166" s="113">
        <f>(((Tabela135[[#This Row],[Objetive value]]-Tabela135[[#This Row],[Objetive value /H-R2]])/Tabela135[[#This Row],[Objetive value]]))*100</f>
        <v>1.7621145374449341</v>
      </c>
    </row>
    <row r="167" spans="1:23" x14ac:dyDescent="0.25">
      <c r="A167" s="34" t="s">
        <v>35</v>
      </c>
      <c r="B167" s="37" t="s">
        <v>44</v>
      </c>
      <c r="C167" s="34">
        <v>100</v>
      </c>
      <c r="D167" s="116">
        <v>0.1</v>
      </c>
      <c r="E167" s="34">
        <v>10</v>
      </c>
      <c r="F167" s="37" t="s">
        <v>18</v>
      </c>
      <c r="G167" s="37" t="s">
        <v>14</v>
      </c>
      <c r="H167" s="110">
        <v>2322</v>
      </c>
      <c r="I167" s="138">
        <v>2322</v>
      </c>
      <c r="J167" s="138">
        <v>0.20299999997950999</v>
      </c>
      <c r="K167" s="137">
        <v>0</v>
      </c>
      <c r="L167" s="125">
        <v>2315</v>
      </c>
      <c r="M167" s="125">
        <v>3</v>
      </c>
      <c r="N167" s="125">
        <v>0</v>
      </c>
      <c r="O167" s="111">
        <f>((Tabela135[[#This Row],[Objetive value]]-Tabela135[[#This Row],[Objetive value/GATeS]])/Tabela135[[#This Row],[Objetive value]])*100</f>
        <v>0.30146425495262708</v>
      </c>
      <c r="P167" s="112">
        <v>2322</v>
      </c>
      <c r="Q167" s="112">
        <v>0.4</v>
      </c>
      <c r="R167" s="112">
        <v>0</v>
      </c>
      <c r="S167" s="112">
        <f>(((Tabela135[[#This Row],[Objetive value]]-Tabela135[[#This Row],[Objetive Value /H-R1]])/Tabela135[[#This Row],[Objetive value]]))*100</f>
        <v>0</v>
      </c>
      <c r="T167" s="113">
        <v>2269</v>
      </c>
      <c r="U167" s="113">
        <v>0.34</v>
      </c>
      <c r="V167" s="113">
        <v>0</v>
      </c>
      <c r="W167" s="113">
        <f>(((Tabela135[[#This Row],[Objetive value]]-Tabela135[[#This Row],[Objetive value /H-R2]])/Tabela135[[#This Row],[Objetive value]]))*100</f>
        <v>2.2825150732127475</v>
      </c>
    </row>
    <row r="168" spans="1:23" x14ac:dyDescent="0.25">
      <c r="A168" s="3" t="s">
        <v>35</v>
      </c>
      <c r="B168" s="39" t="s">
        <v>45</v>
      </c>
      <c r="C168" s="3">
        <v>100</v>
      </c>
      <c r="D168" s="114">
        <v>0.1</v>
      </c>
      <c r="E168" s="3">
        <v>10</v>
      </c>
      <c r="F168" s="39" t="s">
        <v>18</v>
      </c>
      <c r="G168" s="39" t="s">
        <v>16</v>
      </c>
      <c r="H168" s="110">
        <v>1369</v>
      </c>
      <c r="I168" s="138">
        <v>1369</v>
      </c>
      <c r="J168" s="138">
        <v>0.23499999998602999</v>
      </c>
      <c r="K168" s="137">
        <v>0</v>
      </c>
      <c r="L168" s="125">
        <v>1345</v>
      </c>
      <c r="M168" s="125">
        <v>6</v>
      </c>
      <c r="N168" s="125">
        <v>0</v>
      </c>
      <c r="O168" s="111">
        <f>((Tabela135[[#This Row],[Objetive value]]-Tabela135[[#This Row],[Objetive value/GATeS]])/Tabela135[[#This Row],[Objetive value]])*100</f>
        <v>1.7531044558071585</v>
      </c>
      <c r="P168" s="112">
        <v>1319</v>
      </c>
      <c r="Q168" s="112">
        <v>0.35</v>
      </c>
      <c r="R168" s="112">
        <v>0</v>
      </c>
      <c r="S168" s="112">
        <f>(((Tabela135[[#This Row],[Objetive value]]-Tabela135[[#This Row],[Objetive Value /H-R1]])/Tabela135[[#This Row],[Objetive value]]))*100</f>
        <v>3.6523009495982466</v>
      </c>
      <c r="T168" s="113">
        <v>1319</v>
      </c>
      <c r="U168" s="113">
        <v>0.4</v>
      </c>
      <c r="V168" s="113">
        <v>0</v>
      </c>
      <c r="W168" s="113">
        <f>(((Tabela135[[#This Row],[Objetive value]]-Tabela135[[#This Row],[Objetive value /H-R2]])/Tabela135[[#This Row],[Objetive value]]))*100</f>
        <v>3.6523009495982466</v>
      </c>
    </row>
    <row r="169" spans="1:23" x14ac:dyDescent="0.25">
      <c r="A169" s="3" t="s">
        <v>35</v>
      </c>
      <c r="B169" s="39" t="s">
        <v>46</v>
      </c>
      <c r="C169" s="3">
        <v>100</v>
      </c>
      <c r="D169" s="114">
        <v>0.1</v>
      </c>
      <c r="E169" s="3">
        <v>10</v>
      </c>
      <c r="F169" s="117" t="s">
        <v>21</v>
      </c>
      <c r="G169" s="117" t="s">
        <v>14</v>
      </c>
      <c r="H169" s="110">
        <v>1954</v>
      </c>
      <c r="I169" s="138">
        <v>1954</v>
      </c>
      <c r="J169" s="138">
        <v>0.15600000007543699</v>
      </c>
      <c r="K169" s="137">
        <v>0</v>
      </c>
      <c r="L169" s="125">
        <v>1683</v>
      </c>
      <c r="M169" s="125">
        <v>3</v>
      </c>
      <c r="N169" s="125">
        <v>1</v>
      </c>
      <c r="O169" s="111">
        <f>((Tabela135[[#This Row],[Objetive value]]-Tabela135[[#This Row],[Objetive value/GATeS]])/Tabela135[[#This Row],[Objetive value]])*100</f>
        <v>13.868986693961105</v>
      </c>
      <c r="P169" s="112">
        <v>657</v>
      </c>
      <c r="Q169" s="112">
        <v>1.65</v>
      </c>
      <c r="R169" s="112">
        <v>0</v>
      </c>
      <c r="S169" s="112">
        <f>(((Tabela135[[#This Row],[Objetive value]]-Tabela135[[#This Row],[Objetive Value /H-R1]])/Tabela135[[#This Row],[Objetive value]]))*100</f>
        <v>66.376663254861825</v>
      </c>
      <c r="T169" s="113">
        <v>1445</v>
      </c>
      <c r="U169" s="113">
        <v>0.71</v>
      </c>
      <c r="V169" s="113">
        <v>0</v>
      </c>
      <c r="W169" s="113">
        <f>(((Tabela135[[#This Row],[Objetive value]]-Tabela135[[#This Row],[Objetive value /H-R2]])/Tabela135[[#This Row],[Objetive value]]))*100</f>
        <v>26.049129989764587</v>
      </c>
    </row>
    <row r="170" spans="1:23" x14ac:dyDescent="0.25">
      <c r="A170" s="3" t="s">
        <v>35</v>
      </c>
      <c r="B170" s="39" t="s">
        <v>47</v>
      </c>
      <c r="C170" s="3">
        <v>100</v>
      </c>
      <c r="D170" s="114">
        <v>0.1</v>
      </c>
      <c r="E170" s="3">
        <v>10</v>
      </c>
      <c r="F170" s="117" t="s">
        <v>21</v>
      </c>
      <c r="G170" s="117" t="s">
        <v>16</v>
      </c>
      <c r="H170" s="110">
        <v>1334</v>
      </c>
      <c r="I170" s="138">
        <v>1334</v>
      </c>
      <c r="J170" s="138">
        <v>0.32900000002700802</v>
      </c>
      <c r="K170" s="137">
        <v>0</v>
      </c>
      <c r="L170" s="125">
        <v>1321</v>
      </c>
      <c r="M170" s="125">
        <v>3</v>
      </c>
      <c r="N170" s="125">
        <v>0</v>
      </c>
      <c r="O170" s="111">
        <f>((Tabela135[[#This Row],[Objetive value]]-Tabela135[[#This Row],[Objetive value/GATeS]])/Tabela135[[#This Row],[Objetive value]])*100</f>
        <v>0.97451274362818585</v>
      </c>
      <c r="P170" s="112">
        <v>1334</v>
      </c>
      <c r="Q170" s="112">
        <v>0.42</v>
      </c>
      <c r="R170" s="112">
        <v>0</v>
      </c>
      <c r="S170" s="112">
        <f>(((Tabela135[[#This Row],[Objetive value]]-Tabela135[[#This Row],[Objetive Value /H-R1]])/Tabela135[[#This Row],[Objetive value]]))*100</f>
        <v>0</v>
      </c>
      <c r="T170" s="113">
        <v>1291</v>
      </c>
      <c r="U170" s="113">
        <v>0.38</v>
      </c>
      <c r="V170" s="113">
        <v>0</v>
      </c>
      <c r="W170" s="113">
        <f>(((Tabela135[[#This Row],[Objetive value]]-Tabela135[[#This Row],[Objetive value /H-R2]])/Tabela135[[#This Row],[Objetive value]]))*100</f>
        <v>3.2233883058470769</v>
      </c>
    </row>
    <row r="171" spans="1:23" x14ac:dyDescent="0.25">
      <c r="A171" s="3" t="s">
        <v>54</v>
      </c>
      <c r="B171" s="37" t="s">
        <v>61</v>
      </c>
      <c r="C171" s="3">
        <v>100</v>
      </c>
      <c r="D171" s="114">
        <v>0.1</v>
      </c>
      <c r="E171" s="3">
        <v>15</v>
      </c>
      <c r="F171" s="39" t="s">
        <v>13</v>
      </c>
      <c r="G171" s="39" t="s">
        <v>14</v>
      </c>
      <c r="H171" s="110">
        <v>3374</v>
      </c>
      <c r="I171" s="138">
        <v>3374</v>
      </c>
      <c r="J171" s="138">
        <v>0.578000000095926</v>
      </c>
      <c r="K171" s="137">
        <v>0.08</v>
      </c>
      <c r="L171" s="125">
        <v>3339</v>
      </c>
      <c r="M171" s="125">
        <v>36</v>
      </c>
      <c r="N171" s="125">
        <v>0</v>
      </c>
      <c r="O171" s="111">
        <f>((Tabela135[[#This Row],[Objetive value]]-Tabela135[[#This Row],[Objetive value/GATeS]])/Tabela135[[#This Row],[Objetive value]])*100</f>
        <v>1.0373443983402488</v>
      </c>
      <c r="P171" s="112">
        <v>3272</v>
      </c>
      <c r="Q171" s="112">
        <v>0.26</v>
      </c>
      <c r="R171" s="112">
        <v>0</v>
      </c>
      <c r="S171" s="112">
        <f>(((Tabela135[[#This Row],[Objetive value]]-Tabela135[[#This Row],[Objetive Value /H-R1]])/Tabela135[[#This Row],[Objetive value]]))*100</f>
        <v>3.0231179608772969</v>
      </c>
      <c r="T171" s="113">
        <v>2794</v>
      </c>
      <c r="U171" s="113">
        <v>0.36</v>
      </c>
      <c r="V171" s="113">
        <v>0</v>
      </c>
      <c r="W171" s="113">
        <f>(((Tabela135[[#This Row],[Objetive value]]-Tabela135[[#This Row],[Objetive value /H-R2]])/Tabela135[[#This Row],[Objetive value]]))*100</f>
        <v>17.190278601066982</v>
      </c>
    </row>
    <row r="172" spans="1:23" x14ac:dyDescent="0.25">
      <c r="A172" s="3" t="s">
        <v>54</v>
      </c>
      <c r="B172" s="39" t="s">
        <v>62</v>
      </c>
      <c r="C172" s="3">
        <v>100</v>
      </c>
      <c r="D172" s="114">
        <v>0.1</v>
      </c>
      <c r="E172" s="3">
        <v>15</v>
      </c>
      <c r="F172" s="39" t="s">
        <v>13</v>
      </c>
      <c r="G172" s="39" t="s">
        <v>16</v>
      </c>
      <c r="H172" s="110">
        <v>1825</v>
      </c>
      <c r="I172" s="138">
        <v>1825</v>
      </c>
      <c r="J172" s="138">
        <v>1.15600000007543</v>
      </c>
      <c r="K172" s="137">
        <v>0.11</v>
      </c>
      <c r="L172" s="125">
        <v>1790</v>
      </c>
      <c r="M172" s="125">
        <v>18</v>
      </c>
      <c r="N172" s="125">
        <v>15</v>
      </c>
      <c r="O172" s="111">
        <f>((Tabela135[[#This Row],[Objetive value]]-Tabela135[[#This Row],[Objetive value/GATeS]])/Tabela135[[#This Row],[Objetive value]])*100</f>
        <v>1.9178082191780823</v>
      </c>
      <c r="P172" s="112">
        <v>1766</v>
      </c>
      <c r="Q172" s="112">
        <v>0.26</v>
      </c>
      <c r="R172" s="112">
        <v>0</v>
      </c>
      <c r="S172" s="112">
        <f>(((Tabela135[[#This Row],[Objetive value]]-Tabela135[[#This Row],[Objetive Value /H-R1]])/Tabela135[[#This Row],[Objetive value]]))*100</f>
        <v>3.2328767123287672</v>
      </c>
      <c r="T172" s="113">
        <v>1767</v>
      </c>
      <c r="U172" s="113">
        <v>0.47</v>
      </c>
      <c r="V172" s="113">
        <v>0</v>
      </c>
      <c r="W172" s="113">
        <f>(((Tabela135[[#This Row],[Objetive value]]-Tabela135[[#This Row],[Objetive value /H-R2]])/Tabela135[[#This Row],[Objetive value]]))*100</f>
        <v>3.1780821917808217</v>
      </c>
    </row>
    <row r="173" spans="1:23" x14ac:dyDescent="0.25">
      <c r="A173" s="3" t="s">
        <v>54</v>
      </c>
      <c r="B173" s="39" t="s">
        <v>63</v>
      </c>
      <c r="C173" s="3">
        <v>100</v>
      </c>
      <c r="D173" s="114">
        <v>0.1</v>
      </c>
      <c r="E173" s="3">
        <v>15</v>
      </c>
      <c r="F173" s="39" t="s">
        <v>18</v>
      </c>
      <c r="G173" s="39" t="s">
        <v>14</v>
      </c>
      <c r="H173" s="110">
        <v>3394</v>
      </c>
      <c r="I173" s="138">
        <v>3394</v>
      </c>
      <c r="J173" s="138">
        <v>1.0620000000344501</v>
      </c>
      <c r="K173" s="137">
        <v>0.12</v>
      </c>
      <c r="L173" s="125">
        <v>3324</v>
      </c>
      <c r="M173" s="125">
        <v>5</v>
      </c>
      <c r="N173" s="125">
        <v>0</v>
      </c>
      <c r="O173" s="111">
        <f>((Tabela135[[#This Row],[Objetive value]]-Tabela135[[#This Row],[Objetive value/GATeS]])/Tabela135[[#This Row],[Objetive value]])*100</f>
        <v>2.0624631703005303</v>
      </c>
      <c r="P173" s="112">
        <v>3286</v>
      </c>
      <c r="Q173" s="112">
        <v>0.23</v>
      </c>
      <c r="R173" s="112">
        <v>0</v>
      </c>
      <c r="S173" s="112">
        <f>(((Tabela135[[#This Row],[Objetive value]]-Tabela135[[#This Row],[Objetive Value /H-R1]])/Tabela135[[#This Row],[Objetive value]]))*100</f>
        <v>3.1820860341779609</v>
      </c>
      <c r="T173" s="113">
        <v>3277</v>
      </c>
      <c r="U173" s="113">
        <v>0.26</v>
      </c>
      <c r="V173" s="113">
        <v>0</v>
      </c>
      <c r="W173" s="113">
        <f>(((Tabela135[[#This Row],[Objetive value]]-Tabela135[[#This Row],[Objetive value /H-R2]])/Tabela135[[#This Row],[Objetive value]]))*100</f>
        <v>3.4472598703594577</v>
      </c>
    </row>
    <row r="174" spans="1:23" x14ac:dyDescent="0.25">
      <c r="A174" s="3" t="s">
        <v>54</v>
      </c>
      <c r="B174" s="39" t="s">
        <v>64</v>
      </c>
      <c r="C174" s="3">
        <v>100</v>
      </c>
      <c r="D174" s="114">
        <v>0.1</v>
      </c>
      <c r="E174" s="3">
        <v>15</v>
      </c>
      <c r="F174" s="39" t="s">
        <v>18</v>
      </c>
      <c r="G174" s="39" t="s">
        <v>16</v>
      </c>
      <c r="H174" s="110">
        <v>1776</v>
      </c>
      <c r="I174" s="138">
        <v>1776</v>
      </c>
      <c r="J174" s="138">
        <v>0.296999999904073</v>
      </c>
      <c r="K174" s="137">
        <v>0.06</v>
      </c>
      <c r="L174" s="125">
        <v>1743</v>
      </c>
      <c r="M174" s="125">
        <v>8</v>
      </c>
      <c r="N174" s="125">
        <v>8</v>
      </c>
      <c r="O174" s="111">
        <f>((Tabela135[[#This Row],[Objetive value]]-Tabela135[[#This Row],[Objetive value/GATeS]])/Tabela135[[#This Row],[Objetive value]])*100</f>
        <v>1.8581081081081081</v>
      </c>
      <c r="P174" s="112">
        <v>1632</v>
      </c>
      <c r="Q174" s="112">
        <v>0.35</v>
      </c>
      <c r="R174" s="112">
        <v>0</v>
      </c>
      <c r="S174" s="112">
        <f>(((Tabela135[[#This Row],[Objetive value]]-Tabela135[[#This Row],[Objetive Value /H-R1]])/Tabela135[[#This Row],[Objetive value]]))*100</f>
        <v>8.1081081081081088</v>
      </c>
      <c r="T174" s="113">
        <v>1667</v>
      </c>
      <c r="U174" s="113">
        <v>0.4</v>
      </c>
      <c r="V174" s="113">
        <v>0</v>
      </c>
      <c r="W174" s="113">
        <f>(((Tabela135[[#This Row],[Objetive value]]-Tabela135[[#This Row],[Objetive value /H-R2]])/Tabela135[[#This Row],[Objetive value]]))*100</f>
        <v>6.1373873873873874</v>
      </c>
    </row>
    <row r="175" spans="1:23" x14ac:dyDescent="0.25">
      <c r="A175" s="3" t="s">
        <v>54</v>
      </c>
      <c r="B175" s="39" t="s">
        <v>65</v>
      </c>
      <c r="C175" s="3">
        <v>100</v>
      </c>
      <c r="D175" s="114">
        <v>0.1</v>
      </c>
      <c r="E175" s="3">
        <v>15</v>
      </c>
      <c r="F175" s="39" t="s">
        <v>21</v>
      </c>
      <c r="G175" s="39" t="s">
        <v>14</v>
      </c>
      <c r="H175" s="110">
        <v>2829</v>
      </c>
      <c r="I175" s="138">
        <v>2829</v>
      </c>
      <c r="J175" s="138">
        <v>0.31299999996554101</v>
      </c>
      <c r="K175" s="137">
        <v>0</v>
      </c>
      <c r="L175" s="125">
        <v>2549</v>
      </c>
      <c r="M175" s="125">
        <v>6</v>
      </c>
      <c r="N175" s="125">
        <v>3</v>
      </c>
      <c r="O175" s="111">
        <f>((Tabela135[[#This Row],[Objetive value]]-Tabela135[[#This Row],[Objetive value/GATeS]])/Tabela135[[#This Row],[Objetive value]])*100</f>
        <v>9.8974902792506185</v>
      </c>
      <c r="P175" s="112">
        <v>2539</v>
      </c>
      <c r="Q175" s="112">
        <v>0.57999999999999996</v>
      </c>
      <c r="R175" s="112">
        <v>0</v>
      </c>
      <c r="S175" s="112">
        <f>(((Tabela135[[#This Row],[Objetive value]]-Tabela135[[#This Row],[Objetive Value /H-R1]])/Tabela135[[#This Row],[Objetive value]]))*100</f>
        <v>10.25097207493814</v>
      </c>
      <c r="T175" s="113">
        <v>2379</v>
      </c>
      <c r="U175" s="113">
        <v>0.77</v>
      </c>
      <c r="V175" s="113">
        <v>0</v>
      </c>
      <c r="W175" s="113">
        <f>(((Tabela135[[#This Row],[Objetive value]]-Tabela135[[#This Row],[Objetive value /H-R2]])/Tabela135[[#This Row],[Objetive value]]))*100</f>
        <v>15.906680805938494</v>
      </c>
    </row>
    <row r="176" spans="1:23" x14ac:dyDescent="0.25">
      <c r="A176" s="3" t="s">
        <v>54</v>
      </c>
      <c r="B176" s="39" t="s">
        <v>66</v>
      </c>
      <c r="C176" s="3">
        <v>100</v>
      </c>
      <c r="D176" s="114">
        <v>0.1</v>
      </c>
      <c r="E176" s="3">
        <v>15</v>
      </c>
      <c r="F176" s="39" t="s">
        <v>21</v>
      </c>
      <c r="G176" s="39" t="s">
        <v>16</v>
      </c>
      <c r="H176" s="110">
        <v>1587</v>
      </c>
      <c r="I176" s="138">
        <v>1587</v>
      </c>
      <c r="J176" s="138">
        <v>0.35899999993853199</v>
      </c>
      <c r="K176" s="137">
        <v>0</v>
      </c>
      <c r="L176" s="125">
        <v>1552</v>
      </c>
      <c r="M176" s="125">
        <v>17</v>
      </c>
      <c r="N176" s="125">
        <v>3</v>
      </c>
      <c r="O176" s="111">
        <f>((Tabela135[[#This Row],[Objetive value]]-Tabela135[[#This Row],[Objetive value/GATeS]])/Tabela135[[#This Row],[Objetive value]])*100</f>
        <v>2.2054190296156273</v>
      </c>
      <c r="P176" s="112">
        <v>1522</v>
      </c>
      <c r="Q176" s="112">
        <v>0.26</v>
      </c>
      <c r="R176" s="112">
        <v>0</v>
      </c>
      <c r="S176" s="112">
        <f>(((Tabela135[[#This Row],[Objetive value]]-Tabela135[[#This Row],[Objetive Value /H-R1]])/Tabela135[[#This Row],[Objetive value]]))*100</f>
        <v>4.0957781978575927</v>
      </c>
      <c r="T176" s="113">
        <v>1545</v>
      </c>
      <c r="U176" s="113">
        <v>0.18</v>
      </c>
      <c r="V176" s="113">
        <v>0</v>
      </c>
      <c r="W176" s="113">
        <f>(((Tabela135[[#This Row],[Objetive value]]-Tabela135[[#This Row],[Objetive value /H-R2]])/Tabela135[[#This Row],[Objetive value]]))*100</f>
        <v>2.6465028355387523</v>
      </c>
    </row>
    <row r="177" spans="1:23" x14ac:dyDescent="0.25">
      <c r="A177" s="3" t="s">
        <v>11</v>
      </c>
      <c r="B177" s="39" t="s">
        <v>23</v>
      </c>
      <c r="C177" s="3">
        <v>100</v>
      </c>
      <c r="D177" s="114">
        <v>0.1</v>
      </c>
      <c r="E177" s="3">
        <v>5</v>
      </c>
      <c r="F177" s="39" t="s">
        <v>13</v>
      </c>
      <c r="G177" s="39" t="s">
        <v>14</v>
      </c>
      <c r="H177" s="110">
        <v>648</v>
      </c>
      <c r="I177" s="138">
        <v>647.99999999999795</v>
      </c>
      <c r="J177" s="138">
        <v>9.29999999934807E-2</v>
      </c>
      <c r="K177" s="137">
        <v>0</v>
      </c>
      <c r="L177" s="125">
        <v>597</v>
      </c>
      <c r="M177" s="125">
        <v>1</v>
      </c>
      <c r="N177" s="125">
        <v>0</v>
      </c>
      <c r="O177" s="111">
        <f>((Tabela135[[#This Row],[Objetive value]]-Tabela135[[#This Row],[Objetive value/GATeS]])/Tabela135[[#This Row],[Objetive value]])*100</f>
        <v>7.8703703703700789</v>
      </c>
      <c r="P177" s="112">
        <v>601</v>
      </c>
      <c r="Q177" s="112">
        <v>0.22</v>
      </c>
      <c r="R177" s="112">
        <v>0</v>
      </c>
      <c r="S177" s="112">
        <f>(((Tabela135[[#This Row],[Objetive value]]-Tabela135[[#This Row],[Objetive Value /H-R1]])/Tabela135[[#This Row],[Objetive value]]))*100</f>
        <v>7.253086419752794</v>
      </c>
      <c r="T177" s="113">
        <v>598</v>
      </c>
      <c r="U177" s="113">
        <v>0.24</v>
      </c>
      <c r="V177" s="113">
        <v>0</v>
      </c>
      <c r="W177" s="113">
        <f>(((Tabela135[[#This Row],[Objetive value]]-Tabela135[[#This Row],[Objetive value /H-R2]])/Tabela135[[#This Row],[Objetive value]]))*100</f>
        <v>7.7160493827157577</v>
      </c>
    </row>
    <row r="178" spans="1:23" x14ac:dyDescent="0.25">
      <c r="A178" s="3" t="s">
        <v>11</v>
      </c>
      <c r="B178" s="39" t="s">
        <v>24</v>
      </c>
      <c r="C178" s="3">
        <v>100</v>
      </c>
      <c r="D178" s="114">
        <v>0.1</v>
      </c>
      <c r="E178" s="3">
        <v>5</v>
      </c>
      <c r="F178" s="39" t="s">
        <v>13</v>
      </c>
      <c r="G178" s="39" t="s">
        <v>16</v>
      </c>
      <c r="H178" s="110">
        <v>711</v>
      </c>
      <c r="I178" s="138">
        <v>711</v>
      </c>
      <c r="J178" s="138">
        <v>0.109000000054948</v>
      </c>
      <c r="K178" s="137">
        <v>0</v>
      </c>
      <c r="L178" s="125">
        <v>708</v>
      </c>
      <c r="M178" s="125">
        <v>2</v>
      </c>
      <c r="N178" s="125">
        <v>0</v>
      </c>
      <c r="O178" s="111">
        <f>((Tabela135[[#This Row],[Objetive value]]-Tabela135[[#This Row],[Objetive value/GATeS]])/Tabela135[[#This Row],[Objetive value]])*100</f>
        <v>0.42194092827004215</v>
      </c>
      <c r="P178" s="112">
        <v>694</v>
      </c>
      <c r="Q178" s="112">
        <v>0.21</v>
      </c>
      <c r="R178" s="112">
        <v>0</v>
      </c>
      <c r="S178" s="112">
        <f>(((Tabela135[[#This Row],[Objetive value]]-Tabela135[[#This Row],[Objetive Value /H-R1]])/Tabela135[[#This Row],[Objetive value]]))*100</f>
        <v>2.3909985935302389</v>
      </c>
      <c r="T178" s="113">
        <v>689</v>
      </c>
      <c r="U178" s="113">
        <v>0.36</v>
      </c>
      <c r="V178" s="113">
        <v>0</v>
      </c>
      <c r="W178" s="113">
        <f>(((Tabela135[[#This Row],[Objetive value]]-Tabela135[[#This Row],[Objetive value /H-R2]])/Tabela135[[#This Row],[Objetive value]]))*100</f>
        <v>3.0942334739803097</v>
      </c>
    </row>
    <row r="179" spans="1:23" x14ac:dyDescent="0.25">
      <c r="A179" s="3" t="s">
        <v>11</v>
      </c>
      <c r="B179" s="118" t="s">
        <v>25</v>
      </c>
      <c r="C179" s="119">
        <v>100</v>
      </c>
      <c r="D179" s="120">
        <v>0.1</v>
      </c>
      <c r="E179" s="119">
        <v>5</v>
      </c>
      <c r="F179" s="121" t="s">
        <v>18</v>
      </c>
      <c r="G179" s="121" t="s">
        <v>14</v>
      </c>
      <c r="H179" s="110">
        <v>1039</v>
      </c>
      <c r="I179" s="138">
        <v>1039</v>
      </c>
      <c r="J179" s="138">
        <v>0.125</v>
      </c>
      <c r="K179" s="137">
        <v>0</v>
      </c>
      <c r="L179" s="125">
        <v>1037</v>
      </c>
      <c r="M179" s="125">
        <v>2</v>
      </c>
      <c r="N179" s="125">
        <v>0</v>
      </c>
      <c r="O179" s="111">
        <f>((Tabela135[[#This Row],[Objetive value]]-Tabela135[[#This Row],[Objetive value/GATeS]])/Tabela135[[#This Row],[Objetive value]])*100</f>
        <v>0.19249278152069299</v>
      </c>
      <c r="P179" s="112">
        <v>1038</v>
      </c>
      <c r="Q179" s="112">
        <v>0.28000000000000003</v>
      </c>
      <c r="R179" s="112">
        <v>0</v>
      </c>
      <c r="S179" s="112">
        <f>(((Tabela135[[#This Row],[Objetive value]]-Tabela135[[#This Row],[Objetive Value /H-R1]])/Tabela135[[#This Row],[Objetive value]]))*100</f>
        <v>9.6246390760346495E-2</v>
      </c>
      <c r="T179" s="113">
        <v>1038</v>
      </c>
      <c r="U179" s="113">
        <v>0.36</v>
      </c>
      <c r="V179" s="113">
        <v>0</v>
      </c>
      <c r="W179" s="113">
        <f>(((Tabela135[[#This Row],[Objetive value]]-Tabela135[[#This Row],[Objetive value /H-R2]])/Tabela135[[#This Row],[Objetive value]]))*100</f>
        <v>9.6246390760346495E-2</v>
      </c>
    </row>
    <row r="180" spans="1:23" x14ac:dyDescent="0.25">
      <c r="A180" s="3" t="s">
        <v>11</v>
      </c>
      <c r="B180" s="118" t="s">
        <v>26</v>
      </c>
      <c r="C180" s="3">
        <v>100</v>
      </c>
      <c r="D180" s="114">
        <v>0.1</v>
      </c>
      <c r="E180" s="3">
        <v>5</v>
      </c>
      <c r="F180" s="39" t="s">
        <v>18</v>
      </c>
      <c r="G180" s="39" t="s">
        <v>16</v>
      </c>
      <c r="H180" s="110">
        <v>775</v>
      </c>
      <c r="I180" s="138">
        <v>775</v>
      </c>
      <c r="J180" s="138">
        <v>7.8000000095926197E-2</v>
      </c>
      <c r="K180" s="137">
        <v>0</v>
      </c>
      <c r="L180" s="125">
        <v>769</v>
      </c>
      <c r="M180" s="125">
        <v>2</v>
      </c>
      <c r="N180" s="125">
        <v>0</v>
      </c>
      <c r="O180" s="111">
        <f>((Tabela135[[#This Row],[Objetive value]]-Tabela135[[#This Row],[Objetive value/GATeS]])/Tabela135[[#This Row],[Objetive value]])*100</f>
        <v>0.77419354838709675</v>
      </c>
      <c r="P180" s="112">
        <v>775</v>
      </c>
      <c r="Q180" s="112">
        <v>0.36</v>
      </c>
      <c r="R180" s="112">
        <v>0</v>
      </c>
      <c r="S180" s="112">
        <f>(((Tabela135[[#This Row],[Objetive value]]-Tabela135[[#This Row],[Objetive Value /H-R1]])/Tabela135[[#This Row],[Objetive value]]))*100</f>
        <v>0</v>
      </c>
      <c r="T180" s="113">
        <v>769</v>
      </c>
      <c r="U180" s="113">
        <v>0.17</v>
      </c>
      <c r="V180" s="113">
        <v>0</v>
      </c>
      <c r="W180" s="113">
        <f>(((Tabela135[[#This Row],[Objetive value]]-Tabela135[[#This Row],[Objetive value /H-R2]])/Tabela135[[#This Row],[Objetive value]]))*100</f>
        <v>0.77419354838709675</v>
      </c>
    </row>
    <row r="181" spans="1:23" x14ac:dyDescent="0.25">
      <c r="A181" s="3" t="s">
        <v>11</v>
      </c>
      <c r="B181" s="118" t="s">
        <v>27</v>
      </c>
      <c r="C181" s="3">
        <v>100</v>
      </c>
      <c r="D181" s="114">
        <v>0.1</v>
      </c>
      <c r="E181" s="3">
        <v>5</v>
      </c>
      <c r="F181" s="39" t="s">
        <v>21</v>
      </c>
      <c r="G181" s="39" t="s">
        <v>14</v>
      </c>
      <c r="H181" s="110">
        <v>775</v>
      </c>
      <c r="I181" s="138">
        <v>775</v>
      </c>
      <c r="J181" s="138">
        <v>4.5999999972991597E-2</v>
      </c>
      <c r="K181" s="137">
        <v>0.25</v>
      </c>
      <c r="L181" s="125">
        <v>603</v>
      </c>
      <c r="M181" s="125">
        <v>1</v>
      </c>
      <c r="N181" s="125">
        <v>0</v>
      </c>
      <c r="O181" s="111">
        <f>((Tabela135[[#This Row],[Objetive value]]-Tabela135[[#This Row],[Objetive value/GATeS]])/Tabela135[[#This Row],[Objetive value]])*100</f>
        <v>22.193548387096772</v>
      </c>
      <c r="P181" s="112">
        <v>775</v>
      </c>
      <c r="Q181" s="112">
        <v>0.34</v>
      </c>
      <c r="R181" s="112">
        <v>0</v>
      </c>
      <c r="S181" s="112">
        <f>(((Tabela135[[#This Row],[Objetive value]]-Tabela135[[#This Row],[Objetive Value /H-R1]])/Tabela135[[#This Row],[Objetive value]]))*100</f>
        <v>0</v>
      </c>
      <c r="T181" s="113">
        <v>775</v>
      </c>
      <c r="U181" s="113">
        <v>0.33</v>
      </c>
      <c r="V181" s="113">
        <v>0</v>
      </c>
      <c r="W181" s="113">
        <f>(((Tabela135[[#This Row],[Objetive value]]-Tabela135[[#This Row],[Objetive value /H-R2]])/Tabela135[[#This Row],[Objetive value]]))*100</f>
        <v>0</v>
      </c>
    </row>
    <row r="182" spans="1:23" x14ac:dyDescent="0.25">
      <c r="A182" s="3" t="s">
        <v>11</v>
      </c>
      <c r="B182" s="118" t="s">
        <v>28</v>
      </c>
      <c r="C182" s="3">
        <v>100</v>
      </c>
      <c r="D182" s="114">
        <v>0.1</v>
      </c>
      <c r="E182" s="3">
        <v>5</v>
      </c>
      <c r="F182" s="39" t="s">
        <v>21</v>
      </c>
      <c r="G182" s="39" t="s">
        <v>16</v>
      </c>
      <c r="H182" s="110">
        <v>786</v>
      </c>
      <c r="I182" s="138">
        <v>786</v>
      </c>
      <c r="J182" s="138">
        <v>9.29999999934807E-2</v>
      </c>
      <c r="K182" s="137">
        <v>0</v>
      </c>
      <c r="L182" s="125">
        <v>781</v>
      </c>
      <c r="M182" s="125">
        <v>2</v>
      </c>
      <c r="N182" s="125">
        <v>1</v>
      </c>
      <c r="O182" s="111">
        <f>((Tabela135[[#This Row],[Objetive value]]-Tabela135[[#This Row],[Objetive value/GATeS]])/Tabela135[[#This Row],[Objetive value]])*100</f>
        <v>0.63613231552162841</v>
      </c>
      <c r="P182" s="112">
        <v>782</v>
      </c>
      <c r="Q182" s="112">
        <v>0.26</v>
      </c>
      <c r="R182" s="112">
        <v>0</v>
      </c>
      <c r="S182" s="112">
        <f>(((Tabela135[[#This Row],[Objetive value]]-Tabela135[[#This Row],[Objetive Value /H-R1]])/Tabela135[[#This Row],[Objetive value]]))*100</f>
        <v>0.5089058524173028</v>
      </c>
      <c r="T182" s="113">
        <v>782</v>
      </c>
      <c r="U182" s="113">
        <v>0.17</v>
      </c>
      <c r="V182" s="113">
        <v>0</v>
      </c>
      <c r="W182" s="113">
        <f>(((Tabela135[[#This Row],[Objetive value]]-Tabela135[[#This Row],[Objetive value /H-R2]])/Tabela135[[#This Row],[Objetive value]]))*100</f>
        <v>0.5089058524173028</v>
      </c>
    </row>
    <row r="183" spans="1:23" x14ac:dyDescent="0.25">
      <c r="A183" s="3" t="s">
        <v>35</v>
      </c>
      <c r="B183" s="39" t="s">
        <v>48</v>
      </c>
      <c r="C183" s="3">
        <v>100</v>
      </c>
      <c r="D183" s="3">
        <v>0.15</v>
      </c>
      <c r="E183" s="3">
        <v>10</v>
      </c>
      <c r="F183" s="117" t="s">
        <v>13</v>
      </c>
      <c r="G183" s="117" t="s">
        <v>14</v>
      </c>
      <c r="H183" s="110">
        <v>1922</v>
      </c>
      <c r="I183" s="138">
        <v>1922</v>
      </c>
      <c r="J183" s="138">
        <v>0.28099999995902097</v>
      </c>
      <c r="K183" s="137">
        <v>0</v>
      </c>
      <c r="L183" s="125">
        <v>1845</v>
      </c>
      <c r="M183" s="125">
        <v>14</v>
      </c>
      <c r="N183" s="125">
        <v>1</v>
      </c>
      <c r="O183" s="111">
        <f>((Tabela135[[#This Row],[Objetive value]]-Tabela135[[#This Row],[Objetive value/GATeS]])/Tabela135[[#This Row],[Objetive value]])*100</f>
        <v>4.0062434963579605</v>
      </c>
      <c r="P183" s="112">
        <v>1837</v>
      </c>
      <c r="Q183" s="112">
        <v>0.44</v>
      </c>
      <c r="R183" s="112">
        <v>0</v>
      </c>
      <c r="S183" s="112">
        <f>(((Tabela135[[#This Row],[Objetive value]]-Tabela135[[#This Row],[Objetive Value /H-R1]])/Tabela135[[#This Row],[Objetive value]]))*100</f>
        <v>4.4224765868886573</v>
      </c>
      <c r="T183" s="113">
        <v>1836</v>
      </c>
      <c r="U183" s="113">
        <v>0.3</v>
      </c>
      <c r="V183" s="113">
        <v>0</v>
      </c>
      <c r="W183" s="113">
        <f>(((Tabela135[[#This Row],[Objetive value]]-Tabela135[[#This Row],[Objetive value /H-R2]])/Tabela135[[#This Row],[Objetive value]]))*100</f>
        <v>4.4745057232049943</v>
      </c>
    </row>
    <row r="184" spans="1:23" x14ac:dyDescent="0.25">
      <c r="A184" s="3" t="s">
        <v>35</v>
      </c>
      <c r="B184" s="39" t="s">
        <v>49</v>
      </c>
      <c r="C184" s="3">
        <v>100</v>
      </c>
      <c r="D184" s="3">
        <v>0.15</v>
      </c>
      <c r="E184" s="3">
        <v>10</v>
      </c>
      <c r="F184" s="117" t="s">
        <v>13</v>
      </c>
      <c r="G184" s="117" t="s">
        <v>16</v>
      </c>
      <c r="H184" s="110">
        <v>1326</v>
      </c>
      <c r="I184" s="138">
        <v>1326</v>
      </c>
      <c r="J184" s="138">
        <v>0.40599999995902097</v>
      </c>
      <c r="K184" s="137">
        <v>0</v>
      </c>
      <c r="L184" s="125">
        <v>1300</v>
      </c>
      <c r="M184" s="125">
        <v>5</v>
      </c>
      <c r="N184" s="125">
        <v>2</v>
      </c>
      <c r="O184" s="111">
        <f>((Tabela135[[#This Row],[Objetive value]]-Tabela135[[#This Row],[Objetive value/GATeS]])/Tabela135[[#This Row],[Objetive value]])*100</f>
        <v>1.9607843137254901</v>
      </c>
      <c r="P184" s="112">
        <v>1308</v>
      </c>
      <c r="Q184" s="112">
        <v>0.56999999999999995</v>
      </c>
      <c r="R184" s="112">
        <v>0</v>
      </c>
      <c r="S184" s="112">
        <f>(((Tabela135[[#This Row],[Objetive value]]-Tabela135[[#This Row],[Objetive Value /H-R1]])/Tabela135[[#This Row],[Objetive value]]))*100</f>
        <v>1.3574660633484164</v>
      </c>
      <c r="T184" s="113">
        <v>1313</v>
      </c>
      <c r="U184" s="113">
        <v>0.53</v>
      </c>
      <c r="V184" s="113">
        <v>0</v>
      </c>
      <c r="W184" s="113">
        <f>(((Tabela135[[#This Row],[Objetive value]]-Tabela135[[#This Row],[Objetive value /H-R2]])/Tabela135[[#This Row],[Objetive value]]))*100</f>
        <v>0.98039215686274506</v>
      </c>
    </row>
    <row r="185" spans="1:23" x14ac:dyDescent="0.25">
      <c r="A185" s="3" t="s">
        <v>35</v>
      </c>
      <c r="B185" s="39" t="s">
        <v>50</v>
      </c>
      <c r="C185" s="3">
        <v>100</v>
      </c>
      <c r="D185" s="3">
        <v>0.15</v>
      </c>
      <c r="E185" s="3">
        <v>10</v>
      </c>
      <c r="F185" s="117" t="s">
        <v>18</v>
      </c>
      <c r="G185" s="117" t="s">
        <v>14</v>
      </c>
      <c r="H185" s="110">
        <v>2244</v>
      </c>
      <c r="I185" s="138">
        <v>2244</v>
      </c>
      <c r="J185" s="138">
        <v>0.20299999997950999</v>
      </c>
      <c r="K185" s="137">
        <v>0</v>
      </c>
      <c r="L185" s="125">
        <v>2224</v>
      </c>
      <c r="M185" s="125">
        <v>5</v>
      </c>
      <c r="N185" s="125">
        <v>0</v>
      </c>
      <c r="O185" s="111">
        <f>((Tabela135[[#This Row],[Objetive value]]-Tabela135[[#This Row],[Objetive value/GATeS]])/Tabela135[[#This Row],[Objetive value]])*100</f>
        <v>0.89126559714795017</v>
      </c>
      <c r="P185" s="112">
        <v>2237</v>
      </c>
      <c r="Q185" s="112">
        <v>0.32</v>
      </c>
      <c r="R185" s="112">
        <v>0</v>
      </c>
      <c r="S185" s="112">
        <f>(((Tabela135[[#This Row],[Objetive value]]-Tabela135[[#This Row],[Objetive Value /H-R1]])/Tabela135[[#This Row],[Objetive value]]))*100</f>
        <v>0.31194295900178254</v>
      </c>
      <c r="T185" s="113">
        <v>2244</v>
      </c>
      <c r="U185" s="113">
        <v>0.34</v>
      </c>
      <c r="V185" s="113">
        <v>0</v>
      </c>
      <c r="W185" s="113">
        <f>(((Tabela135[[#This Row],[Objetive value]]-Tabela135[[#This Row],[Objetive value /H-R2]])/Tabela135[[#This Row],[Objetive value]]))*100</f>
        <v>0</v>
      </c>
    </row>
    <row r="186" spans="1:23" x14ac:dyDescent="0.25">
      <c r="A186" s="3" t="s">
        <v>35</v>
      </c>
      <c r="B186" s="39" t="s">
        <v>51</v>
      </c>
      <c r="C186" s="3">
        <v>100</v>
      </c>
      <c r="D186" s="3">
        <v>0.15</v>
      </c>
      <c r="E186" s="3">
        <v>10</v>
      </c>
      <c r="F186" s="117" t="s">
        <v>18</v>
      </c>
      <c r="G186" s="117" t="s">
        <v>16</v>
      </c>
      <c r="H186" s="110">
        <v>1352</v>
      </c>
      <c r="I186" s="138">
        <v>1352</v>
      </c>
      <c r="J186" s="138">
        <v>0.25</v>
      </c>
      <c r="K186" s="137">
        <v>0</v>
      </c>
      <c r="L186" s="125">
        <v>1339</v>
      </c>
      <c r="M186" s="125">
        <v>4</v>
      </c>
      <c r="N186" s="125">
        <v>1</v>
      </c>
      <c r="O186" s="111">
        <f>((Tabela135[[#This Row],[Objetive value]]-Tabela135[[#This Row],[Objetive value/GATeS]])/Tabela135[[#This Row],[Objetive value]])*100</f>
        <v>0.96153846153846156</v>
      </c>
      <c r="P186" s="112">
        <v>1352</v>
      </c>
      <c r="Q186" s="112">
        <v>0.48</v>
      </c>
      <c r="R186" s="112">
        <v>0</v>
      </c>
      <c r="S186" s="112">
        <f>(((Tabela135[[#This Row],[Objetive value]]-Tabela135[[#This Row],[Objetive Value /H-R1]])/Tabela135[[#This Row],[Objetive value]]))*100</f>
        <v>0</v>
      </c>
      <c r="T186" s="113">
        <v>1342</v>
      </c>
      <c r="U186" s="113">
        <v>0.28999999999999998</v>
      </c>
      <c r="V186" s="113">
        <v>0</v>
      </c>
      <c r="W186" s="113">
        <f>(((Tabela135[[#This Row],[Objetive value]]-Tabela135[[#This Row],[Objetive value /H-R2]])/Tabela135[[#This Row],[Objetive value]]))*100</f>
        <v>0.73964497041420119</v>
      </c>
    </row>
    <row r="187" spans="1:23" x14ac:dyDescent="0.25">
      <c r="A187" s="3" t="s">
        <v>35</v>
      </c>
      <c r="B187" s="39" t="s">
        <v>52</v>
      </c>
      <c r="C187" s="3">
        <v>100</v>
      </c>
      <c r="D187" s="3">
        <v>0.15</v>
      </c>
      <c r="E187" s="3">
        <v>10</v>
      </c>
      <c r="F187" s="117" t="s">
        <v>21</v>
      </c>
      <c r="G187" s="117" t="s">
        <v>14</v>
      </c>
      <c r="H187" s="110">
        <v>2041</v>
      </c>
      <c r="I187" s="138">
        <v>2041</v>
      </c>
      <c r="J187" s="138">
        <v>0.15600000007543699</v>
      </c>
      <c r="K187" s="137">
        <v>0</v>
      </c>
      <c r="L187" s="125">
        <v>1987</v>
      </c>
      <c r="M187" s="125">
        <v>3</v>
      </c>
      <c r="N187" s="125">
        <v>0</v>
      </c>
      <c r="O187" s="111">
        <f>((Tabela135[[#This Row],[Objetive value]]-Tabela135[[#This Row],[Objetive value/GATeS]])/Tabela135[[#This Row],[Objetive value]])*100</f>
        <v>2.6457618814306709</v>
      </c>
      <c r="P187" s="112">
        <v>2013</v>
      </c>
      <c r="Q187" s="112">
        <v>0.25</v>
      </c>
      <c r="R187" s="112">
        <v>0</v>
      </c>
      <c r="S187" s="112">
        <f>(((Tabela135[[#This Row],[Objetive value]]-Tabela135[[#This Row],[Objetive Value /H-R1]])/Tabela135[[#This Row],[Objetive value]]))*100</f>
        <v>1.3718765311121999</v>
      </c>
      <c r="T187" s="113">
        <v>1847</v>
      </c>
      <c r="U187" s="113">
        <v>0.28000000000000003</v>
      </c>
      <c r="V187" s="113">
        <v>0</v>
      </c>
      <c r="W187" s="113">
        <f>(((Tabela135[[#This Row],[Objetive value]]-Tabela135[[#This Row],[Objetive value /H-R2]])/Tabela135[[#This Row],[Objetive value]]))*100</f>
        <v>9.5051445369916703</v>
      </c>
    </row>
    <row r="188" spans="1:23" x14ac:dyDescent="0.25">
      <c r="A188" s="3" t="s">
        <v>35</v>
      </c>
      <c r="B188" s="39" t="s">
        <v>53</v>
      </c>
      <c r="C188" s="3">
        <v>100</v>
      </c>
      <c r="D188" s="3">
        <v>0.15</v>
      </c>
      <c r="E188" s="3">
        <v>10</v>
      </c>
      <c r="F188" s="117" t="s">
        <v>21</v>
      </c>
      <c r="G188" s="117" t="s">
        <v>16</v>
      </c>
      <c r="H188" s="110">
        <v>1149</v>
      </c>
      <c r="I188" s="138">
        <v>1149</v>
      </c>
      <c r="J188" s="138">
        <v>0.5</v>
      </c>
      <c r="K188" s="137">
        <v>0</v>
      </c>
      <c r="L188" s="125">
        <v>1125</v>
      </c>
      <c r="M188" s="125">
        <v>4</v>
      </c>
      <c r="N188" s="125">
        <v>3</v>
      </c>
      <c r="O188" s="111">
        <f>((Tabela135[[#This Row],[Objetive value]]-Tabela135[[#This Row],[Objetive value/GATeS]])/Tabela135[[#This Row],[Objetive value]])*100</f>
        <v>2.0887728459530028</v>
      </c>
      <c r="P188" s="112">
        <v>1146</v>
      </c>
      <c r="Q188" s="112">
        <v>0.61</v>
      </c>
      <c r="R188" s="112">
        <v>0</v>
      </c>
      <c r="S188" s="112">
        <f>(((Tabela135[[#This Row],[Objetive value]]-Tabela135[[#This Row],[Objetive Value /H-R1]])/Tabela135[[#This Row],[Objetive value]]))*100</f>
        <v>0.26109660574412535</v>
      </c>
      <c r="T188" s="113">
        <v>1146</v>
      </c>
      <c r="U188" s="113">
        <v>0.31</v>
      </c>
      <c r="V188" s="113">
        <v>0</v>
      </c>
      <c r="W188" s="113">
        <f>(((Tabela135[[#This Row],[Objetive value]]-Tabela135[[#This Row],[Objetive value /H-R2]])/Tabela135[[#This Row],[Objetive value]]))*100</f>
        <v>0.26109660574412535</v>
      </c>
    </row>
    <row r="189" spans="1:23" x14ac:dyDescent="0.25">
      <c r="A189" s="3" t="s">
        <v>54</v>
      </c>
      <c r="B189" s="37" t="s">
        <v>67</v>
      </c>
      <c r="C189" s="3">
        <v>100</v>
      </c>
      <c r="D189" s="3">
        <v>0.15</v>
      </c>
      <c r="E189" s="3">
        <v>15</v>
      </c>
      <c r="F189" s="39" t="s">
        <v>13</v>
      </c>
      <c r="G189" s="39" t="s">
        <v>14</v>
      </c>
      <c r="H189" s="110">
        <v>3428</v>
      </c>
      <c r="I189" s="138">
        <v>3428</v>
      </c>
      <c r="J189" s="138">
        <v>1.96900000004097</v>
      </c>
      <c r="K189" s="137">
        <v>0.59</v>
      </c>
      <c r="L189" s="125">
        <v>3398</v>
      </c>
      <c r="M189" s="125">
        <v>46</v>
      </c>
      <c r="N189" s="125">
        <v>0</v>
      </c>
      <c r="O189" s="111">
        <f>((Tabela135[[#This Row],[Objetive value]]-Tabela135[[#This Row],[Objetive value/GATeS]])/Tabela135[[#This Row],[Objetive value]])*100</f>
        <v>0.87514585764294039</v>
      </c>
      <c r="P189" s="112">
        <v>3360</v>
      </c>
      <c r="Q189" s="112">
        <v>0.2</v>
      </c>
      <c r="R189" s="112">
        <v>0</v>
      </c>
      <c r="S189" s="112">
        <f>(((Tabela135[[#This Row],[Objetive value]]-Tabela135[[#This Row],[Objetive Value /H-R1]])/Tabela135[[#This Row],[Objetive value]]))*100</f>
        <v>1.9836639439906651</v>
      </c>
      <c r="T189" s="113">
        <v>3120</v>
      </c>
      <c r="U189" s="113">
        <v>0.24</v>
      </c>
      <c r="V189" s="113">
        <v>0</v>
      </c>
      <c r="W189" s="113">
        <f>(((Tabela135[[#This Row],[Objetive value]]-Tabela135[[#This Row],[Objetive value /H-R2]])/Tabela135[[#This Row],[Objetive value]]))*100</f>
        <v>8.9848308051341892</v>
      </c>
    </row>
    <row r="190" spans="1:23" x14ac:dyDescent="0.25">
      <c r="A190" s="3" t="s">
        <v>54</v>
      </c>
      <c r="B190" s="39" t="s">
        <v>68</v>
      </c>
      <c r="C190" s="3">
        <v>100</v>
      </c>
      <c r="D190" s="3">
        <v>0.15</v>
      </c>
      <c r="E190" s="3">
        <v>15</v>
      </c>
      <c r="F190" s="39" t="s">
        <v>13</v>
      </c>
      <c r="G190" s="39" t="s">
        <v>16</v>
      </c>
      <c r="H190" s="110">
        <v>1786</v>
      </c>
      <c r="I190" s="138">
        <v>1786</v>
      </c>
      <c r="J190" s="138">
        <v>0.75</v>
      </c>
      <c r="K190" s="137">
        <v>0</v>
      </c>
      <c r="L190" s="125">
        <v>1751</v>
      </c>
      <c r="M190" s="125">
        <v>9</v>
      </c>
      <c r="N190" s="125">
        <v>3</v>
      </c>
      <c r="O190" s="111">
        <f>((Tabela135[[#This Row],[Objetive value]]-Tabela135[[#This Row],[Objetive value/GATeS]])/Tabela135[[#This Row],[Objetive value]])*100</f>
        <v>1.9596864501679732</v>
      </c>
      <c r="P190" s="112">
        <v>1756</v>
      </c>
      <c r="Q190" s="112">
        <v>0.31</v>
      </c>
      <c r="R190" s="112">
        <v>0</v>
      </c>
      <c r="S190" s="112">
        <f>(((Tabela135[[#This Row],[Objetive value]]-Tabela135[[#This Row],[Objetive Value /H-R1]])/Tabela135[[#This Row],[Objetive value]]))*100</f>
        <v>1.6797312430011198</v>
      </c>
      <c r="T190" s="113">
        <v>1720</v>
      </c>
      <c r="U190" s="113">
        <v>0.22</v>
      </c>
      <c r="V190" s="113">
        <v>0</v>
      </c>
      <c r="W190" s="113">
        <f>(((Tabela135[[#This Row],[Objetive value]]-Tabela135[[#This Row],[Objetive value /H-R2]])/Tabela135[[#This Row],[Objetive value]]))*100</f>
        <v>3.6954087346024638</v>
      </c>
    </row>
    <row r="191" spans="1:23" s="95" customFormat="1" x14ac:dyDescent="0.25">
      <c r="A191" s="3" t="s">
        <v>54</v>
      </c>
      <c r="B191" s="39" t="s">
        <v>69</v>
      </c>
      <c r="C191" s="3">
        <v>100</v>
      </c>
      <c r="D191" s="3">
        <v>0.15</v>
      </c>
      <c r="E191" s="3">
        <v>15</v>
      </c>
      <c r="F191" s="39" t="s">
        <v>18</v>
      </c>
      <c r="G191" s="39" t="s">
        <v>14</v>
      </c>
      <c r="H191" s="110">
        <v>3491</v>
      </c>
      <c r="I191" s="138">
        <v>3491</v>
      </c>
      <c r="J191" s="138">
        <v>1.29700000002048</v>
      </c>
      <c r="K191" s="137">
        <v>0</v>
      </c>
      <c r="L191" s="125">
        <v>3467</v>
      </c>
      <c r="M191" s="125">
        <v>6</v>
      </c>
      <c r="N191" s="125">
        <v>0</v>
      </c>
      <c r="O191" s="111">
        <f>((Tabela135[[#This Row],[Objetive value]]-Tabela135[[#This Row],[Objetive value/GATeS]])/Tabela135[[#This Row],[Objetive value]])*100</f>
        <v>0.68748209682039529</v>
      </c>
      <c r="P191" s="112">
        <v>3485</v>
      </c>
      <c r="Q191" s="112">
        <v>0.26</v>
      </c>
      <c r="R191" s="112">
        <v>0</v>
      </c>
      <c r="S191" s="112">
        <f>(((Tabela135[[#This Row],[Objetive value]]-Tabela135[[#This Row],[Objetive Value /H-R1]])/Tabela135[[#This Row],[Objetive value]]))*100</f>
        <v>0.17187052420509882</v>
      </c>
      <c r="T191" s="113">
        <v>3474</v>
      </c>
      <c r="U191" s="113">
        <v>0.3</v>
      </c>
      <c r="V191" s="113">
        <v>0</v>
      </c>
      <c r="W191" s="113">
        <f>(((Tabela135[[#This Row],[Objetive value]]-Tabela135[[#This Row],[Objetive value /H-R2]])/Tabela135[[#This Row],[Objetive value]]))*100</f>
        <v>0.48696648524778002</v>
      </c>
    </row>
    <row r="192" spans="1:23" s="34" customFormat="1" x14ac:dyDescent="0.25">
      <c r="A192" s="3" t="s">
        <v>54</v>
      </c>
      <c r="B192" s="39" t="s">
        <v>70</v>
      </c>
      <c r="C192" s="3">
        <v>100</v>
      </c>
      <c r="D192" s="3">
        <v>0.15</v>
      </c>
      <c r="E192" s="3">
        <v>15</v>
      </c>
      <c r="F192" s="39" t="s">
        <v>18</v>
      </c>
      <c r="G192" s="39" t="s">
        <v>16</v>
      </c>
      <c r="H192" s="110">
        <v>1976</v>
      </c>
      <c r="I192" s="138">
        <v>1976</v>
      </c>
      <c r="J192" s="138">
        <v>1.01600000006146</v>
      </c>
      <c r="K192" s="137">
        <v>0</v>
      </c>
      <c r="L192" s="125">
        <v>1929</v>
      </c>
      <c r="M192" s="125">
        <v>8</v>
      </c>
      <c r="N192" s="125">
        <v>1</v>
      </c>
      <c r="O192" s="111">
        <f>((Tabela135[[#This Row],[Objetive value]]-Tabela135[[#This Row],[Objetive value/GATeS]])/Tabela135[[#This Row],[Objetive value]])*100</f>
        <v>2.3785425101214575</v>
      </c>
      <c r="P192" s="112">
        <v>1903</v>
      </c>
      <c r="Q192" s="112">
        <v>0.3</v>
      </c>
      <c r="R192" s="112">
        <v>0</v>
      </c>
      <c r="S192" s="112">
        <f>(((Tabela135[[#This Row],[Objetive value]]-Tabela135[[#This Row],[Objetive Value /H-R1]])/Tabela135[[#This Row],[Objetive value]]))*100</f>
        <v>3.6943319838056681</v>
      </c>
      <c r="T192" s="113">
        <v>1903</v>
      </c>
      <c r="U192" s="113">
        <v>0.33</v>
      </c>
      <c r="V192" s="113">
        <v>0</v>
      </c>
      <c r="W192" s="113">
        <f>(((Tabela135[[#This Row],[Objetive value]]-Tabela135[[#This Row],[Objetive value /H-R2]])/Tabela135[[#This Row],[Objetive value]]))*100</f>
        <v>3.6943319838056681</v>
      </c>
    </row>
    <row r="193" spans="1:23" s="34" customFormat="1" x14ac:dyDescent="0.25">
      <c r="A193" s="3" t="s">
        <v>54</v>
      </c>
      <c r="B193" s="39" t="s">
        <v>71</v>
      </c>
      <c r="C193" s="3">
        <v>100</v>
      </c>
      <c r="D193" s="3">
        <v>0.15</v>
      </c>
      <c r="E193" s="3">
        <v>15</v>
      </c>
      <c r="F193" s="39" t="s">
        <v>21</v>
      </c>
      <c r="G193" s="39" t="s">
        <v>14</v>
      </c>
      <c r="H193" s="110">
        <v>3192</v>
      </c>
      <c r="I193" s="138">
        <v>3192</v>
      </c>
      <c r="J193" s="138">
        <v>0.39100000006146701</v>
      </c>
      <c r="K193" s="137">
        <v>0</v>
      </c>
      <c r="L193" s="125">
        <v>2863</v>
      </c>
      <c r="M193" s="125">
        <v>5</v>
      </c>
      <c r="N193" s="125">
        <v>0</v>
      </c>
      <c r="O193" s="111">
        <f>((Tabela135[[#This Row],[Objetive value]]-Tabela135[[#This Row],[Objetive value/GATeS]])/Tabela135[[#This Row],[Objetive value]])*100</f>
        <v>10.307017543859649</v>
      </c>
      <c r="P193" s="112">
        <v>3055</v>
      </c>
      <c r="Q193" s="112">
        <v>0.23</v>
      </c>
      <c r="R193" s="112">
        <v>0</v>
      </c>
      <c r="S193" s="112">
        <f>(((Tabela135[[#This Row],[Objetive value]]-Tabela135[[#This Row],[Objetive Value /H-R1]])/Tabela135[[#This Row],[Objetive value]]))*100</f>
        <v>4.2919799498746869</v>
      </c>
      <c r="T193" s="113">
        <v>3192</v>
      </c>
      <c r="U193" s="113">
        <v>0.22</v>
      </c>
      <c r="V193" s="113">
        <v>0</v>
      </c>
      <c r="W193" s="113">
        <f>(((Tabela135[[#This Row],[Objetive value]]-Tabela135[[#This Row],[Objetive value /H-R2]])/Tabela135[[#This Row],[Objetive value]]))*100</f>
        <v>0</v>
      </c>
    </row>
    <row r="194" spans="1:23" s="34" customFormat="1" x14ac:dyDescent="0.25">
      <c r="A194" s="3" t="s">
        <v>54</v>
      </c>
      <c r="B194" s="39" t="s">
        <v>72</v>
      </c>
      <c r="C194" s="3">
        <v>100</v>
      </c>
      <c r="D194" s="3">
        <v>0.15</v>
      </c>
      <c r="E194" s="3">
        <v>15</v>
      </c>
      <c r="F194" s="39" t="s">
        <v>21</v>
      </c>
      <c r="G194" s="39" t="s">
        <v>16</v>
      </c>
      <c r="H194" s="110">
        <v>1763</v>
      </c>
      <c r="I194" s="138">
        <v>1763</v>
      </c>
      <c r="J194" s="138">
        <v>0.57799999997951002</v>
      </c>
      <c r="K194" s="137">
        <v>0</v>
      </c>
      <c r="L194" s="125">
        <v>1732</v>
      </c>
      <c r="M194" s="125">
        <v>10</v>
      </c>
      <c r="N194" s="125">
        <v>3</v>
      </c>
      <c r="O194" s="111">
        <f>((Tabela135[[#This Row],[Objetive value]]-Tabela135[[#This Row],[Objetive value/GATeS]])/Tabela135[[#This Row],[Objetive value]])*100</f>
        <v>1.7583664208735112</v>
      </c>
      <c r="P194" s="112">
        <v>1696</v>
      </c>
      <c r="Q194" s="112">
        <v>0.2</v>
      </c>
      <c r="R194" s="112">
        <v>0</v>
      </c>
      <c r="S194" s="112">
        <f>(((Tabela135[[#This Row],[Objetive value]]-Tabela135[[#This Row],[Objetive Value /H-R1]])/Tabela135[[#This Row],[Objetive value]]))*100</f>
        <v>3.8003403289846851</v>
      </c>
      <c r="T194" s="113">
        <v>1634</v>
      </c>
      <c r="U194" s="113">
        <v>0.38</v>
      </c>
      <c r="V194" s="113">
        <v>0</v>
      </c>
      <c r="W194" s="113">
        <f>(((Tabela135[[#This Row],[Objetive value]]-Tabela135[[#This Row],[Objetive value /H-R2]])/Tabela135[[#This Row],[Objetive value]]))*100</f>
        <v>7.3170731707317067</v>
      </c>
    </row>
    <row r="195" spans="1:23" s="34" customFormat="1" x14ac:dyDescent="0.25">
      <c r="A195" s="3" t="s">
        <v>11</v>
      </c>
      <c r="B195" s="118" t="s">
        <v>29</v>
      </c>
      <c r="C195" s="3">
        <v>100</v>
      </c>
      <c r="D195" s="3">
        <v>0.15</v>
      </c>
      <c r="E195" s="3">
        <v>5</v>
      </c>
      <c r="F195" s="39" t="s">
        <v>13</v>
      </c>
      <c r="G195" s="39" t="s">
        <v>14</v>
      </c>
      <c r="H195" s="110">
        <v>983</v>
      </c>
      <c r="I195" s="138">
        <v>983</v>
      </c>
      <c r="J195" s="138">
        <v>0.125</v>
      </c>
      <c r="K195" s="137">
        <v>0</v>
      </c>
      <c r="L195" s="125">
        <v>954</v>
      </c>
      <c r="M195" s="125">
        <v>2</v>
      </c>
      <c r="N195" s="125">
        <v>1</v>
      </c>
      <c r="O195" s="111">
        <f>((Tabela135[[#This Row],[Objetive value]]-Tabela135[[#This Row],[Objetive value/GATeS]])/Tabela135[[#This Row],[Objetive value]])*100</f>
        <v>2.9501525940996949</v>
      </c>
      <c r="P195" s="112">
        <v>983</v>
      </c>
      <c r="Q195" s="112">
        <v>0.28999999999999998</v>
      </c>
      <c r="R195" s="112">
        <v>0</v>
      </c>
      <c r="S195" s="112">
        <f>(((Tabela135[[#This Row],[Objetive value]]-Tabela135[[#This Row],[Objetive Value /H-R1]])/Tabela135[[#This Row],[Objetive value]]))*100</f>
        <v>0</v>
      </c>
      <c r="T195" s="113">
        <v>904</v>
      </c>
      <c r="U195" s="113">
        <v>0.26</v>
      </c>
      <c r="V195" s="113">
        <v>0</v>
      </c>
      <c r="W195" s="113">
        <f>(((Tabela135[[#This Row],[Objetive value]]-Tabela135[[#This Row],[Objetive value /H-R2]])/Tabela135[[#This Row],[Objetive value]]))*100</f>
        <v>8.0366225839267535</v>
      </c>
    </row>
    <row r="196" spans="1:23" s="34" customFormat="1" x14ac:dyDescent="0.25">
      <c r="A196" s="3" t="s">
        <v>11</v>
      </c>
      <c r="B196" s="118" t="s">
        <v>30</v>
      </c>
      <c r="C196" s="3">
        <v>100</v>
      </c>
      <c r="D196" s="3">
        <v>0.15</v>
      </c>
      <c r="E196" s="3">
        <v>5</v>
      </c>
      <c r="F196" s="39" t="s">
        <v>13</v>
      </c>
      <c r="G196" s="39" t="s">
        <v>16</v>
      </c>
      <c r="H196" s="110">
        <v>771</v>
      </c>
      <c r="I196" s="138">
        <v>771</v>
      </c>
      <c r="J196" s="138">
        <v>7.7999999979510903E-2</v>
      </c>
      <c r="K196" s="137">
        <v>0</v>
      </c>
      <c r="L196" s="125">
        <v>766</v>
      </c>
      <c r="M196" s="125">
        <v>2</v>
      </c>
      <c r="N196" s="125">
        <v>2</v>
      </c>
      <c r="O196" s="111">
        <f>((Tabela135[[#This Row],[Objetive value]]-Tabela135[[#This Row],[Objetive value/GATeS]])/Tabela135[[#This Row],[Objetive value]])*100</f>
        <v>0.64850843060959795</v>
      </c>
      <c r="P196" s="112">
        <v>771</v>
      </c>
      <c r="Q196" s="112">
        <v>0.34</v>
      </c>
      <c r="R196" s="112">
        <v>0</v>
      </c>
      <c r="S196" s="112">
        <f>(((Tabela135[[#This Row],[Objetive value]]-Tabela135[[#This Row],[Objetive Value /H-R1]])/Tabela135[[#This Row],[Objetive value]]))*100</f>
        <v>0</v>
      </c>
      <c r="T196" s="113">
        <v>771</v>
      </c>
      <c r="U196" s="113">
        <v>0.31</v>
      </c>
      <c r="V196" s="113">
        <v>0</v>
      </c>
      <c r="W196" s="113">
        <f>(((Tabela135[[#This Row],[Objetive value]]-Tabela135[[#This Row],[Objetive value /H-R2]])/Tabela135[[#This Row],[Objetive value]]))*100</f>
        <v>0</v>
      </c>
    </row>
    <row r="197" spans="1:23" s="34" customFormat="1" x14ac:dyDescent="0.25">
      <c r="A197" s="3" t="s">
        <v>11</v>
      </c>
      <c r="B197" s="39" t="s">
        <v>31</v>
      </c>
      <c r="C197" s="3">
        <v>100</v>
      </c>
      <c r="D197" s="3">
        <v>0.15</v>
      </c>
      <c r="E197" s="3">
        <v>5</v>
      </c>
      <c r="F197" s="39" t="s">
        <v>18</v>
      </c>
      <c r="G197" s="39" t="s">
        <v>14</v>
      </c>
      <c r="H197" s="110">
        <v>918</v>
      </c>
      <c r="I197" s="138">
        <v>917.99999999999898</v>
      </c>
      <c r="J197" s="138">
        <v>9.3999999924562802E-2</v>
      </c>
      <c r="K197" s="137">
        <v>0</v>
      </c>
      <c r="L197" s="125">
        <v>915</v>
      </c>
      <c r="M197" s="125">
        <v>2</v>
      </c>
      <c r="N197" s="125">
        <v>1</v>
      </c>
      <c r="O197" s="111">
        <f>((Tabela135[[#This Row],[Objetive value]]-Tabela135[[#This Row],[Objetive value/GATeS]])/Tabela135[[#This Row],[Objetive value]])*100</f>
        <v>0.32679738562080396</v>
      </c>
      <c r="P197" s="112">
        <v>918</v>
      </c>
      <c r="Q197" s="112">
        <v>0.24</v>
      </c>
      <c r="R197" s="112">
        <v>0</v>
      </c>
      <c r="S197" s="112">
        <f>(((Tabela135[[#This Row],[Objetive value]]-Tabela135[[#This Row],[Objetive Value /H-R1]])/Tabela135[[#This Row],[Objetive value]]))*100</f>
        <v>-1.1145768404080015E-13</v>
      </c>
      <c r="T197" s="113">
        <v>918</v>
      </c>
      <c r="U197" s="113">
        <v>0.23</v>
      </c>
      <c r="V197" s="113">
        <v>0</v>
      </c>
      <c r="W197" s="113">
        <f>(((Tabela135[[#This Row],[Objetive value]]-Tabela135[[#This Row],[Objetive value /H-R2]])/Tabela135[[#This Row],[Objetive value]]))*100</f>
        <v>-1.1145768404080015E-13</v>
      </c>
    </row>
    <row r="198" spans="1:23" s="34" customFormat="1" x14ac:dyDescent="0.25">
      <c r="A198" s="3" t="s">
        <v>11</v>
      </c>
      <c r="B198" s="39" t="s">
        <v>32</v>
      </c>
      <c r="C198" s="3">
        <v>100</v>
      </c>
      <c r="D198" s="3">
        <v>0.15</v>
      </c>
      <c r="E198" s="3">
        <v>5</v>
      </c>
      <c r="F198" s="39" t="s">
        <v>18</v>
      </c>
      <c r="G198" s="39" t="s">
        <v>16</v>
      </c>
      <c r="H198" s="110">
        <v>747</v>
      </c>
      <c r="I198" s="138">
        <v>747</v>
      </c>
      <c r="J198" s="138">
        <v>0.155999999959021</v>
      </c>
      <c r="K198" s="137">
        <v>0</v>
      </c>
      <c r="L198" s="125">
        <v>745</v>
      </c>
      <c r="M198" s="125">
        <v>2</v>
      </c>
      <c r="N198" s="125">
        <v>2</v>
      </c>
      <c r="O198" s="111">
        <f>((Tabela135[[#This Row],[Objetive value]]-Tabela135[[#This Row],[Objetive value/GATeS]])/Tabela135[[#This Row],[Objetive value]])*100</f>
        <v>0.2677376171352075</v>
      </c>
      <c r="P198" s="112">
        <v>736</v>
      </c>
      <c r="Q198" s="112">
        <v>0.09</v>
      </c>
      <c r="R198" s="112">
        <v>0</v>
      </c>
      <c r="S198" s="112">
        <f>(((Tabela135[[#This Row],[Objetive value]]-Tabela135[[#This Row],[Objetive Value /H-R1]])/Tabela135[[#This Row],[Objetive value]]))*100</f>
        <v>1.4725568942436411</v>
      </c>
      <c r="T198" s="113">
        <v>741</v>
      </c>
      <c r="U198" s="113">
        <v>0.2</v>
      </c>
      <c r="V198" s="113">
        <v>0</v>
      </c>
      <c r="W198" s="113">
        <f>(((Tabela135[[#This Row],[Objetive value]]-Tabela135[[#This Row],[Objetive value /H-R2]])/Tabela135[[#This Row],[Objetive value]]))*100</f>
        <v>0.80321285140562237</v>
      </c>
    </row>
    <row r="199" spans="1:23" s="34" customFormat="1" x14ac:dyDescent="0.25">
      <c r="A199" s="3" t="s">
        <v>11</v>
      </c>
      <c r="B199" s="39" t="s">
        <v>33</v>
      </c>
      <c r="C199" s="3">
        <v>100</v>
      </c>
      <c r="D199" s="3">
        <v>0.15</v>
      </c>
      <c r="E199" s="3">
        <v>5</v>
      </c>
      <c r="F199" s="39" t="s">
        <v>21</v>
      </c>
      <c r="G199" s="39" t="s">
        <v>14</v>
      </c>
      <c r="H199" s="110">
        <v>1075</v>
      </c>
      <c r="I199" s="138">
        <v>1075</v>
      </c>
      <c r="J199" s="138">
        <v>4.7000000020489097E-2</v>
      </c>
      <c r="K199" s="137">
        <v>0</v>
      </c>
      <c r="L199" s="125">
        <v>902</v>
      </c>
      <c r="M199" s="125">
        <v>1</v>
      </c>
      <c r="N199" s="125">
        <v>0</v>
      </c>
      <c r="O199" s="111">
        <f>((Tabela135[[#This Row],[Objetive value]]-Tabela135[[#This Row],[Objetive value/GATeS]])/Tabela135[[#This Row],[Objetive value]])*100</f>
        <v>16.093023255813954</v>
      </c>
      <c r="P199" s="112">
        <v>1075</v>
      </c>
      <c r="Q199" s="112">
        <v>0.26</v>
      </c>
      <c r="R199" s="112">
        <v>0</v>
      </c>
      <c r="S199" s="112">
        <f>(((Tabela135[[#This Row],[Objetive value]]-Tabela135[[#This Row],[Objetive Value /H-R1]])/Tabela135[[#This Row],[Objetive value]]))*100</f>
        <v>0</v>
      </c>
      <c r="T199" s="113">
        <v>1075</v>
      </c>
      <c r="U199" s="113">
        <v>0.22</v>
      </c>
      <c r="V199" s="113">
        <v>0</v>
      </c>
      <c r="W199" s="113">
        <f>(((Tabela135[[#This Row],[Objetive value]]-Tabela135[[#This Row],[Objetive value /H-R2]])/Tabela135[[#This Row],[Objetive value]]))*100</f>
        <v>0</v>
      </c>
    </row>
    <row r="200" spans="1:23" s="34" customFormat="1" x14ac:dyDescent="0.25">
      <c r="A200" s="3" t="s">
        <v>11</v>
      </c>
      <c r="B200" s="39" t="s">
        <v>34</v>
      </c>
      <c r="C200" s="3">
        <v>100</v>
      </c>
      <c r="D200" s="3">
        <v>0.15</v>
      </c>
      <c r="E200" s="3">
        <v>5</v>
      </c>
      <c r="F200" s="39" t="s">
        <v>21</v>
      </c>
      <c r="G200" s="39" t="s">
        <v>16</v>
      </c>
      <c r="H200" s="110">
        <v>787</v>
      </c>
      <c r="I200" s="138">
        <v>787</v>
      </c>
      <c r="J200" s="138">
        <v>4.5999999972991597E-2</v>
      </c>
      <c r="K200" s="137">
        <v>0</v>
      </c>
      <c r="L200" s="125">
        <v>785</v>
      </c>
      <c r="M200" s="125">
        <v>2</v>
      </c>
      <c r="N200" s="125">
        <v>0</v>
      </c>
      <c r="O200" s="111">
        <f>((Tabela135[[#This Row],[Objetive value]]-Tabela135[[#This Row],[Objetive value/GATeS]])/Tabela135[[#This Row],[Objetive value]])*100</f>
        <v>0.25412960609911056</v>
      </c>
      <c r="P200" s="112">
        <v>787</v>
      </c>
      <c r="Q200" s="112">
        <v>0.28999999999999998</v>
      </c>
      <c r="R200" s="112">
        <v>0</v>
      </c>
      <c r="S200" s="112">
        <f>(((Tabela135[[#This Row],[Objetive value]]-Tabela135[[#This Row],[Objetive Value /H-R1]])/Tabela135[[#This Row],[Objetive value]]))*100</f>
        <v>0</v>
      </c>
      <c r="T200" s="113">
        <v>787</v>
      </c>
      <c r="U200" s="113">
        <v>0.51</v>
      </c>
      <c r="V200" s="113">
        <v>0</v>
      </c>
      <c r="W200" s="113">
        <f>(((Tabela135[[#This Row],[Objetive value]]-Tabela135[[#This Row],[Objetive value /H-R2]])/Tabela135[[#This Row],[Objetive value]]))*100</f>
        <v>0</v>
      </c>
    </row>
    <row r="201" spans="1:23" s="34" customFormat="1" x14ac:dyDescent="0.25">
      <c r="A201" s="3" t="s">
        <v>35</v>
      </c>
      <c r="B201" s="39" t="s">
        <v>36</v>
      </c>
      <c r="C201" s="3">
        <v>100</v>
      </c>
      <c r="D201" s="3">
        <v>0.05</v>
      </c>
      <c r="E201" s="3">
        <v>10</v>
      </c>
      <c r="F201" s="39" t="s">
        <v>13</v>
      </c>
      <c r="G201" s="39" t="s">
        <v>14</v>
      </c>
      <c r="H201" s="110">
        <v>2167</v>
      </c>
      <c r="I201" s="138">
        <v>2167</v>
      </c>
      <c r="J201" s="138">
        <v>0.25</v>
      </c>
      <c r="K201" s="137">
        <v>0</v>
      </c>
      <c r="L201" s="125">
        <v>2015</v>
      </c>
      <c r="M201" s="125">
        <v>14</v>
      </c>
      <c r="N201" s="125">
        <v>0</v>
      </c>
      <c r="O201" s="111">
        <f>((Tabela135[[#This Row],[Objetive value]]-Tabela135[[#This Row],[Objetive value/GATeS]])/Tabela135[[#This Row],[Objetive value]])*100</f>
        <v>7.014305491462852</v>
      </c>
      <c r="P201" s="112">
        <v>2014</v>
      </c>
      <c r="Q201" s="112">
        <v>0.43</v>
      </c>
      <c r="R201" s="112">
        <v>0</v>
      </c>
      <c r="S201" s="112">
        <f>(((Tabela135[[#This Row],[Objetive value]]-Tabela135[[#This Row],[Objetive Value /H-R1]])/Tabela135[[#This Row],[Objetive value]]))*100</f>
        <v>7.0604522381172128</v>
      </c>
      <c r="T201" s="113">
        <v>1924</v>
      </c>
      <c r="U201" s="113">
        <v>0.41</v>
      </c>
      <c r="V201" s="113">
        <v>0</v>
      </c>
      <c r="W201" s="113">
        <f>(((Tabela135[[#This Row],[Objetive value]]-Tabela135[[#This Row],[Objetive value /H-R2]])/Tabela135[[#This Row],[Objetive value]]))*100</f>
        <v>11.21365943700969</v>
      </c>
    </row>
    <row r="202" spans="1:23" s="34" customFormat="1" x14ac:dyDescent="0.25">
      <c r="A202" s="3" t="s">
        <v>35</v>
      </c>
      <c r="B202" s="39" t="s">
        <v>37</v>
      </c>
      <c r="C202" s="3">
        <v>100</v>
      </c>
      <c r="D202" s="3">
        <v>0.05</v>
      </c>
      <c r="E202" s="3">
        <v>10</v>
      </c>
      <c r="F202" s="39" t="s">
        <v>13</v>
      </c>
      <c r="G202" s="39" t="s">
        <v>16</v>
      </c>
      <c r="H202" s="110">
        <v>1232</v>
      </c>
      <c r="I202" s="138">
        <v>1232</v>
      </c>
      <c r="J202" s="138">
        <v>0.29700000002048899</v>
      </c>
      <c r="K202" s="137">
        <v>0</v>
      </c>
      <c r="L202" s="125">
        <v>1200</v>
      </c>
      <c r="M202" s="125">
        <v>5</v>
      </c>
      <c r="N202" s="125">
        <v>0</v>
      </c>
      <c r="O202" s="111">
        <f>((Tabela135[[#This Row],[Objetive value]]-Tabela135[[#This Row],[Objetive value/GATeS]])/Tabela135[[#This Row],[Objetive value]])*100</f>
        <v>2.5974025974025974</v>
      </c>
      <c r="P202" s="112">
        <v>1191</v>
      </c>
      <c r="Q202" s="112">
        <v>0.5</v>
      </c>
      <c r="R202" s="112">
        <v>0</v>
      </c>
      <c r="S202" s="112">
        <f>(((Tabela135[[#This Row],[Objetive value]]-Tabela135[[#This Row],[Objetive Value /H-R1]])/Tabela135[[#This Row],[Objetive value]]))*100</f>
        <v>3.3279220779220777</v>
      </c>
      <c r="T202" s="113">
        <v>1191</v>
      </c>
      <c r="U202" s="113">
        <v>0.31</v>
      </c>
      <c r="V202" s="113">
        <v>0</v>
      </c>
      <c r="W202" s="113">
        <f>(((Tabela135[[#This Row],[Objetive value]]-Tabela135[[#This Row],[Objetive value /H-R2]])/Tabela135[[#This Row],[Objetive value]]))*100</f>
        <v>3.3279220779220777</v>
      </c>
    </row>
    <row r="203" spans="1:23" s="34" customFormat="1" x14ac:dyDescent="0.25">
      <c r="A203" s="34" t="s">
        <v>35</v>
      </c>
      <c r="B203" s="37" t="s">
        <v>38</v>
      </c>
      <c r="C203" s="34">
        <v>100</v>
      </c>
      <c r="D203" s="34">
        <v>0.05</v>
      </c>
      <c r="E203" s="34">
        <v>10</v>
      </c>
      <c r="F203" s="37" t="s">
        <v>18</v>
      </c>
      <c r="G203" s="39" t="s">
        <v>14</v>
      </c>
      <c r="H203" s="110">
        <v>1706</v>
      </c>
      <c r="I203" s="138">
        <v>1706</v>
      </c>
      <c r="J203" s="138">
        <v>0.20299999997950999</v>
      </c>
      <c r="K203" s="137">
        <v>0</v>
      </c>
      <c r="L203" s="125">
        <v>1691</v>
      </c>
      <c r="M203" s="125">
        <v>4</v>
      </c>
      <c r="N203" s="125">
        <v>1</v>
      </c>
      <c r="O203" s="111">
        <f>((Tabela135[[#This Row],[Objetive value]]-Tabela135[[#This Row],[Objetive value/GATeS]])/Tabela135[[#This Row],[Objetive value]])*100</f>
        <v>0.87924970691676441</v>
      </c>
      <c r="P203" s="112">
        <v>1689</v>
      </c>
      <c r="Q203" s="112">
        <v>0.28000000000000003</v>
      </c>
      <c r="R203" s="112">
        <v>0</v>
      </c>
      <c r="S203" s="112">
        <f>(((Tabela135[[#This Row],[Objetive value]]-Tabela135[[#This Row],[Objetive Value /H-R1]])/Tabela135[[#This Row],[Objetive value]]))*100</f>
        <v>0.99648300117233302</v>
      </c>
      <c r="T203" s="113">
        <v>1689</v>
      </c>
      <c r="U203" s="113">
        <v>0.42</v>
      </c>
      <c r="V203" s="113">
        <v>0</v>
      </c>
      <c r="W203" s="113">
        <f>(((Tabela135[[#This Row],[Objetive value]]-Tabela135[[#This Row],[Objetive value /H-R2]])/Tabela135[[#This Row],[Objetive value]]))*100</f>
        <v>0.99648300117233302</v>
      </c>
    </row>
    <row r="204" spans="1:23" s="34" customFormat="1" x14ac:dyDescent="0.25">
      <c r="A204" s="3" t="s">
        <v>35</v>
      </c>
      <c r="B204" s="39" t="s">
        <v>39</v>
      </c>
      <c r="C204" s="3">
        <v>100</v>
      </c>
      <c r="D204" s="3">
        <v>0.05</v>
      </c>
      <c r="E204" s="3">
        <v>10</v>
      </c>
      <c r="F204" s="39" t="s">
        <v>18</v>
      </c>
      <c r="G204" s="39" t="s">
        <v>16</v>
      </c>
      <c r="H204" s="110">
        <v>1391</v>
      </c>
      <c r="I204" s="138">
        <v>1391</v>
      </c>
      <c r="J204" s="138">
        <v>0.28100000007543702</v>
      </c>
      <c r="K204" s="137">
        <v>0</v>
      </c>
      <c r="L204" s="125">
        <v>1372</v>
      </c>
      <c r="M204" s="125">
        <v>5</v>
      </c>
      <c r="N204" s="125">
        <v>5</v>
      </c>
      <c r="O204" s="111">
        <f>((Tabela135[[#This Row],[Objetive value]]-Tabela135[[#This Row],[Objetive value/GATeS]])/Tabela135[[#This Row],[Objetive value]])*100</f>
        <v>1.3659237958303379</v>
      </c>
      <c r="P204" s="112">
        <v>1351</v>
      </c>
      <c r="Q204" s="112">
        <v>0.44</v>
      </c>
      <c r="R204" s="112">
        <v>0</v>
      </c>
      <c r="S204" s="112">
        <f>(((Tabela135[[#This Row],[Objetive value]]-Tabela135[[#This Row],[Objetive Value /H-R1]])/Tabela135[[#This Row],[Objetive value]]))*100</f>
        <v>2.8756290438533427</v>
      </c>
      <c r="T204" s="113">
        <v>1288</v>
      </c>
      <c r="U204" s="113">
        <v>0.39</v>
      </c>
      <c r="V204" s="113">
        <v>0</v>
      </c>
      <c r="W204" s="113">
        <f>(((Tabela135[[#This Row],[Objetive value]]-Tabela135[[#This Row],[Objetive value /H-R2]])/Tabela135[[#This Row],[Objetive value]]))*100</f>
        <v>7.4047447879223585</v>
      </c>
    </row>
    <row r="205" spans="1:23" s="34" customFormat="1" x14ac:dyDescent="0.25">
      <c r="A205" s="3" t="s">
        <v>35</v>
      </c>
      <c r="B205" s="39" t="s">
        <v>40</v>
      </c>
      <c r="C205" s="3">
        <v>100</v>
      </c>
      <c r="D205" s="3">
        <v>0.05</v>
      </c>
      <c r="E205" s="3">
        <v>10</v>
      </c>
      <c r="F205" s="39" t="s">
        <v>21</v>
      </c>
      <c r="G205" s="39" t="s">
        <v>14</v>
      </c>
      <c r="H205" s="110">
        <v>1661</v>
      </c>
      <c r="I205" s="138">
        <v>1661</v>
      </c>
      <c r="J205" s="138">
        <v>0.15600000007543699</v>
      </c>
      <c r="K205" s="137">
        <v>0</v>
      </c>
      <c r="L205" s="125">
        <v>1501</v>
      </c>
      <c r="M205" s="125">
        <v>13</v>
      </c>
      <c r="N205" s="125">
        <v>1</v>
      </c>
      <c r="O205" s="111">
        <f>((Tabela135[[#This Row],[Objetive value]]-Tabela135[[#This Row],[Objetive value/GATeS]])/Tabela135[[#This Row],[Objetive value]])*100</f>
        <v>9.6327513546056593</v>
      </c>
      <c r="P205" s="112">
        <v>1656</v>
      </c>
      <c r="Q205" s="112">
        <v>0.69</v>
      </c>
      <c r="R205" s="112">
        <v>0</v>
      </c>
      <c r="S205" s="112">
        <f>(((Tabela135[[#This Row],[Objetive value]]-Tabela135[[#This Row],[Objetive Value /H-R1]])/Tabela135[[#This Row],[Objetive value]]))*100</f>
        <v>0.30102347983142685</v>
      </c>
      <c r="T205" s="113">
        <v>1661</v>
      </c>
      <c r="U205" s="113">
        <v>0.51</v>
      </c>
      <c r="V205" s="113">
        <v>0</v>
      </c>
      <c r="W205" s="113">
        <f>(((Tabela135[[#This Row],[Objetive value]]-Tabela135[[#This Row],[Objetive value /H-R2]])/Tabela135[[#This Row],[Objetive value]]))*100</f>
        <v>0</v>
      </c>
    </row>
    <row r="206" spans="1:23" s="34" customFormat="1" x14ac:dyDescent="0.25">
      <c r="A206" s="3" t="s">
        <v>35</v>
      </c>
      <c r="B206" s="37" t="s">
        <v>41</v>
      </c>
      <c r="C206" s="3">
        <v>100</v>
      </c>
      <c r="D206" s="3">
        <v>0.05</v>
      </c>
      <c r="E206" s="3">
        <v>10</v>
      </c>
      <c r="F206" s="39" t="s">
        <v>21</v>
      </c>
      <c r="G206" s="39" t="s">
        <v>16</v>
      </c>
      <c r="H206" s="110">
        <v>1121</v>
      </c>
      <c r="I206" s="138">
        <v>1121</v>
      </c>
      <c r="J206" s="138">
        <v>0.39000000001396901</v>
      </c>
      <c r="K206" s="137">
        <v>0</v>
      </c>
      <c r="L206" s="125">
        <v>1091</v>
      </c>
      <c r="M206" s="125">
        <v>14</v>
      </c>
      <c r="N206" s="125">
        <v>1</v>
      </c>
      <c r="O206" s="111">
        <f>((Tabela135[[#This Row],[Objetive value]]-Tabela135[[#This Row],[Objetive value/GATeS]])/Tabela135[[#This Row],[Objetive value]])*100</f>
        <v>2.6761819803746656</v>
      </c>
      <c r="P206" s="112">
        <v>1039</v>
      </c>
      <c r="Q206" s="112">
        <v>0.35</v>
      </c>
      <c r="R206" s="112">
        <v>0</v>
      </c>
      <c r="S206" s="112">
        <f>(((Tabela135[[#This Row],[Objetive value]]-Tabela135[[#This Row],[Objetive Value /H-R1]])/Tabela135[[#This Row],[Objetive value]]))*100</f>
        <v>7.3148974130240854</v>
      </c>
      <c r="T206" s="113">
        <v>1028</v>
      </c>
      <c r="U206" s="113">
        <v>0.43</v>
      </c>
      <c r="V206" s="113">
        <v>0</v>
      </c>
      <c r="W206" s="113">
        <f>(((Tabela135[[#This Row],[Objetive value]]-Tabela135[[#This Row],[Objetive value /H-R2]])/Tabela135[[#This Row],[Objetive value]]))*100</f>
        <v>8.2961641391614638</v>
      </c>
    </row>
    <row r="207" spans="1:23" s="34" customFormat="1" x14ac:dyDescent="0.25">
      <c r="A207" s="3" t="s">
        <v>54</v>
      </c>
      <c r="B207" s="37" t="s">
        <v>55</v>
      </c>
      <c r="C207" s="3">
        <v>100</v>
      </c>
      <c r="D207" s="3">
        <v>0.05</v>
      </c>
      <c r="E207" s="3">
        <v>15</v>
      </c>
      <c r="F207" s="117" t="s">
        <v>13</v>
      </c>
      <c r="G207" s="117" t="s">
        <v>14</v>
      </c>
      <c r="H207" s="110">
        <v>2789</v>
      </c>
      <c r="I207" s="138">
        <v>2789</v>
      </c>
      <c r="J207" s="138">
        <v>2.10900000005494</v>
      </c>
      <c r="K207" s="137">
        <v>0.36</v>
      </c>
      <c r="L207" s="125">
        <v>2617</v>
      </c>
      <c r="M207" s="125">
        <v>35</v>
      </c>
      <c r="N207" s="125">
        <v>24</v>
      </c>
      <c r="O207" s="111">
        <f>((Tabela135[[#This Row],[Objetive value]]-Tabela135[[#This Row],[Objetive value/GATeS]])/Tabela135[[#This Row],[Objetive value]])*100</f>
        <v>6.1670849766941558</v>
      </c>
      <c r="P207" s="112">
        <v>2731</v>
      </c>
      <c r="Q207" s="112">
        <v>0.55000000000000004</v>
      </c>
      <c r="R207" s="112">
        <v>0</v>
      </c>
      <c r="S207" s="112">
        <f>(((Tabela135[[#This Row],[Objetive value]]-Tabela135[[#This Row],[Objetive Value /H-R1]])/Tabela135[[#This Row],[Objetive value]]))*100</f>
        <v>2.0795984223736106</v>
      </c>
      <c r="T207" s="113">
        <v>2375</v>
      </c>
      <c r="U207" s="113">
        <v>0.41</v>
      </c>
      <c r="V207" s="113">
        <v>0</v>
      </c>
      <c r="W207" s="113">
        <f>(((Tabela135[[#This Row],[Objetive value]]-Tabela135[[#This Row],[Objetive value /H-R2]])/Tabela135[[#This Row],[Objetive value]]))*100</f>
        <v>14.84403011832198</v>
      </c>
    </row>
    <row r="208" spans="1:23" s="34" customFormat="1" x14ac:dyDescent="0.25">
      <c r="A208" s="3" t="s">
        <v>54</v>
      </c>
      <c r="B208" s="39" t="s">
        <v>56</v>
      </c>
      <c r="C208" s="3">
        <v>100</v>
      </c>
      <c r="D208" s="3">
        <v>0.05</v>
      </c>
      <c r="E208" s="3">
        <v>15</v>
      </c>
      <c r="F208" s="117" t="s">
        <v>13</v>
      </c>
      <c r="G208" s="117" t="s">
        <v>16</v>
      </c>
      <c r="H208" s="110">
        <v>1787</v>
      </c>
      <c r="I208" s="138">
        <v>1786.99999999999</v>
      </c>
      <c r="J208" s="138">
        <v>1.34400000004097</v>
      </c>
      <c r="K208" s="137">
        <v>0.11</v>
      </c>
      <c r="L208" s="125">
        <v>1742</v>
      </c>
      <c r="M208" s="125">
        <v>5</v>
      </c>
      <c r="N208" s="125">
        <v>0</v>
      </c>
      <c r="O208" s="111">
        <f>((Tabela135[[#This Row],[Objetive value]]-Tabela135[[#This Row],[Objetive value/GATeS]])/Tabela135[[#This Row],[Objetive value]])*100</f>
        <v>2.5181869054275463</v>
      </c>
      <c r="P208" s="112">
        <v>1716</v>
      </c>
      <c r="Q208" s="112">
        <v>0.48</v>
      </c>
      <c r="R208" s="112">
        <v>0</v>
      </c>
      <c r="S208" s="112">
        <f>(((Tabela135[[#This Row],[Objetive value]]-Tabela135[[#This Row],[Objetive Value /H-R1]])/Tabela135[[#This Row],[Objetive value]]))*100</f>
        <v>3.9731393396748964</v>
      </c>
      <c r="T208" s="113">
        <v>1675</v>
      </c>
      <c r="U208" s="113">
        <v>0.34</v>
      </c>
      <c r="V208" s="113">
        <v>0</v>
      </c>
      <c r="W208" s="113">
        <f>(((Tabela135[[#This Row],[Objetive value]]-Tabela135[[#This Row],[Objetive value /H-R2]])/Tabela135[[#This Row],[Objetive value]]))*100</f>
        <v>6.2674874090649482</v>
      </c>
    </row>
    <row r="209" spans="1:23" s="34" customFormat="1" x14ac:dyDescent="0.25">
      <c r="A209" s="3" t="s">
        <v>54</v>
      </c>
      <c r="B209" s="39" t="s">
        <v>57</v>
      </c>
      <c r="C209" s="3">
        <v>100</v>
      </c>
      <c r="D209" s="3">
        <v>0.05</v>
      </c>
      <c r="E209" s="3">
        <v>15</v>
      </c>
      <c r="F209" s="117" t="s">
        <v>18</v>
      </c>
      <c r="G209" s="117" t="s">
        <v>14</v>
      </c>
      <c r="H209" s="110">
        <v>2580</v>
      </c>
      <c r="I209" s="138">
        <v>2580</v>
      </c>
      <c r="J209" s="138">
        <v>0.68799999996554095</v>
      </c>
      <c r="K209" s="137">
        <v>0.1</v>
      </c>
      <c r="L209" s="125">
        <v>2470</v>
      </c>
      <c r="M209" s="125">
        <v>6</v>
      </c>
      <c r="N209" s="125">
        <v>0</v>
      </c>
      <c r="O209" s="111">
        <f>((Tabela135[[#This Row],[Objetive value]]-Tabela135[[#This Row],[Objetive value/GATeS]])/Tabela135[[#This Row],[Objetive value]])*100</f>
        <v>4.2635658914728678</v>
      </c>
      <c r="P209" s="112">
        <v>2580</v>
      </c>
      <c r="Q209" s="112">
        <v>0.32</v>
      </c>
      <c r="R209" s="112">
        <v>0</v>
      </c>
      <c r="S209" s="112">
        <f>(((Tabela135[[#This Row],[Objetive value]]-Tabela135[[#This Row],[Objetive Value /H-R1]])/Tabela135[[#This Row],[Objetive value]]))*100</f>
        <v>0</v>
      </c>
      <c r="T209" s="113">
        <v>2419</v>
      </c>
      <c r="U209" s="113">
        <v>0.53</v>
      </c>
      <c r="V209" s="113">
        <v>0</v>
      </c>
      <c r="W209" s="113">
        <f>(((Tabela135[[#This Row],[Objetive value]]-Tabela135[[#This Row],[Objetive value /H-R2]])/Tabela135[[#This Row],[Objetive value]]))*100</f>
        <v>6.2403100775193803</v>
      </c>
    </row>
    <row r="210" spans="1:23" s="34" customFormat="1" x14ac:dyDescent="0.25">
      <c r="A210" s="3" t="s">
        <v>54</v>
      </c>
      <c r="B210" s="39" t="s">
        <v>58</v>
      </c>
      <c r="C210" s="3">
        <v>100</v>
      </c>
      <c r="D210" s="3">
        <v>0.05</v>
      </c>
      <c r="E210" s="3">
        <v>15</v>
      </c>
      <c r="F210" s="117" t="s">
        <v>18</v>
      </c>
      <c r="G210" s="117" t="s">
        <v>16</v>
      </c>
      <c r="H210" s="110">
        <v>1861</v>
      </c>
      <c r="I210" s="138">
        <v>1861</v>
      </c>
      <c r="J210" s="138">
        <v>1.35900000005494</v>
      </c>
      <c r="K210" s="137">
        <v>0.25</v>
      </c>
      <c r="L210" s="125">
        <v>1794</v>
      </c>
      <c r="M210" s="125">
        <v>7</v>
      </c>
      <c r="N210" s="125">
        <v>0</v>
      </c>
      <c r="O210" s="111">
        <f>((Tabela135[[#This Row],[Objetive value]]-Tabela135[[#This Row],[Objetive value/GATeS]])/Tabela135[[#This Row],[Objetive value]])*100</f>
        <v>3.6002149382052657</v>
      </c>
      <c r="P210" s="112">
        <v>1725</v>
      </c>
      <c r="Q210" s="112">
        <v>0.38</v>
      </c>
      <c r="R210" s="112">
        <v>0</v>
      </c>
      <c r="S210" s="112">
        <f>(((Tabela135[[#This Row],[Objetive value]]-Tabela135[[#This Row],[Objetive Value /H-R1]])/Tabela135[[#This Row],[Objetive value]]))*100</f>
        <v>7.3078989790435251</v>
      </c>
      <c r="T210" s="113">
        <v>1775</v>
      </c>
      <c r="U210" s="113">
        <v>0.47</v>
      </c>
      <c r="V210" s="113">
        <v>0</v>
      </c>
      <c r="W210" s="113">
        <f>(((Tabela135[[#This Row],[Objetive value]]-Tabela135[[#This Row],[Objetive value /H-R2]])/Tabela135[[#This Row],[Objetive value]]))*100</f>
        <v>4.6211714132186996</v>
      </c>
    </row>
    <row r="211" spans="1:23" s="34" customFormat="1" x14ac:dyDescent="0.25">
      <c r="A211" s="3" t="s">
        <v>54</v>
      </c>
      <c r="B211" s="39" t="s">
        <v>59</v>
      </c>
      <c r="C211" s="3">
        <v>100</v>
      </c>
      <c r="D211" s="3">
        <v>0.05</v>
      </c>
      <c r="E211" s="3">
        <v>15</v>
      </c>
      <c r="F211" s="117" t="s">
        <v>21</v>
      </c>
      <c r="G211" s="117" t="s">
        <v>14</v>
      </c>
      <c r="H211" s="110">
        <v>2563</v>
      </c>
      <c r="I211" s="138">
        <v>2563</v>
      </c>
      <c r="J211" s="138">
        <v>0.219000000040978</v>
      </c>
      <c r="K211" s="137">
        <v>0</v>
      </c>
      <c r="L211" s="125">
        <v>2450</v>
      </c>
      <c r="M211" s="125">
        <v>5</v>
      </c>
      <c r="N211" s="125">
        <v>2</v>
      </c>
      <c r="O211" s="111">
        <f>((Tabela135[[#This Row],[Objetive value]]-Tabela135[[#This Row],[Objetive value/GATeS]])/Tabela135[[#This Row],[Objetive value]])*100</f>
        <v>4.408895825204838</v>
      </c>
      <c r="P211" s="112">
        <v>420</v>
      </c>
      <c r="Q211" s="112">
        <v>2.46</v>
      </c>
      <c r="R211" s="112">
        <v>0</v>
      </c>
      <c r="S211" s="112">
        <f>(((Tabela135[[#This Row],[Objetive value]]-Tabela135[[#This Row],[Objetive Value /H-R1]])/Tabela135[[#This Row],[Objetive value]]))*100</f>
        <v>83.612953570035117</v>
      </c>
      <c r="T211" s="113">
        <v>2350</v>
      </c>
      <c r="U211" s="113">
        <v>0.95</v>
      </c>
      <c r="V211" s="113">
        <v>0</v>
      </c>
      <c r="W211" s="113">
        <f>(((Tabela135[[#This Row],[Objetive value]]-Tabela135[[#This Row],[Objetive value /H-R2]])/Tabela135[[#This Row],[Objetive value]]))*100</f>
        <v>8.310573546625049</v>
      </c>
    </row>
    <row r="212" spans="1:23" s="34" customFormat="1" x14ac:dyDescent="0.25">
      <c r="A212" s="3" t="s">
        <v>54</v>
      </c>
      <c r="B212" s="39" t="s">
        <v>60</v>
      </c>
      <c r="C212" s="3">
        <v>100</v>
      </c>
      <c r="D212" s="3">
        <v>0.05</v>
      </c>
      <c r="E212" s="3">
        <v>15</v>
      </c>
      <c r="F212" s="117" t="s">
        <v>21</v>
      </c>
      <c r="G212" s="117" t="s">
        <v>16</v>
      </c>
      <c r="H212" s="110">
        <v>1824</v>
      </c>
      <c r="I212" s="138">
        <v>1824</v>
      </c>
      <c r="J212" s="138">
        <v>0.85999999998603005</v>
      </c>
      <c r="K212" s="137">
        <v>0</v>
      </c>
      <c r="L212" s="125">
        <v>1794</v>
      </c>
      <c r="M212" s="125">
        <v>10</v>
      </c>
      <c r="N212" s="125">
        <v>8</v>
      </c>
      <c r="O212" s="111">
        <f>((Tabela135[[#This Row],[Objetive value]]-Tabela135[[#This Row],[Objetive value/GATeS]])/Tabela135[[#This Row],[Objetive value]])*100</f>
        <v>1.6447368421052631</v>
      </c>
      <c r="P212" s="112">
        <v>1673</v>
      </c>
      <c r="Q212" s="112">
        <v>0.57999999999999996</v>
      </c>
      <c r="R212" s="112">
        <v>0</v>
      </c>
      <c r="S212" s="112">
        <f>(((Tabela135[[#This Row],[Objetive value]]-Tabela135[[#This Row],[Objetive Value /H-R1]])/Tabela135[[#This Row],[Objetive value]]))*100</f>
        <v>8.2785087719298236</v>
      </c>
      <c r="T212" s="113">
        <v>1673</v>
      </c>
      <c r="U212" s="113">
        <v>0.45</v>
      </c>
      <c r="V212" s="113">
        <v>0</v>
      </c>
      <c r="W212" s="113">
        <f>(((Tabela135[[#This Row],[Objetive value]]-Tabela135[[#This Row],[Objetive value /H-R2]])/Tabela135[[#This Row],[Objetive value]]))*100</f>
        <v>8.2785087719298236</v>
      </c>
    </row>
    <row r="213" spans="1:23" s="34" customFormat="1" x14ac:dyDescent="0.25">
      <c r="A213" s="3" t="s">
        <v>11</v>
      </c>
      <c r="B213" s="39" t="s">
        <v>12</v>
      </c>
      <c r="C213" s="3">
        <v>100</v>
      </c>
      <c r="D213" s="3">
        <v>0.05</v>
      </c>
      <c r="E213" s="3">
        <v>5</v>
      </c>
      <c r="F213" s="39" t="s">
        <v>13</v>
      </c>
      <c r="G213" s="39" t="s">
        <v>14</v>
      </c>
      <c r="H213" s="110">
        <v>882</v>
      </c>
      <c r="I213" s="138">
        <v>882</v>
      </c>
      <c r="J213" s="138">
        <v>7.7999999979510903E-2</v>
      </c>
      <c r="K213" s="137">
        <v>0</v>
      </c>
      <c r="L213" s="125">
        <v>873</v>
      </c>
      <c r="M213" s="125">
        <v>16</v>
      </c>
      <c r="N213" s="125">
        <v>0</v>
      </c>
      <c r="O213" s="111">
        <f>((Tabela135[[#This Row],[Objetive value]]-Tabela135[[#This Row],[Objetive value/GATeS]])/Tabela135[[#This Row],[Objetive value]])*100</f>
        <v>1.0204081632653061</v>
      </c>
      <c r="P213" s="112">
        <v>882</v>
      </c>
      <c r="Q213" s="112">
        <v>0.22</v>
      </c>
      <c r="R213" s="112">
        <v>0</v>
      </c>
      <c r="S213" s="112">
        <f>(((Tabela135[[#This Row],[Objetive value]]-Tabela135[[#This Row],[Objetive Value /H-R1]])/Tabela135[[#This Row],[Objetive value]]))*100</f>
        <v>0</v>
      </c>
      <c r="T213" s="113">
        <v>795</v>
      </c>
      <c r="U213" s="113">
        <v>0.24</v>
      </c>
      <c r="V213" s="113">
        <v>0</v>
      </c>
      <c r="W213" s="113">
        <f>(((Tabela135[[#This Row],[Objetive value]]-Tabela135[[#This Row],[Objetive value /H-R2]])/Tabela135[[#This Row],[Objetive value]]))*100</f>
        <v>9.8639455782312915</v>
      </c>
    </row>
    <row r="214" spans="1:23" s="34" customFormat="1" x14ac:dyDescent="0.25">
      <c r="A214" s="3" t="s">
        <v>11</v>
      </c>
      <c r="B214" s="39" t="s">
        <v>15</v>
      </c>
      <c r="C214" s="3">
        <v>100</v>
      </c>
      <c r="D214" s="3">
        <v>0.05</v>
      </c>
      <c r="E214" s="3">
        <v>5</v>
      </c>
      <c r="F214" s="39" t="s">
        <v>13</v>
      </c>
      <c r="G214" s="39" t="s">
        <v>16</v>
      </c>
      <c r="H214" s="110">
        <v>739</v>
      </c>
      <c r="I214" s="138">
        <v>739</v>
      </c>
      <c r="J214" s="138">
        <v>6.3000000081956303E-2</v>
      </c>
      <c r="K214" s="137">
        <v>0</v>
      </c>
      <c r="L214" s="125">
        <v>738</v>
      </c>
      <c r="M214" s="125">
        <v>2</v>
      </c>
      <c r="N214" s="125">
        <v>1</v>
      </c>
      <c r="O214" s="111">
        <f>((Tabela135[[#This Row],[Objetive value]]-Tabela135[[#This Row],[Objetive value/GATeS]])/Tabela135[[#This Row],[Objetive value]])*100</f>
        <v>0.13531799729364005</v>
      </c>
      <c r="P214" s="112">
        <v>739</v>
      </c>
      <c r="Q214" s="112">
        <v>0.35</v>
      </c>
      <c r="R214" s="112">
        <v>0</v>
      </c>
      <c r="S214" s="112">
        <f>(((Tabela135[[#This Row],[Objetive value]]-Tabela135[[#This Row],[Objetive Value /H-R1]])/Tabela135[[#This Row],[Objetive value]]))*100</f>
        <v>0</v>
      </c>
      <c r="T214" s="113">
        <v>739</v>
      </c>
      <c r="U214" s="113">
        <v>0.21</v>
      </c>
      <c r="V214" s="113">
        <v>0</v>
      </c>
      <c r="W214" s="113">
        <f>(((Tabela135[[#This Row],[Objetive value]]-Tabela135[[#This Row],[Objetive value /H-R2]])/Tabela135[[#This Row],[Objetive value]]))*100</f>
        <v>0</v>
      </c>
    </row>
    <row r="215" spans="1:23" s="34" customFormat="1" x14ac:dyDescent="0.25">
      <c r="A215" s="3" t="s">
        <v>11</v>
      </c>
      <c r="B215" s="39" t="s">
        <v>17</v>
      </c>
      <c r="C215" s="3">
        <v>100</v>
      </c>
      <c r="D215" s="3">
        <v>0.05</v>
      </c>
      <c r="E215" s="3">
        <v>5</v>
      </c>
      <c r="F215" s="39" t="s">
        <v>18</v>
      </c>
      <c r="G215" s="39" t="s">
        <v>14</v>
      </c>
      <c r="H215" s="110">
        <v>878</v>
      </c>
      <c r="I215" s="138">
        <v>878</v>
      </c>
      <c r="J215" s="138">
        <v>6.2000000034458901E-2</v>
      </c>
      <c r="K215" s="137">
        <v>0.35</v>
      </c>
      <c r="L215" s="125">
        <v>877</v>
      </c>
      <c r="M215" s="125">
        <v>2</v>
      </c>
      <c r="N215" s="125">
        <v>0</v>
      </c>
      <c r="O215" s="111">
        <f>((Tabela135[[#This Row],[Objetive value]]-Tabela135[[#This Row],[Objetive value/GATeS]])/Tabela135[[#This Row],[Objetive value]])*100</f>
        <v>0.11389521640091116</v>
      </c>
      <c r="P215" s="112">
        <v>878</v>
      </c>
      <c r="Q215" s="112">
        <v>0.25</v>
      </c>
      <c r="R215" s="112">
        <v>0</v>
      </c>
      <c r="S215" s="112">
        <f>(((Tabela135[[#This Row],[Objetive value]]-Tabela135[[#This Row],[Objetive Value /H-R1]])/Tabela135[[#This Row],[Objetive value]]))*100</f>
        <v>0</v>
      </c>
      <c r="T215" s="113">
        <v>838</v>
      </c>
      <c r="U215" s="113">
        <v>0.21</v>
      </c>
      <c r="V215" s="113">
        <v>0</v>
      </c>
      <c r="W215" s="113">
        <f>(((Tabela135[[#This Row],[Objetive value]]-Tabela135[[#This Row],[Objetive value /H-R2]])/Tabela135[[#This Row],[Objetive value]]))*100</f>
        <v>4.5558086560364464</v>
      </c>
    </row>
    <row r="216" spans="1:23" s="34" customFormat="1" x14ac:dyDescent="0.25">
      <c r="A216" s="3" t="s">
        <v>11</v>
      </c>
      <c r="B216" s="39" t="s">
        <v>19</v>
      </c>
      <c r="C216" s="3">
        <v>100</v>
      </c>
      <c r="D216" s="3">
        <v>0.05</v>
      </c>
      <c r="E216" s="3">
        <v>5</v>
      </c>
      <c r="F216" s="39" t="s">
        <v>18</v>
      </c>
      <c r="G216" s="39" t="s">
        <v>16</v>
      </c>
      <c r="H216" s="110">
        <v>667</v>
      </c>
      <c r="I216" s="138">
        <v>667</v>
      </c>
      <c r="J216" s="138">
        <v>0.15700000000651901</v>
      </c>
      <c r="K216" s="137">
        <v>0</v>
      </c>
      <c r="L216" s="125">
        <v>659</v>
      </c>
      <c r="M216" s="125">
        <v>2</v>
      </c>
      <c r="N216" s="125">
        <v>0</v>
      </c>
      <c r="O216" s="111">
        <f>((Tabela135[[#This Row],[Objetive value]]-Tabela135[[#This Row],[Objetive value/GATeS]])/Tabela135[[#This Row],[Objetive value]])*100</f>
        <v>1.199400299850075</v>
      </c>
      <c r="P216" s="112">
        <v>667</v>
      </c>
      <c r="Q216" s="112">
        <v>0.31</v>
      </c>
      <c r="R216" s="112">
        <v>0</v>
      </c>
      <c r="S216" s="112">
        <f>(((Tabela135[[#This Row],[Objetive value]]-Tabela135[[#This Row],[Objetive Value /H-R1]])/Tabela135[[#This Row],[Objetive value]]))*100</f>
        <v>0</v>
      </c>
      <c r="T216" s="113">
        <v>667</v>
      </c>
      <c r="U216" s="113">
        <v>0.43</v>
      </c>
      <c r="V216" s="113">
        <v>0</v>
      </c>
      <c r="W216" s="113">
        <f>(((Tabela135[[#This Row],[Objetive value]]-Tabela135[[#This Row],[Objetive value /H-R2]])/Tabela135[[#This Row],[Objetive value]]))*100</f>
        <v>0</v>
      </c>
    </row>
    <row r="217" spans="1:23" s="34" customFormat="1" x14ac:dyDescent="0.25">
      <c r="A217" s="3" t="s">
        <v>11</v>
      </c>
      <c r="B217" s="39" t="s">
        <v>20</v>
      </c>
      <c r="C217" s="3">
        <v>100</v>
      </c>
      <c r="D217" s="3">
        <v>0.05</v>
      </c>
      <c r="E217" s="3">
        <v>5</v>
      </c>
      <c r="F217" s="39" t="s">
        <v>21</v>
      </c>
      <c r="G217" s="39" t="s">
        <v>14</v>
      </c>
      <c r="H217" s="110">
        <v>796</v>
      </c>
      <c r="I217" s="138">
        <v>796</v>
      </c>
      <c r="J217" s="138">
        <v>6.2000000034458901E-2</v>
      </c>
      <c r="K217" s="137">
        <v>0.37</v>
      </c>
      <c r="L217" s="125">
        <v>795</v>
      </c>
      <c r="M217" s="125">
        <v>2</v>
      </c>
      <c r="N217" s="125">
        <v>0</v>
      </c>
      <c r="O217" s="111">
        <f>((Tabela135[[#This Row],[Objetive value]]-Tabela135[[#This Row],[Objetive value/GATeS]])/Tabela135[[#This Row],[Objetive value]])*100</f>
        <v>0.12562814070351758</v>
      </c>
      <c r="P217" s="112">
        <v>350</v>
      </c>
      <c r="Q217" s="112">
        <v>0.86</v>
      </c>
      <c r="R217" s="112">
        <v>0</v>
      </c>
      <c r="S217" s="112">
        <f>(((Tabela135[[#This Row],[Objetive value]]-Tabela135[[#This Row],[Objetive Value /H-R1]])/Tabela135[[#This Row],[Objetive value]]))*100</f>
        <v>56.030150753768851</v>
      </c>
      <c r="T217" s="113">
        <v>796</v>
      </c>
      <c r="U217" s="113">
        <v>0.3</v>
      </c>
      <c r="V217" s="113">
        <v>0</v>
      </c>
      <c r="W217" s="113">
        <f>(((Tabela135[[#This Row],[Objetive value]]-Tabela135[[#This Row],[Objetive value /H-R2]])/Tabela135[[#This Row],[Objetive value]]))*100</f>
        <v>0</v>
      </c>
    </row>
    <row r="218" spans="1:23" s="34" customFormat="1" x14ac:dyDescent="0.25">
      <c r="A218" s="3" t="s">
        <v>11</v>
      </c>
      <c r="B218" s="39" t="s">
        <v>22</v>
      </c>
      <c r="C218" s="3">
        <v>100</v>
      </c>
      <c r="D218" s="3">
        <v>0.05</v>
      </c>
      <c r="E218" s="3">
        <v>5</v>
      </c>
      <c r="F218" s="39" t="s">
        <v>21</v>
      </c>
      <c r="G218" s="39" t="s">
        <v>16</v>
      </c>
      <c r="H218" s="110">
        <v>703</v>
      </c>
      <c r="I218" s="138">
        <v>703</v>
      </c>
      <c r="J218" s="138">
        <v>3.09999999590218E-2</v>
      </c>
      <c r="K218" s="137">
        <v>0</v>
      </c>
      <c r="L218" s="125">
        <v>698</v>
      </c>
      <c r="M218" s="125">
        <v>2</v>
      </c>
      <c r="N218" s="125">
        <v>0</v>
      </c>
      <c r="O218" s="111">
        <f>((Tabela135[[#This Row],[Objetive value]]-Tabela135[[#This Row],[Objetive value/GATeS]])/Tabela135[[#This Row],[Objetive value]])*100</f>
        <v>0.71123755334281646</v>
      </c>
      <c r="P218" s="112">
        <v>703</v>
      </c>
      <c r="Q218" s="112">
        <v>0.17</v>
      </c>
      <c r="R218" s="112">
        <v>0</v>
      </c>
      <c r="S218" s="112">
        <f>(((Tabela135[[#This Row],[Objetive value]]-Tabela135[[#This Row],[Objetive Value /H-R1]])/Tabela135[[#This Row],[Objetive value]]))*100</f>
        <v>0</v>
      </c>
      <c r="T218" s="113">
        <v>697</v>
      </c>
      <c r="U218" s="113">
        <v>0.16</v>
      </c>
      <c r="V218" s="113">
        <v>0</v>
      </c>
      <c r="W218" s="113">
        <f>(((Tabela135[[#This Row],[Objetive value]]-Tabela135[[#This Row],[Objetive value /H-R2]])/Tabela135[[#This Row],[Objetive value]]))*100</f>
        <v>0.85348506401137991</v>
      </c>
    </row>
    <row r="219" spans="1:23" s="34" customFormat="1" x14ac:dyDescent="0.25">
      <c r="A219" s="3" t="s">
        <v>91</v>
      </c>
      <c r="B219" s="37" t="s">
        <v>98</v>
      </c>
      <c r="C219" s="3">
        <v>200</v>
      </c>
      <c r="D219" s="114">
        <v>0.1</v>
      </c>
      <c r="E219" s="3">
        <v>10</v>
      </c>
      <c r="F219" s="39" t="s">
        <v>13</v>
      </c>
      <c r="G219" s="39" t="s">
        <v>14</v>
      </c>
      <c r="H219" s="110">
        <v>4472</v>
      </c>
      <c r="I219" s="138">
        <v>4472</v>
      </c>
      <c r="J219" s="138">
        <v>0.42200000002048899</v>
      </c>
      <c r="K219" s="137">
        <v>0</v>
      </c>
      <c r="L219" s="125">
        <v>4444</v>
      </c>
      <c r="M219" s="125">
        <v>118</v>
      </c>
      <c r="N219" s="125">
        <v>0</v>
      </c>
      <c r="O219" s="111">
        <f>((Tabela135[[#This Row],[Objetive value]]-Tabela135[[#This Row],[Objetive value/GATeS]])/Tabela135[[#This Row],[Objetive value]])*100</f>
        <v>0.62611806797853309</v>
      </c>
      <c r="P219" s="112">
        <v>4376</v>
      </c>
      <c r="Q219" s="112">
        <v>0.44</v>
      </c>
      <c r="R219" s="112">
        <v>0</v>
      </c>
      <c r="S219" s="112">
        <f>(((Tabela135[[#This Row],[Objetive value]]-Tabela135[[#This Row],[Objetive Value /H-R1]])/Tabela135[[#This Row],[Objetive value]]))*100</f>
        <v>2.1466905187835419</v>
      </c>
      <c r="T219" s="113">
        <v>3971</v>
      </c>
      <c r="U219" s="113">
        <v>0.3</v>
      </c>
      <c r="V219" s="113">
        <v>0</v>
      </c>
      <c r="W219" s="113">
        <f>(((Tabela135[[#This Row],[Objetive value]]-Tabela135[[#This Row],[Objetive value /H-R2]])/Tabela135[[#This Row],[Objetive value]]))*100</f>
        <v>11.20304114490161</v>
      </c>
    </row>
    <row r="220" spans="1:23" s="34" customFormat="1" x14ac:dyDescent="0.25">
      <c r="A220" s="3" t="s">
        <v>91</v>
      </c>
      <c r="B220" s="39" t="s">
        <v>99</v>
      </c>
      <c r="C220" s="3">
        <v>200</v>
      </c>
      <c r="D220" s="114">
        <v>0.1</v>
      </c>
      <c r="E220" s="3">
        <v>10</v>
      </c>
      <c r="F220" s="39" t="s">
        <v>13</v>
      </c>
      <c r="G220" s="39" t="s">
        <v>16</v>
      </c>
      <c r="H220" s="110">
        <v>2595</v>
      </c>
      <c r="I220" s="138">
        <v>2594.99999999999</v>
      </c>
      <c r="J220" s="138">
        <v>0.42200000002048899</v>
      </c>
      <c r="K220" s="137">
        <v>0</v>
      </c>
      <c r="L220" s="125">
        <v>2571</v>
      </c>
      <c r="M220" s="125">
        <v>9</v>
      </c>
      <c r="N220" s="125">
        <v>8</v>
      </c>
      <c r="O220" s="111">
        <f>((Tabela135[[#This Row],[Objetive value]]-Tabela135[[#This Row],[Objetive value/GATeS]])/Tabela135[[#This Row],[Objetive value]])*100</f>
        <v>0.92485549132909783</v>
      </c>
      <c r="P220" s="112">
        <v>2514</v>
      </c>
      <c r="Q220" s="112">
        <v>0.33</v>
      </c>
      <c r="R220" s="112">
        <v>0</v>
      </c>
      <c r="S220" s="112">
        <f>(((Tabela135[[#This Row],[Objetive value]]-Tabela135[[#This Row],[Objetive Value /H-R1]])/Tabela135[[#This Row],[Objetive value]]))*100</f>
        <v>3.1213872832366207</v>
      </c>
      <c r="T220" s="113">
        <v>2595</v>
      </c>
      <c r="U220" s="113">
        <v>0.25</v>
      </c>
      <c r="V220" s="113">
        <v>0</v>
      </c>
      <c r="W220" s="113">
        <f>(((Tabela135[[#This Row],[Objetive value]]-Tabela135[[#This Row],[Objetive value /H-R2]])/Tabela135[[#This Row],[Objetive value]]))*100</f>
        <v>-3.8552761924864159E-13</v>
      </c>
    </row>
    <row r="221" spans="1:23" s="34" customFormat="1" x14ac:dyDescent="0.25">
      <c r="A221" s="3" t="s">
        <v>91</v>
      </c>
      <c r="B221" s="39" t="s">
        <v>100</v>
      </c>
      <c r="C221" s="3">
        <v>200</v>
      </c>
      <c r="D221" s="114">
        <v>0.1</v>
      </c>
      <c r="E221" s="3">
        <v>10</v>
      </c>
      <c r="F221" s="3" t="s">
        <v>18</v>
      </c>
      <c r="G221" s="39" t="s">
        <v>14</v>
      </c>
      <c r="H221" s="110">
        <v>3710</v>
      </c>
      <c r="I221" s="138">
        <v>3710</v>
      </c>
      <c r="J221" s="138">
        <v>0.46799999999348002</v>
      </c>
      <c r="K221" s="137">
        <v>0</v>
      </c>
      <c r="L221" s="125">
        <v>3544</v>
      </c>
      <c r="M221" s="125">
        <v>7</v>
      </c>
      <c r="N221" s="125">
        <v>5</v>
      </c>
      <c r="O221" s="111">
        <f>((Tabela135[[#This Row],[Objetive value]]-Tabela135[[#This Row],[Objetive value/GATeS]])/Tabela135[[#This Row],[Objetive value]])*100</f>
        <v>4.4743935309973049</v>
      </c>
      <c r="P221" s="112">
        <v>3710</v>
      </c>
      <c r="Q221" s="112">
        <v>0.25</v>
      </c>
      <c r="R221" s="112">
        <v>0</v>
      </c>
      <c r="S221" s="112">
        <f>(((Tabela135[[#This Row],[Objetive value]]-Tabela135[[#This Row],[Objetive Value /H-R1]])/Tabela135[[#This Row],[Objetive value]]))*100</f>
        <v>0</v>
      </c>
      <c r="T221" s="113">
        <v>3710</v>
      </c>
      <c r="U221" s="113">
        <v>0.24</v>
      </c>
      <c r="V221" s="113">
        <v>0</v>
      </c>
      <c r="W221" s="113">
        <f>(((Tabela135[[#This Row],[Objetive value]]-Tabela135[[#This Row],[Objetive value /H-R2]])/Tabela135[[#This Row],[Objetive value]]))*100</f>
        <v>0</v>
      </c>
    </row>
    <row r="222" spans="1:23" s="34" customFormat="1" x14ac:dyDescent="0.25">
      <c r="A222" s="3" t="s">
        <v>91</v>
      </c>
      <c r="B222" s="39" t="s">
        <v>101</v>
      </c>
      <c r="C222" s="3">
        <v>200</v>
      </c>
      <c r="D222" s="114">
        <v>0.1</v>
      </c>
      <c r="E222" s="3">
        <v>10</v>
      </c>
      <c r="F222" s="3" t="s">
        <v>18</v>
      </c>
      <c r="G222" s="39" t="s">
        <v>16</v>
      </c>
      <c r="H222" s="110">
        <v>2423</v>
      </c>
      <c r="I222" s="138">
        <v>2423</v>
      </c>
      <c r="J222" s="138">
        <v>1</v>
      </c>
      <c r="K222" s="137">
        <v>0</v>
      </c>
      <c r="L222" s="125">
        <v>2391</v>
      </c>
      <c r="M222" s="125">
        <v>6</v>
      </c>
      <c r="N222" s="125">
        <v>0</v>
      </c>
      <c r="O222" s="111">
        <f>((Tabela135[[#This Row],[Objetive value]]-Tabela135[[#This Row],[Objetive value/GATeS]])/Tabela135[[#This Row],[Objetive value]])*100</f>
        <v>1.3206768468840282</v>
      </c>
      <c r="P222" s="112">
        <v>2405</v>
      </c>
      <c r="Q222" s="112">
        <v>0.25</v>
      </c>
      <c r="R222" s="112">
        <v>0</v>
      </c>
      <c r="S222" s="112">
        <f>(((Tabela135[[#This Row],[Objetive value]]-Tabela135[[#This Row],[Objetive Value /H-R1]])/Tabela135[[#This Row],[Objetive value]]))*100</f>
        <v>0.74288072637226588</v>
      </c>
      <c r="T222" s="113">
        <v>2309</v>
      </c>
      <c r="U222" s="113">
        <v>0.28999999999999998</v>
      </c>
      <c r="V222" s="113">
        <v>0</v>
      </c>
      <c r="W222" s="113">
        <f>(((Tabela135[[#This Row],[Objetive value]]-Tabela135[[#This Row],[Objetive value /H-R2]])/Tabela135[[#This Row],[Objetive value]]))*100</f>
        <v>4.7049112670243494</v>
      </c>
    </row>
    <row r="223" spans="1:23" s="34" customFormat="1" x14ac:dyDescent="0.25">
      <c r="A223" s="3" t="s">
        <v>91</v>
      </c>
      <c r="B223" s="39" t="s">
        <v>102</v>
      </c>
      <c r="C223" s="3">
        <v>200</v>
      </c>
      <c r="D223" s="114">
        <v>0.1</v>
      </c>
      <c r="E223" s="3">
        <v>10</v>
      </c>
      <c r="F223" s="39" t="s">
        <v>21</v>
      </c>
      <c r="G223" s="39" t="s">
        <v>14</v>
      </c>
      <c r="H223" s="110">
        <v>4004</v>
      </c>
      <c r="I223" s="138">
        <v>4004</v>
      </c>
      <c r="J223" s="138">
        <v>0.17200000002048901</v>
      </c>
      <c r="K223" s="137">
        <v>0</v>
      </c>
      <c r="L223" s="125">
        <v>3859</v>
      </c>
      <c r="M223" s="125">
        <v>6</v>
      </c>
      <c r="N223" s="125">
        <v>3</v>
      </c>
      <c r="O223" s="111">
        <f>((Tabela135[[#This Row],[Objetive value]]-Tabela135[[#This Row],[Objetive value/GATeS]])/Tabela135[[#This Row],[Objetive value]])*100</f>
        <v>3.6213786213786214</v>
      </c>
      <c r="P223" s="112">
        <v>3864</v>
      </c>
      <c r="Q223" s="112">
        <v>0.64</v>
      </c>
      <c r="R223" s="112">
        <v>0</v>
      </c>
      <c r="S223" s="112">
        <f>(((Tabela135[[#This Row],[Objetive value]]-Tabela135[[#This Row],[Objetive Value /H-R1]])/Tabela135[[#This Row],[Objetive value]]))*100</f>
        <v>3.4965034965034967</v>
      </c>
      <c r="T223" s="113">
        <v>4004</v>
      </c>
      <c r="U223" s="113">
        <v>0.23</v>
      </c>
      <c r="V223" s="113">
        <v>0</v>
      </c>
      <c r="W223" s="113">
        <f>(((Tabela135[[#This Row],[Objetive value]]-Tabela135[[#This Row],[Objetive value /H-R2]])/Tabela135[[#This Row],[Objetive value]]))*100</f>
        <v>0</v>
      </c>
    </row>
    <row r="224" spans="1:23" s="34" customFormat="1" x14ac:dyDescent="0.25">
      <c r="A224" s="3" t="s">
        <v>91</v>
      </c>
      <c r="B224" s="39" t="s">
        <v>103</v>
      </c>
      <c r="C224" s="3">
        <v>200</v>
      </c>
      <c r="D224" s="114">
        <v>0.1</v>
      </c>
      <c r="E224" s="3">
        <v>10</v>
      </c>
      <c r="F224" s="39" t="s">
        <v>21</v>
      </c>
      <c r="G224" s="39" t="s">
        <v>16</v>
      </c>
      <c r="H224" s="110">
        <v>2552</v>
      </c>
      <c r="I224" s="138">
        <v>2552</v>
      </c>
      <c r="J224" s="138">
        <v>0.953000000095926</v>
      </c>
      <c r="K224" s="137">
        <v>0</v>
      </c>
      <c r="L224" s="125">
        <v>2551</v>
      </c>
      <c r="M224" s="125">
        <v>9</v>
      </c>
      <c r="N224" s="125">
        <v>5</v>
      </c>
      <c r="O224" s="111">
        <f>((Tabela135[[#This Row],[Objetive value]]-Tabela135[[#This Row],[Objetive value/GATeS]])/Tabela135[[#This Row],[Objetive value]])*100</f>
        <v>3.9184952978056423E-2</v>
      </c>
      <c r="P224" s="112">
        <v>2488</v>
      </c>
      <c r="Q224" s="112">
        <v>0.28000000000000003</v>
      </c>
      <c r="R224" s="112">
        <v>0</v>
      </c>
      <c r="S224" s="112">
        <f>(((Tabela135[[#This Row],[Objetive value]]-Tabela135[[#This Row],[Objetive Value /H-R1]])/Tabela135[[#This Row],[Objetive value]]))*100</f>
        <v>2.507836990595611</v>
      </c>
      <c r="T224" s="113">
        <v>2407</v>
      </c>
      <c r="U224" s="113">
        <v>0.23</v>
      </c>
      <c r="V224" s="113">
        <v>0</v>
      </c>
      <c r="W224" s="113">
        <f>(((Tabela135[[#This Row],[Objetive value]]-Tabela135[[#This Row],[Objetive value /H-R2]])/Tabela135[[#This Row],[Objetive value]]))*100</f>
        <v>5.6818181818181817</v>
      </c>
    </row>
    <row r="225" spans="1:23" s="34" customFormat="1" x14ac:dyDescent="0.25">
      <c r="A225" s="3" t="s">
        <v>110</v>
      </c>
      <c r="B225" s="37" t="s">
        <v>117</v>
      </c>
      <c r="C225" s="3">
        <v>200</v>
      </c>
      <c r="D225" s="114">
        <v>0.1</v>
      </c>
      <c r="E225" s="3">
        <v>15</v>
      </c>
      <c r="F225" s="39" t="s">
        <v>13</v>
      </c>
      <c r="G225" s="39" t="s">
        <v>14</v>
      </c>
      <c r="H225" s="110">
        <v>6145</v>
      </c>
      <c r="I225" s="138">
        <v>6145</v>
      </c>
      <c r="J225" s="138">
        <v>2.9370000000344501</v>
      </c>
      <c r="K225" s="137">
        <v>0</v>
      </c>
      <c r="L225" s="125">
        <v>5864</v>
      </c>
      <c r="M225" s="125">
        <v>119</v>
      </c>
      <c r="N225" s="125">
        <v>0</v>
      </c>
      <c r="O225" s="111">
        <f>((Tabela135[[#This Row],[Objetive value]]-Tabela135[[#This Row],[Objetive value/GATeS]])/Tabela135[[#This Row],[Objetive value]])*100</f>
        <v>4.5728234336859233</v>
      </c>
      <c r="P225" s="112">
        <v>6119</v>
      </c>
      <c r="Q225" s="112">
        <v>0.36</v>
      </c>
      <c r="R225" s="112">
        <v>0</v>
      </c>
      <c r="S225" s="112">
        <f>(((Tabela135[[#This Row],[Objetive value]]-Tabela135[[#This Row],[Objetive Value /H-R1]])/Tabela135[[#This Row],[Objetive value]]))*100</f>
        <v>0.42310821806346621</v>
      </c>
      <c r="T225" s="113">
        <v>5715</v>
      </c>
      <c r="U225" s="113">
        <v>0.22</v>
      </c>
      <c r="V225" s="113">
        <v>0</v>
      </c>
      <c r="W225" s="113">
        <f>(((Tabela135[[#This Row],[Objetive value]]-Tabela135[[#This Row],[Objetive value /H-R2]])/Tabela135[[#This Row],[Objetive value]]))*100</f>
        <v>6.9975589910496332</v>
      </c>
    </row>
    <row r="226" spans="1:23" s="34" customFormat="1" x14ac:dyDescent="0.25">
      <c r="A226" s="3" t="s">
        <v>110</v>
      </c>
      <c r="B226" s="39" t="s">
        <v>118</v>
      </c>
      <c r="C226" s="3">
        <v>200</v>
      </c>
      <c r="D226" s="114">
        <v>0.1</v>
      </c>
      <c r="E226" s="3">
        <v>15</v>
      </c>
      <c r="F226" s="39" t="s">
        <v>13</v>
      </c>
      <c r="G226" s="39" t="s">
        <v>16</v>
      </c>
      <c r="H226" s="110">
        <v>3435</v>
      </c>
      <c r="I226" s="138">
        <v>3435</v>
      </c>
      <c r="J226" s="138">
        <v>2.28099999995902</v>
      </c>
      <c r="K226" s="137">
        <v>0.02</v>
      </c>
      <c r="L226" s="125">
        <v>3345</v>
      </c>
      <c r="M226" s="125">
        <v>17</v>
      </c>
      <c r="N226" s="125">
        <v>9</v>
      </c>
      <c r="O226" s="111">
        <f>((Tabela135[[#This Row],[Objetive value]]-Tabela135[[#This Row],[Objetive value/GATeS]])/Tabela135[[#This Row],[Objetive value]])*100</f>
        <v>2.6200873362445414</v>
      </c>
      <c r="P226" s="112">
        <v>3356</v>
      </c>
      <c r="Q226" s="112">
        <v>0.35</v>
      </c>
      <c r="R226" s="112">
        <v>0</v>
      </c>
      <c r="S226" s="112">
        <f>(((Tabela135[[#This Row],[Objetive value]]-Tabela135[[#This Row],[Objetive Value /H-R1]])/Tabela135[[#This Row],[Objetive value]]))*100</f>
        <v>2.2998544395924312</v>
      </c>
      <c r="T226" s="113">
        <v>3288</v>
      </c>
      <c r="U226" s="113">
        <v>0.36</v>
      </c>
      <c r="V226" s="113">
        <v>0</v>
      </c>
      <c r="W226" s="113">
        <f>(((Tabela135[[#This Row],[Objetive value]]-Tabela135[[#This Row],[Objetive value /H-R2]])/Tabela135[[#This Row],[Objetive value]]))*100</f>
        <v>4.2794759825327509</v>
      </c>
    </row>
    <row r="227" spans="1:23" s="34" customFormat="1" x14ac:dyDescent="0.25">
      <c r="A227" s="3" t="s">
        <v>110</v>
      </c>
      <c r="B227" s="39" t="s">
        <v>119</v>
      </c>
      <c r="C227" s="3">
        <v>200</v>
      </c>
      <c r="D227" s="114">
        <v>0.1</v>
      </c>
      <c r="E227" s="3">
        <v>15</v>
      </c>
      <c r="F227" s="3" t="s">
        <v>18</v>
      </c>
      <c r="G227" s="39" t="s">
        <v>14</v>
      </c>
      <c r="H227" s="110">
        <v>5526</v>
      </c>
      <c r="I227" s="138">
        <v>5526</v>
      </c>
      <c r="J227" s="138">
        <v>4.2970000000204802</v>
      </c>
      <c r="K227" s="137">
        <v>0</v>
      </c>
      <c r="L227" s="125">
        <v>5400</v>
      </c>
      <c r="M227" s="125">
        <v>10</v>
      </c>
      <c r="N227" s="125">
        <v>1</v>
      </c>
      <c r="O227" s="111">
        <f>((Tabela135[[#This Row],[Objetive value]]-Tabela135[[#This Row],[Objetive value/GATeS]])/Tabela135[[#This Row],[Objetive value]])*100</f>
        <v>2.2801302931596092</v>
      </c>
      <c r="P227" s="112">
        <v>5429</v>
      </c>
      <c r="Q227" s="112">
        <v>0.27</v>
      </c>
      <c r="R227" s="112">
        <v>0</v>
      </c>
      <c r="S227" s="112">
        <f>(((Tabela135[[#This Row],[Objetive value]]-Tabela135[[#This Row],[Objetive Value /H-R1]])/Tabela135[[#This Row],[Objetive value]]))*100</f>
        <v>1.7553384002895405</v>
      </c>
      <c r="T227" s="113">
        <v>4996</v>
      </c>
      <c r="U227" s="113">
        <v>0.31</v>
      </c>
      <c r="V227" s="113">
        <v>0</v>
      </c>
      <c r="W227" s="113">
        <f>(((Tabela135[[#This Row],[Objetive value]]-Tabela135[[#This Row],[Objetive value /H-R2]])/Tabela135[[#This Row],[Objetive value]]))*100</f>
        <v>9.5910242490047057</v>
      </c>
    </row>
    <row r="228" spans="1:23" s="34" customFormat="1" x14ac:dyDescent="0.25">
      <c r="A228" s="3" t="s">
        <v>110</v>
      </c>
      <c r="B228" s="39" t="s">
        <v>120</v>
      </c>
      <c r="C228" s="3">
        <v>200</v>
      </c>
      <c r="D228" s="114">
        <v>0.1</v>
      </c>
      <c r="E228" s="3">
        <v>15</v>
      </c>
      <c r="F228" s="3" t="s">
        <v>18</v>
      </c>
      <c r="G228" s="39" t="s">
        <v>16</v>
      </c>
      <c r="H228" s="110">
        <v>3661</v>
      </c>
      <c r="I228" s="138">
        <v>3661</v>
      </c>
      <c r="J228" s="138">
        <v>3.6870000000344501</v>
      </c>
      <c r="K228" s="137">
        <v>0.24</v>
      </c>
      <c r="L228" s="125">
        <v>3604</v>
      </c>
      <c r="M228" s="125">
        <v>21</v>
      </c>
      <c r="N228" s="125">
        <v>6</v>
      </c>
      <c r="O228" s="111">
        <f>((Tabela135[[#This Row],[Objetive value]]-Tabela135[[#This Row],[Objetive value/GATeS]])/Tabela135[[#This Row],[Objetive value]])*100</f>
        <v>1.5569516525539471</v>
      </c>
      <c r="P228" s="112">
        <v>3553</v>
      </c>
      <c r="Q228" s="112">
        <v>0.33</v>
      </c>
      <c r="R228" s="112">
        <v>0</v>
      </c>
      <c r="S228" s="112">
        <f>(((Tabela135[[#This Row],[Objetive value]]-Tabela135[[#This Row],[Objetive Value /H-R1]])/Tabela135[[#This Row],[Objetive value]]))*100</f>
        <v>2.9500136574706364</v>
      </c>
      <c r="T228" s="113">
        <v>3587</v>
      </c>
      <c r="U228" s="113">
        <v>0.26</v>
      </c>
      <c r="V228" s="113">
        <v>0</v>
      </c>
      <c r="W228" s="113">
        <f>(((Tabela135[[#This Row],[Objetive value]]-Tabela135[[#This Row],[Objetive value /H-R2]])/Tabela135[[#This Row],[Objetive value]]))*100</f>
        <v>2.0213056541928438</v>
      </c>
    </row>
    <row r="229" spans="1:23" s="34" customFormat="1" x14ac:dyDescent="0.25">
      <c r="A229" s="3" t="s">
        <v>110</v>
      </c>
      <c r="B229" s="39" t="s">
        <v>121</v>
      </c>
      <c r="C229" s="3">
        <v>200</v>
      </c>
      <c r="D229" s="114">
        <v>0.1</v>
      </c>
      <c r="E229" s="3">
        <v>15</v>
      </c>
      <c r="F229" s="39" t="s">
        <v>21</v>
      </c>
      <c r="G229" s="39" t="s">
        <v>14</v>
      </c>
      <c r="H229" s="110">
        <v>6316</v>
      </c>
      <c r="I229" s="138">
        <v>6316</v>
      </c>
      <c r="J229" s="138">
        <v>0.39000000001396901</v>
      </c>
      <c r="K229" s="137">
        <v>2.29</v>
      </c>
      <c r="L229" s="125">
        <v>5357</v>
      </c>
      <c r="M229" s="125">
        <v>9</v>
      </c>
      <c r="N229" s="125">
        <v>7</v>
      </c>
      <c r="O229" s="111">
        <f>((Tabela135[[#This Row],[Objetive value]]-Tabela135[[#This Row],[Objetive value/GATeS]])/Tabela135[[#This Row],[Objetive value]])*100</f>
        <v>15.183660544648511</v>
      </c>
      <c r="P229" s="112">
        <v>6084</v>
      </c>
      <c r="Q229" s="112">
        <v>1</v>
      </c>
      <c r="R229" s="112">
        <v>0</v>
      </c>
      <c r="S229" s="112">
        <f>(((Tabela135[[#This Row],[Objetive value]]-Tabela135[[#This Row],[Objetive Value /H-R1]])/Tabela135[[#This Row],[Objetive value]]))*100</f>
        <v>3.6732108929702343</v>
      </c>
      <c r="T229" s="113">
        <v>6003</v>
      </c>
      <c r="U229" s="113">
        <v>1.1299999999999999</v>
      </c>
      <c r="V229" s="113">
        <v>0</v>
      </c>
      <c r="W229" s="113">
        <f>(((Tabela135[[#This Row],[Objetive value]]-Tabela135[[#This Row],[Objetive value /H-R2]])/Tabela135[[#This Row],[Objetive value]]))*100</f>
        <v>4.9556681443951867</v>
      </c>
    </row>
    <row r="230" spans="1:23" s="34" customFormat="1" x14ac:dyDescent="0.25">
      <c r="A230" s="3" t="s">
        <v>110</v>
      </c>
      <c r="B230" s="39" t="s">
        <v>122</v>
      </c>
      <c r="C230" s="3">
        <v>200</v>
      </c>
      <c r="D230" s="114">
        <v>0.1</v>
      </c>
      <c r="E230" s="3">
        <v>15</v>
      </c>
      <c r="F230" s="39" t="s">
        <v>21</v>
      </c>
      <c r="G230" s="39" t="s">
        <v>16</v>
      </c>
      <c r="H230" s="110">
        <v>3364</v>
      </c>
      <c r="I230" s="138">
        <v>3364</v>
      </c>
      <c r="J230" s="138">
        <v>0.85999999998603005</v>
      </c>
      <c r="K230" s="137">
        <v>0</v>
      </c>
      <c r="L230" s="125">
        <v>3342</v>
      </c>
      <c r="M230" s="125">
        <v>22</v>
      </c>
      <c r="N230" s="125">
        <v>7</v>
      </c>
      <c r="O230" s="111">
        <f>((Tabela135[[#This Row],[Objetive value]]-Tabela135[[#This Row],[Objetive value/GATeS]])/Tabela135[[#This Row],[Objetive value]])*100</f>
        <v>0.65398335315101064</v>
      </c>
      <c r="P230" s="112">
        <v>3248</v>
      </c>
      <c r="Q230" s="112">
        <v>0.47</v>
      </c>
      <c r="R230" s="112">
        <v>0</v>
      </c>
      <c r="S230" s="112">
        <f>(((Tabela135[[#This Row],[Objetive value]]-Tabela135[[#This Row],[Objetive Value /H-R1]])/Tabela135[[#This Row],[Objetive value]]))*100</f>
        <v>3.4482758620689653</v>
      </c>
      <c r="T230" s="113">
        <v>3153</v>
      </c>
      <c r="U230" s="113">
        <v>0.42</v>
      </c>
      <c r="V230" s="113">
        <v>0</v>
      </c>
      <c r="W230" s="113">
        <f>(((Tabela135[[#This Row],[Objetive value]]-Tabela135[[#This Row],[Objetive value /H-R2]])/Tabela135[[#This Row],[Objetive value]]))*100</f>
        <v>6.2722948870392381</v>
      </c>
    </row>
    <row r="231" spans="1:23" s="34" customFormat="1" x14ac:dyDescent="0.25">
      <c r="A231" s="3" t="s">
        <v>73</v>
      </c>
      <c r="B231" s="37" t="s">
        <v>80</v>
      </c>
      <c r="C231" s="3">
        <v>200</v>
      </c>
      <c r="D231" s="114">
        <v>0.1</v>
      </c>
      <c r="E231" s="3">
        <v>5</v>
      </c>
      <c r="F231" s="39" t="s">
        <v>13</v>
      </c>
      <c r="G231" s="39" t="s">
        <v>14</v>
      </c>
      <c r="H231" s="110">
        <v>1927</v>
      </c>
      <c r="I231" s="138">
        <v>1927</v>
      </c>
      <c r="J231" s="138">
        <v>0.20299999997950999</v>
      </c>
      <c r="K231" s="137">
        <v>0</v>
      </c>
      <c r="L231" s="125">
        <v>1922</v>
      </c>
      <c r="M231" s="125">
        <v>5</v>
      </c>
      <c r="N231" s="125">
        <v>0</v>
      </c>
      <c r="O231" s="111">
        <f>((Tabela135[[#This Row],[Objetive value]]-Tabela135[[#This Row],[Objetive value/GATeS]])/Tabela135[[#This Row],[Objetive value]])*100</f>
        <v>0.25947067981318112</v>
      </c>
      <c r="P231" s="112">
        <v>1901</v>
      </c>
      <c r="Q231" s="112">
        <v>0.25</v>
      </c>
      <c r="R231" s="112">
        <v>0</v>
      </c>
      <c r="S231" s="112">
        <f>(((Tabela135[[#This Row],[Objetive value]]-Tabela135[[#This Row],[Objetive Value /H-R1]])/Tabela135[[#This Row],[Objetive value]]))*100</f>
        <v>1.3492475350285418</v>
      </c>
      <c r="T231" s="113">
        <v>1658</v>
      </c>
      <c r="U231" s="113">
        <v>0.21</v>
      </c>
      <c r="V231" s="113">
        <v>0</v>
      </c>
      <c r="W231" s="113">
        <f>(((Tabela135[[#This Row],[Objetive value]]-Tabela135[[#This Row],[Objetive value /H-R2]])/Tabela135[[#This Row],[Objetive value]]))*100</f>
        <v>13.959522573949142</v>
      </c>
    </row>
    <row r="232" spans="1:23" s="34" customFormat="1" x14ac:dyDescent="0.25">
      <c r="A232" s="3" t="s">
        <v>73</v>
      </c>
      <c r="B232" s="37" t="s">
        <v>81</v>
      </c>
      <c r="C232" s="3">
        <v>200</v>
      </c>
      <c r="D232" s="114">
        <v>0.1</v>
      </c>
      <c r="E232" s="3">
        <v>5</v>
      </c>
      <c r="F232" s="39" t="s">
        <v>13</v>
      </c>
      <c r="G232" s="39" t="s">
        <v>16</v>
      </c>
      <c r="H232" s="110">
        <v>1378</v>
      </c>
      <c r="I232" s="138">
        <v>1378</v>
      </c>
      <c r="J232" s="138">
        <v>0.140999999945051</v>
      </c>
      <c r="K232" s="137">
        <v>0</v>
      </c>
      <c r="L232" s="125">
        <v>1377</v>
      </c>
      <c r="M232" s="125">
        <v>3</v>
      </c>
      <c r="N232" s="125">
        <v>0</v>
      </c>
      <c r="O232" s="111">
        <f>((Tabela135[[#This Row],[Objetive value]]-Tabela135[[#This Row],[Objetive value/GATeS]])/Tabela135[[#This Row],[Objetive value]])*100</f>
        <v>7.2568940493468792E-2</v>
      </c>
      <c r="P232" s="112">
        <v>1378</v>
      </c>
      <c r="Q232" s="112">
        <v>0.27</v>
      </c>
      <c r="R232" s="112">
        <v>0</v>
      </c>
      <c r="S232" s="112">
        <f>(((Tabela135[[#This Row],[Objetive value]]-Tabela135[[#This Row],[Objetive Value /H-R1]])/Tabela135[[#This Row],[Objetive value]]))*100</f>
        <v>0</v>
      </c>
      <c r="T232" s="113">
        <v>1378</v>
      </c>
      <c r="U232" s="113">
        <v>0.21</v>
      </c>
      <c r="V232" s="113">
        <v>0</v>
      </c>
      <c r="W232" s="113">
        <f>(((Tabela135[[#This Row],[Objetive value]]-Tabela135[[#This Row],[Objetive value /H-R2]])/Tabela135[[#This Row],[Objetive value]]))*100</f>
        <v>0</v>
      </c>
    </row>
    <row r="233" spans="1:23" s="34" customFormat="1" x14ac:dyDescent="0.25">
      <c r="A233" s="3" t="s">
        <v>73</v>
      </c>
      <c r="B233" s="37" t="s">
        <v>359</v>
      </c>
      <c r="C233" s="3">
        <v>200</v>
      </c>
      <c r="D233" s="114">
        <v>0.1</v>
      </c>
      <c r="E233" s="3">
        <v>5</v>
      </c>
      <c r="F233" s="3" t="s">
        <v>18</v>
      </c>
      <c r="G233" s="39" t="s">
        <v>14</v>
      </c>
      <c r="H233" s="110">
        <v>2421</v>
      </c>
      <c r="I233" s="138">
        <v>2421</v>
      </c>
      <c r="J233" s="138">
        <v>0.15600000007543699</v>
      </c>
      <c r="K233" s="137">
        <v>0</v>
      </c>
      <c r="L233" s="125">
        <v>2421</v>
      </c>
      <c r="M233" s="125">
        <v>4</v>
      </c>
      <c r="N233" s="125">
        <v>0</v>
      </c>
      <c r="O233" s="111">
        <f>((Tabela135[[#This Row],[Objetive value]]-Tabela135[[#This Row],[Objetive value/GATeS]])/Tabela135[[#This Row],[Objetive value]])*100</f>
        <v>0</v>
      </c>
      <c r="P233" s="112">
        <v>2421</v>
      </c>
      <c r="Q233" s="112">
        <v>0.18</v>
      </c>
      <c r="R233" s="112">
        <v>0</v>
      </c>
      <c r="S233" s="112">
        <f>(((Tabela135[[#This Row],[Objetive value]]-Tabela135[[#This Row],[Objetive Value /H-R1]])/Tabela135[[#This Row],[Objetive value]]))*100</f>
        <v>0</v>
      </c>
      <c r="T233" s="113">
        <v>2421</v>
      </c>
      <c r="U233" s="113">
        <v>0.22</v>
      </c>
      <c r="V233" s="113">
        <v>0</v>
      </c>
      <c r="W233" s="113">
        <f>(((Tabela135[[#This Row],[Objetive value]]-Tabela135[[#This Row],[Objetive value /H-R2]])/Tabela135[[#This Row],[Objetive value]]))*100</f>
        <v>0</v>
      </c>
    </row>
    <row r="234" spans="1:23" s="34" customFormat="1" x14ac:dyDescent="0.25">
      <c r="A234" s="3" t="s">
        <v>73</v>
      </c>
      <c r="B234" s="37" t="s">
        <v>82</v>
      </c>
      <c r="C234" s="3">
        <v>200</v>
      </c>
      <c r="D234" s="114">
        <v>0.1</v>
      </c>
      <c r="E234" s="3">
        <v>5</v>
      </c>
      <c r="F234" s="3" t="s">
        <v>18</v>
      </c>
      <c r="G234" s="39" t="s">
        <v>16</v>
      </c>
      <c r="H234" s="110">
        <v>1461</v>
      </c>
      <c r="I234" s="138">
        <v>1461</v>
      </c>
      <c r="J234" s="138">
        <v>0.125</v>
      </c>
      <c r="K234" s="137">
        <v>0</v>
      </c>
      <c r="L234" s="125">
        <v>1458</v>
      </c>
      <c r="M234" s="125">
        <v>4</v>
      </c>
      <c r="N234" s="125">
        <v>1</v>
      </c>
      <c r="O234" s="111">
        <f>((Tabela135[[#This Row],[Objetive value]]-Tabela135[[#This Row],[Objetive value/GATeS]])/Tabela135[[#This Row],[Objetive value]])*100</f>
        <v>0.20533880903490762</v>
      </c>
      <c r="P234" s="112">
        <v>1429</v>
      </c>
      <c r="Q234" s="112">
        <v>0.21</v>
      </c>
      <c r="R234" s="112">
        <v>0</v>
      </c>
      <c r="S234" s="112">
        <f>(((Tabela135[[#This Row],[Objetive value]]-Tabela135[[#This Row],[Objetive Value /H-R1]])/Tabela135[[#This Row],[Objetive value]]))*100</f>
        <v>2.1902806297056809</v>
      </c>
      <c r="T234" s="113">
        <v>1445</v>
      </c>
      <c r="U234" s="113">
        <v>0.2</v>
      </c>
      <c r="V234" s="113">
        <v>0</v>
      </c>
      <c r="W234" s="113">
        <f>(((Tabela135[[#This Row],[Objetive value]]-Tabela135[[#This Row],[Objetive value /H-R2]])/Tabela135[[#This Row],[Objetive value]]))*100</f>
        <v>1.0951403148528405</v>
      </c>
    </row>
    <row r="235" spans="1:23" s="34" customFormat="1" x14ac:dyDescent="0.25">
      <c r="A235" s="3" t="s">
        <v>73</v>
      </c>
      <c r="B235" s="37" t="s">
        <v>83</v>
      </c>
      <c r="C235" s="3">
        <v>200</v>
      </c>
      <c r="D235" s="114">
        <v>0.1</v>
      </c>
      <c r="E235" s="3">
        <v>5</v>
      </c>
      <c r="F235" s="39" t="s">
        <v>21</v>
      </c>
      <c r="G235" s="39" t="s">
        <v>14</v>
      </c>
      <c r="H235" s="110">
        <v>954</v>
      </c>
      <c r="I235" s="138">
        <v>954</v>
      </c>
      <c r="J235" s="138">
        <v>0.125</v>
      </c>
      <c r="K235" s="137">
        <v>0</v>
      </c>
      <c r="L235" s="125">
        <v>953</v>
      </c>
      <c r="M235" s="125">
        <v>2</v>
      </c>
      <c r="N235" s="125">
        <v>0</v>
      </c>
      <c r="O235" s="111">
        <f>((Tabela135[[#This Row],[Objetive value]]-Tabela135[[#This Row],[Objetive value/GATeS]])/Tabela135[[#This Row],[Objetive value]])*100</f>
        <v>0.10482180293501049</v>
      </c>
      <c r="P235" s="115"/>
      <c r="Q235" s="115"/>
      <c r="R235" s="115"/>
      <c r="S235" s="115">
        <v>100</v>
      </c>
      <c r="T235" s="113">
        <v>954</v>
      </c>
      <c r="U235" s="113">
        <v>0.42</v>
      </c>
      <c r="V235" s="113">
        <v>0</v>
      </c>
      <c r="W235" s="113">
        <f>(((Tabela135[[#This Row],[Objetive value]]-Tabela135[[#This Row],[Objetive value /H-R2]])/Tabela135[[#This Row],[Objetive value]]))*100</f>
        <v>0</v>
      </c>
    </row>
    <row r="236" spans="1:23" s="34" customFormat="1" x14ac:dyDescent="0.25">
      <c r="A236" s="3" t="s">
        <v>73</v>
      </c>
      <c r="B236" s="37" t="s">
        <v>84</v>
      </c>
      <c r="C236" s="3">
        <v>200</v>
      </c>
      <c r="D236" s="114">
        <v>0.1</v>
      </c>
      <c r="E236" s="3">
        <v>5</v>
      </c>
      <c r="F236" s="39" t="s">
        <v>21</v>
      </c>
      <c r="G236" s="39" t="s">
        <v>16</v>
      </c>
      <c r="H236" s="110">
        <v>1317</v>
      </c>
      <c r="I236" s="138">
        <v>1317</v>
      </c>
      <c r="J236" s="138">
        <v>0.109000000054948</v>
      </c>
      <c r="K236" s="137">
        <v>0</v>
      </c>
      <c r="L236" s="125">
        <v>1317</v>
      </c>
      <c r="M236" s="125">
        <v>4</v>
      </c>
      <c r="N236" s="125">
        <v>2</v>
      </c>
      <c r="O236" s="111">
        <f>((Tabela135[[#This Row],[Objetive value]]-Tabela135[[#This Row],[Objetive value/GATeS]])/Tabela135[[#This Row],[Objetive value]])*100</f>
        <v>0</v>
      </c>
      <c r="P236" s="112">
        <v>1317</v>
      </c>
      <c r="Q236" s="112">
        <v>0.17</v>
      </c>
      <c r="R236" s="112">
        <v>0</v>
      </c>
      <c r="S236" s="112">
        <f>(((Tabela135[[#This Row],[Objetive value]]-Tabela135[[#This Row],[Objetive Value /H-R1]])/Tabela135[[#This Row],[Objetive value]]))*100</f>
        <v>0</v>
      </c>
      <c r="T236" s="113">
        <v>1317</v>
      </c>
      <c r="U236" s="113">
        <v>0.25</v>
      </c>
      <c r="V236" s="113">
        <v>0</v>
      </c>
      <c r="W236" s="113">
        <f>(((Tabela135[[#This Row],[Objetive value]]-Tabela135[[#This Row],[Objetive value /H-R2]])/Tabela135[[#This Row],[Objetive value]]))*100</f>
        <v>0</v>
      </c>
    </row>
    <row r="237" spans="1:23" s="34" customFormat="1" x14ac:dyDescent="0.25">
      <c r="A237" s="3" t="s">
        <v>91</v>
      </c>
      <c r="B237" s="37" t="s">
        <v>104</v>
      </c>
      <c r="C237" s="3">
        <v>200</v>
      </c>
      <c r="D237" s="3">
        <v>0.15</v>
      </c>
      <c r="E237" s="3">
        <v>10</v>
      </c>
      <c r="F237" s="39" t="s">
        <v>13</v>
      </c>
      <c r="G237" s="39" t="s">
        <v>14</v>
      </c>
      <c r="H237" s="110">
        <v>4262</v>
      </c>
      <c r="I237" s="138">
        <v>4262</v>
      </c>
      <c r="J237" s="138">
        <v>0.5</v>
      </c>
      <c r="K237" s="137">
        <v>0</v>
      </c>
      <c r="L237" s="125">
        <v>3924</v>
      </c>
      <c r="M237" s="125">
        <v>7</v>
      </c>
      <c r="N237" s="125">
        <v>0</v>
      </c>
      <c r="O237" s="111">
        <f>((Tabela135[[#This Row],[Objetive value]]-Tabela135[[#This Row],[Objetive value/GATeS]])/Tabela135[[#This Row],[Objetive value]])*100</f>
        <v>7.930549038010323</v>
      </c>
      <c r="P237" s="112">
        <v>4140</v>
      </c>
      <c r="Q237" s="112">
        <v>0.26</v>
      </c>
      <c r="R237" s="112">
        <v>0</v>
      </c>
      <c r="S237" s="112">
        <f>(((Tabela135[[#This Row],[Objetive value]]-Tabela135[[#This Row],[Objetive Value /H-R1]])/Tabela135[[#This Row],[Objetive value]]))*100</f>
        <v>2.8625058657907085</v>
      </c>
      <c r="T237" s="113">
        <v>3995</v>
      </c>
      <c r="U237" s="113">
        <v>0.25</v>
      </c>
      <c r="V237" s="113">
        <v>0</v>
      </c>
      <c r="W237" s="113">
        <f>(((Tabela135[[#This Row],[Objetive value]]-Tabela135[[#This Row],[Objetive value /H-R2]])/Tabela135[[#This Row],[Objetive value]]))*100</f>
        <v>6.2646644767714683</v>
      </c>
    </row>
    <row r="238" spans="1:23" s="34" customFormat="1" x14ac:dyDescent="0.25">
      <c r="A238" s="3" t="s">
        <v>91</v>
      </c>
      <c r="B238" s="39" t="s">
        <v>105</v>
      </c>
      <c r="C238" s="3">
        <v>200</v>
      </c>
      <c r="D238" s="3">
        <v>0.15</v>
      </c>
      <c r="E238" s="3">
        <v>10</v>
      </c>
      <c r="F238" s="39" t="s">
        <v>13</v>
      </c>
      <c r="G238" s="39" t="s">
        <v>16</v>
      </c>
      <c r="H238" s="110">
        <v>2562</v>
      </c>
      <c r="I238" s="138">
        <v>2562</v>
      </c>
      <c r="J238" s="138">
        <v>0.68700000003445805</v>
      </c>
      <c r="K238" s="137">
        <v>0</v>
      </c>
      <c r="L238" s="125">
        <v>2497</v>
      </c>
      <c r="M238" s="125">
        <v>8</v>
      </c>
      <c r="N238" s="125">
        <v>0</v>
      </c>
      <c r="O238" s="111">
        <f>((Tabela135[[#This Row],[Objetive value]]-Tabela135[[#This Row],[Objetive value/GATeS]])/Tabela135[[#This Row],[Objetive value]])*100</f>
        <v>2.5370804059328651</v>
      </c>
      <c r="P238" s="112">
        <v>2562</v>
      </c>
      <c r="Q238" s="112">
        <v>0.3</v>
      </c>
      <c r="R238" s="112">
        <v>0</v>
      </c>
      <c r="S238" s="112">
        <f>(((Tabela135[[#This Row],[Objetive value]]-Tabela135[[#This Row],[Objetive Value /H-R1]])/Tabela135[[#This Row],[Objetive value]]))*100</f>
        <v>0</v>
      </c>
      <c r="T238" s="113">
        <v>2562</v>
      </c>
      <c r="U238" s="113">
        <v>0.33</v>
      </c>
      <c r="V238" s="113">
        <v>0</v>
      </c>
      <c r="W238" s="113">
        <f>(((Tabela135[[#This Row],[Objetive value]]-Tabela135[[#This Row],[Objetive value /H-R2]])/Tabela135[[#This Row],[Objetive value]]))*100</f>
        <v>0</v>
      </c>
    </row>
    <row r="239" spans="1:23" s="34" customFormat="1" x14ac:dyDescent="0.25">
      <c r="A239" s="3" t="s">
        <v>91</v>
      </c>
      <c r="B239" s="39" t="s">
        <v>106</v>
      </c>
      <c r="C239" s="3">
        <v>200</v>
      </c>
      <c r="D239" s="3">
        <v>0.15</v>
      </c>
      <c r="E239" s="3">
        <v>10</v>
      </c>
      <c r="F239" s="39" t="s">
        <v>18</v>
      </c>
      <c r="G239" s="39" t="s">
        <v>14</v>
      </c>
      <c r="H239" s="110">
        <v>4606</v>
      </c>
      <c r="I239" s="138">
        <v>4606</v>
      </c>
      <c r="J239" s="138">
        <v>0.45299999997951002</v>
      </c>
      <c r="K239" s="137">
        <v>0</v>
      </c>
      <c r="L239" s="125">
        <v>4596</v>
      </c>
      <c r="M239" s="125">
        <v>7</v>
      </c>
      <c r="N239" s="125">
        <v>0</v>
      </c>
      <c r="O239" s="111">
        <f>((Tabela135[[#This Row],[Objetive value]]-Tabela135[[#This Row],[Objetive value/GATeS]])/Tabela135[[#This Row],[Objetive value]])*100</f>
        <v>0.21710811984368217</v>
      </c>
      <c r="P239" s="112">
        <v>4606</v>
      </c>
      <c r="Q239" s="112">
        <v>0.2</v>
      </c>
      <c r="R239" s="112">
        <v>0</v>
      </c>
      <c r="S239" s="112">
        <f>(((Tabela135[[#This Row],[Objetive value]]-Tabela135[[#This Row],[Objetive Value /H-R1]])/Tabela135[[#This Row],[Objetive value]]))*100</f>
        <v>0</v>
      </c>
      <c r="T239" s="113">
        <v>4470</v>
      </c>
      <c r="U239" s="113">
        <v>0.24</v>
      </c>
      <c r="V239" s="113">
        <v>0</v>
      </c>
      <c r="W239" s="113">
        <f>(((Tabela135[[#This Row],[Objetive value]]-Tabela135[[#This Row],[Objetive value /H-R2]])/Tabela135[[#This Row],[Objetive value]]))*100</f>
        <v>2.9526704298740771</v>
      </c>
    </row>
    <row r="240" spans="1:23" s="34" customFormat="1" x14ac:dyDescent="0.25">
      <c r="A240" s="3" t="s">
        <v>91</v>
      </c>
      <c r="B240" s="39" t="s">
        <v>107</v>
      </c>
      <c r="C240" s="3">
        <v>200</v>
      </c>
      <c r="D240" s="3">
        <v>0.15</v>
      </c>
      <c r="E240" s="3">
        <v>10</v>
      </c>
      <c r="F240" s="39" t="s">
        <v>18</v>
      </c>
      <c r="G240" s="39" t="s">
        <v>16</v>
      </c>
      <c r="H240" s="110">
        <v>2556</v>
      </c>
      <c r="I240" s="138">
        <v>2556</v>
      </c>
      <c r="J240" s="138">
        <v>1.0320000000065099</v>
      </c>
      <c r="K240" s="137">
        <v>0</v>
      </c>
      <c r="L240" s="125">
        <v>2551</v>
      </c>
      <c r="M240" s="125">
        <v>8</v>
      </c>
      <c r="N240" s="125">
        <v>8</v>
      </c>
      <c r="O240" s="111">
        <f>((Tabela135[[#This Row],[Objetive value]]-Tabela135[[#This Row],[Objetive value/GATeS]])/Tabela135[[#This Row],[Objetive value]])*100</f>
        <v>0.19561815336463223</v>
      </c>
      <c r="P240" s="112">
        <v>2516</v>
      </c>
      <c r="Q240" s="112">
        <v>0.4</v>
      </c>
      <c r="R240" s="112">
        <v>0</v>
      </c>
      <c r="S240" s="112">
        <f>(((Tabela135[[#This Row],[Objetive value]]-Tabela135[[#This Row],[Objetive Value /H-R1]])/Tabela135[[#This Row],[Objetive value]]))*100</f>
        <v>1.5649452269170578</v>
      </c>
      <c r="T240" s="113">
        <v>2458</v>
      </c>
      <c r="U240" s="113">
        <v>0.36</v>
      </c>
      <c r="V240" s="113">
        <v>0</v>
      </c>
      <c r="W240" s="113">
        <f>(((Tabela135[[#This Row],[Objetive value]]-Tabela135[[#This Row],[Objetive value /H-R2]])/Tabela135[[#This Row],[Objetive value]]))*100</f>
        <v>3.8341158059467917</v>
      </c>
    </row>
    <row r="241" spans="1:23" s="34" customFormat="1" x14ac:dyDescent="0.25">
      <c r="A241" s="3" t="s">
        <v>91</v>
      </c>
      <c r="B241" s="39" t="s">
        <v>108</v>
      </c>
      <c r="C241" s="3">
        <v>200</v>
      </c>
      <c r="D241" s="3">
        <v>0.15</v>
      </c>
      <c r="E241" s="3">
        <v>10</v>
      </c>
      <c r="F241" s="39" t="s">
        <v>21</v>
      </c>
      <c r="G241" s="39" t="s">
        <v>14</v>
      </c>
      <c r="H241" s="110">
        <v>3934</v>
      </c>
      <c r="I241" s="138">
        <v>3934</v>
      </c>
      <c r="J241" s="138">
        <v>0.20400000002700799</v>
      </c>
      <c r="K241" s="137">
        <v>0</v>
      </c>
      <c r="L241" s="125">
        <v>3726</v>
      </c>
      <c r="M241" s="125">
        <v>7</v>
      </c>
      <c r="N241" s="125">
        <v>6</v>
      </c>
      <c r="O241" s="111">
        <f>((Tabela135[[#This Row],[Objetive value]]-Tabela135[[#This Row],[Objetive value/GATeS]])/Tabela135[[#This Row],[Objetive value]])*100</f>
        <v>5.2872394509405192</v>
      </c>
      <c r="P241" s="112">
        <v>3934</v>
      </c>
      <c r="Q241" s="112">
        <v>0.47</v>
      </c>
      <c r="R241" s="112">
        <v>0</v>
      </c>
      <c r="S241" s="112">
        <f>(((Tabela135[[#This Row],[Objetive value]]-Tabela135[[#This Row],[Objetive Value /H-R1]])/Tabela135[[#This Row],[Objetive value]]))*100</f>
        <v>0</v>
      </c>
      <c r="T241" s="113">
        <v>3934</v>
      </c>
      <c r="U241" s="113">
        <v>0.5</v>
      </c>
      <c r="V241" s="113">
        <v>0</v>
      </c>
      <c r="W241" s="113">
        <f>(((Tabela135[[#This Row],[Objetive value]]-Tabela135[[#This Row],[Objetive value /H-R2]])/Tabela135[[#This Row],[Objetive value]]))*100</f>
        <v>0</v>
      </c>
    </row>
    <row r="242" spans="1:23" s="34" customFormat="1" x14ac:dyDescent="0.25">
      <c r="A242" s="3" t="s">
        <v>91</v>
      </c>
      <c r="B242" s="39" t="s">
        <v>109</v>
      </c>
      <c r="C242" s="3">
        <v>200</v>
      </c>
      <c r="D242" s="3">
        <v>0.15</v>
      </c>
      <c r="E242" s="3">
        <v>10</v>
      </c>
      <c r="F242" s="39" t="s">
        <v>21</v>
      </c>
      <c r="G242" s="39" t="s">
        <v>16</v>
      </c>
      <c r="H242" s="110">
        <v>2522</v>
      </c>
      <c r="I242" s="138">
        <v>2522</v>
      </c>
      <c r="J242" s="138">
        <v>0.438000000081956</v>
      </c>
      <c r="K242" s="137">
        <v>0</v>
      </c>
      <c r="L242" s="125">
        <v>2496</v>
      </c>
      <c r="M242" s="125">
        <v>7</v>
      </c>
      <c r="N242" s="125">
        <v>1</v>
      </c>
      <c r="O242" s="111">
        <f>((Tabela135[[#This Row],[Objetive value]]-Tabela135[[#This Row],[Objetive value/GATeS]])/Tabela135[[#This Row],[Objetive value]])*100</f>
        <v>1.0309278350515463</v>
      </c>
      <c r="P242" s="112">
        <v>2476</v>
      </c>
      <c r="Q242" s="112">
        <v>0.41</v>
      </c>
      <c r="R242" s="112">
        <v>0</v>
      </c>
      <c r="S242" s="112">
        <f>(((Tabela135[[#This Row],[Objetive value]]-Tabela135[[#This Row],[Objetive Value /H-R1]])/Tabela135[[#This Row],[Objetive value]]))*100</f>
        <v>1.8239492466296592</v>
      </c>
      <c r="T242" s="113">
        <v>2476</v>
      </c>
      <c r="U242" s="113">
        <v>0.34</v>
      </c>
      <c r="V242" s="113">
        <v>0</v>
      </c>
      <c r="W242" s="113">
        <f>(((Tabela135[[#This Row],[Objetive value]]-Tabela135[[#This Row],[Objetive value /H-R2]])/Tabela135[[#This Row],[Objetive value]]))*100</f>
        <v>1.8239492466296592</v>
      </c>
    </row>
    <row r="243" spans="1:23" s="34" customFormat="1" x14ac:dyDescent="0.25">
      <c r="A243" s="3" t="s">
        <v>110</v>
      </c>
      <c r="B243" s="37" t="s">
        <v>123</v>
      </c>
      <c r="C243" s="3">
        <v>200</v>
      </c>
      <c r="D243" s="3">
        <v>0.15</v>
      </c>
      <c r="E243" s="3">
        <v>15</v>
      </c>
      <c r="F243" s="39" t="s">
        <v>13</v>
      </c>
      <c r="G243" s="39" t="s">
        <v>14</v>
      </c>
      <c r="H243" s="110">
        <v>6829</v>
      </c>
      <c r="I243" s="138">
        <v>6829</v>
      </c>
      <c r="J243" s="138">
        <v>4</v>
      </c>
      <c r="K243" s="137">
        <v>0</v>
      </c>
      <c r="L243" s="125">
        <v>6788</v>
      </c>
      <c r="M243" s="125">
        <v>230</v>
      </c>
      <c r="N243" s="125">
        <v>0</v>
      </c>
      <c r="O243" s="111">
        <f>((Tabela135[[#This Row],[Objetive value]]-Tabela135[[#This Row],[Objetive value/GATeS]])/Tabela135[[#This Row],[Objetive value]])*100</f>
        <v>0.60038072924293451</v>
      </c>
      <c r="P243" s="112">
        <v>6760</v>
      </c>
      <c r="Q243" s="112">
        <v>0.39</v>
      </c>
      <c r="R243" s="112">
        <v>0</v>
      </c>
      <c r="S243" s="112">
        <f>(((Tabela135[[#This Row],[Objetive value]]-Tabela135[[#This Row],[Objetive Value /H-R1]])/Tabela135[[#This Row],[Objetive value]]))*100</f>
        <v>1.0103968370185972</v>
      </c>
      <c r="T243" s="113">
        <v>6295</v>
      </c>
      <c r="U243" s="113">
        <v>0.3</v>
      </c>
      <c r="V243" s="113">
        <v>0</v>
      </c>
      <c r="W243" s="113">
        <f>(((Tabela135[[#This Row],[Objetive value]]-Tabela135[[#This Row],[Objetive value /H-R2]])/Tabela135[[#This Row],[Objetive value]]))*100</f>
        <v>7.8195929125787087</v>
      </c>
    </row>
    <row r="244" spans="1:23" s="34" customFormat="1" x14ac:dyDescent="0.25">
      <c r="A244" s="3" t="s">
        <v>110</v>
      </c>
      <c r="B244" s="39" t="s">
        <v>124</v>
      </c>
      <c r="C244" s="3">
        <v>200</v>
      </c>
      <c r="D244" s="3">
        <v>0.15</v>
      </c>
      <c r="E244" s="3">
        <v>15</v>
      </c>
      <c r="F244" s="39" t="s">
        <v>13</v>
      </c>
      <c r="G244" s="39" t="s">
        <v>16</v>
      </c>
      <c r="H244" s="110">
        <v>3652</v>
      </c>
      <c r="I244" s="138">
        <v>3652</v>
      </c>
      <c r="J244" s="138">
        <v>1.9209999999729901</v>
      </c>
      <c r="K244" s="137">
        <v>0</v>
      </c>
      <c r="L244" s="125">
        <v>3614</v>
      </c>
      <c r="M244" s="125">
        <v>12</v>
      </c>
      <c r="N244" s="125">
        <v>6</v>
      </c>
      <c r="O244" s="111">
        <f>((Tabela135[[#This Row],[Objetive value]]-Tabela135[[#This Row],[Objetive value/GATeS]])/Tabela135[[#This Row],[Objetive value]])*100</f>
        <v>1.04052573932092</v>
      </c>
      <c r="P244" s="112">
        <v>3602</v>
      </c>
      <c r="Q244" s="112">
        <v>0.36</v>
      </c>
      <c r="R244" s="112">
        <v>0</v>
      </c>
      <c r="S244" s="112">
        <f>(((Tabela135[[#This Row],[Objetive value]]-Tabela135[[#This Row],[Objetive Value /H-R1]])/Tabela135[[#This Row],[Objetive value]]))*100</f>
        <v>1.3691128148959473</v>
      </c>
      <c r="T244" s="113">
        <v>3557</v>
      </c>
      <c r="U244" s="113">
        <v>0.32</v>
      </c>
      <c r="V244" s="113">
        <v>0</v>
      </c>
      <c r="W244" s="113">
        <f>(((Tabela135[[#This Row],[Objetive value]]-Tabela135[[#This Row],[Objetive value /H-R2]])/Tabela135[[#This Row],[Objetive value]]))*100</f>
        <v>2.6013143483023002</v>
      </c>
    </row>
    <row r="245" spans="1:23" s="34" customFormat="1" x14ac:dyDescent="0.25">
      <c r="A245" s="3" t="s">
        <v>110</v>
      </c>
      <c r="B245" s="39" t="s">
        <v>125</v>
      </c>
      <c r="C245" s="3">
        <v>200</v>
      </c>
      <c r="D245" s="3">
        <v>0.15</v>
      </c>
      <c r="E245" s="3">
        <v>15</v>
      </c>
      <c r="F245" s="39" t="s">
        <v>18</v>
      </c>
      <c r="G245" s="39" t="s">
        <v>14</v>
      </c>
      <c r="H245" s="110">
        <v>6313</v>
      </c>
      <c r="I245" s="138">
        <v>6313</v>
      </c>
      <c r="J245" s="138">
        <v>8.4529999999795091</v>
      </c>
      <c r="K245" s="137">
        <v>0.13</v>
      </c>
      <c r="L245" s="125">
        <v>6031</v>
      </c>
      <c r="M245" s="125">
        <v>12</v>
      </c>
      <c r="N245" s="125">
        <v>11</v>
      </c>
      <c r="O245" s="111">
        <f>((Tabela135[[#This Row],[Objetive value]]-Tabela135[[#This Row],[Objetive value/GATeS]])/Tabela135[[#This Row],[Objetive value]])*100</f>
        <v>4.4669729130365914</v>
      </c>
      <c r="P245" s="112">
        <v>6192</v>
      </c>
      <c r="Q245" s="112">
        <v>0.27</v>
      </c>
      <c r="R245" s="112">
        <v>0</v>
      </c>
      <c r="S245" s="112">
        <f>(((Tabela135[[#This Row],[Objetive value]]-Tabela135[[#This Row],[Objetive Value /H-R1]])/Tabela135[[#This Row],[Objetive value]]))*100</f>
        <v>1.9166798669412324</v>
      </c>
      <c r="T245" s="113">
        <v>5950</v>
      </c>
      <c r="U245" s="113">
        <v>0.24</v>
      </c>
      <c r="V245" s="113">
        <v>0</v>
      </c>
      <c r="W245" s="113">
        <f>(((Tabela135[[#This Row],[Objetive value]]-Tabela135[[#This Row],[Objetive value /H-R2]])/Tabela135[[#This Row],[Objetive value]]))*100</f>
        <v>5.7500396008236967</v>
      </c>
    </row>
    <row r="246" spans="1:23" s="34" customFormat="1" x14ac:dyDescent="0.25">
      <c r="A246" s="3" t="s">
        <v>110</v>
      </c>
      <c r="B246" s="39" t="s">
        <v>126</v>
      </c>
      <c r="C246" s="3">
        <v>200</v>
      </c>
      <c r="D246" s="3">
        <v>0.15</v>
      </c>
      <c r="E246" s="3">
        <v>15</v>
      </c>
      <c r="F246" s="39" t="s">
        <v>18</v>
      </c>
      <c r="G246" s="39" t="s">
        <v>16</v>
      </c>
      <c r="H246" s="110">
        <v>3408</v>
      </c>
      <c r="I246" s="138">
        <v>3407.99999999999</v>
      </c>
      <c r="J246" s="138">
        <v>1.3900000000139601</v>
      </c>
      <c r="K246" s="137">
        <v>0</v>
      </c>
      <c r="L246" s="125">
        <v>3223</v>
      </c>
      <c r="M246" s="125">
        <v>14</v>
      </c>
      <c r="N246" s="125">
        <v>11</v>
      </c>
      <c r="O246" s="111">
        <f>((Tabela135[[#This Row],[Objetive value]]-Tabela135[[#This Row],[Objetive value/GATeS]])/Tabela135[[#This Row],[Objetive value]])*100</f>
        <v>5.428403755868267</v>
      </c>
      <c r="P246" s="112">
        <v>3334</v>
      </c>
      <c r="Q246" s="112">
        <v>0.27</v>
      </c>
      <c r="R246" s="112">
        <v>0</v>
      </c>
      <c r="S246" s="112">
        <f>(((Tabela135[[#This Row],[Objetive value]]-Tabela135[[#This Row],[Objetive Value /H-R1]])/Tabela135[[#This Row],[Objetive value]]))*100</f>
        <v>2.1713615023471307</v>
      </c>
      <c r="T246" s="113">
        <v>3304</v>
      </c>
      <c r="U246" s="113">
        <v>0.22</v>
      </c>
      <c r="V246" s="113">
        <v>0</v>
      </c>
      <c r="W246" s="113">
        <f>(((Tabela135[[#This Row],[Objetive value]]-Tabela135[[#This Row],[Objetive value /H-R2]])/Tabela135[[#This Row],[Objetive value]]))*100</f>
        <v>3.0516431924879783</v>
      </c>
    </row>
    <row r="247" spans="1:23" s="34" customFormat="1" x14ac:dyDescent="0.25">
      <c r="A247" s="3" t="s">
        <v>110</v>
      </c>
      <c r="B247" s="39" t="s">
        <v>127</v>
      </c>
      <c r="C247" s="3">
        <v>200</v>
      </c>
      <c r="D247" s="3">
        <v>0.15</v>
      </c>
      <c r="E247" s="3">
        <v>15</v>
      </c>
      <c r="F247" s="39" t="s">
        <v>21</v>
      </c>
      <c r="G247" s="39" t="s">
        <v>14</v>
      </c>
      <c r="H247" s="110">
        <v>5096</v>
      </c>
      <c r="I247" s="138">
        <v>5096</v>
      </c>
      <c r="J247" s="138">
        <v>0.15600000007543699</v>
      </c>
      <c r="K247" s="137">
        <v>0</v>
      </c>
      <c r="L247" s="125">
        <v>5065</v>
      </c>
      <c r="M247" s="125">
        <v>13</v>
      </c>
      <c r="N247" s="125">
        <v>5</v>
      </c>
      <c r="O247" s="111">
        <f>((Tabela135[[#This Row],[Objetive value]]-Tabela135[[#This Row],[Objetive value/GATeS]])/Tabela135[[#This Row],[Objetive value]])*100</f>
        <v>0.60832025117739408</v>
      </c>
      <c r="P247" s="112">
        <v>3694</v>
      </c>
      <c r="Q247" s="112">
        <v>1.69</v>
      </c>
      <c r="R247" s="112">
        <v>0</v>
      </c>
      <c r="S247" s="112">
        <f>(((Tabela135[[#This Row],[Objetive value]]-Tabela135[[#This Row],[Objetive Value /H-R1]])/Tabela135[[#This Row],[Objetive value]]))*100</f>
        <v>27.511773940345368</v>
      </c>
      <c r="T247" s="113">
        <v>4532</v>
      </c>
      <c r="U247" s="113">
        <v>1.21</v>
      </c>
      <c r="V247" s="113">
        <v>0</v>
      </c>
      <c r="W247" s="113">
        <f>(((Tabela135[[#This Row],[Objetive value]]-Tabela135[[#This Row],[Objetive value /H-R2]])/Tabela135[[#This Row],[Objetive value]]))*100</f>
        <v>11.067503924646783</v>
      </c>
    </row>
    <row r="248" spans="1:23" s="34" customFormat="1" x14ac:dyDescent="0.25">
      <c r="A248" s="3" t="s">
        <v>110</v>
      </c>
      <c r="B248" s="39" t="s">
        <v>128</v>
      </c>
      <c r="C248" s="3">
        <v>200</v>
      </c>
      <c r="D248" s="3">
        <v>0.15</v>
      </c>
      <c r="E248" s="3">
        <v>15</v>
      </c>
      <c r="F248" s="39" t="s">
        <v>21</v>
      </c>
      <c r="G248" s="39" t="s">
        <v>16</v>
      </c>
      <c r="H248" s="110">
        <v>3597</v>
      </c>
      <c r="I248" s="138">
        <v>3597</v>
      </c>
      <c r="J248" s="138">
        <v>1.64100000006146</v>
      </c>
      <c r="K248" s="137">
        <v>0</v>
      </c>
      <c r="L248" s="125">
        <v>3540</v>
      </c>
      <c r="M248" s="125">
        <v>13</v>
      </c>
      <c r="N248" s="125">
        <v>12</v>
      </c>
      <c r="O248" s="111">
        <f>((Tabela135[[#This Row],[Objetive value]]-Tabela135[[#This Row],[Objetive value/GATeS]])/Tabela135[[#This Row],[Objetive value]])*100</f>
        <v>1.58465387823186</v>
      </c>
      <c r="P248" s="112">
        <v>3462</v>
      </c>
      <c r="Q248" s="112">
        <v>0.4</v>
      </c>
      <c r="R248" s="112">
        <v>0</v>
      </c>
      <c r="S248" s="112">
        <f>(((Tabela135[[#This Row],[Objetive value]]-Tabela135[[#This Row],[Objetive Value /H-R1]])/Tabela135[[#This Row],[Objetive value]]))*100</f>
        <v>3.7531276063386154</v>
      </c>
      <c r="T248" s="113">
        <v>3456</v>
      </c>
      <c r="U248" s="113">
        <v>0.37</v>
      </c>
      <c r="V248" s="113">
        <v>0</v>
      </c>
      <c r="W248" s="113">
        <f>(((Tabela135[[#This Row],[Objetive value]]-Tabela135[[#This Row],[Objetive value /H-R2]])/Tabela135[[#This Row],[Objetive value]]))*100</f>
        <v>3.9199332777314431</v>
      </c>
    </row>
    <row r="249" spans="1:23" s="34" customFormat="1" x14ac:dyDescent="0.25">
      <c r="A249" s="3" t="s">
        <v>73</v>
      </c>
      <c r="B249" s="39" t="s">
        <v>85</v>
      </c>
      <c r="C249" s="3">
        <v>200</v>
      </c>
      <c r="D249" s="3">
        <v>0.15</v>
      </c>
      <c r="E249" s="3">
        <v>5</v>
      </c>
      <c r="F249" s="39" t="s">
        <v>13</v>
      </c>
      <c r="G249" s="39" t="s">
        <v>14</v>
      </c>
      <c r="H249" s="110">
        <v>2219</v>
      </c>
      <c r="I249" s="138">
        <v>2219</v>
      </c>
      <c r="J249" s="138">
        <v>0.15600000007543699</v>
      </c>
      <c r="K249" s="137">
        <v>0</v>
      </c>
      <c r="L249" s="125">
        <v>2211</v>
      </c>
      <c r="M249" s="125">
        <v>4</v>
      </c>
      <c r="N249" s="125">
        <v>0</v>
      </c>
      <c r="O249" s="111">
        <f>((Tabela135[[#This Row],[Objetive value]]-Tabela135[[#This Row],[Objetive value/GATeS]])/Tabela135[[#This Row],[Objetive value]])*100</f>
        <v>0.36052275799909872</v>
      </c>
      <c r="P249" s="112">
        <v>2213</v>
      </c>
      <c r="Q249" s="112">
        <v>0.22</v>
      </c>
      <c r="R249" s="112">
        <v>0</v>
      </c>
      <c r="S249" s="112">
        <f>(((Tabela135[[#This Row],[Objetive value]]-Tabela135[[#This Row],[Objetive Value /H-R1]])/Tabela135[[#This Row],[Objetive value]]))*100</f>
        <v>0.27039206849932401</v>
      </c>
      <c r="T249" s="113">
        <v>2219</v>
      </c>
      <c r="U249" s="113">
        <v>0.24</v>
      </c>
      <c r="V249" s="113">
        <v>0</v>
      </c>
      <c r="W249" s="113">
        <f>(((Tabela135[[#This Row],[Objetive value]]-Tabela135[[#This Row],[Objetive value /H-R2]])/Tabela135[[#This Row],[Objetive value]]))*100</f>
        <v>0</v>
      </c>
    </row>
    <row r="250" spans="1:23" s="34" customFormat="1" x14ac:dyDescent="0.25">
      <c r="A250" s="3" t="s">
        <v>73</v>
      </c>
      <c r="B250" s="39" t="s">
        <v>86</v>
      </c>
      <c r="C250" s="3">
        <v>200</v>
      </c>
      <c r="D250" s="3">
        <v>0.15</v>
      </c>
      <c r="E250" s="3">
        <v>5</v>
      </c>
      <c r="F250" s="39" t="s">
        <v>13</v>
      </c>
      <c r="G250" s="39" t="s">
        <v>16</v>
      </c>
      <c r="H250" s="110">
        <v>1543</v>
      </c>
      <c r="I250" s="138">
        <v>1543</v>
      </c>
      <c r="J250" s="138">
        <v>0.155999999959021</v>
      </c>
      <c r="K250" s="137">
        <v>0</v>
      </c>
      <c r="L250" s="125">
        <v>1482</v>
      </c>
      <c r="M250" s="125">
        <v>5</v>
      </c>
      <c r="N250" s="125">
        <v>3</v>
      </c>
      <c r="O250" s="111">
        <f>((Tabela135[[#This Row],[Objetive value]]-Tabela135[[#This Row],[Objetive value/GATeS]])/Tabela135[[#This Row],[Objetive value]])*100</f>
        <v>3.9533376539209333</v>
      </c>
      <c r="P250" s="112">
        <v>1543</v>
      </c>
      <c r="Q250" s="112">
        <v>0.15</v>
      </c>
      <c r="R250" s="112">
        <v>0</v>
      </c>
      <c r="S250" s="112">
        <f>(((Tabela135[[#This Row],[Objetive value]]-Tabela135[[#This Row],[Objetive Value /H-R1]])/Tabela135[[#This Row],[Objetive value]]))*100</f>
        <v>0</v>
      </c>
      <c r="T250" s="113">
        <v>1543</v>
      </c>
      <c r="U250" s="113">
        <v>0.1</v>
      </c>
      <c r="V250" s="113">
        <v>0</v>
      </c>
      <c r="W250" s="113">
        <f>(((Tabela135[[#This Row],[Objetive value]]-Tabela135[[#This Row],[Objetive value /H-R2]])/Tabela135[[#This Row],[Objetive value]]))*100</f>
        <v>0</v>
      </c>
    </row>
    <row r="251" spans="1:23" s="34" customFormat="1" x14ac:dyDescent="0.25">
      <c r="A251" s="3" t="s">
        <v>73</v>
      </c>
      <c r="B251" s="39" t="s">
        <v>87</v>
      </c>
      <c r="C251" s="3">
        <v>200</v>
      </c>
      <c r="D251" s="3">
        <v>0.15</v>
      </c>
      <c r="E251" s="3">
        <v>5</v>
      </c>
      <c r="F251" s="39" t="s">
        <v>18</v>
      </c>
      <c r="G251" s="39" t="s">
        <v>14</v>
      </c>
      <c r="H251" s="110">
        <v>1945</v>
      </c>
      <c r="I251" s="138">
        <v>1945</v>
      </c>
      <c r="J251" s="138">
        <v>0.17200000002048901</v>
      </c>
      <c r="K251" s="137">
        <v>0</v>
      </c>
      <c r="L251" s="125">
        <v>1944</v>
      </c>
      <c r="M251" s="125">
        <v>3</v>
      </c>
      <c r="N251" s="125">
        <v>0</v>
      </c>
      <c r="O251" s="111">
        <f>((Tabela135[[#This Row],[Objetive value]]-Tabela135[[#This Row],[Objetive value/GATeS]])/Tabela135[[#This Row],[Objetive value]])*100</f>
        <v>5.1413881748071974E-2</v>
      </c>
      <c r="P251" s="112">
        <v>1945</v>
      </c>
      <c r="Q251" s="112">
        <v>0.18</v>
      </c>
      <c r="R251" s="112">
        <v>0</v>
      </c>
      <c r="S251" s="112">
        <f>(((Tabela135[[#This Row],[Objetive value]]-Tabela135[[#This Row],[Objetive Value /H-R1]])/Tabela135[[#This Row],[Objetive value]]))*100</f>
        <v>0</v>
      </c>
      <c r="T251" s="113">
        <v>1830</v>
      </c>
      <c r="U251" s="113">
        <v>0.17</v>
      </c>
      <c r="V251" s="113">
        <v>0</v>
      </c>
      <c r="W251" s="113">
        <f>(((Tabela135[[#This Row],[Objetive value]]-Tabela135[[#This Row],[Objetive value /H-R2]])/Tabela135[[#This Row],[Objetive value]]))*100</f>
        <v>5.9125964010282779</v>
      </c>
    </row>
    <row r="252" spans="1:23" s="34" customFormat="1" x14ac:dyDescent="0.25">
      <c r="A252" s="3" t="s">
        <v>73</v>
      </c>
      <c r="B252" s="39" t="s">
        <v>88</v>
      </c>
      <c r="C252" s="3">
        <v>200</v>
      </c>
      <c r="D252" s="3">
        <v>0.15</v>
      </c>
      <c r="E252" s="3">
        <v>5</v>
      </c>
      <c r="F252" s="39" t="s">
        <v>18</v>
      </c>
      <c r="G252" s="39" t="s">
        <v>16</v>
      </c>
      <c r="H252" s="110">
        <v>1459</v>
      </c>
      <c r="I252" s="138">
        <v>1459</v>
      </c>
      <c r="J252" s="138">
        <v>0.15700000000651901</v>
      </c>
      <c r="K252" s="137">
        <v>0</v>
      </c>
      <c r="L252" s="125">
        <v>1456</v>
      </c>
      <c r="M252" s="125">
        <v>4</v>
      </c>
      <c r="N252" s="125">
        <v>0</v>
      </c>
      <c r="O252" s="111">
        <f>((Tabela135[[#This Row],[Objetive value]]-Tabela135[[#This Row],[Objetive value/GATeS]])/Tabela135[[#This Row],[Objetive value]])*100</f>
        <v>0.205620287868403</v>
      </c>
      <c r="P252" s="112">
        <v>1459</v>
      </c>
      <c r="Q252" s="112">
        <v>0.2</v>
      </c>
      <c r="R252" s="112">
        <v>0</v>
      </c>
      <c r="S252" s="112">
        <f>(((Tabela135[[#This Row],[Objetive value]]-Tabela135[[#This Row],[Objetive Value /H-R1]])/Tabela135[[#This Row],[Objetive value]]))*100</f>
        <v>0</v>
      </c>
      <c r="T252" s="113">
        <v>1400</v>
      </c>
      <c r="U252" s="113">
        <v>0.21</v>
      </c>
      <c r="V252" s="113">
        <v>0</v>
      </c>
      <c r="W252" s="113">
        <f>(((Tabela135[[#This Row],[Objetive value]]-Tabela135[[#This Row],[Objetive value /H-R2]])/Tabela135[[#This Row],[Objetive value]]))*100</f>
        <v>4.0438656614119255</v>
      </c>
    </row>
    <row r="253" spans="1:23" s="34" customFormat="1" x14ac:dyDescent="0.25">
      <c r="A253" s="3" t="s">
        <v>73</v>
      </c>
      <c r="B253" s="39" t="s">
        <v>89</v>
      </c>
      <c r="C253" s="3">
        <v>200</v>
      </c>
      <c r="D253" s="3">
        <v>0.15</v>
      </c>
      <c r="E253" s="3">
        <v>5</v>
      </c>
      <c r="F253" s="39" t="s">
        <v>21</v>
      </c>
      <c r="G253" s="39" t="s">
        <v>14</v>
      </c>
      <c r="H253" s="110">
        <v>1920</v>
      </c>
      <c r="I253" s="138">
        <v>1920</v>
      </c>
      <c r="J253" s="138">
        <v>0.14100000006146701</v>
      </c>
      <c r="K253" s="137">
        <v>0</v>
      </c>
      <c r="L253" s="125">
        <v>1910</v>
      </c>
      <c r="M253" s="125">
        <v>5</v>
      </c>
      <c r="N253" s="125">
        <v>1</v>
      </c>
      <c r="O253" s="111">
        <f>((Tabela135[[#This Row],[Objetive value]]-Tabela135[[#This Row],[Objetive value/GATeS]])/Tabela135[[#This Row],[Objetive value]])*100</f>
        <v>0.52083333333333326</v>
      </c>
      <c r="P253" s="112">
        <v>1920</v>
      </c>
      <c r="Q253" s="112">
        <v>0.15</v>
      </c>
      <c r="R253" s="112">
        <v>0</v>
      </c>
      <c r="S253" s="112">
        <f>(((Tabela135[[#This Row],[Objetive value]]-Tabela135[[#This Row],[Objetive Value /H-R1]])/Tabela135[[#This Row],[Objetive value]]))*100</f>
        <v>0</v>
      </c>
      <c r="T253" s="113">
        <v>1920</v>
      </c>
      <c r="U253" s="113">
        <v>0.2</v>
      </c>
      <c r="V253" s="113">
        <v>0</v>
      </c>
      <c r="W253" s="113">
        <f>(((Tabela135[[#This Row],[Objetive value]]-Tabela135[[#This Row],[Objetive value /H-R2]])/Tabela135[[#This Row],[Objetive value]]))*100</f>
        <v>0</v>
      </c>
    </row>
    <row r="254" spans="1:23" s="34" customFormat="1" x14ac:dyDescent="0.25">
      <c r="A254" s="3" t="s">
        <v>73</v>
      </c>
      <c r="B254" s="39" t="s">
        <v>90</v>
      </c>
      <c r="C254" s="3">
        <v>200</v>
      </c>
      <c r="D254" s="3">
        <v>0.15</v>
      </c>
      <c r="E254" s="3">
        <v>5</v>
      </c>
      <c r="F254" s="39" t="s">
        <v>21</v>
      </c>
      <c r="G254" s="39" t="s">
        <v>16</v>
      </c>
      <c r="H254" s="110">
        <v>1529</v>
      </c>
      <c r="I254" s="138">
        <v>1529</v>
      </c>
      <c r="J254" s="138">
        <v>0.140999999945051</v>
      </c>
      <c r="K254" s="137">
        <v>0</v>
      </c>
      <c r="L254" s="125">
        <v>1436</v>
      </c>
      <c r="M254" s="125">
        <v>3</v>
      </c>
      <c r="N254" s="125">
        <v>3</v>
      </c>
      <c r="O254" s="111">
        <f>((Tabela135[[#This Row],[Objetive value]]-Tabela135[[#This Row],[Objetive value/GATeS]])/Tabela135[[#This Row],[Objetive value]])*100</f>
        <v>6.0824068018312625</v>
      </c>
      <c r="P254" s="112">
        <v>1514</v>
      </c>
      <c r="Q254" s="112">
        <v>0.18</v>
      </c>
      <c r="R254" s="112">
        <v>0</v>
      </c>
      <c r="S254" s="112">
        <f>(((Tabela135[[#This Row],[Objetive value]]-Tabela135[[#This Row],[Objetive Value /H-R1]])/Tabela135[[#This Row],[Objetive value]]))*100</f>
        <v>0.98103335513407453</v>
      </c>
      <c r="T254" s="113">
        <v>1514</v>
      </c>
      <c r="U254" s="113">
        <v>0.15</v>
      </c>
      <c r="V254" s="113">
        <v>0</v>
      </c>
      <c r="W254" s="113">
        <f>(((Tabela135[[#This Row],[Objetive value]]-Tabela135[[#This Row],[Objetive value /H-R2]])/Tabela135[[#This Row],[Objetive value]]))*100</f>
        <v>0.98103335513407453</v>
      </c>
    </row>
    <row r="255" spans="1:23" s="34" customFormat="1" x14ac:dyDescent="0.25">
      <c r="A255" s="3" t="s">
        <v>91</v>
      </c>
      <c r="B255" s="39" t="s">
        <v>92</v>
      </c>
      <c r="C255" s="3">
        <v>200</v>
      </c>
      <c r="D255" s="3">
        <v>0.05</v>
      </c>
      <c r="E255" s="3">
        <v>10</v>
      </c>
      <c r="F255" s="39" t="s">
        <v>13</v>
      </c>
      <c r="G255" s="39" t="s">
        <v>14</v>
      </c>
      <c r="H255" s="110">
        <v>3528</v>
      </c>
      <c r="I255" s="138">
        <v>3528</v>
      </c>
      <c r="J255" s="138">
        <v>0.42200000002048899</v>
      </c>
      <c r="K255" s="137">
        <v>0</v>
      </c>
      <c r="L255" s="125">
        <v>3318</v>
      </c>
      <c r="M255" s="125">
        <v>6</v>
      </c>
      <c r="N255" s="125">
        <v>2</v>
      </c>
      <c r="O255" s="111">
        <f>((Tabela135[[#This Row],[Objetive value]]-Tabela135[[#This Row],[Objetive value/GATeS]])/Tabela135[[#This Row],[Objetive value]])*100</f>
        <v>5.9523809523809517</v>
      </c>
      <c r="P255" s="112">
        <v>3528</v>
      </c>
      <c r="Q255" s="112">
        <v>0.38</v>
      </c>
      <c r="R255" s="112">
        <v>0</v>
      </c>
      <c r="S255" s="112">
        <f>(((Tabela135[[#This Row],[Objetive value]]-Tabela135[[#This Row],[Objetive Value /H-R1]])/Tabela135[[#This Row],[Objetive value]]))*100</f>
        <v>0</v>
      </c>
      <c r="T255" s="113">
        <v>3013</v>
      </c>
      <c r="U255" s="113">
        <v>0.39</v>
      </c>
      <c r="V255" s="113">
        <v>0</v>
      </c>
      <c r="W255" s="113">
        <f>(((Tabela135[[#This Row],[Objetive value]]-Tabela135[[#This Row],[Objetive value /H-R2]])/Tabela135[[#This Row],[Objetive value]]))*100</f>
        <v>14.597505668934241</v>
      </c>
    </row>
    <row r="256" spans="1:23" s="34" customFormat="1" x14ac:dyDescent="0.25">
      <c r="A256" s="3" t="s">
        <v>91</v>
      </c>
      <c r="B256" s="39" t="s">
        <v>93</v>
      </c>
      <c r="C256" s="3">
        <v>200</v>
      </c>
      <c r="D256" s="3">
        <v>0.05</v>
      </c>
      <c r="E256" s="3">
        <v>10</v>
      </c>
      <c r="F256" s="39" t="s">
        <v>13</v>
      </c>
      <c r="G256" s="39" t="s">
        <v>16</v>
      </c>
      <c r="H256" s="110">
        <v>2398</v>
      </c>
      <c r="I256" s="138">
        <v>2398</v>
      </c>
      <c r="J256" s="138">
        <v>0.60900000005494803</v>
      </c>
      <c r="K256" s="137">
        <v>0</v>
      </c>
      <c r="L256" s="125">
        <v>2364</v>
      </c>
      <c r="M256" s="125">
        <v>7</v>
      </c>
      <c r="N256" s="125">
        <v>5</v>
      </c>
      <c r="O256" s="111">
        <f>((Tabela135[[#This Row],[Objetive value]]-Tabela135[[#This Row],[Objetive value/GATeS]])/Tabela135[[#This Row],[Objetive value]])*100</f>
        <v>1.4178482068390326</v>
      </c>
      <c r="P256" s="112">
        <v>2329</v>
      </c>
      <c r="Q256" s="112">
        <v>0.36</v>
      </c>
      <c r="R256" s="112">
        <v>0</v>
      </c>
      <c r="S256" s="112">
        <f>(((Tabela135[[#This Row],[Objetive value]]-Tabela135[[#This Row],[Objetive Value /H-R1]])/Tabela135[[#This Row],[Objetive value]]))*100</f>
        <v>2.8773978315262716</v>
      </c>
      <c r="T256" s="113">
        <v>2372</v>
      </c>
      <c r="U256" s="113">
        <v>0.48</v>
      </c>
      <c r="V256" s="113">
        <v>0</v>
      </c>
      <c r="W256" s="113">
        <f>(((Tabela135[[#This Row],[Objetive value]]-Tabela135[[#This Row],[Objetive value /H-R2]])/Tabela135[[#This Row],[Objetive value]]))*100</f>
        <v>1.0842368640533779</v>
      </c>
    </row>
    <row r="257" spans="1:23" s="34" customFormat="1" x14ac:dyDescent="0.25">
      <c r="A257" s="3" t="s">
        <v>91</v>
      </c>
      <c r="B257" s="39" t="s">
        <v>94</v>
      </c>
      <c r="C257" s="3">
        <v>200</v>
      </c>
      <c r="D257" s="3">
        <v>0.05</v>
      </c>
      <c r="E257" s="3">
        <v>10</v>
      </c>
      <c r="F257" s="39" t="s">
        <v>18</v>
      </c>
      <c r="G257" s="39" t="s">
        <v>14</v>
      </c>
      <c r="H257" s="110">
        <v>3827</v>
      </c>
      <c r="I257" s="138">
        <v>3827</v>
      </c>
      <c r="J257" s="138">
        <v>0.46900000004097803</v>
      </c>
      <c r="K257" s="137">
        <v>0</v>
      </c>
      <c r="L257" s="125">
        <v>3683</v>
      </c>
      <c r="M257" s="125">
        <v>9</v>
      </c>
      <c r="N257" s="125">
        <v>1</v>
      </c>
      <c r="O257" s="111">
        <f>((Tabela135[[#This Row],[Objetive value]]-Tabela135[[#This Row],[Objetive value/GATeS]])/Tabela135[[#This Row],[Objetive value]])*100</f>
        <v>3.7627384374183435</v>
      </c>
      <c r="P257" s="112">
        <v>3827</v>
      </c>
      <c r="Q257" s="112">
        <v>0.57999999999999996</v>
      </c>
      <c r="R257" s="112">
        <v>0</v>
      </c>
      <c r="S257" s="112">
        <f>(((Tabela135[[#This Row],[Objetive value]]-Tabela135[[#This Row],[Objetive Value /H-R1]])/Tabela135[[#This Row],[Objetive value]]))*100</f>
        <v>0</v>
      </c>
      <c r="T257" s="113">
        <v>3173</v>
      </c>
      <c r="U257" s="113">
        <v>0.33</v>
      </c>
      <c r="V257" s="113">
        <v>0</v>
      </c>
      <c r="W257" s="113">
        <f>(((Tabela135[[#This Row],[Objetive value]]-Tabela135[[#This Row],[Objetive value /H-R2]])/Tabela135[[#This Row],[Objetive value]]))*100</f>
        <v>17.089103736608312</v>
      </c>
    </row>
    <row r="258" spans="1:23" s="34" customFormat="1" x14ac:dyDescent="0.25">
      <c r="A258" s="3" t="s">
        <v>91</v>
      </c>
      <c r="B258" s="39" t="s">
        <v>95</v>
      </c>
      <c r="C258" s="3">
        <v>200</v>
      </c>
      <c r="D258" s="3">
        <v>0.05</v>
      </c>
      <c r="E258" s="3">
        <v>10</v>
      </c>
      <c r="F258" s="39" t="s">
        <v>18</v>
      </c>
      <c r="G258" s="39" t="s">
        <v>16</v>
      </c>
      <c r="H258" s="110">
        <v>2430</v>
      </c>
      <c r="I258" s="138">
        <v>2430</v>
      </c>
      <c r="J258" s="138">
        <v>1.17200000002048</v>
      </c>
      <c r="K258" s="137">
        <v>0</v>
      </c>
      <c r="L258" s="125">
        <v>2409</v>
      </c>
      <c r="M258" s="125">
        <v>8</v>
      </c>
      <c r="N258" s="125">
        <v>1</v>
      </c>
      <c r="O258" s="111">
        <f>((Tabela135[[#This Row],[Objetive value]]-Tabela135[[#This Row],[Objetive value/GATeS]])/Tabela135[[#This Row],[Objetive value]])*100</f>
        <v>0.86419753086419748</v>
      </c>
      <c r="P258" s="112">
        <v>2307</v>
      </c>
      <c r="Q258" s="112">
        <v>0.41</v>
      </c>
      <c r="R258" s="112">
        <v>0</v>
      </c>
      <c r="S258" s="112">
        <f>(((Tabela135[[#This Row],[Objetive value]]-Tabela135[[#This Row],[Objetive Value /H-R1]])/Tabela135[[#This Row],[Objetive value]]))*100</f>
        <v>5.0617283950617287</v>
      </c>
      <c r="T258" s="113">
        <v>2299</v>
      </c>
      <c r="U258" s="113">
        <v>0.3</v>
      </c>
      <c r="V258" s="113">
        <v>0</v>
      </c>
      <c r="W258" s="113">
        <f>(((Tabela135[[#This Row],[Objetive value]]-Tabela135[[#This Row],[Objetive value /H-R2]])/Tabela135[[#This Row],[Objetive value]]))*100</f>
        <v>5.3909465020576137</v>
      </c>
    </row>
    <row r="259" spans="1:23" s="34" customFormat="1" x14ac:dyDescent="0.25">
      <c r="A259" s="3" t="s">
        <v>91</v>
      </c>
      <c r="B259" s="39" t="s">
        <v>96</v>
      </c>
      <c r="C259" s="3">
        <v>200</v>
      </c>
      <c r="D259" s="3">
        <v>0.05</v>
      </c>
      <c r="E259" s="3">
        <v>10</v>
      </c>
      <c r="F259" s="39" t="s">
        <v>21</v>
      </c>
      <c r="G259" s="39" t="s">
        <v>14</v>
      </c>
      <c r="H259" s="110">
        <v>4201</v>
      </c>
      <c r="I259" s="138">
        <v>4201</v>
      </c>
      <c r="J259" s="138">
        <v>0.18799999996554101</v>
      </c>
      <c r="K259" s="137">
        <v>0</v>
      </c>
      <c r="L259" s="125">
        <v>4013</v>
      </c>
      <c r="M259" s="125">
        <v>226</v>
      </c>
      <c r="N259" s="125">
        <v>113</v>
      </c>
      <c r="O259" s="111">
        <f>((Tabela135[[#This Row],[Objetive value]]-Tabela135[[#This Row],[Objetive value/GATeS]])/Tabela135[[#This Row],[Objetive value]])*100</f>
        <v>4.4751249702451794</v>
      </c>
      <c r="P259" s="112">
        <v>1695</v>
      </c>
      <c r="Q259" s="112">
        <v>0.76</v>
      </c>
      <c r="R259" s="112">
        <v>0</v>
      </c>
      <c r="S259" s="112">
        <f>(((Tabela135[[#This Row],[Objetive value]]-Tabela135[[#This Row],[Objetive Value /H-R1]])/Tabela135[[#This Row],[Objetive value]]))*100</f>
        <v>59.652463699119259</v>
      </c>
      <c r="T259" s="113">
        <v>2985</v>
      </c>
      <c r="U259" s="113">
        <v>0.75</v>
      </c>
      <c r="V259" s="113">
        <v>0</v>
      </c>
      <c r="W259" s="113">
        <f>(((Tabela135[[#This Row],[Objetive value]]-Tabela135[[#This Row],[Objetive value /H-R2]])/Tabela135[[#This Row],[Objetive value]]))*100</f>
        <v>28.94548916924542</v>
      </c>
    </row>
    <row r="260" spans="1:23" s="34" customFormat="1" x14ac:dyDescent="0.25">
      <c r="A260" s="3" t="s">
        <v>91</v>
      </c>
      <c r="B260" s="39" t="s">
        <v>97</v>
      </c>
      <c r="C260" s="3">
        <v>200</v>
      </c>
      <c r="D260" s="3">
        <v>0.05</v>
      </c>
      <c r="E260" s="3">
        <v>10</v>
      </c>
      <c r="F260" s="39" t="s">
        <v>21</v>
      </c>
      <c r="G260" s="39" t="s">
        <v>16</v>
      </c>
      <c r="H260" s="110">
        <v>2263</v>
      </c>
      <c r="I260" s="138">
        <v>2263</v>
      </c>
      <c r="J260" s="138">
        <v>0.796999999904073</v>
      </c>
      <c r="K260" s="137">
        <v>0</v>
      </c>
      <c r="L260" s="125">
        <v>2198</v>
      </c>
      <c r="M260" s="125">
        <v>5</v>
      </c>
      <c r="N260" s="125">
        <v>4</v>
      </c>
      <c r="O260" s="111">
        <f>((Tabela135[[#This Row],[Objetive value]]-Tabela135[[#This Row],[Objetive value/GATeS]])/Tabela135[[#This Row],[Objetive value]])*100</f>
        <v>2.8722934158197084</v>
      </c>
      <c r="P260" s="112">
        <v>2102</v>
      </c>
      <c r="Q260" s="112">
        <v>0.28000000000000003</v>
      </c>
      <c r="R260" s="112">
        <v>0</v>
      </c>
      <c r="S260" s="112">
        <f>(((Tabela135[[#This Row],[Objetive value]]-Tabela135[[#This Row],[Objetive Value /H-R1]])/Tabela135[[#This Row],[Objetive value]]))*100</f>
        <v>7.1144498453380471</v>
      </c>
      <c r="T260" s="113">
        <v>2222</v>
      </c>
      <c r="U260" s="113">
        <v>0.26</v>
      </c>
      <c r="V260" s="113">
        <v>0</v>
      </c>
      <c r="W260" s="113">
        <f>(((Tabela135[[#This Row],[Objetive value]]-Tabela135[[#This Row],[Objetive value /H-R2]])/Tabela135[[#This Row],[Objetive value]]))*100</f>
        <v>1.8117543084401235</v>
      </c>
    </row>
    <row r="261" spans="1:23" s="34" customFormat="1" x14ac:dyDescent="0.25">
      <c r="A261" s="3" t="s">
        <v>110</v>
      </c>
      <c r="B261" s="37" t="s">
        <v>111</v>
      </c>
      <c r="C261" s="3">
        <v>200</v>
      </c>
      <c r="D261" s="3">
        <v>0.05</v>
      </c>
      <c r="E261" s="3">
        <v>15</v>
      </c>
      <c r="F261" s="39" t="s">
        <v>13</v>
      </c>
      <c r="G261" s="39" t="s">
        <v>14</v>
      </c>
      <c r="H261" s="110">
        <v>5153</v>
      </c>
      <c r="I261" s="138">
        <v>5153</v>
      </c>
      <c r="J261" s="138">
        <v>4.2959999999729899</v>
      </c>
      <c r="K261" s="137">
        <v>0</v>
      </c>
      <c r="L261" s="125">
        <v>5117</v>
      </c>
      <c r="M261" s="125">
        <v>338</v>
      </c>
      <c r="N261" s="125">
        <v>0</v>
      </c>
      <c r="O261" s="111">
        <f>((Tabela135[[#This Row],[Objetive value]]-Tabela135[[#This Row],[Objetive value/GATeS]])/Tabela135[[#This Row],[Objetive value]])*100</f>
        <v>0.6986221618474675</v>
      </c>
      <c r="P261" s="112">
        <v>5022</v>
      </c>
      <c r="Q261" s="112">
        <v>0.36</v>
      </c>
      <c r="R261" s="112">
        <v>0</v>
      </c>
      <c r="S261" s="112">
        <f>(((Tabela135[[#This Row],[Objetive value]]-Tabela135[[#This Row],[Objetive Value /H-R1]])/Tabela135[[#This Row],[Objetive value]]))*100</f>
        <v>2.5422084222782844</v>
      </c>
      <c r="T261" s="113">
        <v>4862</v>
      </c>
      <c r="U261" s="113">
        <v>0.33</v>
      </c>
      <c r="V261" s="113">
        <v>0</v>
      </c>
      <c r="W261" s="113">
        <f>(((Tabela135[[#This Row],[Objetive value]]-Tabela135[[#This Row],[Objetive value /H-R2]])/Tabela135[[#This Row],[Objetive value]]))*100</f>
        <v>5.6471958082670293</v>
      </c>
    </row>
    <row r="262" spans="1:23" s="34" customFormat="1" x14ac:dyDescent="0.25">
      <c r="A262" s="3" t="s">
        <v>110</v>
      </c>
      <c r="B262" s="39" t="s">
        <v>112</v>
      </c>
      <c r="C262" s="3">
        <v>200</v>
      </c>
      <c r="D262" s="3">
        <v>0.05</v>
      </c>
      <c r="E262" s="3">
        <v>15</v>
      </c>
      <c r="F262" s="39" t="s">
        <v>13</v>
      </c>
      <c r="G262" s="39" t="s">
        <v>16</v>
      </c>
      <c r="H262" s="110">
        <v>3415</v>
      </c>
      <c r="I262" s="138">
        <v>3415</v>
      </c>
      <c r="J262" s="138">
        <v>2.57799999997951</v>
      </c>
      <c r="K262" s="137">
        <v>0.03</v>
      </c>
      <c r="L262" s="125">
        <v>3387</v>
      </c>
      <c r="M262" s="125">
        <v>17</v>
      </c>
      <c r="N262" s="125">
        <v>16</v>
      </c>
      <c r="O262" s="111">
        <f>((Tabela135[[#This Row],[Objetive value]]-Tabela135[[#This Row],[Objetive value/GATeS]])/Tabela135[[#This Row],[Objetive value]])*100</f>
        <v>0.81991215226939973</v>
      </c>
      <c r="P262" s="112">
        <v>3349</v>
      </c>
      <c r="Q262" s="112">
        <v>0.33</v>
      </c>
      <c r="R262" s="112">
        <v>0</v>
      </c>
      <c r="S262" s="112">
        <f>(((Tabela135[[#This Row],[Objetive value]]-Tabela135[[#This Row],[Objetive Value /H-R1]])/Tabela135[[#This Row],[Objetive value]]))*100</f>
        <v>1.9326500732064422</v>
      </c>
      <c r="T262" s="113">
        <v>3184</v>
      </c>
      <c r="U262" s="113">
        <v>0.28999999999999998</v>
      </c>
      <c r="V262" s="113">
        <v>0</v>
      </c>
      <c r="W262" s="113">
        <f>(((Tabela135[[#This Row],[Objetive value]]-Tabela135[[#This Row],[Objetive value /H-R2]])/Tabela135[[#This Row],[Objetive value]]))*100</f>
        <v>6.7642752562225477</v>
      </c>
    </row>
    <row r="263" spans="1:23" s="34" customFormat="1" x14ac:dyDescent="0.25">
      <c r="A263" s="3" t="s">
        <v>110</v>
      </c>
      <c r="B263" s="39" t="s">
        <v>113</v>
      </c>
      <c r="C263" s="3">
        <v>200</v>
      </c>
      <c r="D263" s="3">
        <v>0.05</v>
      </c>
      <c r="E263" s="3">
        <v>15</v>
      </c>
      <c r="F263" s="39" t="s">
        <v>18</v>
      </c>
      <c r="G263" s="39" t="s">
        <v>14</v>
      </c>
      <c r="H263" s="110">
        <v>5154</v>
      </c>
      <c r="I263" s="138">
        <v>5154</v>
      </c>
      <c r="J263" s="138">
        <v>2.8120000000344501</v>
      </c>
      <c r="K263" s="137">
        <v>0.11</v>
      </c>
      <c r="L263" s="125">
        <v>4974</v>
      </c>
      <c r="M263" s="125">
        <v>11</v>
      </c>
      <c r="N263" s="125">
        <v>10</v>
      </c>
      <c r="O263" s="111">
        <f>((Tabela135[[#This Row],[Objetive value]]-Tabela135[[#This Row],[Objetive value/GATeS]])/Tabela135[[#This Row],[Objetive value]])*100</f>
        <v>3.4924330616996504</v>
      </c>
      <c r="P263" s="112">
        <v>4844</v>
      </c>
      <c r="Q263" s="112">
        <v>0.33</v>
      </c>
      <c r="R263" s="112">
        <v>0</v>
      </c>
      <c r="S263" s="112">
        <f>(((Tabela135[[#This Row],[Objetive value]]-Tabela135[[#This Row],[Objetive Value /H-R1]])/Tabela135[[#This Row],[Objetive value]]))*100</f>
        <v>6.0147458284827318</v>
      </c>
      <c r="T263" s="113">
        <v>4877</v>
      </c>
      <c r="U263" s="113">
        <v>0.28000000000000003</v>
      </c>
      <c r="V263" s="113">
        <v>0</v>
      </c>
      <c r="W263" s="113">
        <f>(((Tabela135[[#This Row],[Objetive value]]-Tabela135[[#This Row],[Objetive value /H-R2]])/Tabela135[[#This Row],[Objetive value]]))*100</f>
        <v>5.3744664338377959</v>
      </c>
    </row>
    <row r="264" spans="1:23" s="34" customFormat="1" x14ac:dyDescent="0.25">
      <c r="A264" s="3" t="s">
        <v>110</v>
      </c>
      <c r="B264" s="39" t="s">
        <v>114</v>
      </c>
      <c r="C264" s="3">
        <v>200</v>
      </c>
      <c r="D264" s="3">
        <v>0.05</v>
      </c>
      <c r="E264" s="3">
        <v>15</v>
      </c>
      <c r="F264" s="39" t="s">
        <v>18</v>
      </c>
      <c r="G264" s="39" t="s">
        <v>16</v>
      </c>
      <c r="H264" s="110">
        <v>3412</v>
      </c>
      <c r="I264" s="138">
        <v>3412</v>
      </c>
      <c r="J264" s="138">
        <v>5.82799999997951</v>
      </c>
      <c r="K264" s="137">
        <v>0.03</v>
      </c>
      <c r="L264" s="125">
        <v>3363</v>
      </c>
      <c r="M264" s="125">
        <v>19</v>
      </c>
      <c r="N264" s="125">
        <v>18</v>
      </c>
      <c r="O264" s="111">
        <f>((Tabela135[[#This Row],[Objetive value]]-Tabela135[[#This Row],[Objetive value/GATeS]])/Tabela135[[#This Row],[Objetive value]])*100</f>
        <v>1.4361078546307151</v>
      </c>
      <c r="P264" s="112">
        <v>3338</v>
      </c>
      <c r="Q264" s="112">
        <v>0.31</v>
      </c>
      <c r="R264" s="112">
        <v>0</v>
      </c>
      <c r="S264" s="112">
        <f>(((Tabela135[[#This Row],[Objetive value]]-Tabela135[[#This Row],[Objetive Value /H-R1]])/Tabela135[[#This Row],[Objetive value]]))*100</f>
        <v>2.1688159437280188</v>
      </c>
      <c r="T264" s="113">
        <v>3284</v>
      </c>
      <c r="U264" s="113">
        <v>0.28000000000000003</v>
      </c>
      <c r="V264" s="113">
        <v>0</v>
      </c>
      <c r="W264" s="113">
        <f>(((Tabela135[[#This Row],[Objetive value]]-Tabela135[[#This Row],[Objetive value /H-R2]])/Tabela135[[#This Row],[Objetive value]]))*100</f>
        <v>3.7514654161781942</v>
      </c>
    </row>
    <row r="265" spans="1:23" s="34" customFormat="1" x14ac:dyDescent="0.25">
      <c r="A265" s="3" t="s">
        <v>110</v>
      </c>
      <c r="B265" s="39" t="s">
        <v>115</v>
      </c>
      <c r="C265" s="3">
        <v>200</v>
      </c>
      <c r="D265" s="3">
        <v>0.05</v>
      </c>
      <c r="E265" s="3">
        <v>15</v>
      </c>
      <c r="F265" s="39" t="s">
        <v>21</v>
      </c>
      <c r="G265" s="39" t="s">
        <v>14</v>
      </c>
      <c r="H265" s="110">
        <v>4432</v>
      </c>
      <c r="I265" s="138">
        <v>4432</v>
      </c>
      <c r="J265" s="138">
        <v>0.18799999996554101</v>
      </c>
      <c r="K265" s="137">
        <v>0</v>
      </c>
      <c r="L265" s="125">
        <v>4049</v>
      </c>
      <c r="M265" s="125">
        <v>8</v>
      </c>
      <c r="N265" s="125">
        <v>0</v>
      </c>
      <c r="O265" s="111">
        <f>((Tabela135[[#This Row],[Objetive value]]-Tabela135[[#This Row],[Objetive value/GATeS]])/Tabela135[[#This Row],[Objetive value]])*100</f>
        <v>8.6416967509025273</v>
      </c>
      <c r="P265" s="112">
        <v>3672</v>
      </c>
      <c r="Q265" s="112">
        <v>1.31</v>
      </c>
      <c r="R265" s="112">
        <v>0</v>
      </c>
      <c r="S265" s="112">
        <f>(((Tabela135[[#This Row],[Objetive value]]-Tabela135[[#This Row],[Objetive Value /H-R1]])/Tabela135[[#This Row],[Objetive value]]))*100</f>
        <v>17.148014440433212</v>
      </c>
      <c r="T265" s="113">
        <v>4432</v>
      </c>
      <c r="U265" s="113">
        <v>0.93</v>
      </c>
      <c r="V265" s="113">
        <v>0</v>
      </c>
      <c r="W265" s="113">
        <f>(((Tabela135[[#This Row],[Objetive value]]-Tabela135[[#This Row],[Objetive value /H-R2]])/Tabela135[[#This Row],[Objetive value]]))*100</f>
        <v>0</v>
      </c>
    </row>
    <row r="266" spans="1:23" s="34" customFormat="1" x14ac:dyDescent="0.25">
      <c r="A266" s="3" t="s">
        <v>110</v>
      </c>
      <c r="B266" s="39" t="s">
        <v>116</v>
      </c>
      <c r="C266" s="3">
        <v>200</v>
      </c>
      <c r="D266" s="3">
        <v>0.05</v>
      </c>
      <c r="E266" s="3">
        <v>15</v>
      </c>
      <c r="F266" s="39" t="s">
        <v>21</v>
      </c>
      <c r="G266" s="39" t="s">
        <v>16</v>
      </c>
      <c r="H266" s="110">
        <v>3068</v>
      </c>
      <c r="I266" s="138">
        <v>3068</v>
      </c>
      <c r="J266" s="138">
        <v>1.0320000000065099</v>
      </c>
      <c r="K266" s="137">
        <v>0</v>
      </c>
      <c r="L266" s="125">
        <v>2959</v>
      </c>
      <c r="M266" s="125">
        <v>14</v>
      </c>
      <c r="N266" s="125">
        <v>9</v>
      </c>
      <c r="O266" s="111">
        <f>((Tabela135[[#This Row],[Objetive value]]-Tabela135[[#This Row],[Objetive value/GATeS]])/Tabela135[[#This Row],[Objetive value]])*100</f>
        <v>3.5528031290743152</v>
      </c>
      <c r="P266" s="112">
        <v>2871</v>
      </c>
      <c r="Q266" s="112">
        <v>0.37</v>
      </c>
      <c r="R266" s="112">
        <v>0</v>
      </c>
      <c r="S266" s="112">
        <f>(((Tabela135[[#This Row],[Objetive value]]-Tabela135[[#This Row],[Objetive Value /H-R1]])/Tabela135[[#This Row],[Objetive value]]))*100</f>
        <v>6.4211212516297262</v>
      </c>
      <c r="T266" s="113">
        <v>2719</v>
      </c>
      <c r="U266" s="113">
        <v>0.5</v>
      </c>
      <c r="V266" s="113">
        <v>0</v>
      </c>
      <c r="W266" s="113">
        <f>(((Tabela135[[#This Row],[Objetive value]]-Tabela135[[#This Row],[Objetive value /H-R2]])/Tabela135[[#This Row],[Objetive value]]))*100</f>
        <v>11.3754889178618</v>
      </c>
    </row>
    <row r="267" spans="1:23" s="34" customFormat="1" x14ac:dyDescent="0.25">
      <c r="A267" s="3" t="s">
        <v>73</v>
      </c>
      <c r="B267" s="37" t="s">
        <v>74</v>
      </c>
      <c r="C267" s="3">
        <v>200</v>
      </c>
      <c r="D267" s="3">
        <v>0.05</v>
      </c>
      <c r="E267" s="3">
        <v>5</v>
      </c>
      <c r="F267" s="39" t="s">
        <v>13</v>
      </c>
      <c r="G267" s="39" t="s">
        <v>14</v>
      </c>
      <c r="H267" s="110">
        <v>1434</v>
      </c>
      <c r="I267" s="138">
        <v>1434</v>
      </c>
      <c r="J267" s="138">
        <v>0.32799999997951002</v>
      </c>
      <c r="K267" s="137">
        <v>0</v>
      </c>
      <c r="L267" s="125">
        <v>1426</v>
      </c>
      <c r="M267" s="125">
        <v>9</v>
      </c>
      <c r="N267" s="125">
        <v>8</v>
      </c>
      <c r="O267" s="111">
        <f>((Tabela135[[#This Row],[Objetive value]]-Tabela135[[#This Row],[Objetive value/GATeS]])/Tabela135[[#This Row],[Objetive value]])*100</f>
        <v>0.55788005578800559</v>
      </c>
      <c r="P267" s="112">
        <v>1285</v>
      </c>
      <c r="Q267" s="112">
        <v>0.17</v>
      </c>
      <c r="R267" s="112">
        <v>0</v>
      </c>
      <c r="S267" s="112">
        <f>(((Tabela135[[#This Row],[Objetive value]]-Tabela135[[#This Row],[Objetive Value /H-R1]])/Tabela135[[#This Row],[Objetive value]]))*100</f>
        <v>10.390516039051603</v>
      </c>
      <c r="T267" s="113">
        <v>1285</v>
      </c>
      <c r="U267" s="113">
        <v>0.24</v>
      </c>
      <c r="V267" s="113">
        <v>0</v>
      </c>
      <c r="W267" s="113">
        <f>(((Tabela135[[#This Row],[Objetive value]]-Tabela135[[#This Row],[Objetive value /H-R2]])/Tabela135[[#This Row],[Objetive value]]))*100</f>
        <v>10.390516039051603</v>
      </c>
    </row>
    <row r="268" spans="1:23" s="34" customFormat="1" x14ac:dyDescent="0.25">
      <c r="A268" s="3" t="s">
        <v>73</v>
      </c>
      <c r="B268" s="39" t="s">
        <v>75</v>
      </c>
      <c r="C268" s="3">
        <v>200</v>
      </c>
      <c r="D268" s="3">
        <v>0.05</v>
      </c>
      <c r="E268" s="3">
        <v>5</v>
      </c>
      <c r="F268" s="39" t="s">
        <v>13</v>
      </c>
      <c r="G268" s="39" t="s">
        <v>16</v>
      </c>
      <c r="H268" s="110">
        <v>1428</v>
      </c>
      <c r="I268" s="138">
        <v>1428</v>
      </c>
      <c r="J268" s="138">
        <v>0.17200000002048901</v>
      </c>
      <c r="K268" s="137">
        <v>0</v>
      </c>
      <c r="L268" s="125">
        <v>1415</v>
      </c>
      <c r="M268" s="125">
        <v>3</v>
      </c>
      <c r="N268" s="125">
        <v>3</v>
      </c>
      <c r="O268" s="111">
        <f>((Tabela135[[#This Row],[Objetive value]]-Tabela135[[#This Row],[Objetive value/GATeS]])/Tabela135[[#This Row],[Objetive value]])*100</f>
        <v>0.9103641456582634</v>
      </c>
      <c r="P268" s="112">
        <v>1428</v>
      </c>
      <c r="Q268" s="112">
        <v>0.28000000000000003</v>
      </c>
      <c r="R268" s="112">
        <v>0</v>
      </c>
      <c r="S268" s="112">
        <f>(((Tabela135[[#This Row],[Objetive value]]-Tabela135[[#This Row],[Objetive Value /H-R1]])/Tabela135[[#This Row],[Objetive value]]))*100</f>
        <v>0</v>
      </c>
      <c r="T268" s="113">
        <v>1419</v>
      </c>
      <c r="U268" s="113">
        <v>0.22</v>
      </c>
      <c r="V268" s="113">
        <v>0</v>
      </c>
      <c r="W268" s="113">
        <f>(((Tabela135[[#This Row],[Objetive value]]-Tabela135[[#This Row],[Objetive value /H-R2]])/Tabela135[[#This Row],[Objetive value]]))*100</f>
        <v>0.63025210084033612</v>
      </c>
    </row>
    <row r="269" spans="1:23" s="34" customFormat="1" x14ac:dyDescent="0.25">
      <c r="A269" s="3" t="s">
        <v>73</v>
      </c>
      <c r="B269" s="39" t="s">
        <v>76</v>
      </c>
      <c r="C269" s="3">
        <v>200</v>
      </c>
      <c r="D269" s="3">
        <v>0.05</v>
      </c>
      <c r="E269" s="3">
        <v>5</v>
      </c>
      <c r="F269" s="39" t="s">
        <v>18</v>
      </c>
      <c r="G269" s="39" t="s">
        <v>14</v>
      </c>
      <c r="H269" s="110">
        <v>1983</v>
      </c>
      <c r="I269" s="138">
        <v>1983</v>
      </c>
      <c r="J269" s="138">
        <v>0.125</v>
      </c>
      <c r="K269" s="137">
        <v>0</v>
      </c>
      <c r="L269" s="125">
        <v>1983</v>
      </c>
      <c r="M269" s="125">
        <v>4</v>
      </c>
      <c r="N269" s="125">
        <v>0</v>
      </c>
      <c r="O269" s="111">
        <f>((Tabela135[[#This Row],[Objetive value]]-Tabela135[[#This Row],[Objetive value/GATeS]])/Tabela135[[#This Row],[Objetive value]])*100</f>
        <v>0</v>
      </c>
      <c r="P269" s="112">
        <v>1983</v>
      </c>
      <c r="Q269" s="112">
        <v>0.3</v>
      </c>
      <c r="R269" s="112">
        <v>0</v>
      </c>
      <c r="S269" s="112">
        <f>(((Tabela135[[#This Row],[Objetive value]]-Tabela135[[#This Row],[Objetive Value /H-R1]])/Tabela135[[#This Row],[Objetive value]]))*100</f>
        <v>0</v>
      </c>
      <c r="T269" s="113">
        <v>1983</v>
      </c>
      <c r="U269" s="113">
        <v>0.24</v>
      </c>
      <c r="V269" s="113">
        <v>0</v>
      </c>
      <c r="W269" s="113">
        <f>(((Tabela135[[#This Row],[Objetive value]]-Tabela135[[#This Row],[Objetive value /H-R2]])/Tabela135[[#This Row],[Objetive value]]))*100</f>
        <v>0</v>
      </c>
    </row>
    <row r="270" spans="1:23" s="34" customFormat="1" x14ac:dyDescent="0.25">
      <c r="A270" s="3" t="s">
        <v>73</v>
      </c>
      <c r="B270" s="39" t="s">
        <v>77</v>
      </c>
      <c r="C270" s="3">
        <v>200</v>
      </c>
      <c r="D270" s="3">
        <v>0.05</v>
      </c>
      <c r="E270" s="3">
        <v>5</v>
      </c>
      <c r="F270" s="39" t="s">
        <v>18</v>
      </c>
      <c r="G270" s="39" t="s">
        <v>16</v>
      </c>
      <c r="H270" s="110">
        <v>1413</v>
      </c>
      <c r="I270" s="138">
        <v>1413</v>
      </c>
      <c r="J270" s="138">
        <v>0.125</v>
      </c>
      <c r="K270" s="137">
        <v>0</v>
      </c>
      <c r="L270" s="125">
        <v>1413</v>
      </c>
      <c r="M270" s="125">
        <v>4</v>
      </c>
      <c r="N270" s="125">
        <v>1</v>
      </c>
      <c r="O270" s="111">
        <f>((Tabela135[[#This Row],[Objetive value]]-Tabela135[[#This Row],[Objetive value/GATeS]])/Tabela135[[#This Row],[Objetive value]])*100</f>
        <v>0</v>
      </c>
      <c r="P270" s="112">
        <v>1413</v>
      </c>
      <c r="Q270" s="112">
        <v>0.17</v>
      </c>
      <c r="R270" s="112">
        <v>0</v>
      </c>
      <c r="S270" s="112">
        <f>(((Tabela135[[#This Row],[Objetive value]]-Tabela135[[#This Row],[Objetive Value /H-R1]])/Tabela135[[#This Row],[Objetive value]]))*100</f>
        <v>0</v>
      </c>
      <c r="T270" s="113">
        <v>1413</v>
      </c>
      <c r="U270" s="113">
        <v>0.22</v>
      </c>
      <c r="V270" s="113">
        <v>0</v>
      </c>
      <c r="W270" s="113">
        <f>(((Tabela135[[#This Row],[Objetive value]]-Tabela135[[#This Row],[Objetive value /H-R2]])/Tabela135[[#This Row],[Objetive value]]))*100</f>
        <v>0</v>
      </c>
    </row>
    <row r="271" spans="1:23" s="34" customFormat="1" x14ac:dyDescent="0.25">
      <c r="A271" s="3" t="s">
        <v>73</v>
      </c>
      <c r="B271" s="39" t="s">
        <v>78</v>
      </c>
      <c r="C271" s="3">
        <v>200</v>
      </c>
      <c r="D271" s="3">
        <v>0.05</v>
      </c>
      <c r="E271" s="3">
        <v>5</v>
      </c>
      <c r="F271" s="39" t="s">
        <v>21</v>
      </c>
      <c r="G271" s="39" t="s">
        <v>14</v>
      </c>
      <c r="H271" s="110">
        <v>1536</v>
      </c>
      <c r="I271" s="138">
        <v>1536</v>
      </c>
      <c r="J271" s="138">
        <v>0.14100000006146701</v>
      </c>
      <c r="K271" s="137">
        <v>0</v>
      </c>
      <c r="L271" s="125">
        <v>1509</v>
      </c>
      <c r="M271" s="125">
        <v>3</v>
      </c>
      <c r="N271" s="125">
        <v>0</v>
      </c>
      <c r="O271" s="111">
        <f>((Tabela135[[#This Row],[Objetive value]]-Tabela135[[#This Row],[Objetive value/GATeS]])/Tabela135[[#This Row],[Objetive value]])*100</f>
        <v>1.7578125</v>
      </c>
      <c r="P271" s="112">
        <v>1536</v>
      </c>
      <c r="Q271" s="112">
        <v>0.2</v>
      </c>
      <c r="R271" s="112">
        <v>0</v>
      </c>
      <c r="S271" s="112">
        <f>(((Tabela135[[#This Row],[Objetive value]]-Tabela135[[#This Row],[Objetive Value /H-R1]])/Tabela135[[#This Row],[Objetive value]]))*100</f>
        <v>0</v>
      </c>
      <c r="T271" s="113">
        <v>1536</v>
      </c>
      <c r="U271" s="113">
        <v>0.18</v>
      </c>
      <c r="V271" s="113">
        <v>0</v>
      </c>
      <c r="W271" s="113">
        <f>(((Tabela135[[#This Row],[Objetive value]]-Tabela135[[#This Row],[Objetive value /H-R2]])/Tabela135[[#This Row],[Objetive value]]))*100</f>
        <v>0</v>
      </c>
    </row>
    <row r="272" spans="1:23" s="34" customFormat="1" x14ac:dyDescent="0.25">
      <c r="A272" s="3" t="s">
        <v>73</v>
      </c>
      <c r="B272" s="39" t="s">
        <v>79</v>
      </c>
      <c r="C272" s="3">
        <v>200</v>
      </c>
      <c r="D272" s="3">
        <v>0.05</v>
      </c>
      <c r="E272" s="3">
        <v>5</v>
      </c>
      <c r="F272" s="39" t="s">
        <v>21</v>
      </c>
      <c r="G272" s="39" t="s">
        <v>16</v>
      </c>
      <c r="H272" s="110">
        <v>1439</v>
      </c>
      <c r="I272" s="138">
        <v>1439</v>
      </c>
      <c r="J272" s="138">
        <v>0.17200000002048901</v>
      </c>
      <c r="K272" s="137">
        <v>0</v>
      </c>
      <c r="L272" s="125">
        <v>1403</v>
      </c>
      <c r="M272" s="125">
        <v>3</v>
      </c>
      <c r="N272" s="125">
        <v>0</v>
      </c>
      <c r="O272" s="111">
        <f>((Tabela135[[#This Row],[Objetive value]]-Tabela135[[#This Row],[Objetive value/GATeS]])/Tabela135[[#This Row],[Objetive value]])*100</f>
        <v>2.5017373175816542</v>
      </c>
      <c r="P272" s="112">
        <v>1439</v>
      </c>
      <c r="Q272" s="112">
        <v>0.2</v>
      </c>
      <c r="R272" s="112">
        <v>0</v>
      </c>
      <c r="S272" s="112">
        <f>(((Tabela135[[#This Row],[Objetive value]]-Tabela135[[#This Row],[Objetive Value /H-R1]])/Tabela135[[#This Row],[Objetive value]]))*100</f>
        <v>0</v>
      </c>
      <c r="T272" s="113">
        <v>1403</v>
      </c>
      <c r="U272" s="113">
        <v>0.13</v>
      </c>
      <c r="V272" s="113">
        <v>0</v>
      </c>
      <c r="W272" s="113">
        <f>(((Tabela135[[#This Row],[Objetive value]]-Tabela135[[#This Row],[Objetive value /H-R2]])/Tabela135[[#This Row],[Objetive value]]))*100</f>
        <v>2.5017373175816542</v>
      </c>
    </row>
    <row r="273" spans="1:23" s="34" customFormat="1" x14ac:dyDescent="0.25">
      <c r="A273" s="34" t="s">
        <v>148</v>
      </c>
      <c r="B273" s="39" t="s">
        <v>155</v>
      </c>
      <c r="C273" s="3">
        <v>300</v>
      </c>
      <c r="D273" s="114">
        <v>0.1</v>
      </c>
      <c r="E273" s="3">
        <v>10</v>
      </c>
      <c r="F273" s="39" t="s">
        <v>13</v>
      </c>
      <c r="G273" s="39" t="s">
        <v>14</v>
      </c>
      <c r="H273" s="110">
        <v>6336</v>
      </c>
      <c r="I273" s="138">
        <v>6336</v>
      </c>
      <c r="J273" s="138">
        <v>0.84400000004097797</v>
      </c>
      <c r="K273" s="137">
        <v>0</v>
      </c>
      <c r="L273" s="125">
        <v>6318</v>
      </c>
      <c r="M273" s="125">
        <v>12</v>
      </c>
      <c r="N273" s="125">
        <v>3</v>
      </c>
      <c r="O273" s="111">
        <f>((Tabela135[[#This Row],[Objetive value]]-Tabela135[[#This Row],[Objetive value/GATeS]])/Tabela135[[#This Row],[Objetive value]])*100</f>
        <v>0.28409090909090912</v>
      </c>
      <c r="P273" s="112">
        <v>6336</v>
      </c>
      <c r="Q273" s="112">
        <v>0.51</v>
      </c>
      <c r="R273" s="112">
        <v>0</v>
      </c>
      <c r="S273" s="112">
        <f>(((Tabela135[[#This Row],[Objetive value]]-Tabela135[[#This Row],[Objetive Value /H-R1]])/Tabela135[[#This Row],[Objetive value]]))*100</f>
        <v>0</v>
      </c>
      <c r="T273" s="113">
        <v>5638</v>
      </c>
      <c r="U273" s="113">
        <v>0.31</v>
      </c>
      <c r="V273" s="113">
        <v>0</v>
      </c>
      <c r="W273" s="113">
        <f>(((Tabela135[[#This Row],[Objetive value]]-Tabela135[[#This Row],[Objetive value /H-R2]])/Tabela135[[#This Row],[Objetive value]]))*100</f>
        <v>11.01641414141414</v>
      </c>
    </row>
    <row r="274" spans="1:23" s="34" customFormat="1" x14ac:dyDescent="0.25">
      <c r="A274" s="3" t="s">
        <v>148</v>
      </c>
      <c r="B274" s="39" t="s">
        <v>156</v>
      </c>
      <c r="C274" s="3">
        <v>300</v>
      </c>
      <c r="D274" s="114">
        <v>0.1</v>
      </c>
      <c r="E274" s="3">
        <v>10</v>
      </c>
      <c r="F274" s="39" t="s">
        <v>13</v>
      </c>
      <c r="G274" s="39" t="s">
        <v>16</v>
      </c>
      <c r="H274" s="110">
        <v>3431</v>
      </c>
      <c r="I274" s="138">
        <v>3431</v>
      </c>
      <c r="J274" s="138">
        <v>2.375</v>
      </c>
      <c r="K274" s="137">
        <v>0</v>
      </c>
      <c r="L274" s="125">
        <v>3367</v>
      </c>
      <c r="M274" s="125">
        <v>15</v>
      </c>
      <c r="N274" s="125">
        <v>1</v>
      </c>
      <c r="O274" s="111">
        <f>((Tabela135[[#This Row],[Objetive value]]-Tabela135[[#This Row],[Objetive value/GATeS]])/Tabela135[[#This Row],[Objetive value]])*100</f>
        <v>1.8653453803555815</v>
      </c>
      <c r="P274" s="112">
        <v>3412</v>
      </c>
      <c r="Q274" s="112">
        <v>0.41</v>
      </c>
      <c r="R274" s="112">
        <v>0</v>
      </c>
      <c r="S274" s="112">
        <f>(((Tabela135[[#This Row],[Objetive value]]-Tabela135[[#This Row],[Objetive Value /H-R1]])/Tabela135[[#This Row],[Objetive value]]))*100</f>
        <v>0.55377440979306325</v>
      </c>
      <c r="T274" s="113">
        <v>3185</v>
      </c>
      <c r="U274" s="113">
        <v>0.38</v>
      </c>
      <c r="V274" s="113">
        <v>0</v>
      </c>
      <c r="W274" s="113">
        <f>(((Tabela135[[#This Row],[Objetive value]]-Tabela135[[#This Row],[Objetive value /H-R2]])/Tabela135[[#This Row],[Objetive value]]))*100</f>
        <v>7.1699213057417666</v>
      </c>
    </row>
    <row r="275" spans="1:23" s="34" customFormat="1" x14ac:dyDescent="0.25">
      <c r="A275" s="3" t="s">
        <v>148</v>
      </c>
      <c r="B275" s="39" t="s">
        <v>157</v>
      </c>
      <c r="C275" s="3">
        <v>300</v>
      </c>
      <c r="D275" s="114">
        <v>0.1</v>
      </c>
      <c r="E275" s="3">
        <v>10</v>
      </c>
      <c r="F275" s="3" t="s">
        <v>18</v>
      </c>
      <c r="G275" s="39" t="s">
        <v>14</v>
      </c>
      <c r="H275" s="110">
        <v>6906</v>
      </c>
      <c r="I275" s="138">
        <v>6906</v>
      </c>
      <c r="J275" s="138">
        <v>0.40599999995902097</v>
      </c>
      <c r="K275" s="137">
        <v>0</v>
      </c>
      <c r="L275" s="125">
        <v>6904</v>
      </c>
      <c r="M275" s="125">
        <v>13</v>
      </c>
      <c r="N275" s="125">
        <v>0</v>
      </c>
      <c r="O275" s="111">
        <f>((Tabela135[[#This Row],[Objetive value]]-Tabela135[[#This Row],[Objetive value/GATeS]])/Tabela135[[#This Row],[Objetive value]])*100</f>
        <v>2.8960324355632783E-2</v>
      </c>
      <c r="P275" s="112">
        <v>6906</v>
      </c>
      <c r="Q275" s="112">
        <v>0.27</v>
      </c>
      <c r="R275" s="112">
        <v>0</v>
      </c>
      <c r="S275" s="112">
        <f>(((Tabela135[[#This Row],[Objetive value]]-Tabela135[[#This Row],[Objetive Value /H-R1]])/Tabela135[[#This Row],[Objetive value]]))*100</f>
        <v>0</v>
      </c>
      <c r="T275" s="113">
        <v>6818</v>
      </c>
      <c r="U275" s="113">
        <v>0.4</v>
      </c>
      <c r="V275" s="113">
        <v>0</v>
      </c>
      <c r="W275" s="113">
        <f>(((Tabela135[[#This Row],[Objetive value]]-Tabela135[[#This Row],[Objetive value /H-R2]])/Tabela135[[#This Row],[Objetive value]]))*100</f>
        <v>1.2742542716478424</v>
      </c>
    </row>
    <row r="276" spans="1:23" s="34" customFormat="1" x14ac:dyDescent="0.25">
      <c r="A276" s="3" t="s">
        <v>148</v>
      </c>
      <c r="B276" s="39" t="s">
        <v>158</v>
      </c>
      <c r="C276" s="3">
        <v>300</v>
      </c>
      <c r="D276" s="114">
        <v>0.1</v>
      </c>
      <c r="E276" s="3">
        <v>10</v>
      </c>
      <c r="F276" s="3" t="s">
        <v>18</v>
      </c>
      <c r="G276" s="39" t="s">
        <v>16</v>
      </c>
      <c r="H276" s="110">
        <v>3950</v>
      </c>
      <c r="I276" s="138">
        <v>3950</v>
      </c>
      <c r="J276" s="138">
        <v>1.07799999997951</v>
      </c>
      <c r="K276" s="137">
        <v>0</v>
      </c>
      <c r="L276" s="125">
        <v>3820</v>
      </c>
      <c r="M276" s="125">
        <v>13</v>
      </c>
      <c r="N276" s="125">
        <v>10</v>
      </c>
      <c r="O276" s="111">
        <f>((Tabela135[[#This Row],[Objetive value]]-Tabela135[[#This Row],[Objetive value/GATeS]])/Tabela135[[#This Row],[Objetive value]])*100</f>
        <v>3.2911392405063293</v>
      </c>
      <c r="P276" s="112">
        <v>3870</v>
      </c>
      <c r="Q276" s="112">
        <v>0.38</v>
      </c>
      <c r="R276" s="112">
        <v>0</v>
      </c>
      <c r="S276" s="112">
        <f>(((Tabela135[[#This Row],[Objetive value]]-Tabela135[[#This Row],[Objetive Value /H-R1]])/Tabela135[[#This Row],[Objetive value]]))*100</f>
        <v>2.0253164556962027</v>
      </c>
      <c r="T276" s="113">
        <v>3747</v>
      </c>
      <c r="U276" s="113">
        <v>0.32</v>
      </c>
      <c r="V276" s="113">
        <v>0</v>
      </c>
      <c r="W276" s="113">
        <f>(((Tabela135[[#This Row],[Objetive value]]-Tabela135[[#This Row],[Objetive value /H-R2]])/Tabela135[[#This Row],[Objetive value]]))*100</f>
        <v>5.1392405063291138</v>
      </c>
    </row>
    <row r="277" spans="1:23" s="34" customFormat="1" x14ac:dyDescent="0.25">
      <c r="A277" s="3" t="s">
        <v>148</v>
      </c>
      <c r="B277" s="39" t="s">
        <v>159</v>
      </c>
      <c r="C277" s="3">
        <v>300</v>
      </c>
      <c r="D277" s="114">
        <v>0.1</v>
      </c>
      <c r="E277" s="3">
        <v>10</v>
      </c>
      <c r="F277" s="39" t="s">
        <v>21</v>
      </c>
      <c r="G277" s="39" t="s">
        <v>14</v>
      </c>
      <c r="H277" s="110">
        <v>5307</v>
      </c>
      <c r="I277" s="138">
        <v>5307</v>
      </c>
      <c r="J277" s="138">
        <v>0.20299999997950999</v>
      </c>
      <c r="K277" s="137">
        <v>0</v>
      </c>
      <c r="L277" s="125">
        <v>5111</v>
      </c>
      <c r="M277" s="125">
        <v>9</v>
      </c>
      <c r="N277" s="125">
        <v>8</v>
      </c>
      <c r="O277" s="111">
        <f>((Tabela135[[#This Row],[Objetive value]]-Tabela135[[#This Row],[Objetive value/GATeS]])/Tabela135[[#This Row],[Objetive value]])*100</f>
        <v>3.6932353495383459</v>
      </c>
      <c r="P277" s="112">
        <v>4014</v>
      </c>
      <c r="Q277" s="112">
        <v>1.52</v>
      </c>
      <c r="R277" s="112">
        <v>0</v>
      </c>
      <c r="S277" s="112">
        <f>(((Tabela135[[#This Row],[Objetive value]]-Tabela135[[#This Row],[Objetive Value /H-R1]])/Tabela135[[#This Row],[Objetive value]]))*100</f>
        <v>24.364047484454492</v>
      </c>
      <c r="T277" s="113">
        <v>3333</v>
      </c>
      <c r="U277" s="113">
        <v>1.6</v>
      </c>
      <c r="V277" s="113">
        <v>0</v>
      </c>
      <c r="W277" s="113">
        <f>(((Tabela135[[#This Row],[Objetive value]]-Tabela135[[#This Row],[Objetive value /H-R2]])/Tabela135[[#This Row],[Objetive value]]))*100</f>
        <v>37.196156020350479</v>
      </c>
    </row>
    <row r="278" spans="1:23" s="34" customFormat="1" x14ac:dyDescent="0.25">
      <c r="A278" s="3" t="s">
        <v>148</v>
      </c>
      <c r="B278" s="39" t="s">
        <v>160</v>
      </c>
      <c r="C278" s="3">
        <v>300</v>
      </c>
      <c r="D278" s="114">
        <v>0.1</v>
      </c>
      <c r="E278" s="3">
        <v>10</v>
      </c>
      <c r="F278" s="39" t="s">
        <v>21</v>
      </c>
      <c r="G278" s="39" t="s">
        <v>16</v>
      </c>
      <c r="H278" s="110">
        <v>3602</v>
      </c>
      <c r="I278" s="138">
        <v>3602</v>
      </c>
      <c r="J278" s="138">
        <v>1.15600000007543</v>
      </c>
      <c r="K278" s="137">
        <v>0</v>
      </c>
      <c r="L278" s="125">
        <v>3558</v>
      </c>
      <c r="M278" s="125">
        <v>6</v>
      </c>
      <c r="N278" s="125">
        <v>4</v>
      </c>
      <c r="O278" s="111">
        <f>((Tabela135[[#This Row],[Objetive value]]-Tabela135[[#This Row],[Objetive value/GATeS]])/Tabela135[[#This Row],[Objetive value]])*100</f>
        <v>1.2215435868961688</v>
      </c>
      <c r="P278" s="112">
        <v>3364</v>
      </c>
      <c r="Q278" s="112">
        <v>0.37</v>
      </c>
      <c r="R278" s="112">
        <v>0</v>
      </c>
      <c r="S278" s="112">
        <f>(((Tabela135[[#This Row],[Objetive value]]-Tabela135[[#This Row],[Objetive Value /H-R1]])/Tabela135[[#This Row],[Objetive value]]))*100</f>
        <v>6.607440310938367</v>
      </c>
      <c r="T278" s="113">
        <v>3462</v>
      </c>
      <c r="U278" s="113">
        <v>0.51</v>
      </c>
      <c r="V278" s="113">
        <v>0</v>
      </c>
      <c r="W278" s="113">
        <f>(((Tabela135[[#This Row],[Objetive value]]-Tabela135[[#This Row],[Objetive value /H-R2]])/Tabela135[[#This Row],[Objetive value]]))*100</f>
        <v>3.8867295946696281</v>
      </c>
    </row>
    <row r="279" spans="1:23" s="34" customFormat="1" x14ac:dyDescent="0.25">
      <c r="A279" s="34" t="s">
        <v>167</v>
      </c>
      <c r="B279" s="39" t="s">
        <v>174</v>
      </c>
      <c r="C279" s="3">
        <v>300</v>
      </c>
      <c r="D279" s="114">
        <v>0.1</v>
      </c>
      <c r="E279" s="3">
        <v>15</v>
      </c>
      <c r="F279" s="39" t="s">
        <v>13</v>
      </c>
      <c r="G279" s="39" t="s">
        <v>14</v>
      </c>
      <c r="H279" s="110">
        <v>9512</v>
      </c>
      <c r="I279" s="138">
        <v>9512</v>
      </c>
      <c r="J279" s="138">
        <v>7.20299999997951</v>
      </c>
      <c r="K279" s="137">
        <v>0</v>
      </c>
      <c r="L279" s="125">
        <v>9242</v>
      </c>
      <c r="M279" s="125">
        <v>126</v>
      </c>
      <c r="N279" s="125">
        <v>0</v>
      </c>
      <c r="O279" s="111">
        <f>((Tabela135[[#This Row],[Objetive value]]-Tabela135[[#This Row],[Objetive value/GATeS]])/Tabela135[[#This Row],[Objetive value]])*100</f>
        <v>2.83851976450799</v>
      </c>
      <c r="P279" s="112">
        <v>9512</v>
      </c>
      <c r="Q279" s="112">
        <v>0.66</v>
      </c>
      <c r="R279" s="112">
        <v>0</v>
      </c>
      <c r="S279" s="112">
        <f>(((Tabela135[[#This Row],[Objetive value]]-Tabela135[[#This Row],[Objetive Value /H-R1]])/Tabela135[[#This Row],[Objetive value]]))*100</f>
        <v>0</v>
      </c>
      <c r="T279" s="113">
        <v>9079</v>
      </c>
      <c r="U279" s="113">
        <v>0.49</v>
      </c>
      <c r="V279" s="113">
        <v>0</v>
      </c>
      <c r="W279" s="113">
        <f>(((Tabela135[[#This Row],[Objetive value]]-Tabela135[[#This Row],[Objetive value /H-R2]])/Tabela135[[#This Row],[Objetive value]]))*100</f>
        <v>4.5521446593776282</v>
      </c>
    </row>
    <row r="280" spans="1:23" s="34" customFormat="1" x14ac:dyDescent="0.25">
      <c r="A280" s="3" t="s">
        <v>167</v>
      </c>
      <c r="B280" s="39" t="s">
        <v>175</v>
      </c>
      <c r="C280" s="3">
        <v>300</v>
      </c>
      <c r="D280" s="114">
        <v>0.1</v>
      </c>
      <c r="E280" s="3">
        <v>15</v>
      </c>
      <c r="F280" s="39" t="s">
        <v>13</v>
      </c>
      <c r="G280" s="39" t="s">
        <v>16</v>
      </c>
      <c r="H280" s="110">
        <v>5226</v>
      </c>
      <c r="I280" s="138">
        <v>5226</v>
      </c>
      <c r="J280" s="138">
        <v>7.5160000000614602</v>
      </c>
      <c r="K280" s="137">
        <v>0.01</v>
      </c>
      <c r="L280" s="125">
        <v>5041</v>
      </c>
      <c r="M280" s="125">
        <v>21</v>
      </c>
      <c r="N280" s="125">
        <v>13</v>
      </c>
      <c r="O280" s="111">
        <f>((Tabela135[[#This Row],[Objetive value]]-Tabela135[[#This Row],[Objetive value/GATeS]])/Tabela135[[#This Row],[Objetive value]])*100</f>
        <v>3.5399923459624949</v>
      </c>
      <c r="P280" s="112">
        <v>5144</v>
      </c>
      <c r="Q280" s="112">
        <v>0.47</v>
      </c>
      <c r="R280" s="112">
        <v>0</v>
      </c>
      <c r="S280" s="112">
        <f>(((Tabela135[[#This Row],[Objetive value]]-Tabela135[[#This Row],[Objetive Value /H-R1]])/Tabela135[[#This Row],[Objetive value]]))*100</f>
        <v>1.5690776884806734</v>
      </c>
      <c r="T280" s="113">
        <v>5162</v>
      </c>
      <c r="U280" s="113">
        <v>0.35</v>
      </c>
      <c r="V280" s="113">
        <v>0</v>
      </c>
      <c r="W280" s="113">
        <f>(((Tabela135[[#This Row],[Objetive value]]-Tabela135[[#This Row],[Objetive value /H-R2]])/Tabela135[[#This Row],[Objetive value]]))*100</f>
        <v>1.2246460007654039</v>
      </c>
    </row>
    <row r="281" spans="1:23" s="34" customFormat="1" x14ac:dyDescent="0.25">
      <c r="A281" s="3" t="s">
        <v>167</v>
      </c>
      <c r="B281" s="39" t="s">
        <v>176</v>
      </c>
      <c r="C281" s="3">
        <v>300</v>
      </c>
      <c r="D281" s="114">
        <v>0.1</v>
      </c>
      <c r="E281" s="3">
        <v>15</v>
      </c>
      <c r="F281" s="3" t="s">
        <v>18</v>
      </c>
      <c r="G281" s="39" t="s">
        <v>14</v>
      </c>
      <c r="H281" s="110">
        <v>10699</v>
      </c>
      <c r="I281" s="138">
        <v>10699</v>
      </c>
      <c r="J281" s="138">
        <v>4.2190000000409702</v>
      </c>
      <c r="K281" s="137">
        <v>0</v>
      </c>
      <c r="L281" s="125">
        <v>10505</v>
      </c>
      <c r="M281" s="125">
        <v>23</v>
      </c>
      <c r="N281" s="125">
        <v>0</v>
      </c>
      <c r="O281" s="111">
        <f>((Tabela135[[#This Row],[Objetive value]]-Tabela135[[#This Row],[Objetive value/GATeS]])/Tabela135[[#This Row],[Objetive value]])*100</f>
        <v>1.8132535751004768</v>
      </c>
      <c r="P281" s="112">
        <v>10531</v>
      </c>
      <c r="Q281" s="112">
        <v>0.52</v>
      </c>
      <c r="R281" s="112">
        <v>0</v>
      </c>
      <c r="S281" s="112">
        <f>(((Tabela135[[#This Row],[Objetive value]]-Tabela135[[#This Row],[Objetive Value /H-R1]])/Tabela135[[#This Row],[Objetive value]]))*100</f>
        <v>1.5702402093653614</v>
      </c>
      <c r="T281" s="113">
        <v>10520</v>
      </c>
      <c r="U281" s="113">
        <v>0.33</v>
      </c>
      <c r="V281" s="113">
        <v>0</v>
      </c>
      <c r="W281" s="113">
        <f>(((Tabela135[[#This Row],[Objetive value]]-Tabela135[[#This Row],[Objetive value /H-R2]])/Tabela135[[#This Row],[Objetive value]]))*100</f>
        <v>1.6730535564071409</v>
      </c>
    </row>
    <row r="282" spans="1:23" s="34" customFormat="1" x14ac:dyDescent="0.25">
      <c r="A282" s="3" t="s">
        <v>167</v>
      </c>
      <c r="B282" s="39" t="s">
        <v>177</v>
      </c>
      <c r="C282" s="3">
        <v>300</v>
      </c>
      <c r="D282" s="114">
        <v>0.1</v>
      </c>
      <c r="E282" s="3">
        <v>15</v>
      </c>
      <c r="F282" s="3" t="s">
        <v>18</v>
      </c>
      <c r="G282" s="39" t="s">
        <v>16</v>
      </c>
      <c r="H282" s="110">
        <v>5351</v>
      </c>
      <c r="I282" s="138">
        <v>5351</v>
      </c>
      <c r="J282" s="138">
        <v>10.468999999924501</v>
      </c>
      <c r="K282" s="137">
        <v>0.47</v>
      </c>
      <c r="L282" s="125">
        <v>5250</v>
      </c>
      <c r="M282" s="125">
        <v>28</v>
      </c>
      <c r="N282" s="125">
        <v>21</v>
      </c>
      <c r="O282" s="111">
        <f>((Tabela135[[#This Row],[Objetive value]]-Tabela135[[#This Row],[Objetive value/GATeS]])/Tabela135[[#This Row],[Objetive value]])*100</f>
        <v>1.8874976639880396</v>
      </c>
      <c r="P282" s="112">
        <v>5254</v>
      </c>
      <c r="Q282" s="112">
        <v>0.57999999999999996</v>
      </c>
      <c r="R282" s="112">
        <v>0</v>
      </c>
      <c r="S282" s="112">
        <f>(((Tabela135[[#This Row],[Objetive value]]-Tabela135[[#This Row],[Objetive Value /H-R1]])/Tabela135[[#This Row],[Objetive value]]))*100</f>
        <v>1.8127452812558402</v>
      </c>
      <c r="T282" s="113">
        <v>5207</v>
      </c>
      <c r="U282" s="113">
        <v>0.33</v>
      </c>
      <c r="V282" s="113">
        <v>0</v>
      </c>
      <c r="W282" s="113">
        <f>(((Tabela135[[#This Row],[Objetive value]]-Tabela135[[#This Row],[Objetive value /H-R2]])/Tabela135[[#This Row],[Objetive value]]))*100</f>
        <v>2.6910857783591853</v>
      </c>
    </row>
    <row r="283" spans="1:23" s="34" customFormat="1" x14ac:dyDescent="0.25">
      <c r="A283" s="3" t="s">
        <v>167</v>
      </c>
      <c r="B283" s="39" t="s">
        <v>178</v>
      </c>
      <c r="C283" s="3">
        <v>300</v>
      </c>
      <c r="D283" s="114">
        <v>0.1</v>
      </c>
      <c r="E283" s="3">
        <v>15</v>
      </c>
      <c r="F283" s="39" t="s">
        <v>21</v>
      </c>
      <c r="G283" s="39" t="s">
        <v>14</v>
      </c>
      <c r="H283" s="110">
        <v>6463</v>
      </c>
      <c r="I283" s="138">
        <v>6463</v>
      </c>
      <c r="J283" s="138">
        <v>0.64099999994505197</v>
      </c>
      <c r="K283" s="137">
        <v>0</v>
      </c>
      <c r="L283" s="125">
        <v>6121</v>
      </c>
      <c r="M283" s="125">
        <v>11</v>
      </c>
      <c r="N283" s="125">
        <v>5</v>
      </c>
      <c r="O283" s="111">
        <f>((Tabela135[[#This Row],[Objetive value]]-Tabela135[[#This Row],[Objetive value/GATeS]])/Tabela135[[#This Row],[Objetive value]])*100</f>
        <v>5.2916602197122087</v>
      </c>
      <c r="P283" s="112">
        <v>870</v>
      </c>
      <c r="Q283" s="112">
        <v>2.9</v>
      </c>
      <c r="R283" s="112">
        <v>0</v>
      </c>
      <c r="S283" s="112">
        <f>(((Tabela135[[#This Row],[Objetive value]]-Tabela135[[#This Row],[Objetive Value /H-R1]])/Tabela135[[#This Row],[Objetive value]]))*100</f>
        <v>86.538759090205787</v>
      </c>
      <c r="T283" s="113">
        <v>6068</v>
      </c>
      <c r="U283" s="113">
        <v>1.44</v>
      </c>
      <c r="V283" s="113">
        <v>0</v>
      </c>
      <c r="W283" s="113">
        <f>(((Tabela135[[#This Row],[Objetive value]]-Tabela135[[#This Row],[Objetive value /H-R2]])/Tabela135[[#This Row],[Objetive value]]))*100</f>
        <v>6.1117128268605905</v>
      </c>
    </row>
    <row r="284" spans="1:23" s="34" customFormat="1" x14ac:dyDescent="0.25">
      <c r="A284" s="3" t="s">
        <v>167</v>
      </c>
      <c r="B284" s="39" t="s">
        <v>179</v>
      </c>
      <c r="C284" s="3">
        <v>300</v>
      </c>
      <c r="D284" s="114">
        <v>0.1</v>
      </c>
      <c r="E284" s="3">
        <v>15</v>
      </c>
      <c r="F284" s="39" t="s">
        <v>21</v>
      </c>
      <c r="G284" s="39" t="s">
        <v>16</v>
      </c>
      <c r="H284" s="110">
        <v>5389</v>
      </c>
      <c r="I284" s="138">
        <v>5389</v>
      </c>
      <c r="J284" s="138">
        <v>1.82799999997951</v>
      </c>
      <c r="K284" s="137">
        <v>0.28999999999999998</v>
      </c>
      <c r="L284" s="125">
        <v>5172</v>
      </c>
      <c r="M284" s="125">
        <v>11</v>
      </c>
      <c r="N284" s="125">
        <v>3</v>
      </c>
      <c r="O284" s="111">
        <f>((Tabela135[[#This Row],[Objetive value]]-Tabela135[[#This Row],[Objetive value/GATeS]])/Tabela135[[#This Row],[Objetive value]])*100</f>
        <v>4.0267210985340505</v>
      </c>
      <c r="P284" s="112">
        <v>5148</v>
      </c>
      <c r="Q284" s="112">
        <v>0.48</v>
      </c>
      <c r="R284" s="112">
        <v>0</v>
      </c>
      <c r="S284" s="112">
        <f>(((Tabela135[[#This Row],[Objetive value]]-Tabela135[[#This Row],[Objetive Value /H-R1]])/Tabela135[[#This Row],[Objetive value]]))*100</f>
        <v>4.4720727407682315</v>
      </c>
      <c r="T284" s="113">
        <v>5240</v>
      </c>
      <c r="U284" s="113">
        <v>0.53</v>
      </c>
      <c r="V284" s="113">
        <v>0</v>
      </c>
      <c r="W284" s="113">
        <f>(((Tabela135[[#This Row],[Objetive value]]-Tabela135[[#This Row],[Objetive value /H-R2]])/Tabela135[[#This Row],[Objetive value]]))*100</f>
        <v>2.7648914455372053</v>
      </c>
    </row>
    <row r="285" spans="1:23" s="34" customFormat="1" x14ac:dyDescent="0.25">
      <c r="A285" s="3" t="s">
        <v>129</v>
      </c>
      <c r="B285" s="37" t="s">
        <v>136</v>
      </c>
      <c r="C285" s="3">
        <v>300</v>
      </c>
      <c r="D285" s="114">
        <v>0.1</v>
      </c>
      <c r="E285" s="3">
        <v>5</v>
      </c>
      <c r="F285" s="39" t="s">
        <v>13</v>
      </c>
      <c r="G285" s="39" t="s">
        <v>14</v>
      </c>
      <c r="H285" s="110">
        <v>2589</v>
      </c>
      <c r="I285" s="138">
        <v>2589</v>
      </c>
      <c r="J285" s="138">
        <v>0.17200000002048901</v>
      </c>
      <c r="K285" s="137">
        <v>0</v>
      </c>
      <c r="L285" s="125">
        <v>2583</v>
      </c>
      <c r="M285" s="125">
        <v>7</v>
      </c>
      <c r="N285" s="125">
        <v>5</v>
      </c>
      <c r="O285" s="111">
        <f>((Tabela135[[#This Row],[Objetive value]]-Tabela135[[#This Row],[Objetive value/GATeS]])/Tabela135[[#This Row],[Objetive value]])*100</f>
        <v>0.23174971031286209</v>
      </c>
      <c r="P285" s="112">
        <v>2589</v>
      </c>
      <c r="Q285" s="112">
        <v>0.25</v>
      </c>
      <c r="R285" s="112">
        <v>0</v>
      </c>
      <c r="S285" s="112">
        <f>(((Tabela135[[#This Row],[Objetive value]]-Tabela135[[#This Row],[Objetive Value /H-R1]])/Tabela135[[#This Row],[Objetive value]]))*100</f>
        <v>0</v>
      </c>
      <c r="T285" s="113">
        <v>2589</v>
      </c>
      <c r="U285" s="113">
        <v>0.28000000000000003</v>
      </c>
      <c r="V285" s="113">
        <v>0</v>
      </c>
      <c r="W285" s="113">
        <f>(((Tabela135[[#This Row],[Objetive value]]-Tabela135[[#This Row],[Objetive value /H-R2]])/Tabela135[[#This Row],[Objetive value]]))*100</f>
        <v>0</v>
      </c>
    </row>
    <row r="286" spans="1:23" s="34" customFormat="1" x14ac:dyDescent="0.25">
      <c r="A286" s="3" t="s">
        <v>129</v>
      </c>
      <c r="B286" s="39" t="s">
        <v>137</v>
      </c>
      <c r="C286" s="3">
        <v>300</v>
      </c>
      <c r="D286" s="114">
        <v>0.1</v>
      </c>
      <c r="E286" s="3">
        <v>5</v>
      </c>
      <c r="F286" s="39" t="s">
        <v>13</v>
      </c>
      <c r="G286" s="39" t="s">
        <v>16</v>
      </c>
      <c r="H286" s="110">
        <v>2104</v>
      </c>
      <c r="I286" s="138">
        <v>2104</v>
      </c>
      <c r="J286" s="138">
        <v>0.15700000000651901</v>
      </c>
      <c r="K286" s="137">
        <v>0</v>
      </c>
      <c r="L286" s="125">
        <v>2091</v>
      </c>
      <c r="M286" s="125">
        <v>7</v>
      </c>
      <c r="N286" s="125">
        <v>6</v>
      </c>
      <c r="O286" s="111">
        <f>((Tabela135[[#This Row],[Objetive value]]-Tabela135[[#This Row],[Objetive value/GATeS]])/Tabela135[[#This Row],[Objetive value]])*100</f>
        <v>0.61787072243346008</v>
      </c>
      <c r="P286" s="112">
        <v>2104</v>
      </c>
      <c r="Q286" s="112">
        <v>0.24</v>
      </c>
      <c r="R286" s="112">
        <v>0</v>
      </c>
      <c r="S286" s="112">
        <f>(((Tabela135[[#This Row],[Objetive value]]-Tabela135[[#This Row],[Objetive Value /H-R1]])/Tabela135[[#This Row],[Objetive value]]))*100</f>
        <v>0</v>
      </c>
      <c r="T286" s="113">
        <v>2043</v>
      </c>
      <c r="U286" s="113">
        <v>0.27</v>
      </c>
      <c r="V286" s="113">
        <v>0</v>
      </c>
      <c r="W286" s="113">
        <f>(((Tabela135[[#This Row],[Objetive value]]-Tabela135[[#This Row],[Objetive value /H-R2]])/Tabela135[[#This Row],[Objetive value]]))*100</f>
        <v>2.8992395437262357</v>
      </c>
    </row>
    <row r="287" spans="1:23" s="34" customFormat="1" x14ac:dyDescent="0.25">
      <c r="A287" s="3" t="s">
        <v>129</v>
      </c>
      <c r="B287" s="39" t="s">
        <v>138</v>
      </c>
      <c r="C287" s="3">
        <v>300</v>
      </c>
      <c r="D287" s="114">
        <v>0.1</v>
      </c>
      <c r="E287" s="3">
        <v>5</v>
      </c>
      <c r="F287" s="3" t="s">
        <v>18</v>
      </c>
      <c r="G287" s="39" t="s">
        <v>14</v>
      </c>
      <c r="H287" s="110">
        <v>3379</v>
      </c>
      <c r="I287" s="138">
        <v>3379</v>
      </c>
      <c r="J287" s="138">
        <v>0.186999999918043</v>
      </c>
      <c r="K287" s="137">
        <v>0</v>
      </c>
      <c r="L287" s="125">
        <v>3378</v>
      </c>
      <c r="M287" s="125">
        <v>5</v>
      </c>
      <c r="N287" s="125">
        <v>2</v>
      </c>
      <c r="O287" s="111">
        <f>((Tabela135[[#This Row],[Objetive value]]-Tabela135[[#This Row],[Objetive value/GATeS]])/Tabela135[[#This Row],[Objetive value]])*100</f>
        <v>2.9594554601953243E-2</v>
      </c>
      <c r="P287" s="112">
        <v>3379</v>
      </c>
      <c r="Q287" s="112">
        <v>0.2</v>
      </c>
      <c r="R287" s="112">
        <v>0</v>
      </c>
      <c r="S287" s="112">
        <f>(((Tabela135[[#This Row],[Objetive value]]-Tabela135[[#This Row],[Objetive Value /H-R1]])/Tabela135[[#This Row],[Objetive value]]))*100</f>
        <v>0</v>
      </c>
      <c r="T287" s="113">
        <v>3379</v>
      </c>
      <c r="U287" s="113">
        <v>0.16</v>
      </c>
      <c r="V287" s="113">
        <v>0</v>
      </c>
      <c r="W287" s="113">
        <f>(((Tabela135[[#This Row],[Objetive value]]-Tabela135[[#This Row],[Objetive value /H-R2]])/Tabela135[[#This Row],[Objetive value]]))*100</f>
        <v>0</v>
      </c>
    </row>
    <row r="288" spans="1:23" s="34" customFormat="1" x14ac:dyDescent="0.25">
      <c r="A288" s="3" t="s">
        <v>129</v>
      </c>
      <c r="B288" s="39" t="s">
        <v>139</v>
      </c>
      <c r="C288" s="3">
        <v>300</v>
      </c>
      <c r="D288" s="114">
        <v>0.1</v>
      </c>
      <c r="E288" s="3">
        <v>5</v>
      </c>
      <c r="F288" s="3" t="s">
        <v>18</v>
      </c>
      <c r="G288" s="39" t="s">
        <v>16</v>
      </c>
      <c r="H288" s="110">
        <v>2300</v>
      </c>
      <c r="I288" s="138">
        <v>2300</v>
      </c>
      <c r="J288" s="138">
        <v>0.125</v>
      </c>
      <c r="K288" s="137">
        <v>0</v>
      </c>
      <c r="L288" s="125">
        <v>2273</v>
      </c>
      <c r="M288" s="125">
        <v>6</v>
      </c>
      <c r="N288" s="125">
        <v>5</v>
      </c>
      <c r="O288" s="111">
        <f>((Tabela135[[#This Row],[Objetive value]]-Tabela135[[#This Row],[Objetive value/GATeS]])/Tabela135[[#This Row],[Objetive value]])*100</f>
        <v>1.1739130434782608</v>
      </c>
      <c r="P288" s="112">
        <v>2287</v>
      </c>
      <c r="Q288" s="112">
        <v>0.25</v>
      </c>
      <c r="R288" s="112">
        <v>0</v>
      </c>
      <c r="S288" s="112">
        <f>(((Tabela135[[#This Row],[Objetive value]]-Tabela135[[#This Row],[Objetive Value /H-R1]])/Tabela135[[#This Row],[Objetive value]]))*100</f>
        <v>0.56521739130434789</v>
      </c>
      <c r="T288" s="113">
        <v>2194</v>
      </c>
      <c r="U288" s="113">
        <v>0.23</v>
      </c>
      <c r="V288" s="113">
        <v>0</v>
      </c>
      <c r="W288" s="113">
        <f>(((Tabela135[[#This Row],[Objetive value]]-Tabela135[[#This Row],[Objetive value /H-R2]])/Tabela135[[#This Row],[Objetive value]]))*100</f>
        <v>4.6086956521739131</v>
      </c>
    </row>
    <row r="289" spans="1:23" s="34" customFormat="1" x14ac:dyDescent="0.25">
      <c r="A289" s="3" t="s">
        <v>129</v>
      </c>
      <c r="B289" s="39" t="s">
        <v>140</v>
      </c>
      <c r="C289" s="3">
        <v>300</v>
      </c>
      <c r="D289" s="114">
        <v>0.1</v>
      </c>
      <c r="E289" s="3">
        <v>5</v>
      </c>
      <c r="F289" s="39" t="s">
        <v>21</v>
      </c>
      <c r="G289" s="39" t="s">
        <v>14</v>
      </c>
      <c r="H289" s="110">
        <v>1729</v>
      </c>
      <c r="I289" s="138">
        <v>1729</v>
      </c>
      <c r="J289" s="138">
        <v>0.234000000054948</v>
      </c>
      <c r="K289" s="137">
        <v>0</v>
      </c>
      <c r="L289" s="125">
        <v>1729</v>
      </c>
      <c r="M289" s="125">
        <v>4</v>
      </c>
      <c r="N289" s="125">
        <v>0</v>
      </c>
      <c r="O289" s="111">
        <f>((Tabela135[[#This Row],[Objetive value]]-Tabela135[[#This Row],[Objetive value/GATeS]])/Tabela135[[#This Row],[Objetive value]])*100</f>
        <v>0</v>
      </c>
      <c r="P289" s="112">
        <v>1729</v>
      </c>
      <c r="Q289" s="112">
        <v>0.56000000000000005</v>
      </c>
      <c r="R289" s="112">
        <v>0</v>
      </c>
      <c r="S289" s="112">
        <f>(((Tabela135[[#This Row],[Objetive value]]-Tabela135[[#This Row],[Objetive Value /H-R1]])/Tabela135[[#This Row],[Objetive value]]))*100</f>
        <v>0</v>
      </c>
      <c r="T289" s="113">
        <v>804</v>
      </c>
      <c r="U289" s="113">
        <v>0.9</v>
      </c>
      <c r="V289" s="113">
        <v>0</v>
      </c>
      <c r="W289" s="113">
        <f>(((Tabela135[[#This Row],[Objetive value]]-Tabela135[[#This Row],[Objetive value /H-R2]])/Tabela135[[#This Row],[Objetive value]]))*100</f>
        <v>53.499132446500866</v>
      </c>
    </row>
    <row r="290" spans="1:23" s="34" customFormat="1" x14ac:dyDescent="0.25">
      <c r="A290" s="3" t="s">
        <v>129</v>
      </c>
      <c r="B290" s="39" t="s">
        <v>141</v>
      </c>
      <c r="C290" s="3">
        <v>300</v>
      </c>
      <c r="D290" s="114">
        <v>0.1</v>
      </c>
      <c r="E290" s="3">
        <v>5</v>
      </c>
      <c r="F290" s="39" t="s">
        <v>21</v>
      </c>
      <c r="G290" s="39" t="s">
        <v>16</v>
      </c>
      <c r="H290" s="110">
        <v>1669</v>
      </c>
      <c r="I290" s="138">
        <v>1669</v>
      </c>
      <c r="J290" s="138">
        <v>0.17200000002048901</v>
      </c>
      <c r="K290" s="137">
        <v>0</v>
      </c>
      <c r="L290" s="125">
        <v>1637</v>
      </c>
      <c r="M290" s="125">
        <v>3</v>
      </c>
      <c r="N290" s="125">
        <v>3</v>
      </c>
      <c r="O290" s="111">
        <f>((Tabela135[[#This Row],[Objetive value]]-Tabela135[[#This Row],[Objetive value/GATeS]])/Tabela135[[#This Row],[Objetive value]])*100</f>
        <v>1.9173157579388855</v>
      </c>
      <c r="P290" s="112">
        <v>1669</v>
      </c>
      <c r="Q290" s="112">
        <v>0.48</v>
      </c>
      <c r="R290" s="112">
        <v>0</v>
      </c>
      <c r="S290" s="112">
        <f>(((Tabela135[[#This Row],[Objetive value]]-Tabela135[[#This Row],[Objetive Value /H-R1]])/Tabela135[[#This Row],[Objetive value]]))*100</f>
        <v>0</v>
      </c>
      <c r="T290" s="113">
        <v>1669</v>
      </c>
      <c r="U290" s="113">
        <v>0.32</v>
      </c>
      <c r="V290" s="113">
        <v>0</v>
      </c>
      <c r="W290" s="113">
        <f>(((Tabela135[[#This Row],[Objetive value]]-Tabela135[[#This Row],[Objetive value /H-R2]])/Tabela135[[#This Row],[Objetive value]]))*100</f>
        <v>0</v>
      </c>
    </row>
    <row r="291" spans="1:23" x14ac:dyDescent="0.25">
      <c r="A291" s="34" t="s">
        <v>148</v>
      </c>
      <c r="B291" s="39" t="s">
        <v>161</v>
      </c>
      <c r="C291" s="3">
        <v>300</v>
      </c>
      <c r="D291" s="3">
        <v>0.15</v>
      </c>
      <c r="E291" s="3">
        <v>10</v>
      </c>
      <c r="F291" s="39" t="s">
        <v>13</v>
      </c>
      <c r="G291" s="39" t="s">
        <v>14</v>
      </c>
      <c r="H291" s="110">
        <v>5114</v>
      </c>
      <c r="I291" s="138">
        <v>5114</v>
      </c>
      <c r="J291" s="138">
        <v>1.32800000009592</v>
      </c>
      <c r="K291" s="137">
        <v>0</v>
      </c>
      <c r="L291" s="125">
        <v>4978</v>
      </c>
      <c r="M291" s="125">
        <v>11</v>
      </c>
      <c r="N291" s="125">
        <v>5</v>
      </c>
      <c r="O291" s="111">
        <f>((Tabela135[[#This Row],[Objetive value]]-Tabela135[[#This Row],[Objetive value/GATeS]])/Tabela135[[#This Row],[Objetive value]])*100</f>
        <v>2.6593664450527963</v>
      </c>
      <c r="P291" s="112">
        <v>5093</v>
      </c>
      <c r="Q291" s="112">
        <v>0.45</v>
      </c>
      <c r="R291" s="112">
        <v>0</v>
      </c>
      <c r="S291" s="112">
        <f>(((Tabela135[[#This Row],[Objetive value]]-Tabela135[[#This Row],[Objetive Value /H-R1]])/Tabela135[[#This Row],[Objetive value]]))*100</f>
        <v>0.41063746578021115</v>
      </c>
      <c r="T291" s="113">
        <v>4936</v>
      </c>
      <c r="U291" s="113">
        <v>0.31</v>
      </c>
      <c r="V291" s="113">
        <v>0</v>
      </c>
      <c r="W291" s="113">
        <f>(((Tabela135[[#This Row],[Objetive value]]-Tabela135[[#This Row],[Objetive value /H-R2]])/Tabela135[[#This Row],[Objetive value]]))*100</f>
        <v>3.4806413766132187</v>
      </c>
    </row>
    <row r="292" spans="1:23" s="34" customFormat="1" x14ac:dyDescent="0.25">
      <c r="A292" s="3" t="s">
        <v>148</v>
      </c>
      <c r="B292" s="39" t="s">
        <v>162</v>
      </c>
      <c r="C292" s="3">
        <v>300</v>
      </c>
      <c r="D292" s="3">
        <v>0.15</v>
      </c>
      <c r="E292" s="3">
        <v>10</v>
      </c>
      <c r="F292" s="39" t="s">
        <v>13</v>
      </c>
      <c r="G292" s="39" t="s">
        <v>16</v>
      </c>
      <c r="H292" s="110">
        <v>3803</v>
      </c>
      <c r="I292" s="138">
        <v>3803</v>
      </c>
      <c r="J292" s="138">
        <v>1.9070000000065099</v>
      </c>
      <c r="K292" s="137">
        <v>0</v>
      </c>
      <c r="L292" s="125">
        <v>3761</v>
      </c>
      <c r="M292" s="125">
        <v>13</v>
      </c>
      <c r="N292" s="125">
        <v>9</v>
      </c>
      <c r="O292" s="111">
        <f>((Tabela135[[#This Row],[Objetive value]]-Tabela135[[#This Row],[Objetive value/GATeS]])/Tabela135[[#This Row],[Objetive value]])*100</f>
        <v>1.1043912700499605</v>
      </c>
      <c r="P292" s="112">
        <v>3755</v>
      </c>
      <c r="Q292" s="112">
        <v>0.53</v>
      </c>
      <c r="R292" s="112">
        <v>0</v>
      </c>
      <c r="S292" s="112">
        <f>(((Tabela135[[#This Row],[Objetive value]]-Tabela135[[#This Row],[Objetive Value /H-R1]])/Tabela135[[#This Row],[Objetive value]]))*100</f>
        <v>1.2621614514856692</v>
      </c>
      <c r="T292" s="113">
        <v>3771</v>
      </c>
      <c r="U292" s="113">
        <v>0.88</v>
      </c>
      <c r="V292" s="113">
        <v>0</v>
      </c>
      <c r="W292" s="113">
        <f>(((Tabela135[[#This Row],[Objetive value]]-Tabela135[[#This Row],[Objetive value /H-R2]])/Tabela135[[#This Row],[Objetive value]]))*100</f>
        <v>0.84144096765711285</v>
      </c>
    </row>
    <row r="293" spans="1:23" s="34" customFormat="1" x14ac:dyDescent="0.25">
      <c r="A293" s="3" t="s">
        <v>148</v>
      </c>
      <c r="B293" s="39" t="s">
        <v>163</v>
      </c>
      <c r="C293" s="3">
        <v>300</v>
      </c>
      <c r="D293" s="3">
        <v>0.15</v>
      </c>
      <c r="E293" s="3">
        <v>10</v>
      </c>
      <c r="F293" s="39" t="s">
        <v>18</v>
      </c>
      <c r="G293" s="39" t="s">
        <v>14</v>
      </c>
      <c r="H293" s="110">
        <v>5794</v>
      </c>
      <c r="I293" s="138">
        <v>5794</v>
      </c>
      <c r="J293" s="138">
        <v>0.625</v>
      </c>
      <c r="K293" s="137">
        <v>0</v>
      </c>
      <c r="L293" s="125">
        <v>5761</v>
      </c>
      <c r="M293" s="125">
        <v>13</v>
      </c>
      <c r="N293" s="125">
        <v>4</v>
      </c>
      <c r="O293" s="111">
        <f>((Tabela135[[#This Row],[Objetive value]]-Tabela135[[#This Row],[Objetive value/GATeS]])/Tabela135[[#This Row],[Objetive value]])*100</f>
        <v>0.56955471177079742</v>
      </c>
      <c r="P293" s="112">
        <v>5794</v>
      </c>
      <c r="Q293" s="112">
        <v>0.39</v>
      </c>
      <c r="R293" s="112">
        <v>0</v>
      </c>
      <c r="S293" s="112">
        <f>(((Tabela135[[#This Row],[Objetive value]]-Tabela135[[#This Row],[Objetive Value /H-R1]])/Tabela135[[#This Row],[Objetive value]]))*100</f>
        <v>0</v>
      </c>
      <c r="T293" s="113">
        <v>5794</v>
      </c>
      <c r="U293" s="113">
        <v>0.45</v>
      </c>
      <c r="V293" s="113">
        <v>0</v>
      </c>
      <c r="W293" s="113">
        <f>(((Tabela135[[#This Row],[Objetive value]]-Tabela135[[#This Row],[Objetive value /H-R2]])/Tabela135[[#This Row],[Objetive value]]))*100</f>
        <v>0</v>
      </c>
    </row>
    <row r="294" spans="1:23" s="34" customFormat="1" x14ac:dyDescent="0.25">
      <c r="A294" s="3" t="s">
        <v>148</v>
      </c>
      <c r="B294" s="39" t="s">
        <v>164</v>
      </c>
      <c r="C294" s="3">
        <v>300</v>
      </c>
      <c r="D294" s="3">
        <v>0.15</v>
      </c>
      <c r="E294" s="3">
        <v>10</v>
      </c>
      <c r="F294" s="39" t="s">
        <v>18</v>
      </c>
      <c r="G294" s="39" t="s">
        <v>16</v>
      </c>
      <c r="H294" s="110">
        <v>3906</v>
      </c>
      <c r="I294" s="138">
        <v>3906</v>
      </c>
      <c r="J294" s="138">
        <v>1.625</v>
      </c>
      <c r="K294" s="137">
        <v>0</v>
      </c>
      <c r="L294" s="125">
        <v>3832</v>
      </c>
      <c r="M294" s="125">
        <v>14</v>
      </c>
      <c r="N294" s="125">
        <v>8</v>
      </c>
      <c r="O294" s="111">
        <f>((Tabela135[[#This Row],[Objetive value]]-Tabela135[[#This Row],[Objetive value/GATeS]])/Tabela135[[#This Row],[Objetive value]])*100</f>
        <v>1.894521249359959</v>
      </c>
      <c r="P294" s="112">
        <v>3798</v>
      </c>
      <c r="Q294" s="112">
        <v>0.41</v>
      </c>
      <c r="R294" s="112">
        <v>0</v>
      </c>
      <c r="S294" s="112">
        <f>(((Tabela135[[#This Row],[Objetive value]]-Tabela135[[#This Row],[Objetive Value /H-R1]])/Tabela135[[#This Row],[Objetive value]]))*100</f>
        <v>2.7649769585253456</v>
      </c>
      <c r="T294" s="113">
        <v>3814</v>
      </c>
      <c r="U294" s="113">
        <v>0.49</v>
      </c>
      <c r="V294" s="113">
        <v>0</v>
      </c>
      <c r="W294" s="113">
        <f>(((Tabela135[[#This Row],[Objetive value]]-Tabela135[[#This Row],[Objetive value /H-R2]])/Tabela135[[#This Row],[Objetive value]]))*100</f>
        <v>2.3553507424475169</v>
      </c>
    </row>
    <row r="295" spans="1:23" s="34" customFormat="1" x14ac:dyDescent="0.25">
      <c r="A295" s="3" t="s">
        <v>148</v>
      </c>
      <c r="B295" s="39" t="s">
        <v>165</v>
      </c>
      <c r="C295" s="3">
        <v>300</v>
      </c>
      <c r="D295" s="3">
        <v>0.15</v>
      </c>
      <c r="E295" s="3">
        <v>10</v>
      </c>
      <c r="F295" s="39" t="s">
        <v>21</v>
      </c>
      <c r="G295" s="39" t="s">
        <v>14</v>
      </c>
      <c r="H295" s="110">
        <v>3861</v>
      </c>
      <c r="I295" s="138">
        <v>3861</v>
      </c>
      <c r="J295" s="138">
        <v>0.21799999999347999</v>
      </c>
      <c r="K295" s="137">
        <v>0</v>
      </c>
      <c r="L295" s="125">
        <v>3814</v>
      </c>
      <c r="M295" s="125">
        <v>8</v>
      </c>
      <c r="N295" s="125">
        <v>2</v>
      </c>
      <c r="O295" s="111">
        <f>((Tabela135[[#This Row],[Objetive value]]-Tabela135[[#This Row],[Objetive value/GATeS]])/Tabela135[[#This Row],[Objetive value]])*100</f>
        <v>1.2173012173012172</v>
      </c>
      <c r="P295" s="112">
        <v>2792</v>
      </c>
      <c r="Q295" s="112">
        <v>1.22</v>
      </c>
      <c r="R295" s="112">
        <v>0</v>
      </c>
      <c r="S295" s="112">
        <f>(((Tabela135[[#This Row],[Objetive value]]-Tabela135[[#This Row],[Objetive Value /H-R1]])/Tabela135[[#This Row],[Objetive value]]))*100</f>
        <v>27.687127687127688</v>
      </c>
      <c r="T295" s="113">
        <v>3861</v>
      </c>
      <c r="U295" s="113">
        <v>0.77</v>
      </c>
      <c r="V295" s="113">
        <v>0</v>
      </c>
      <c r="W295" s="113">
        <f>(((Tabela135[[#This Row],[Objetive value]]-Tabela135[[#This Row],[Objetive value /H-R2]])/Tabela135[[#This Row],[Objetive value]]))*100</f>
        <v>0</v>
      </c>
    </row>
    <row r="296" spans="1:23" s="34" customFormat="1" x14ac:dyDescent="0.25">
      <c r="A296" s="3" t="s">
        <v>148</v>
      </c>
      <c r="B296" s="39" t="s">
        <v>166</v>
      </c>
      <c r="C296" s="3">
        <v>300</v>
      </c>
      <c r="D296" s="3">
        <v>0.15</v>
      </c>
      <c r="E296" s="3">
        <v>10</v>
      </c>
      <c r="F296" s="39" t="s">
        <v>21</v>
      </c>
      <c r="G296" s="39" t="s">
        <v>16</v>
      </c>
      <c r="H296" s="110">
        <v>4029</v>
      </c>
      <c r="I296" s="138">
        <v>4029</v>
      </c>
      <c r="J296" s="138">
        <v>1.0150000000139601</v>
      </c>
      <c r="K296" s="137">
        <v>0</v>
      </c>
      <c r="L296" s="125">
        <v>4013</v>
      </c>
      <c r="M296" s="125">
        <v>18</v>
      </c>
      <c r="N296" s="125">
        <v>8</v>
      </c>
      <c r="O296" s="111">
        <f>((Tabela135[[#This Row],[Objetive value]]-Tabela135[[#This Row],[Objetive value/GATeS]])/Tabela135[[#This Row],[Objetive value]])*100</f>
        <v>0.39712087366592208</v>
      </c>
      <c r="P296" s="112">
        <v>4008</v>
      </c>
      <c r="Q296" s="112">
        <v>0.49</v>
      </c>
      <c r="R296" s="112">
        <v>0</v>
      </c>
      <c r="S296" s="112">
        <f>(((Tabela135[[#This Row],[Objetive value]]-Tabela135[[#This Row],[Objetive Value /H-R1]])/Tabela135[[#This Row],[Objetive value]]))*100</f>
        <v>0.52122114668652275</v>
      </c>
      <c r="T296" s="113">
        <v>4023</v>
      </c>
      <c r="U296" s="113">
        <v>0.41</v>
      </c>
      <c r="V296" s="113">
        <v>0</v>
      </c>
      <c r="W296" s="113">
        <f>(((Tabela135[[#This Row],[Objetive value]]-Tabela135[[#This Row],[Objetive value /H-R2]])/Tabela135[[#This Row],[Objetive value]]))*100</f>
        <v>0.14892032762472077</v>
      </c>
    </row>
    <row r="297" spans="1:23" s="34" customFormat="1" x14ac:dyDescent="0.25">
      <c r="A297" s="34" t="s">
        <v>167</v>
      </c>
      <c r="B297" s="39" t="s">
        <v>180</v>
      </c>
      <c r="C297" s="3">
        <v>300</v>
      </c>
      <c r="D297" s="3">
        <v>0.15</v>
      </c>
      <c r="E297" s="3">
        <v>15</v>
      </c>
      <c r="F297" s="39" t="s">
        <v>13</v>
      </c>
      <c r="G297" s="39" t="s">
        <v>14</v>
      </c>
      <c r="H297" s="110">
        <v>9464</v>
      </c>
      <c r="I297" s="138">
        <v>9464.0000000000291</v>
      </c>
      <c r="J297" s="138">
        <v>7.75</v>
      </c>
      <c r="K297" s="137">
        <v>0</v>
      </c>
      <c r="L297" s="125">
        <v>9077</v>
      </c>
      <c r="M297" s="125">
        <v>15</v>
      </c>
      <c r="N297" s="125">
        <v>2</v>
      </c>
      <c r="O297" s="111">
        <f>((Tabela135[[#This Row],[Objetive value]]-Tabela135[[#This Row],[Objetive value/GATeS]])/Tabela135[[#This Row],[Objetive value]])*100</f>
        <v>4.0891800507188076</v>
      </c>
      <c r="P297" s="112">
        <v>9246</v>
      </c>
      <c r="Q297" s="112">
        <v>0.47</v>
      </c>
      <c r="R297" s="112">
        <v>0</v>
      </c>
      <c r="S297" s="112">
        <f>(((Tabela135[[#This Row],[Objetive value]]-Tabela135[[#This Row],[Objetive Value /H-R1]])/Tabela135[[#This Row],[Objetive value]]))*100</f>
        <v>2.3034657650045269</v>
      </c>
      <c r="T297" s="113">
        <v>8745</v>
      </c>
      <c r="U297" s="113">
        <v>0.34</v>
      </c>
      <c r="V297" s="113">
        <v>0</v>
      </c>
      <c r="W297" s="113">
        <f>(((Tabela135[[#This Row],[Objetive value]]-Tabela135[[#This Row],[Objetive value /H-R2]])/Tabela135[[#This Row],[Objetive value]]))*100</f>
        <v>7.597210481826151</v>
      </c>
    </row>
    <row r="298" spans="1:23" s="34" customFormat="1" x14ac:dyDescent="0.25">
      <c r="A298" s="3" t="s">
        <v>167</v>
      </c>
      <c r="B298" s="39" t="s">
        <v>181</v>
      </c>
      <c r="C298" s="3">
        <v>300</v>
      </c>
      <c r="D298" s="3">
        <v>0.15</v>
      </c>
      <c r="E298" s="3">
        <v>15</v>
      </c>
      <c r="F298" s="39" t="s">
        <v>13</v>
      </c>
      <c r="G298" s="39" t="s">
        <v>16</v>
      </c>
      <c r="H298" s="110">
        <v>5387</v>
      </c>
      <c r="I298" s="138">
        <v>5387</v>
      </c>
      <c r="J298" s="138">
        <v>7.82799999997951</v>
      </c>
      <c r="K298" s="137">
        <v>0.43</v>
      </c>
      <c r="L298" s="125">
        <v>5326</v>
      </c>
      <c r="M298" s="125">
        <v>22</v>
      </c>
      <c r="N298" s="125">
        <v>6</v>
      </c>
      <c r="O298" s="111">
        <f>((Tabela135[[#This Row],[Objetive value]]-Tabela135[[#This Row],[Objetive value/GATeS]])/Tabela135[[#This Row],[Objetive value]])*100</f>
        <v>1.1323556710599592</v>
      </c>
      <c r="P298" s="112">
        <v>5310</v>
      </c>
      <c r="Q298" s="112">
        <v>0.59</v>
      </c>
      <c r="R298" s="112">
        <v>0</v>
      </c>
      <c r="S298" s="112">
        <f>(((Tabela135[[#This Row],[Objetive value]]-Tabela135[[#This Row],[Objetive Value /H-R1]])/Tabela135[[#This Row],[Objetive value]]))*100</f>
        <v>1.4293669946166698</v>
      </c>
      <c r="T298" s="113">
        <v>5339</v>
      </c>
      <c r="U298" s="113">
        <v>0.47</v>
      </c>
      <c r="V298" s="113">
        <v>0</v>
      </c>
      <c r="W298" s="113">
        <f>(((Tabela135[[#This Row],[Objetive value]]-Tabela135[[#This Row],[Objetive value /H-R2]])/Tabela135[[#This Row],[Objetive value]]))*100</f>
        <v>0.8910339706701319</v>
      </c>
    </row>
    <row r="299" spans="1:23" s="34" customFormat="1" x14ac:dyDescent="0.25">
      <c r="A299" s="3" t="s">
        <v>167</v>
      </c>
      <c r="B299" s="39" t="s">
        <v>182</v>
      </c>
      <c r="C299" s="3">
        <v>300</v>
      </c>
      <c r="D299" s="3">
        <v>0.15</v>
      </c>
      <c r="E299" s="3">
        <v>15</v>
      </c>
      <c r="F299" s="39" t="s">
        <v>18</v>
      </c>
      <c r="G299" s="39" t="s">
        <v>14</v>
      </c>
      <c r="H299" s="110">
        <v>11325</v>
      </c>
      <c r="I299" s="138">
        <v>11325</v>
      </c>
      <c r="J299" s="138">
        <v>5.2179999999934799</v>
      </c>
      <c r="K299" s="137">
        <v>0</v>
      </c>
      <c r="L299" s="125">
        <v>11306</v>
      </c>
      <c r="M299" s="125">
        <v>18</v>
      </c>
      <c r="N299" s="125">
        <v>0</v>
      </c>
      <c r="O299" s="111">
        <f>((Tabela135[[#This Row],[Objetive value]]-Tabela135[[#This Row],[Objetive value/GATeS]])/Tabela135[[#This Row],[Objetive value]])*100</f>
        <v>0.16777041942604856</v>
      </c>
      <c r="P299" s="112">
        <v>10769</v>
      </c>
      <c r="Q299" s="112">
        <v>0.44</v>
      </c>
      <c r="R299" s="112">
        <v>0</v>
      </c>
      <c r="S299" s="112">
        <f>(((Tabela135[[#This Row],[Objetive value]]-Tabela135[[#This Row],[Objetive Value /H-R1]])/Tabela135[[#This Row],[Objetive value]]))*100</f>
        <v>4.9094922737306845</v>
      </c>
      <c r="T299" s="113">
        <v>10552</v>
      </c>
      <c r="U299" s="113">
        <v>0.46</v>
      </c>
      <c r="V299" s="113">
        <v>0</v>
      </c>
      <c r="W299" s="113">
        <f>(((Tabela135[[#This Row],[Objetive value]]-Tabela135[[#This Row],[Objetive value /H-R2]])/Tabela135[[#This Row],[Objetive value]]))*100</f>
        <v>6.8256070640176594</v>
      </c>
    </row>
    <row r="300" spans="1:23" s="34" customFormat="1" x14ac:dyDescent="0.25">
      <c r="A300" s="3" t="s">
        <v>167</v>
      </c>
      <c r="B300" s="39" t="s">
        <v>183</v>
      </c>
      <c r="C300" s="3">
        <v>300</v>
      </c>
      <c r="D300" s="3">
        <v>0.15</v>
      </c>
      <c r="E300" s="3">
        <v>15</v>
      </c>
      <c r="F300" s="39" t="s">
        <v>18</v>
      </c>
      <c r="G300" s="39" t="s">
        <v>16</v>
      </c>
      <c r="H300" s="110">
        <v>5373</v>
      </c>
      <c r="I300" s="138">
        <v>5373</v>
      </c>
      <c r="J300" s="138">
        <v>5.9370000000344501</v>
      </c>
      <c r="K300" s="137">
        <v>0</v>
      </c>
      <c r="L300" s="125">
        <v>5353</v>
      </c>
      <c r="M300" s="125">
        <v>27</v>
      </c>
      <c r="N300" s="125">
        <v>22</v>
      </c>
      <c r="O300" s="111">
        <f>((Tabela135[[#This Row],[Objetive value]]-Tabela135[[#This Row],[Objetive value/GATeS]])/Tabela135[[#This Row],[Objetive value]])*100</f>
        <v>0.37223152801042247</v>
      </c>
      <c r="P300" s="112">
        <v>5273</v>
      </c>
      <c r="Q300" s="112">
        <v>0.57999999999999996</v>
      </c>
      <c r="R300" s="112">
        <v>0</v>
      </c>
      <c r="S300" s="112">
        <f>(((Tabela135[[#This Row],[Objetive value]]-Tabela135[[#This Row],[Objetive Value /H-R1]])/Tabela135[[#This Row],[Objetive value]]))*100</f>
        <v>1.8611576400521124</v>
      </c>
      <c r="T300" s="113">
        <v>5198</v>
      </c>
      <c r="U300" s="113">
        <v>0.35</v>
      </c>
      <c r="V300" s="113">
        <v>0</v>
      </c>
      <c r="W300" s="113">
        <f>(((Tabela135[[#This Row],[Objetive value]]-Tabela135[[#This Row],[Objetive value /H-R2]])/Tabela135[[#This Row],[Objetive value]]))*100</f>
        <v>3.2570258700911965</v>
      </c>
    </row>
    <row r="301" spans="1:23" s="34" customFormat="1" x14ac:dyDescent="0.25">
      <c r="A301" s="3" t="s">
        <v>167</v>
      </c>
      <c r="B301" s="39" t="s">
        <v>184</v>
      </c>
      <c r="C301" s="3">
        <v>300</v>
      </c>
      <c r="D301" s="3">
        <v>0.15</v>
      </c>
      <c r="E301" s="3">
        <v>15</v>
      </c>
      <c r="F301" s="39" t="s">
        <v>21</v>
      </c>
      <c r="G301" s="39" t="s">
        <v>14</v>
      </c>
      <c r="H301" s="110">
        <v>7237</v>
      </c>
      <c r="I301" s="138">
        <v>7237</v>
      </c>
      <c r="J301" s="138">
        <v>0.90599999995902103</v>
      </c>
      <c r="K301" s="137">
        <v>0</v>
      </c>
      <c r="L301" s="125">
        <v>6746</v>
      </c>
      <c r="M301" s="125">
        <v>121</v>
      </c>
      <c r="N301" s="125">
        <v>119</v>
      </c>
      <c r="O301" s="111">
        <f>((Tabela135[[#This Row],[Objetive value]]-Tabela135[[#This Row],[Objetive value/GATeS]])/Tabela135[[#This Row],[Objetive value]])*100</f>
        <v>6.7845792455437346</v>
      </c>
      <c r="P301" s="112">
        <v>2023</v>
      </c>
      <c r="Q301" s="112">
        <v>3</v>
      </c>
      <c r="R301" s="112">
        <v>0</v>
      </c>
      <c r="S301" s="112">
        <f>(((Tabela135[[#This Row],[Objetive value]]-Tabela135[[#This Row],[Objetive Value /H-R1]])/Tabela135[[#This Row],[Objetive value]]))*100</f>
        <v>72.046428077932845</v>
      </c>
      <c r="T301" s="113">
        <v>4901</v>
      </c>
      <c r="U301" s="113">
        <v>1.7</v>
      </c>
      <c r="V301" s="113">
        <v>0</v>
      </c>
      <c r="W301" s="113">
        <f>(((Tabela135[[#This Row],[Objetive value]]-Tabela135[[#This Row],[Objetive value /H-R2]])/Tabela135[[#This Row],[Objetive value]]))*100</f>
        <v>32.278568467597069</v>
      </c>
    </row>
    <row r="302" spans="1:23" s="34" customFormat="1" x14ac:dyDescent="0.25">
      <c r="A302" s="3" t="s">
        <v>167</v>
      </c>
      <c r="B302" s="39" t="s">
        <v>185</v>
      </c>
      <c r="C302" s="3">
        <v>300</v>
      </c>
      <c r="D302" s="3">
        <v>0.15</v>
      </c>
      <c r="E302" s="3">
        <v>15</v>
      </c>
      <c r="F302" s="39" t="s">
        <v>21</v>
      </c>
      <c r="G302" s="39" t="s">
        <v>16</v>
      </c>
      <c r="H302" s="110">
        <v>5171</v>
      </c>
      <c r="I302" s="138">
        <v>5171</v>
      </c>
      <c r="J302" s="138">
        <v>2.0929999999934799</v>
      </c>
      <c r="K302" s="137">
        <v>0.01</v>
      </c>
      <c r="L302" s="125">
        <v>5150</v>
      </c>
      <c r="M302" s="125">
        <v>23</v>
      </c>
      <c r="N302" s="125">
        <v>15</v>
      </c>
      <c r="O302" s="111">
        <f>((Tabela135[[#This Row],[Objetive value]]-Tabela135[[#This Row],[Objetive value/GATeS]])/Tabela135[[#This Row],[Objetive value]])*100</f>
        <v>0.40611100367433761</v>
      </c>
      <c r="P302" s="112">
        <v>5061</v>
      </c>
      <c r="Q302" s="112">
        <v>0.49</v>
      </c>
      <c r="R302" s="112">
        <v>0</v>
      </c>
      <c r="S302" s="112">
        <f>(((Tabela135[[#This Row],[Objetive value]]-Tabela135[[#This Row],[Objetive Value /H-R1]])/Tabela135[[#This Row],[Objetive value]]))*100</f>
        <v>2.127248114484626</v>
      </c>
      <c r="T302" s="113">
        <v>5061</v>
      </c>
      <c r="U302" s="113">
        <v>0.39</v>
      </c>
      <c r="V302" s="113">
        <v>0</v>
      </c>
      <c r="W302" s="113">
        <f>(((Tabela135[[#This Row],[Objetive value]]-Tabela135[[#This Row],[Objetive value /H-R2]])/Tabela135[[#This Row],[Objetive value]]))*100</f>
        <v>2.127248114484626</v>
      </c>
    </row>
    <row r="303" spans="1:23" s="34" customFormat="1" x14ac:dyDescent="0.25">
      <c r="A303" s="3" t="s">
        <v>129</v>
      </c>
      <c r="B303" s="39" t="s">
        <v>142</v>
      </c>
      <c r="C303" s="3">
        <v>300</v>
      </c>
      <c r="D303" s="3">
        <v>0.15</v>
      </c>
      <c r="E303" s="3">
        <v>5</v>
      </c>
      <c r="F303" s="39" t="s">
        <v>13</v>
      </c>
      <c r="G303" s="39" t="s">
        <v>14</v>
      </c>
      <c r="H303" s="110">
        <v>3125</v>
      </c>
      <c r="I303" s="138">
        <v>3125</v>
      </c>
      <c r="J303" s="138">
        <v>0.171999999904073</v>
      </c>
      <c r="K303" s="137">
        <v>0</v>
      </c>
      <c r="L303" s="125">
        <v>3117</v>
      </c>
      <c r="M303" s="125">
        <v>6</v>
      </c>
      <c r="N303" s="125">
        <v>2</v>
      </c>
      <c r="O303" s="111">
        <f>((Tabela135[[#This Row],[Objetive value]]-Tabela135[[#This Row],[Objetive value/GATeS]])/Tabela135[[#This Row],[Objetive value]])*100</f>
        <v>0.25600000000000001</v>
      </c>
      <c r="P303" s="112">
        <v>3116</v>
      </c>
      <c r="Q303" s="112">
        <v>0.36</v>
      </c>
      <c r="R303" s="112">
        <v>0</v>
      </c>
      <c r="S303" s="112">
        <f>(((Tabela135[[#This Row],[Objetive value]]-Tabela135[[#This Row],[Objetive Value /H-R1]])/Tabela135[[#This Row],[Objetive value]]))*100</f>
        <v>0.28800000000000003</v>
      </c>
      <c r="T303" s="113">
        <v>3116</v>
      </c>
      <c r="U303" s="113">
        <v>0.35</v>
      </c>
      <c r="V303" s="113">
        <v>0</v>
      </c>
      <c r="W303" s="113">
        <f>(((Tabela135[[#This Row],[Objetive value]]-Tabela135[[#This Row],[Objetive value /H-R2]])/Tabela135[[#This Row],[Objetive value]]))*100</f>
        <v>0.28800000000000003</v>
      </c>
    </row>
    <row r="304" spans="1:23" s="34" customFormat="1" x14ac:dyDescent="0.25">
      <c r="A304" s="3" t="s">
        <v>129</v>
      </c>
      <c r="B304" s="39" t="s">
        <v>143</v>
      </c>
      <c r="C304" s="3">
        <v>300</v>
      </c>
      <c r="D304" s="3">
        <v>0.15</v>
      </c>
      <c r="E304" s="3">
        <v>5</v>
      </c>
      <c r="F304" s="39" t="s">
        <v>13</v>
      </c>
      <c r="G304" s="39" t="s">
        <v>16</v>
      </c>
      <c r="H304" s="110">
        <v>2189</v>
      </c>
      <c r="I304" s="138">
        <v>2189</v>
      </c>
      <c r="J304" s="138">
        <v>0.140999999945051</v>
      </c>
      <c r="K304" s="137">
        <v>0</v>
      </c>
      <c r="L304" s="125">
        <v>2188</v>
      </c>
      <c r="M304" s="125">
        <v>6</v>
      </c>
      <c r="N304" s="125">
        <v>5</v>
      </c>
      <c r="O304" s="111">
        <f>((Tabela135[[#This Row],[Objetive value]]-Tabela135[[#This Row],[Objetive value/GATeS]])/Tabela135[[#This Row],[Objetive value]])*100</f>
        <v>4.5682960255824578E-2</v>
      </c>
      <c r="P304" s="112">
        <v>2189</v>
      </c>
      <c r="Q304" s="112">
        <v>0.28000000000000003</v>
      </c>
      <c r="R304" s="112">
        <v>0</v>
      </c>
      <c r="S304" s="112">
        <f>(((Tabela135[[#This Row],[Objetive value]]-Tabela135[[#This Row],[Objetive Value /H-R1]])/Tabela135[[#This Row],[Objetive value]]))*100</f>
        <v>0</v>
      </c>
      <c r="T304" s="113">
        <v>2189</v>
      </c>
      <c r="U304" s="113">
        <v>0.27</v>
      </c>
      <c r="V304" s="113">
        <v>0</v>
      </c>
      <c r="W304" s="113">
        <f>(((Tabela135[[#This Row],[Objetive value]]-Tabela135[[#This Row],[Objetive value /H-R2]])/Tabela135[[#This Row],[Objetive value]]))*100</f>
        <v>0</v>
      </c>
    </row>
    <row r="305" spans="1:23" s="34" customFormat="1" x14ac:dyDescent="0.25">
      <c r="A305" s="3" t="s">
        <v>129</v>
      </c>
      <c r="B305" s="39" t="s">
        <v>144</v>
      </c>
      <c r="C305" s="3">
        <v>300</v>
      </c>
      <c r="D305" s="3">
        <v>0.15</v>
      </c>
      <c r="E305" s="3">
        <v>5</v>
      </c>
      <c r="F305" s="39" t="s">
        <v>18</v>
      </c>
      <c r="G305" s="39" t="s">
        <v>14</v>
      </c>
      <c r="H305" s="110">
        <v>3012</v>
      </c>
      <c r="I305" s="138">
        <v>3012</v>
      </c>
      <c r="J305" s="138">
        <v>0.17099999997299101</v>
      </c>
      <c r="K305" s="137">
        <v>0</v>
      </c>
      <c r="L305" s="125">
        <v>3005</v>
      </c>
      <c r="M305" s="125">
        <v>5</v>
      </c>
      <c r="N305" s="125">
        <v>0</v>
      </c>
      <c r="O305" s="111">
        <f>((Tabela135[[#This Row],[Objetive value]]-Tabela135[[#This Row],[Objetive value/GATeS]])/Tabela135[[#This Row],[Objetive value]])*100</f>
        <v>0.23240371845949537</v>
      </c>
      <c r="P305" s="112">
        <v>2261</v>
      </c>
      <c r="Q305" s="112">
        <v>0.35</v>
      </c>
      <c r="R305" s="112">
        <v>0</v>
      </c>
      <c r="S305" s="112">
        <f>(((Tabela135[[#This Row],[Objetive value]]-Tabela135[[#This Row],[Objetive Value /H-R1]])/Tabela135[[#This Row],[Objetive value]]))*100</f>
        <v>24.933598937583</v>
      </c>
      <c r="T305" s="113">
        <v>2246</v>
      </c>
      <c r="U305" s="113">
        <v>0.3</v>
      </c>
      <c r="V305" s="113">
        <v>0</v>
      </c>
      <c r="W305" s="113">
        <f>(((Tabela135[[#This Row],[Objetive value]]-Tabela135[[#This Row],[Objetive value /H-R2]])/Tabela135[[#This Row],[Objetive value]]))*100</f>
        <v>25.431606905710492</v>
      </c>
    </row>
    <row r="306" spans="1:23" s="34" customFormat="1" x14ac:dyDescent="0.25">
      <c r="A306" s="3" t="s">
        <v>129</v>
      </c>
      <c r="B306" s="39" t="s">
        <v>145</v>
      </c>
      <c r="C306" s="3">
        <v>300</v>
      </c>
      <c r="D306" s="3">
        <v>0.15</v>
      </c>
      <c r="E306" s="3">
        <v>5</v>
      </c>
      <c r="F306" s="39" t="s">
        <v>18</v>
      </c>
      <c r="G306" s="39" t="s">
        <v>16</v>
      </c>
      <c r="H306" s="110">
        <v>2177</v>
      </c>
      <c r="I306" s="138">
        <v>2177</v>
      </c>
      <c r="J306" s="138">
        <v>0.18700000003445799</v>
      </c>
      <c r="K306" s="137">
        <v>0</v>
      </c>
      <c r="L306" s="125">
        <v>2172</v>
      </c>
      <c r="M306" s="125">
        <v>5</v>
      </c>
      <c r="N306" s="125">
        <v>4</v>
      </c>
      <c r="O306" s="111">
        <f>((Tabela135[[#This Row],[Objetive value]]-Tabela135[[#This Row],[Objetive value/GATeS]])/Tabela135[[#This Row],[Objetive value]])*100</f>
        <v>0.22967386311437757</v>
      </c>
      <c r="P306" s="112">
        <v>2169</v>
      </c>
      <c r="Q306" s="112">
        <v>0.47</v>
      </c>
      <c r="R306" s="112">
        <v>0</v>
      </c>
      <c r="S306" s="112">
        <f>(((Tabela135[[#This Row],[Objetive value]]-Tabela135[[#This Row],[Objetive Value /H-R1]])/Tabela135[[#This Row],[Objetive value]]))*100</f>
        <v>0.36747818098300411</v>
      </c>
      <c r="T306" s="113">
        <v>2169</v>
      </c>
      <c r="U306" s="113">
        <v>0.26</v>
      </c>
      <c r="V306" s="113">
        <v>0</v>
      </c>
      <c r="W306" s="113">
        <f>(((Tabela135[[#This Row],[Objetive value]]-Tabela135[[#This Row],[Objetive value /H-R2]])/Tabela135[[#This Row],[Objetive value]]))*100</f>
        <v>0.36747818098300411</v>
      </c>
    </row>
    <row r="307" spans="1:23" s="34" customFormat="1" x14ac:dyDescent="0.25">
      <c r="A307" s="3" t="s">
        <v>129</v>
      </c>
      <c r="B307" s="39" t="s">
        <v>146</v>
      </c>
      <c r="C307" s="3">
        <v>300</v>
      </c>
      <c r="D307" s="3">
        <v>0.15</v>
      </c>
      <c r="E307" s="3">
        <v>5</v>
      </c>
      <c r="F307" s="39" t="s">
        <v>21</v>
      </c>
      <c r="G307" s="39" t="s">
        <v>14</v>
      </c>
      <c r="H307" s="110">
        <v>1748</v>
      </c>
      <c r="I307" s="138">
        <v>1748</v>
      </c>
      <c r="J307" s="138">
        <v>0.21799999999347999</v>
      </c>
      <c r="K307" s="137">
        <v>0</v>
      </c>
      <c r="L307" s="125">
        <v>1732</v>
      </c>
      <c r="M307" s="125">
        <v>3</v>
      </c>
      <c r="N307" s="125">
        <v>0</v>
      </c>
      <c r="O307" s="111">
        <f>((Tabela135[[#This Row],[Objetive value]]-Tabela135[[#This Row],[Objetive value/GATeS]])/Tabela135[[#This Row],[Objetive value]])*100</f>
        <v>0.91533180778032042</v>
      </c>
      <c r="P307" s="112">
        <v>937</v>
      </c>
      <c r="Q307" s="112">
        <v>1</v>
      </c>
      <c r="R307" s="112">
        <v>0</v>
      </c>
      <c r="S307" s="112">
        <f>(((Tabela135[[#This Row],[Objetive value]]-Tabela135[[#This Row],[Objetive Value /H-R1]])/Tabela135[[#This Row],[Objetive value]]))*100</f>
        <v>46.39588100686499</v>
      </c>
      <c r="T307" s="113">
        <v>1748</v>
      </c>
      <c r="U307" s="113">
        <v>0.83</v>
      </c>
      <c r="V307" s="113">
        <v>0</v>
      </c>
      <c r="W307" s="113">
        <f>(((Tabela135[[#This Row],[Objetive value]]-Tabela135[[#This Row],[Objetive value /H-R2]])/Tabela135[[#This Row],[Objetive value]]))*100</f>
        <v>0</v>
      </c>
    </row>
    <row r="308" spans="1:23" s="34" customFormat="1" x14ac:dyDescent="0.25">
      <c r="A308" s="3" t="s">
        <v>129</v>
      </c>
      <c r="B308" s="39" t="s">
        <v>147</v>
      </c>
      <c r="C308" s="3">
        <v>300</v>
      </c>
      <c r="D308" s="3">
        <v>0.15</v>
      </c>
      <c r="E308" s="3">
        <v>5</v>
      </c>
      <c r="F308" s="39" t="s">
        <v>21</v>
      </c>
      <c r="G308" s="39" t="s">
        <v>16</v>
      </c>
      <c r="H308" s="110">
        <v>2268</v>
      </c>
      <c r="I308" s="138">
        <v>2268</v>
      </c>
      <c r="J308" s="138">
        <v>0.155999999959021</v>
      </c>
      <c r="K308" s="137">
        <v>0</v>
      </c>
      <c r="L308" s="125">
        <v>2093</v>
      </c>
      <c r="M308" s="125">
        <v>6</v>
      </c>
      <c r="N308" s="125">
        <v>3</v>
      </c>
      <c r="O308" s="111">
        <f>((Tabela135[[#This Row],[Objetive value]]-Tabela135[[#This Row],[Objetive value/GATeS]])/Tabela135[[#This Row],[Objetive value]])*100</f>
        <v>7.716049382716049</v>
      </c>
      <c r="P308" s="112">
        <v>2268</v>
      </c>
      <c r="Q308" s="112">
        <v>0.35</v>
      </c>
      <c r="R308" s="112">
        <v>0</v>
      </c>
      <c r="S308" s="112">
        <f>(((Tabela135[[#This Row],[Objetive value]]-Tabela135[[#This Row],[Objetive Value /H-R1]])/Tabela135[[#This Row],[Objetive value]]))*100</f>
        <v>0</v>
      </c>
      <c r="T308" s="113">
        <v>2268</v>
      </c>
      <c r="U308" s="113">
        <v>0.43</v>
      </c>
      <c r="V308" s="113">
        <v>0</v>
      </c>
      <c r="W308" s="113">
        <f>(((Tabela135[[#This Row],[Objetive value]]-Tabela135[[#This Row],[Objetive value /H-R2]])/Tabela135[[#This Row],[Objetive value]]))*100</f>
        <v>0</v>
      </c>
    </row>
    <row r="309" spans="1:23" s="34" customFormat="1" x14ac:dyDescent="0.25">
      <c r="A309" s="34" t="s">
        <v>148</v>
      </c>
      <c r="B309" s="39" t="s">
        <v>149</v>
      </c>
      <c r="C309" s="3">
        <v>300</v>
      </c>
      <c r="D309" s="3">
        <v>0.05</v>
      </c>
      <c r="E309" s="3">
        <v>10</v>
      </c>
      <c r="F309" s="39" t="s">
        <v>13</v>
      </c>
      <c r="G309" s="39" t="s">
        <v>14</v>
      </c>
      <c r="H309" s="110">
        <v>5732</v>
      </c>
      <c r="I309" s="138">
        <v>5732</v>
      </c>
      <c r="J309" s="138">
        <v>1.64099999994505</v>
      </c>
      <c r="K309" s="137">
        <v>0</v>
      </c>
      <c r="L309" s="125">
        <v>5672</v>
      </c>
      <c r="M309" s="125">
        <v>119</v>
      </c>
      <c r="N309" s="125">
        <v>0</v>
      </c>
      <c r="O309" s="111">
        <f>((Tabela135[[#This Row],[Objetive value]]-Tabela135[[#This Row],[Objetive value/GATeS]])/Tabela135[[#This Row],[Objetive value]])*100</f>
        <v>1.0467550593161199</v>
      </c>
      <c r="P309" s="112">
        <v>5693</v>
      </c>
      <c r="Q309" s="112">
        <v>0.45</v>
      </c>
      <c r="R309" s="112">
        <v>0</v>
      </c>
      <c r="S309" s="112">
        <f>(((Tabela135[[#This Row],[Objetive value]]-Tabela135[[#This Row],[Objetive Value /H-R1]])/Tabela135[[#This Row],[Objetive value]]))*100</f>
        <v>0.68039078855547808</v>
      </c>
      <c r="T309" s="113">
        <v>5557</v>
      </c>
      <c r="U309" s="113">
        <v>0.48</v>
      </c>
      <c r="V309" s="113">
        <v>0</v>
      </c>
      <c r="W309" s="113">
        <f>(((Tabela135[[#This Row],[Objetive value]]-Tabela135[[#This Row],[Objetive value /H-R2]])/Tabela135[[#This Row],[Objetive value]]))*100</f>
        <v>3.0530355896720169</v>
      </c>
    </row>
    <row r="310" spans="1:23" s="34" customFormat="1" x14ac:dyDescent="0.25">
      <c r="A310" s="3" t="s">
        <v>148</v>
      </c>
      <c r="B310" s="39" t="s">
        <v>150</v>
      </c>
      <c r="C310" s="3">
        <v>300</v>
      </c>
      <c r="D310" s="3">
        <v>0.05</v>
      </c>
      <c r="E310" s="3">
        <v>10</v>
      </c>
      <c r="F310" s="39" t="s">
        <v>13</v>
      </c>
      <c r="G310" s="39" t="s">
        <v>16</v>
      </c>
      <c r="H310" s="110">
        <v>3623</v>
      </c>
      <c r="I310" s="138">
        <v>3623</v>
      </c>
      <c r="J310" s="138">
        <v>1.85900000005494</v>
      </c>
      <c r="K310" s="137">
        <v>0</v>
      </c>
      <c r="L310" s="125">
        <v>3548</v>
      </c>
      <c r="M310" s="125">
        <v>10</v>
      </c>
      <c r="N310" s="125">
        <v>2</v>
      </c>
      <c r="O310" s="111">
        <f>((Tabela135[[#This Row],[Objetive value]]-Tabela135[[#This Row],[Objetive value/GATeS]])/Tabela135[[#This Row],[Objetive value]])*100</f>
        <v>2.0701076455975711</v>
      </c>
      <c r="P310" s="112">
        <v>3623</v>
      </c>
      <c r="Q310" s="112">
        <v>0.73</v>
      </c>
      <c r="R310" s="112">
        <v>0</v>
      </c>
      <c r="S310" s="112">
        <f>(((Tabela135[[#This Row],[Objetive value]]-Tabela135[[#This Row],[Objetive Value /H-R1]])/Tabela135[[#This Row],[Objetive value]]))*100</f>
        <v>0</v>
      </c>
      <c r="T310" s="113">
        <v>3623</v>
      </c>
      <c r="U310" s="113">
        <v>0.36</v>
      </c>
      <c r="V310" s="113">
        <v>0</v>
      </c>
      <c r="W310" s="113">
        <f>(((Tabela135[[#This Row],[Objetive value]]-Tabela135[[#This Row],[Objetive value /H-R2]])/Tabela135[[#This Row],[Objetive value]]))*100</f>
        <v>0</v>
      </c>
    </row>
    <row r="311" spans="1:23" s="34" customFormat="1" x14ac:dyDescent="0.25">
      <c r="A311" s="3" t="s">
        <v>148</v>
      </c>
      <c r="B311" s="39" t="s">
        <v>151</v>
      </c>
      <c r="C311" s="3">
        <v>300</v>
      </c>
      <c r="D311" s="3">
        <v>0.05</v>
      </c>
      <c r="E311" s="3">
        <v>10</v>
      </c>
      <c r="F311" s="39" t="s">
        <v>18</v>
      </c>
      <c r="G311" s="39" t="s">
        <v>14</v>
      </c>
      <c r="H311" s="110">
        <v>7298</v>
      </c>
      <c r="I311" s="138">
        <v>7298</v>
      </c>
      <c r="J311" s="138">
        <v>0.84400000004097797</v>
      </c>
      <c r="K311" s="137">
        <v>0</v>
      </c>
      <c r="L311" s="125">
        <v>7239</v>
      </c>
      <c r="M311" s="125">
        <v>14</v>
      </c>
      <c r="N311" s="125">
        <v>11</v>
      </c>
      <c r="O311" s="111">
        <f>((Tabela135[[#This Row],[Objetive value]]-Tabela135[[#This Row],[Objetive value/GATeS]])/Tabela135[[#This Row],[Objetive value]])*100</f>
        <v>0.80844066867634978</v>
      </c>
      <c r="P311" s="112">
        <v>7298</v>
      </c>
      <c r="Q311" s="112">
        <v>0.44</v>
      </c>
      <c r="R311" s="112">
        <v>0</v>
      </c>
      <c r="S311" s="112">
        <f>(((Tabela135[[#This Row],[Objetive value]]-Tabela135[[#This Row],[Objetive Value /H-R1]])/Tabela135[[#This Row],[Objetive value]]))*100</f>
        <v>0</v>
      </c>
      <c r="T311" s="113">
        <v>7027</v>
      </c>
      <c r="U311" s="113">
        <v>0.35</v>
      </c>
      <c r="V311" s="113">
        <v>0</v>
      </c>
      <c r="W311" s="113">
        <f>(((Tabela135[[#This Row],[Objetive value]]-Tabela135[[#This Row],[Objetive value /H-R2]])/Tabela135[[#This Row],[Objetive value]]))*100</f>
        <v>3.7133461222252673</v>
      </c>
    </row>
    <row r="312" spans="1:23" s="34" customFormat="1" x14ac:dyDescent="0.25">
      <c r="A312" s="3" t="s">
        <v>148</v>
      </c>
      <c r="B312" s="39" t="s">
        <v>152</v>
      </c>
      <c r="C312" s="3">
        <v>300</v>
      </c>
      <c r="D312" s="3">
        <v>0.05</v>
      </c>
      <c r="E312" s="3">
        <v>10</v>
      </c>
      <c r="F312" s="39" t="s">
        <v>18</v>
      </c>
      <c r="G312" s="39" t="s">
        <v>16</v>
      </c>
      <c r="H312" s="110">
        <v>3742</v>
      </c>
      <c r="I312" s="138">
        <v>3742</v>
      </c>
      <c r="J312" s="138">
        <v>1.09400000004097</v>
      </c>
      <c r="K312" s="137">
        <v>0</v>
      </c>
      <c r="L312" s="125">
        <v>3672</v>
      </c>
      <c r="M312" s="125">
        <v>17</v>
      </c>
      <c r="N312" s="125">
        <v>11</v>
      </c>
      <c r="O312" s="111">
        <f>((Tabela135[[#This Row],[Objetive value]]-Tabela135[[#This Row],[Objetive value/GATeS]])/Tabela135[[#This Row],[Objetive value]])*100</f>
        <v>1.870657402458578</v>
      </c>
      <c r="P312" s="112">
        <v>3658</v>
      </c>
      <c r="Q312" s="112">
        <v>0.38</v>
      </c>
      <c r="R312" s="112">
        <v>0</v>
      </c>
      <c r="S312" s="112">
        <f>(((Tabela135[[#This Row],[Objetive value]]-Tabela135[[#This Row],[Objetive Value /H-R1]])/Tabela135[[#This Row],[Objetive value]]))*100</f>
        <v>2.244788882950294</v>
      </c>
      <c r="T312" s="113">
        <v>3629</v>
      </c>
      <c r="U312" s="113">
        <v>0.55000000000000004</v>
      </c>
      <c r="V312" s="113">
        <v>0</v>
      </c>
      <c r="W312" s="113">
        <f>(((Tabela135[[#This Row],[Objetive value]]-Tabela135[[#This Row],[Objetive value /H-R2]])/Tabela135[[#This Row],[Objetive value]]))*100</f>
        <v>3.019775521111705</v>
      </c>
    </row>
    <row r="313" spans="1:23" s="34" customFormat="1" x14ac:dyDescent="0.25">
      <c r="A313" s="3" t="s">
        <v>148</v>
      </c>
      <c r="B313" s="39" t="s">
        <v>153</v>
      </c>
      <c r="C313" s="3">
        <v>300</v>
      </c>
      <c r="D313" s="3">
        <v>0.05</v>
      </c>
      <c r="E313" s="3">
        <v>10</v>
      </c>
      <c r="F313" s="39" t="s">
        <v>21</v>
      </c>
      <c r="G313" s="39" t="s">
        <v>14</v>
      </c>
      <c r="H313" s="110">
        <v>4524</v>
      </c>
      <c r="I313" s="138">
        <v>4524</v>
      </c>
      <c r="J313" s="138">
        <v>0.171999999904073</v>
      </c>
      <c r="K313" s="137">
        <v>0</v>
      </c>
      <c r="L313" s="125">
        <v>4195</v>
      </c>
      <c r="M313" s="125">
        <v>8</v>
      </c>
      <c r="N313" s="125">
        <v>3</v>
      </c>
      <c r="O313" s="111">
        <f>((Tabela135[[#This Row],[Objetive value]]-Tabela135[[#This Row],[Objetive value/GATeS]])/Tabela135[[#This Row],[Objetive value]])*100</f>
        <v>7.2723253757736517</v>
      </c>
      <c r="P313" s="112">
        <v>1296</v>
      </c>
      <c r="Q313" s="112">
        <v>2.13</v>
      </c>
      <c r="R313" s="112">
        <v>0</v>
      </c>
      <c r="S313" s="112">
        <f>(((Tabela135[[#This Row],[Objetive value]]-Tabela135[[#This Row],[Objetive Value /H-R1]])/Tabela135[[#This Row],[Objetive value]]))*100</f>
        <v>71.352785145888603</v>
      </c>
      <c r="T313" s="113">
        <v>4524</v>
      </c>
      <c r="U313" s="113">
        <v>0.39</v>
      </c>
      <c r="V313" s="113">
        <v>0</v>
      </c>
      <c r="W313" s="113">
        <f>(((Tabela135[[#This Row],[Objetive value]]-Tabela135[[#This Row],[Objetive value /H-R2]])/Tabela135[[#This Row],[Objetive value]]))*100</f>
        <v>0</v>
      </c>
    </row>
    <row r="314" spans="1:23" s="34" customFormat="1" x14ac:dyDescent="0.25">
      <c r="A314" s="3" t="s">
        <v>148</v>
      </c>
      <c r="B314" s="39" t="s">
        <v>154</v>
      </c>
      <c r="C314" s="3">
        <v>300</v>
      </c>
      <c r="D314" s="3">
        <v>0.05</v>
      </c>
      <c r="E314" s="3">
        <v>10</v>
      </c>
      <c r="F314" s="39" t="s">
        <v>21</v>
      </c>
      <c r="G314" s="39" t="s">
        <v>16</v>
      </c>
      <c r="H314" s="110">
        <v>3704</v>
      </c>
      <c r="I314" s="138">
        <v>3704</v>
      </c>
      <c r="J314" s="138">
        <v>0.89000000001396895</v>
      </c>
      <c r="K314" s="137">
        <v>0</v>
      </c>
      <c r="L314" s="125">
        <v>3673</v>
      </c>
      <c r="M314" s="125">
        <v>11</v>
      </c>
      <c r="N314" s="125">
        <v>5</v>
      </c>
      <c r="O314" s="111">
        <f>((Tabela135[[#This Row],[Objetive value]]-Tabela135[[#This Row],[Objetive value/GATeS]])/Tabela135[[#This Row],[Objetive value]])*100</f>
        <v>0.83693304535637159</v>
      </c>
      <c r="P314" s="112">
        <v>3627</v>
      </c>
      <c r="Q314" s="112">
        <v>0.37</v>
      </c>
      <c r="R314" s="112">
        <v>0</v>
      </c>
      <c r="S314" s="112">
        <f>(((Tabela135[[#This Row],[Objetive value]]-Tabela135[[#This Row],[Objetive Value /H-R1]])/Tabela135[[#This Row],[Objetive value]]))*100</f>
        <v>2.0788336933045359</v>
      </c>
      <c r="T314" s="113">
        <v>3627</v>
      </c>
      <c r="U314" s="113">
        <v>0.33</v>
      </c>
      <c r="V314" s="113">
        <v>0</v>
      </c>
      <c r="W314" s="113">
        <f>(((Tabela135[[#This Row],[Objetive value]]-Tabela135[[#This Row],[Objetive value /H-R2]])/Tabela135[[#This Row],[Objetive value]]))*100</f>
        <v>2.0788336933045359</v>
      </c>
    </row>
    <row r="315" spans="1:23" s="34" customFormat="1" x14ac:dyDescent="0.25">
      <c r="A315" s="34" t="s">
        <v>167</v>
      </c>
      <c r="B315" s="39" t="s">
        <v>168</v>
      </c>
      <c r="C315" s="3">
        <v>300</v>
      </c>
      <c r="D315" s="3">
        <v>0.05</v>
      </c>
      <c r="E315" s="3">
        <v>15</v>
      </c>
      <c r="F315" s="39" t="s">
        <v>13</v>
      </c>
      <c r="G315" s="39" t="s">
        <v>14</v>
      </c>
      <c r="H315" s="110">
        <v>7710</v>
      </c>
      <c r="I315" s="138">
        <v>7710</v>
      </c>
      <c r="J315" s="138">
        <v>7.5939999999245602</v>
      </c>
      <c r="K315" s="137">
        <v>0</v>
      </c>
      <c r="L315" s="125">
        <v>7427</v>
      </c>
      <c r="M315" s="125">
        <v>241</v>
      </c>
      <c r="N315" s="125">
        <v>1</v>
      </c>
      <c r="O315" s="111">
        <f>((Tabela135[[#This Row],[Objetive value]]-Tabela135[[#This Row],[Objetive value/GATeS]])/Tabela135[[#This Row],[Objetive value]])*100</f>
        <v>3.6705577172503245</v>
      </c>
      <c r="P315" s="112">
        <v>7710</v>
      </c>
      <c r="Q315" s="112">
        <v>0.46</v>
      </c>
      <c r="R315" s="112">
        <v>0</v>
      </c>
      <c r="S315" s="112">
        <f>(((Tabela135[[#This Row],[Objetive value]]-Tabela135[[#This Row],[Objetive Value /H-R1]])/Tabela135[[#This Row],[Objetive value]]))*100</f>
        <v>0</v>
      </c>
      <c r="T315" s="113">
        <v>7034</v>
      </c>
      <c r="U315" s="113">
        <v>0.47</v>
      </c>
      <c r="V315" s="113">
        <v>0</v>
      </c>
      <c r="W315" s="113">
        <f>(((Tabela135[[#This Row],[Objetive value]]-Tabela135[[#This Row],[Objetive value /H-R2]])/Tabela135[[#This Row],[Objetive value]]))*100</f>
        <v>8.767833981841763</v>
      </c>
    </row>
    <row r="316" spans="1:23" s="34" customFormat="1" x14ac:dyDescent="0.25">
      <c r="A316" s="3" t="s">
        <v>167</v>
      </c>
      <c r="B316" s="39" t="s">
        <v>169</v>
      </c>
      <c r="C316" s="3">
        <v>300</v>
      </c>
      <c r="D316" s="3">
        <v>0.05</v>
      </c>
      <c r="E316" s="3">
        <v>15</v>
      </c>
      <c r="F316" s="39" t="s">
        <v>13</v>
      </c>
      <c r="G316" s="39" t="s">
        <v>16</v>
      </c>
      <c r="H316" s="110">
        <v>5456</v>
      </c>
      <c r="I316" s="138">
        <v>5456.00000000001</v>
      </c>
      <c r="J316" s="138">
        <v>6.20300000009592</v>
      </c>
      <c r="K316" s="137">
        <v>0</v>
      </c>
      <c r="L316" s="125">
        <v>5380</v>
      </c>
      <c r="M316" s="125">
        <v>20</v>
      </c>
      <c r="N316" s="125">
        <v>5</v>
      </c>
      <c r="O316" s="111">
        <f>((Tabela135[[#This Row],[Objetive value]]-Tabela135[[#This Row],[Objetive value/GATeS]])/Tabela135[[#This Row],[Objetive value]])*100</f>
        <v>1.3929618768330254</v>
      </c>
      <c r="P316" s="112">
        <v>5456</v>
      </c>
      <c r="Q316" s="112">
        <v>0.61</v>
      </c>
      <c r="R316" s="112">
        <v>0</v>
      </c>
      <c r="S316" s="112">
        <f>(((Tabela135[[#This Row],[Objetive value]]-Tabela135[[#This Row],[Objetive Value /H-R1]])/Tabela135[[#This Row],[Objetive value]]))*100</f>
        <v>1.8336586729292877E-13</v>
      </c>
      <c r="T316" s="113">
        <v>5374</v>
      </c>
      <c r="U316" s="113">
        <v>0.37</v>
      </c>
      <c r="V316" s="113">
        <v>0</v>
      </c>
      <c r="W316" s="113">
        <f>(((Tabela135[[#This Row],[Objetive value]]-Tabela135[[#This Row],[Objetive value /H-R2]])/Tabela135[[#This Row],[Objetive value]]))*100</f>
        <v>1.5029325513198288</v>
      </c>
    </row>
    <row r="317" spans="1:23" s="34" customFormat="1" x14ac:dyDescent="0.25">
      <c r="A317" s="3" t="s">
        <v>167</v>
      </c>
      <c r="B317" s="39" t="s">
        <v>170</v>
      </c>
      <c r="C317" s="3">
        <v>300</v>
      </c>
      <c r="D317" s="3">
        <v>0.05</v>
      </c>
      <c r="E317" s="3">
        <v>15</v>
      </c>
      <c r="F317" s="39" t="s">
        <v>18</v>
      </c>
      <c r="G317" s="39" t="s">
        <v>14</v>
      </c>
      <c r="H317" s="110">
        <v>9486</v>
      </c>
      <c r="I317" s="138">
        <v>9486</v>
      </c>
      <c r="J317" s="138">
        <v>7.5</v>
      </c>
      <c r="K317" s="137">
        <v>0</v>
      </c>
      <c r="L317" s="125">
        <v>9223</v>
      </c>
      <c r="M317" s="125">
        <v>16</v>
      </c>
      <c r="N317" s="125">
        <v>0</v>
      </c>
      <c r="O317" s="111">
        <f>((Tabela135[[#This Row],[Objetive value]]-Tabela135[[#This Row],[Objetive value/GATeS]])/Tabela135[[#This Row],[Objetive value]])*100</f>
        <v>2.772506852203247</v>
      </c>
      <c r="P317" s="112">
        <v>9213</v>
      </c>
      <c r="Q317" s="112">
        <v>0.55000000000000004</v>
      </c>
      <c r="R317" s="112">
        <v>0</v>
      </c>
      <c r="S317" s="112">
        <f>(((Tabela135[[#This Row],[Objetive value]]-Tabela135[[#This Row],[Objetive Value /H-R1]])/Tabela135[[#This Row],[Objetive value]]))*100</f>
        <v>2.8779253636938646</v>
      </c>
      <c r="T317" s="113">
        <v>9150</v>
      </c>
      <c r="U317" s="113">
        <v>0.4</v>
      </c>
      <c r="V317" s="113">
        <v>0</v>
      </c>
      <c r="W317" s="113">
        <f>(((Tabela135[[#This Row],[Objetive value]]-Tabela135[[#This Row],[Objetive value /H-R2]])/Tabela135[[#This Row],[Objetive value]]))*100</f>
        <v>3.5420619860847569</v>
      </c>
    </row>
    <row r="318" spans="1:23" s="34" customFormat="1" x14ac:dyDescent="0.25">
      <c r="A318" s="3" t="s">
        <v>167</v>
      </c>
      <c r="B318" s="39" t="s">
        <v>171</v>
      </c>
      <c r="C318" s="3">
        <v>300</v>
      </c>
      <c r="D318" s="3">
        <v>0.05</v>
      </c>
      <c r="E318" s="3">
        <v>15</v>
      </c>
      <c r="F318" s="39" t="s">
        <v>18</v>
      </c>
      <c r="G318" s="39" t="s">
        <v>16</v>
      </c>
      <c r="H318" s="110">
        <v>5300</v>
      </c>
      <c r="I318" s="138">
        <v>5299.99999999999</v>
      </c>
      <c r="J318" s="138">
        <v>6.28099999995902</v>
      </c>
      <c r="K318" s="137">
        <v>0</v>
      </c>
      <c r="L318" s="125">
        <v>5287</v>
      </c>
      <c r="M318" s="125">
        <v>27</v>
      </c>
      <c r="N318" s="125">
        <v>15</v>
      </c>
      <c r="O318" s="111">
        <f>((Tabela135[[#This Row],[Objetive value]]-Tabela135[[#This Row],[Objetive value/GATeS]])/Tabela135[[#This Row],[Objetive value]])*100</f>
        <v>0.24528301886773624</v>
      </c>
      <c r="P318" s="112">
        <v>5025</v>
      </c>
      <c r="Q318" s="112">
        <v>0.64</v>
      </c>
      <c r="R318" s="112">
        <v>0</v>
      </c>
      <c r="S318" s="112">
        <f>(((Tabela135[[#This Row],[Objetive value]]-Tabela135[[#This Row],[Objetive Value /H-R1]])/Tabela135[[#This Row],[Objetive value]]))*100</f>
        <v>5.1886792452828399</v>
      </c>
      <c r="T318" s="113">
        <v>4948</v>
      </c>
      <c r="U318" s="113">
        <v>0.42</v>
      </c>
      <c r="V318" s="113">
        <v>0</v>
      </c>
      <c r="W318" s="113">
        <f>(((Tabela135[[#This Row],[Objetive value]]-Tabela135[[#This Row],[Objetive value /H-R2]])/Tabela135[[#This Row],[Objetive value]]))*100</f>
        <v>6.6415094339620877</v>
      </c>
    </row>
    <row r="319" spans="1:23" s="34" customFormat="1" x14ac:dyDescent="0.25">
      <c r="A319" s="3" t="s">
        <v>167</v>
      </c>
      <c r="B319" s="39" t="s">
        <v>172</v>
      </c>
      <c r="C319" s="3">
        <v>300</v>
      </c>
      <c r="D319" s="3">
        <v>0.05</v>
      </c>
      <c r="E319" s="3">
        <v>15</v>
      </c>
      <c r="F319" s="39" t="s">
        <v>21</v>
      </c>
      <c r="G319" s="39" t="s">
        <v>14</v>
      </c>
      <c r="H319" s="110">
        <v>6365</v>
      </c>
      <c r="I319" s="138">
        <v>6365</v>
      </c>
      <c r="J319" s="138">
        <v>1.78100000007543</v>
      </c>
      <c r="K319" s="137">
        <v>0</v>
      </c>
      <c r="L319" s="125">
        <v>6205</v>
      </c>
      <c r="M319" s="125">
        <v>15</v>
      </c>
      <c r="N319" s="125">
        <v>6</v>
      </c>
      <c r="O319" s="111">
        <f>((Tabela135[[#This Row],[Objetive value]]-Tabela135[[#This Row],[Objetive value/GATeS]])/Tabela135[[#This Row],[Objetive value]])*100</f>
        <v>2.5137470542026712</v>
      </c>
      <c r="P319" s="112">
        <v>1713</v>
      </c>
      <c r="Q319" s="112">
        <v>3.74</v>
      </c>
      <c r="R319" s="112">
        <v>0</v>
      </c>
      <c r="S319" s="112">
        <f>(((Tabela135[[#This Row],[Objetive value]]-Tabela135[[#This Row],[Objetive Value /H-R1]])/Tabela135[[#This Row],[Objetive value]]))*100</f>
        <v>73.08719560094265</v>
      </c>
      <c r="T319" s="113">
        <v>4260</v>
      </c>
      <c r="U319" s="113">
        <v>1.72</v>
      </c>
      <c r="V319" s="113">
        <v>0</v>
      </c>
      <c r="W319" s="113">
        <f>(((Tabela135[[#This Row],[Objetive value]]-Tabela135[[#This Row],[Objetive value /H-R2]])/Tabela135[[#This Row],[Objetive value]]))*100</f>
        <v>33.071484681853889</v>
      </c>
    </row>
    <row r="320" spans="1:23" s="34" customFormat="1" x14ac:dyDescent="0.25">
      <c r="A320" s="3" t="s">
        <v>167</v>
      </c>
      <c r="B320" s="39" t="s">
        <v>173</v>
      </c>
      <c r="C320" s="3">
        <v>300</v>
      </c>
      <c r="D320" s="3">
        <v>0.05</v>
      </c>
      <c r="E320" s="3">
        <v>15</v>
      </c>
      <c r="F320" s="39" t="s">
        <v>21</v>
      </c>
      <c r="G320" s="39" t="s">
        <v>16</v>
      </c>
      <c r="H320" s="110">
        <v>5415</v>
      </c>
      <c r="I320" s="138">
        <v>5415</v>
      </c>
      <c r="J320" s="138">
        <v>2.40599999995902</v>
      </c>
      <c r="K320" s="137">
        <v>0</v>
      </c>
      <c r="L320" s="125">
        <v>5363</v>
      </c>
      <c r="M320" s="125">
        <v>27</v>
      </c>
      <c r="N320" s="125">
        <v>2</v>
      </c>
      <c r="O320" s="111">
        <f>((Tabela135[[#This Row],[Objetive value]]-Tabela135[[#This Row],[Objetive value/GATeS]])/Tabela135[[#This Row],[Objetive value]])*100</f>
        <v>0.96029547553093253</v>
      </c>
      <c r="P320" s="112">
        <v>4796</v>
      </c>
      <c r="Q320" s="112">
        <v>0.57999999999999996</v>
      </c>
      <c r="R320" s="112">
        <v>0</v>
      </c>
      <c r="S320" s="112">
        <f>(((Tabela135[[#This Row],[Objetive value]]-Tabela135[[#This Row],[Objetive Value /H-R1]])/Tabela135[[#This Row],[Objetive value]]))*100</f>
        <v>11.431209602954755</v>
      </c>
      <c r="T320" s="113">
        <v>4946</v>
      </c>
      <c r="U320" s="113">
        <v>0.38</v>
      </c>
      <c r="V320" s="113">
        <v>0</v>
      </c>
      <c r="W320" s="113">
        <f>(((Tabela135[[#This Row],[Objetive value]]-Tabela135[[#This Row],[Objetive value /H-R2]])/Tabela135[[#This Row],[Objetive value]]))*100</f>
        <v>8.6611265004616804</v>
      </c>
    </row>
    <row r="321" spans="1:23" s="34" customFormat="1" x14ac:dyDescent="0.25">
      <c r="A321" s="3" t="s">
        <v>129</v>
      </c>
      <c r="B321" s="37" t="s">
        <v>130</v>
      </c>
      <c r="C321" s="3">
        <v>300</v>
      </c>
      <c r="D321" s="3">
        <v>0.05</v>
      </c>
      <c r="E321" s="3">
        <v>5</v>
      </c>
      <c r="F321" s="39" t="s">
        <v>13</v>
      </c>
      <c r="G321" s="39" t="s">
        <v>14</v>
      </c>
      <c r="H321" s="110">
        <v>3014</v>
      </c>
      <c r="I321" s="138">
        <v>3014</v>
      </c>
      <c r="J321" s="138">
        <v>0.17200000002048901</v>
      </c>
      <c r="K321" s="137">
        <v>0</v>
      </c>
      <c r="L321" s="125">
        <v>2870</v>
      </c>
      <c r="M321" s="125">
        <v>8</v>
      </c>
      <c r="N321" s="125">
        <v>0</v>
      </c>
      <c r="O321" s="111">
        <f>((Tabela135[[#This Row],[Objetive value]]-Tabela135[[#This Row],[Objetive value/GATeS]])/Tabela135[[#This Row],[Objetive value]])*100</f>
        <v>4.7777040477770409</v>
      </c>
      <c r="P321" s="112">
        <v>2715</v>
      </c>
      <c r="Q321" s="112">
        <v>0.36</v>
      </c>
      <c r="R321" s="112">
        <v>0</v>
      </c>
      <c r="S321" s="112">
        <f>(((Tabela135[[#This Row],[Objetive value]]-Tabela135[[#This Row],[Objetive Value /H-R1]])/Tabela135[[#This Row],[Objetive value]]))*100</f>
        <v>9.9203715992037154</v>
      </c>
      <c r="T321" s="113">
        <v>2881</v>
      </c>
      <c r="U321" s="113">
        <v>0.54</v>
      </c>
      <c r="V321" s="113">
        <v>0</v>
      </c>
      <c r="W321" s="113">
        <f>(((Tabela135[[#This Row],[Objetive value]]-Tabela135[[#This Row],[Objetive value /H-R2]])/Tabela135[[#This Row],[Objetive value]]))*100</f>
        <v>4.4127405441274057</v>
      </c>
    </row>
    <row r="322" spans="1:23" s="34" customFormat="1" x14ac:dyDescent="0.25">
      <c r="A322" s="3" t="s">
        <v>129</v>
      </c>
      <c r="B322" s="39" t="s">
        <v>131</v>
      </c>
      <c r="C322" s="3">
        <v>300</v>
      </c>
      <c r="D322" s="3">
        <v>0.05</v>
      </c>
      <c r="E322" s="3">
        <v>5</v>
      </c>
      <c r="F322" s="39" t="s">
        <v>13</v>
      </c>
      <c r="G322" s="39" t="s">
        <v>16</v>
      </c>
      <c r="H322" s="110">
        <v>2068</v>
      </c>
      <c r="I322" s="138">
        <v>2068</v>
      </c>
      <c r="J322" s="138">
        <v>0.14000000001396901</v>
      </c>
      <c r="K322" s="137">
        <v>0</v>
      </c>
      <c r="L322" s="125">
        <v>2068</v>
      </c>
      <c r="M322" s="125">
        <v>5</v>
      </c>
      <c r="N322" s="125">
        <v>1</v>
      </c>
      <c r="O322" s="111">
        <f>((Tabela135[[#This Row],[Objetive value]]-Tabela135[[#This Row],[Objetive value/GATeS]])/Tabela135[[#This Row],[Objetive value]])*100</f>
        <v>0</v>
      </c>
      <c r="P322" s="112">
        <v>2068</v>
      </c>
      <c r="Q322" s="112">
        <v>0.26</v>
      </c>
      <c r="R322" s="112">
        <v>0</v>
      </c>
      <c r="S322" s="112">
        <f>(((Tabela135[[#This Row],[Objetive value]]-Tabela135[[#This Row],[Objetive Value /H-R1]])/Tabela135[[#This Row],[Objetive value]]))*100</f>
        <v>0</v>
      </c>
      <c r="T322" s="113">
        <v>2068</v>
      </c>
      <c r="U322" s="113">
        <v>0.19</v>
      </c>
      <c r="V322" s="113">
        <v>0</v>
      </c>
      <c r="W322" s="113">
        <f>(((Tabela135[[#This Row],[Objetive value]]-Tabela135[[#This Row],[Objetive value /H-R2]])/Tabela135[[#This Row],[Objetive value]]))*100</f>
        <v>0</v>
      </c>
    </row>
    <row r="323" spans="1:23" s="34" customFormat="1" x14ac:dyDescent="0.25">
      <c r="A323" s="3" t="s">
        <v>129</v>
      </c>
      <c r="B323" s="39" t="s">
        <v>132</v>
      </c>
      <c r="C323" s="3">
        <v>300</v>
      </c>
      <c r="D323" s="3">
        <v>0.05</v>
      </c>
      <c r="E323" s="3">
        <v>5</v>
      </c>
      <c r="F323" s="39" t="s">
        <v>18</v>
      </c>
      <c r="G323" s="39" t="s">
        <v>14</v>
      </c>
      <c r="H323" s="110">
        <v>3107</v>
      </c>
      <c r="I323" s="138">
        <v>3107</v>
      </c>
      <c r="J323" s="138">
        <v>0.20299999997950999</v>
      </c>
      <c r="K323" s="137">
        <v>0</v>
      </c>
      <c r="L323" s="125">
        <v>3102</v>
      </c>
      <c r="M323" s="125">
        <v>4</v>
      </c>
      <c r="N323" s="125">
        <v>0</v>
      </c>
      <c r="O323" s="111">
        <f>((Tabela135[[#This Row],[Objetive value]]-Tabela135[[#This Row],[Objetive value/GATeS]])/Tabela135[[#This Row],[Objetive value]])*100</f>
        <v>0.16092693916961698</v>
      </c>
      <c r="P323" s="112">
        <v>3107</v>
      </c>
      <c r="Q323" s="112">
        <v>0.17</v>
      </c>
      <c r="R323" s="112">
        <v>0</v>
      </c>
      <c r="S323" s="112">
        <f>(((Tabela135[[#This Row],[Objetive value]]-Tabela135[[#This Row],[Objetive Value /H-R1]])/Tabela135[[#This Row],[Objetive value]]))*100</f>
        <v>0</v>
      </c>
      <c r="T323" s="113">
        <v>3036</v>
      </c>
      <c r="U323" s="113">
        <v>0.21</v>
      </c>
      <c r="V323" s="113">
        <v>0</v>
      </c>
      <c r="W323" s="113">
        <f>(((Tabela135[[#This Row],[Objetive value]]-Tabela135[[#This Row],[Objetive value /H-R2]])/Tabela135[[#This Row],[Objetive value]]))*100</f>
        <v>2.2851625362085612</v>
      </c>
    </row>
    <row r="324" spans="1:23" s="34" customFormat="1" x14ac:dyDescent="0.25">
      <c r="A324" s="3" t="s">
        <v>129</v>
      </c>
      <c r="B324" s="39" t="s">
        <v>133</v>
      </c>
      <c r="C324" s="3">
        <v>300</v>
      </c>
      <c r="D324" s="3">
        <v>0.05</v>
      </c>
      <c r="E324" s="3">
        <v>5</v>
      </c>
      <c r="F324" s="39" t="s">
        <v>18</v>
      </c>
      <c r="G324" s="39" t="s">
        <v>16</v>
      </c>
      <c r="H324" s="110">
        <v>2131</v>
      </c>
      <c r="I324" s="138">
        <v>2131</v>
      </c>
      <c r="J324" s="138">
        <v>0.155999999959021</v>
      </c>
      <c r="K324" s="137">
        <v>0</v>
      </c>
      <c r="L324" s="125">
        <v>2118</v>
      </c>
      <c r="M324" s="125">
        <v>5</v>
      </c>
      <c r="N324" s="125">
        <v>0</v>
      </c>
      <c r="O324" s="111">
        <f>((Tabela135[[#This Row],[Objetive value]]-Tabela135[[#This Row],[Objetive value/GATeS]])/Tabela135[[#This Row],[Objetive value]])*100</f>
        <v>0.61004223369310184</v>
      </c>
      <c r="P324" s="112">
        <v>2131</v>
      </c>
      <c r="Q324" s="112">
        <v>0.24</v>
      </c>
      <c r="R324" s="112">
        <v>0</v>
      </c>
      <c r="S324" s="112">
        <f>(((Tabela135[[#This Row],[Objetive value]]-Tabela135[[#This Row],[Objetive Value /H-R1]])/Tabela135[[#This Row],[Objetive value]]))*100</f>
        <v>0</v>
      </c>
      <c r="T324" s="113">
        <v>2131</v>
      </c>
      <c r="U324" s="113">
        <v>0.18</v>
      </c>
      <c r="V324" s="113">
        <v>0</v>
      </c>
      <c r="W324" s="113">
        <f>(((Tabela135[[#This Row],[Objetive value]]-Tabela135[[#This Row],[Objetive value /H-R2]])/Tabela135[[#This Row],[Objetive value]]))*100</f>
        <v>0</v>
      </c>
    </row>
    <row r="325" spans="1:23" s="34" customFormat="1" x14ac:dyDescent="0.25">
      <c r="A325" s="3" t="s">
        <v>129</v>
      </c>
      <c r="B325" s="39" t="s">
        <v>134</v>
      </c>
      <c r="C325" s="3">
        <v>300</v>
      </c>
      <c r="D325" s="3">
        <v>0.05</v>
      </c>
      <c r="E325" s="3">
        <v>5</v>
      </c>
      <c r="F325" s="39" t="s">
        <v>21</v>
      </c>
      <c r="G325" s="39" t="s">
        <v>14</v>
      </c>
      <c r="H325" s="110">
        <v>2849</v>
      </c>
      <c r="I325" s="138">
        <v>2849</v>
      </c>
      <c r="J325" s="138">
        <v>0.17200000002048901</v>
      </c>
      <c r="K325" s="137">
        <v>0</v>
      </c>
      <c r="L325" s="125">
        <v>2610</v>
      </c>
      <c r="M325" s="125">
        <v>4</v>
      </c>
      <c r="N325" s="125">
        <v>0</v>
      </c>
      <c r="O325" s="111">
        <f>((Tabela135[[#This Row],[Objetive value]]-Tabela135[[#This Row],[Objetive value/GATeS]])/Tabela135[[#This Row],[Objetive value]])*100</f>
        <v>8.3889083889083889</v>
      </c>
      <c r="P325" s="112">
        <v>2849</v>
      </c>
      <c r="Q325" s="112">
        <v>0.24</v>
      </c>
      <c r="R325" s="112">
        <v>0</v>
      </c>
      <c r="S325" s="112">
        <f>(((Tabela135[[#This Row],[Objetive value]]-Tabela135[[#This Row],[Objetive Value /H-R1]])/Tabela135[[#This Row],[Objetive value]]))*100</f>
        <v>0</v>
      </c>
      <c r="T325" s="113">
        <v>2632</v>
      </c>
      <c r="U325" s="113">
        <v>0.22</v>
      </c>
      <c r="V325" s="113">
        <v>0</v>
      </c>
      <c r="W325" s="113">
        <f>(((Tabela135[[#This Row],[Objetive value]]-Tabela135[[#This Row],[Objetive value /H-R2]])/Tabela135[[#This Row],[Objetive value]]))*100</f>
        <v>7.6167076167076173</v>
      </c>
    </row>
    <row r="326" spans="1:23" s="34" customFormat="1" x14ac:dyDescent="0.25">
      <c r="A326" s="3" t="s">
        <v>129</v>
      </c>
      <c r="B326" s="39" t="s">
        <v>135</v>
      </c>
      <c r="C326" s="3">
        <v>300</v>
      </c>
      <c r="D326" s="3">
        <v>0.05</v>
      </c>
      <c r="E326" s="3">
        <v>5</v>
      </c>
      <c r="F326" s="39" t="s">
        <v>21</v>
      </c>
      <c r="G326" s="39" t="s">
        <v>16</v>
      </c>
      <c r="H326" s="110">
        <v>2320</v>
      </c>
      <c r="I326" s="138">
        <v>2320</v>
      </c>
      <c r="J326" s="138">
        <v>0.14000000001396901</v>
      </c>
      <c r="K326" s="137">
        <v>0</v>
      </c>
      <c r="L326" s="125">
        <v>2320</v>
      </c>
      <c r="M326" s="125">
        <v>5</v>
      </c>
      <c r="N326" s="125">
        <v>1</v>
      </c>
      <c r="O326" s="111">
        <f>((Tabela135[[#This Row],[Objetive value]]-Tabela135[[#This Row],[Objetive value/GATeS]])/Tabela135[[#This Row],[Objetive value]])*100</f>
        <v>0</v>
      </c>
      <c r="P326" s="112">
        <v>2286</v>
      </c>
      <c r="Q326" s="112">
        <v>0.22</v>
      </c>
      <c r="R326" s="112">
        <v>0</v>
      </c>
      <c r="S326" s="112">
        <f>(((Tabela135[[#This Row],[Objetive value]]-Tabela135[[#This Row],[Objetive Value /H-R1]])/Tabela135[[#This Row],[Objetive value]]))*100</f>
        <v>1.4655172413793103</v>
      </c>
      <c r="T326" s="113">
        <v>2311</v>
      </c>
      <c r="U326" s="113">
        <v>0.2</v>
      </c>
      <c r="V326" s="113">
        <v>0</v>
      </c>
      <c r="W326" s="113">
        <f>(((Tabela135[[#This Row],[Objetive value]]-Tabela135[[#This Row],[Objetive value /H-R2]])/Tabela135[[#This Row],[Objetive value]]))*100</f>
        <v>0.38793103448275862</v>
      </c>
    </row>
    <row r="327" spans="1:23" s="34" customFormat="1" x14ac:dyDescent="0.25">
      <c r="A327" s="3" t="s">
        <v>1090</v>
      </c>
      <c r="B327" s="39"/>
      <c r="C327" s="3"/>
      <c r="D327" s="3"/>
      <c r="E327" s="3"/>
      <c r="F327" s="3"/>
      <c r="G327" s="3">
        <f>SUBTOTAL(103,Tabela135[Offers])</f>
        <v>324</v>
      </c>
      <c r="H327" s="3">
        <f>SUBTOTAL(101,Tabela135[Ejor])</f>
        <v>37949.256172839509</v>
      </c>
      <c r="I327" s="95">
        <f>SUBTOTAL(101,Tabela135[Objetive value])</f>
        <v>36807.956790123419</v>
      </c>
      <c r="J327" s="95">
        <f>SUBTOTAL(101,Tabela135[Time/s])</f>
        <v>173.17032407407646</v>
      </c>
      <c r="K327" s="95">
        <f>SUBTOTAL(101,Tabela135[GAP %])</f>
        <v>1.6945061728395057</v>
      </c>
      <c r="L327" s="95">
        <f>SUBTOTAL(101,Tabela135[Objetive value/GATeS])</f>
        <v>35450.08641975309</v>
      </c>
      <c r="M327" s="95"/>
      <c r="N327" s="95"/>
      <c r="O327" s="95">
        <f>SUBTOTAL(101,Tabela135[Δ % (2020) /GATeS])</f>
        <v>2.5450877769027711</v>
      </c>
      <c r="P327" s="95">
        <f>SUBTOTAL(101,Tabela135[Objetive Value /H-R1])</f>
        <v>35197.657320872277</v>
      </c>
      <c r="Q327" s="95">
        <f>SUBTOTAL(101,Tabela135[Time/s /H-R1])</f>
        <v>1.5563551401869145</v>
      </c>
      <c r="R327" s="95">
        <f>SUBTOTAL(101,Tabela135[GAP % /H-R1 ])</f>
        <v>0</v>
      </c>
      <c r="S327" s="95">
        <f>SUBTOTAL(101,Tabela135[Δ % (2020) /H-R1])</f>
        <v>6.6918482096822727</v>
      </c>
      <c r="T327" s="95">
        <f>SUBTOTAL(101,Tabela135[Objetive value /H-R2])</f>
        <v>35139.966049382718</v>
      </c>
      <c r="U327" s="95">
        <f>SUBTOTAL(101,Tabela135[Time/s /H-R2])</f>
        <v>1.1923456790123459</v>
      </c>
      <c r="V327" s="95">
        <f>SUBTOTAL(101,Tabela135[GAP%/H-R2])</f>
        <v>0</v>
      </c>
      <c r="W327" s="95">
        <f>SUBTOTAL(101,Tabela135[Δ % (2020)/H-R2])</f>
        <v>4.3504715984834252</v>
      </c>
    </row>
    <row r="328" spans="1:23" s="34" customFormat="1" x14ac:dyDescent="0.25">
      <c r="B328" s="37"/>
      <c r="H328" s="38"/>
      <c r="P328" s="122"/>
      <c r="Q328" s="122"/>
      <c r="R328" s="122"/>
      <c r="S328" s="122"/>
      <c r="T328" s="122"/>
      <c r="U328" s="122"/>
      <c r="V328" s="122"/>
      <c r="W328" s="122"/>
    </row>
    <row r="329" spans="1:23" s="34" customFormat="1" x14ac:dyDescent="0.25">
      <c r="B329" s="37"/>
    </row>
    <row r="330" spans="1:23" s="34" customFormat="1" x14ac:dyDescent="0.25">
      <c r="B330" s="37"/>
    </row>
    <row r="331" spans="1:23" s="34" customFormat="1" x14ac:dyDescent="0.25">
      <c r="B331" s="37"/>
    </row>
    <row r="332" spans="1:23" s="34" customFormat="1" x14ac:dyDescent="0.25">
      <c r="B332" s="37"/>
    </row>
    <row r="333" spans="1:23" s="34" customFormat="1" x14ac:dyDescent="0.25">
      <c r="B333" s="37"/>
    </row>
    <row r="334" spans="1:23" s="34" customFormat="1" x14ac:dyDescent="0.25">
      <c r="B334" s="37"/>
    </row>
    <row r="335" spans="1:23" s="34" customFormat="1" x14ac:dyDescent="0.25">
      <c r="B335" s="37"/>
    </row>
    <row r="336" spans="1:23" s="34" customFormat="1" x14ac:dyDescent="0.25">
      <c r="B336" s="37"/>
    </row>
    <row r="337" spans="2:2" s="34" customFormat="1" x14ac:dyDescent="0.25">
      <c r="B337" s="37"/>
    </row>
    <row r="338" spans="2:2" s="34" customFormat="1" x14ac:dyDescent="0.25">
      <c r="B338" s="37"/>
    </row>
    <row r="339" spans="2:2" s="34" customFormat="1" x14ac:dyDescent="0.25">
      <c r="B339" s="37"/>
    </row>
    <row r="340" spans="2:2" s="34" customFormat="1" x14ac:dyDescent="0.25">
      <c r="B340" s="37"/>
    </row>
    <row r="341" spans="2:2" s="34" customFormat="1" x14ac:dyDescent="0.25">
      <c r="B341" s="37"/>
    </row>
    <row r="342" spans="2:2" s="34" customFormat="1" x14ac:dyDescent="0.25">
      <c r="B342" s="37"/>
    </row>
    <row r="343" spans="2:2" s="34" customFormat="1" x14ac:dyDescent="0.25">
      <c r="B343" s="37"/>
    </row>
    <row r="344" spans="2:2" s="34" customFormat="1" x14ac:dyDescent="0.25">
      <c r="B344" s="37"/>
    </row>
    <row r="345" spans="2:2" s="34" customFormat="1" x14ac:dyDescent="0.25">
      <c r="B345" s="37"/>
    </row>
    <row r="346" spans="2:2" s="34" customFormat="1" x14ac:dyDescent="0.25">
      <c r="B346" s="37"/>
    </row>
    <row r="347" spans="2:2" s="34" customFormat="1" x14ac:dyDescent="0.25">
      <c r="B347" s="37"/>
    </row>
    <row r="348" spans="2:2" s="34" customFormat="1" x14ac:dyDescent="0.25">
      <c r="B348" s="37"/>
    </row>
    <row r="349" spans="2:2" s="34" customFormat="1" x14ac:dyDescent="0.25">
      <c r="B349" s="37"/>
    </row>
    <row r="350" spans="2:2" s="34" customFormat="1" x14ac:dyDescent="0.25">
      <c r="B350" s="37"/>
    </row>
    <row r="351" spans="2:2" s="34" customFormat="1" x14ac:dyDescent="0.25">
      <c r="B351" s="37"/>
    </row>
    <row r="352" spans="2:2" s="34" customFormat="1" x14ac:dyDescent="0.25">
      <c r="B352" s="37"/>
    </row>
    <row r="353" spans="1:15" s="34" customFormat="1" x14ac:dyDescent="0.25">
      <c r="B353" s="37"/>
    </row>
    <row r="354" spans="1:15" s="34" customFormat="1" x14ac:dyDescent="0.25">
      <c r="B354" s="37"/>
    </row>
    <row r="355" spans="1:15" s="34" customFormat="1" x14ac:dyDescent="0.25">
      <c r="B355" s="37"/>
    </row>
    <row r="356" spans="1:15" s="34" customFormat="1" x14ac:dyDescent="0.25">
      <c r="B356" s="37"/>
    </row>
    <row r="357" spans="1:15" s="34" customFormat="1" x14ac:dyDescent="0.25">
      <c r="B357" s="37"/>
    </row>
    <row r="358" spans="1:15" s="34" customFormat="1" x14ac:dyDescent="0.25">
      <c r="B358" s="37"/>
    </row>
    <row r="359" spans="1:15" s="34" customFormat="1" x14ac:dyDescent="0.25">
      <c r="B359" s="37"/>
    </row>
    <row r="360" spans="1:15" s="34" customFormat="1" x14ac:dyDescent="0.25">
      <c r="B360" s="37"/>
    </row>
    <row r="361" spans="1:15" s="34" customFormat="1" x14ac:dyDescent="0.25">
      <c r="B361" s="37"/>
    </row>
    <row r="362" spans="1:15" x14ac:dyDescent="0.25">
      <c r="A362" s="34"/>
      <c r="B362" s="37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</row>
    <row r="363" spans="1:15" x14ac:dyDescent="0.25">
      <c r="A363" s="34"/>
      <c r="B363" s="37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</row>
    <row r="364" spans="1:15" x14ac:dyDescent="0.25">
      <c r="A364" s="34"/>
      <c r="B364" s="37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</row>
    <row r="365" spans="1:15" x14ac:dyDescent="0.25">
      <c r="A365" s="34"/>
      <c r="B365" s="37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</row>
    <row r="366" spans="1:15" x14ac:dyDescent="0.25">
      <c r="A366" s="34"/>
      <c r="B366" s="37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</row>
    <row r="367" spans="1:15" x14ac:dyDescent="0.25">
      <c r="A367" s="34"/>
      <c r="B367" s="37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</row>
    <row r="368" spans="1:15" x14ac:dyDescent="0.25">
      <c r="A368" s="34"/>
      <c r="B368" s="37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</row>
    <row r="369" spans="1:15" x14ac:dyDescent="0.25">
      <c r="A369" s="34"/>
      <c r="B369" s="37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</row>
    <row r="370" spans="1:15" x14ac:dyDescent="0.25">
      <c r="A370" s="34"/>
      <c r="B370" s="37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</row>
    <row r="371" spans="1:15" x14ac:dyDescent="0.25">
      <c r="A371" s="34"/>
      <c r="B371" s="37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</row>
    <row r="372" spans="1:15" x14ac:dyDescent="0.25">
      <c r="A372" s="34"/>
      <c r="B372" s="37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</row>
    <row r="373" spans="1:15" x14ac:dyDescent="0.25">
      <c r="A373" s="34"/>
      <c r="B373" s="37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</row>
    <row r="374" spans="1:15" x14ac:dyDescent="0.25">
      <c r="A374" s="34"/>
      <c r="B374" s="37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</row>
    <row r="375" spans="1:15" x14ac:dyDescent="0.25">
      <c r="A375" s="34"/>
      <c r="B375" s="37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</row>
  </sheetData>
  <mergeCells count="4">
    <mergeCell ref="T1:W1"/>
    <mergeCell ref="P1:S1"/>
    <mergeCell ref="I1:K1"/>
    <mergeCell ref="L1:O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85" zoomScaleNormal="85" workbookViewId="0">
      <selection activeCell="H10" sqref="H10"/>
    </sheetView>
  </sheetViews>
  <sheetFormatPr defaultRowHeight="15" x14ac:dyDescent="0.25"/>
  <cols>
    <col min="1" max="1" width="10.7109375" style="94" bestFit="1" customWidth="1"/>
    <col min="2" max="2" width="35" style="94" bestFit="1" customWidth="1"/>
    <col min="3" max="3" width="9.28515625" style="94" customWidth="1"/>
    <col min="4" max="4" width="13.5703125" style="94" customWidth="1"/>
    <col min="5" max="5" width="20.85546875" style="94" customWidth="1"/>
    <col min="6" max="8" width="15.42578125" style="94" customWidth="1"/>
    <col min="9" max="9" width="20.7109375" style="94" bestFit="1" customWidth="1"/>
    <col min="10" max="10" width="23.28515625" style="94" customWidth="1"/>
    <col min="11" max="11" width="20.7109375" style="94" customWidth="1"/>
    <col min="12" max="12" width="15.42578125" style="123" customWidth="1"/>
    <col min="13" max="18" width="15.42578125" style="94" customWidth="1"/>
    <col min="19" max="16384" width="9.140625" style="94"/>
  </cols>
  <sheetData>
    <row r="1" spans="1:22" ht="15" customHeight="1" x14ac:dyDescent="0.25">
      <c r="A1" s="1"/>
      <c r="B1" s="1"/>
      <c r="C1" s="2"/>
      <c r="D1" s="2"/>
      <c r="E1" s="2"/>
      <c r="F1" s="248" t="s">
        <v>1638</v>
      </c>
      <c r="G1" s="249"/>
      <c r="H1" s="250"/>
      <c r="I1" s="255" t="s">
        <v>1514</v>
      </c>
      <c r="J1" s="256"/>
      <c r="K1" s="256"/>
      <c r="L1" s="257"/>
      <c r="M1" s="260" t="s">
        <v>1515</v>
      </c>
      <c r="N1" s="261"/>
      <c r="O1" s="262"/>
      <c r="P1" s="241" t="s">
        <v>1524</v>
      </c>
      <c r="Q1" s="242"/>
      <c r="R1" s="254"/>
    </row>
    <row r="2" spans="1:22" s="91" customFormat="1" ht="60" x14ac:dyDescent="0.25">
      <c r="A2" s="165" t="s">
        <v>1085</v>
      </c>
      <c r="B2" s="4" t="s">
        <v>1</v>
      </c>
      <c r="C2" s="4" t="s">
        <v>2</v>
      </c>
      <c r="D2" s="4" t="s">
        <v>3</v>
      </c>
      <c r="E2" s="4" t="s">
        <v>4</v>
      </c>
      <c r="F2" s="9" t="s">
        <v>1639</v>
      </c>
      <c r="G2" s="9" t="s">
        <v>1640</v>
      </c>
      <c r="H2" s="9" t="s">
        <v>1686</v>
      </c>
      <c r="I2" s="169" t="s">
        <v>1641</v>
      </c>
      <c r="J2" s="169" t="s">
        <v>1642</v>
      </c>
      <c r="K2" s="169" t="s">
        <v>1643</v>
      </c>
      <c r="L2" s="169" t="s">
        <v>1644</v>
      </c>
      <c r="M2" s="172" t="s">
        <v>1645</v>
      </c>
      <c r="N2" s="172" t="s">
        <v>1646</v>
      </c>
      <c r="O2" s="172" t="s">
        <v>1647</v>
      </c>
      <c r="P2" s="173" t="s">
        <v>1648</v>
      </c>
      <c r="Q2" s="173" t="s">
        <v>1649</v>
      </c>
      <c r="R2" s="174" t="s">
        <v>1650</v>
      </c>
    </row>
    <row r="3" spans="1:22" x14ac:dyDescent="0.25">
      <c r="A3" s="166" t="s">
        <v>1492</v>
      </c>
      <c r="B3" s="12" t="s">
        <v>1067</v>
      </c>
      <c r="C3" s="11">
        <v>100000</v>
      </c>
      <c r="D3" s="47">
        <v>0.15</v>
      </c>
      <c r="E3" s="11">
        <v>15</v>
      </c>
      <c r="F3" s="190">
        <v>2563025</v>
      </c>
      <c r="G3" s="190">
        <v>11076.25</v>
      </c>
      <c r="H3" s="191">
        <v>0</v>
      </c>
      <c r="I3" s="170">
        <v>2367618</v>
      </c>
      <c r="J3" s="170">
        <v>35522</v>
      </c>
      <c r="K3" s="170">
        <v>11731</v>
      </c>
      <c r="L3" s="175">
        <f>((Tabela38[[#This Row],[Objetive value Cannibalism 18 stratified/Exact method]]-Tabela38[[#This Row],[Objetive value Cannibalism 18 stratified/GATeS]])/Tabela38[[#This Row],[Objetive value Cannibalism 18 stratified/Exact method]])*100</f>
        <v>7.624077018366969</v>
      </c>
      <c r="M3" s="23">
        <v>247754</v>
      </c>
      <c r="N3" s="19">
        <v>57.14</v>
      </c>
      <c r="O3" s="20">
        <f>((Tabela38[[#This Row],[Objetive value Cannibalism 18 stratified/Exact method]]-Tabela38[[#This Row],[Objetive Value Cannibalis m18 stratified/H-R1]])/Tabela38[[#This Row],[Objetive value Cannibalism 18 stratified/Exact method]])*100</f>
        <v>90.333531666682916</v>
      </c>
      <c r="P3" s="96">
        <v>926240</v>
      </c>
      <c r="Q3" s="22">
        <v>47.31</v>
      </c>
      <c r="R3" s="180">
        <f>((Tabela38[[#This Row],[Objetive value Cannibalism 18 stratified/Exact method]]-Tabela38[[#This Row],[Objetive value Cannibalism 18 stratified/H-R2]])/Tabela38[[#This Row],[Objetive value Cannibalism 18 stratified/Exact method]])*100</f>
        <v>63.861452775528917</v>
      </c>
    </row>
    <row r="4" spans="1:22" x14ac:dyDescent="0.25">
      <c r="A4" s="166" t="s">
        <v>384</v>
      </c>
      <c r="B4" s="12" t="s">
        <v>1082</v>
      </c>
      <c r="C4" s="11">
        <v>15000</v>
      </c>
      <c r="D4" s="47">
        <v>0.1</v>
      </c>
      <c r="E4" s="11">
        <v>10</v>
      </c>
      <c r="F4" s="190">
        <v>29212</v>
      </c>
      <c r="G4" s="190">
        <v>90.31</v>
      </c>
      <c r="H4" s="191">
        <v>0.01</v>
      </c>
      <c r="I4" s="170">
        <v>28366</v>
      </c>
      <c r="J4" s="170">
        <v>349</v>
      </c>
      <c r="K4" s="170">
        <v>56</v>
      </c>
      <c r="L4" s="175">
        <f>((Tabela38[[#This Row],[Objetive value Cannibalism 18 stratified/Exact method]]-Tabela38[[#This Row],[Objetive value Cannibalism 18 stratified/GATeS]])/Tabela38[[#This Row],[Objetive value Cannibalism 18 stratified/Exact method]])*100</f>
        <v>2.8960701081747224</v>
      </c>
      <c r="M4" s="23">
        <v>29213</v>
      </c>
      <c r="N4" s="19">
        <v>8.66</v>
      </c>
      <c r="O4" s="20">
        <f>((Tabela38[[#This Row],[Objetive value Cannibalism 18 stratified/Exact method]]-Tabela38[[#This Row],[Objetive Value Cannibalis m18 stratified/H-R1]])/Tabela38[[#This Row],[Objetive value Cannibalism 18 stratified/Exact method]])*100</f>
        <v>-3.4232507188826505E-3</v>
      </c>
      <c r="P4" s="80"/>
      <c r="Q4" s="77"/>
      <c r="R4" s="76">
        <v>100</v>
      </c>
    </row>
    <row r="5" spans="1:22" x14ac:dyDescent="0.25">
      <c r="A5" s="166" t="s">
        <v>384</v>
      </c>
      <c r="B5" s="12" t="s">
        <v>1083</v>
      </c>
      <c r="C5" s="11">
        <v>15000</v>
      </c>
      <c r="D5" s="47">
        <v>0.1</v>
      </c>
      <c r="E5" s="11">
        <v>10</v>
      </c>
      <c r="F5" s="190">
        <v>65954</v>
      </c>
      <c r="G5" s="190">
        <v>248.94</v>
      </c>
      <c r="H5" s="191">
        <v>0</v>
      </c>
      <c r="I5" s="170">
        <v>28366</v>
      </c>
      <c r="J5" s="170">
        <v>644</v>
      </c>
      <c r="K5" s="170">
        <v>61</v>
      </c>
      <c r="L5" s="212">
        <f>((Tabela38[[#This Row],[Objetive value Cannibalism 18 stratified/Exact method]]-Tabela38[[#This Row],[Objetive value Cannibalism 18 stratified/GATeS]])/Tabela38[[#This Row],[Objetive value Cannibalism 18 stratified/Exact method]])*100</f>
        <v>56.991236316220395</v>
      </c>
      <c r="M5" s="23">
        <v>45586</v>
      </c>
      <c r="N5" s="19">
        <v>8.6300000000000008</v>
      </c>
      <c r="O5" s="20">
        <f>((Tabela38[[#This Row],[Objetive value Cannibalism 18 stratified/Exact method]]-Tabela38[[#This Row],[Objetive Value Cannibalis m18 stratified/H-R1]])/Tabela38[[#This Row],[Objetive value Cannibalism 18 stratified/Exact method]])*100</f>
        <v>30.882129969372592</v>
      </c>
      <c r="P5" s="80"/>
      <c r="Q5" s="77"/>
      <c r="R5" s="76">
        <v>100</v>
      </c>
    </row>
    <row r="6" spans="1:22" x14ac:dyDescent="0.25">
      <c r="A6" s="166" t="s">
        <v>384</v>
      </c>
      <c r="B6" s="12" t="s">
        <v>1084</v>
      </c>
      <c r="C6" s="11">
        <v>15000</v>
      </c>
      <c r="D6" s="47">
        <v>0.1</v>
      </c>
      <c r="E6" s="11">
        <v>10</v>
      </c>
      <c r="F6" s="190">
        <v>47441</v>
      </c>
      <c r="G6" s="190">
        <v>32.44</v>
      </c>
      <c r="H6" s="191">
        <v>0.01</v>
      </c>
      <c r="I6" s="170">
        <v>47441</v>
      </c>
      <c r="J6" s="170">
        <v>1668</v>
      </c>
      <c r="K6" s="170">
        <v>323</v>
      </c>
      <c r="L6" s="175">
        <f>((Tabela38[[#This Row],[Objetive value Cannibalism 18 stratified/Exact method]]-Tabela38[[#This Row],[Objetive value Cannibalism 18 stratified/GATeS]])/Tabela38[[#This Row],[Objetive value Cannibalism 18 stratified/Exact method]])*100</f>
        <v>0</v>
      </c>
      <c r="M6" s="23">
        <v>23493</v>
      </c>
      <c r="N6" s="19">
        <v>5.3</v>
      </c>
      <c r="O6" s="20">
        <f>((Tabela38[[#This Row],[Objetive value Cannibalism 18 stratified/Exact method]]-Tabela38[[#This Row],[Objetive Value Cannibalis m18 stratified/H-R1]])/Tabela38[[#This Row],[Objetive value Cannibalism 18 stratified/Exact method]])*100</f>
        <v>50.479543011319329</v>
      </c>
      <c r="P6" s="80"/>
      <c r="Q6" s="77"/>
      <c r="R6" s="76">
        <v>100</v>
      </c>
    </row>
    <row r="7" spans="1:22" x14ac:dyDescent="0.25">
      <c r="A7" s="166" t="s">
        <v>384</v>
      </c>
      <c r="B7" s="12" t="s">
        <v>1080</v>
      </c>
      <c r="C7" s="11">
        <v>15000</v>
      </c>
      <c r="D7" s="47">
        <v>0.1</v>
      </c>
      <c r="E7" s="11">
        <v>10</v>
      </c>
      <c r="F7" s="190">
        <v>53601</v>
      </c>
      <c r="G7" s="190">
        <v>74.59</v>
      </c>
      <c r="H7" s="191">
        <v>0.01</v>
      </c>
      <c r="I7" s="170">
        <v>53594</v>
      </c>
      <c r="J7" s="170">
        <v>1695</v>
      </c>
      <c r="K7" s="170">
        <v>950</v>
      </c>
      <c r="L7" s="175">
        <f>((Tabela38[[#This Row],[Objetive value Cannibalism 18 stratified/Exact method]]-Tabela38[[#This Row],[Objetive value Cannibalism 18 stratified/GATeS]])/Tabela38[[#This Row],[Objetive value Cannibalism 18 stratified/Exact method]])*100</f>
        <v>1.3059457845935709E-2</v>
      </c>
      <c r="M7" s="23">
        <v>39074</v>
      </c>
      <c r="N7" s="19">
        <v>9.1</v>
      </c>
      <c r="O7" s="20">
        <f>((Tabela38[[#This Row],[Objetive value Cannibalism 18 stratified/Exact method]]-Tabela38[[#This Row],[Objetive Value Cannibalis m18 stratified/H-R1]])/Tabela38[[#This Row],[Objetive value Cannibalism 18 stratified/Exact method]])*100</f>
        <v>27.102106303986869</v>
      </c>
      <c r="P7" s="80"/>
      <c r="Q7" s="77"/>
      <c r="R7" s="76">
        <v>100</v>
      </c>
    </row>
    <row r="8" spans="1:22" x14ac:dyDescent="0.25">
      <c r="A8" s="166" t="s">
        <v>384</v>
      </c>
      <c r="B8" s="12" t="s">
        <v>1081</v>
      </c>
      <c r="C8" s="11">
        <v>15000</v>
      </c>
      <c r="D8" s="47">
        <v>0.1</v>
      </c>
      <c r="E8" s="11">
        <v>10</v>
      </c>
      <c r="F8" s="190">
        <v>73440</v>
      </c>
      <c r="G8" s="190">
        <v>29.22</v>
      </c>
      <c r="H8" s="191">
        <v>0</v>
      </c>
      <c r="I8" s="170">
        <v>73437</v>
      </c>
      <c r="J8" s="170">
        <v>1653</v>
      </c>
      <c r="K8" s="170">
        <v>317</v>
      </c>
      <c r="L8" s="175">
        <f>((Tabela38[[#This Row],[Objetive value Cannibalism 18 stratified/Exact method]]-Tabela38[[#This Row],[Objetive value Cannibalism 18 stratified/GATeS]])/Tabela38[[#This Row],[Objetive value Cannibalism 18 stratified/Exact method]])*100</f>
        <v>4.0849673202614373E-3</v>
      </c>
      <c r="M8" s="23">
        <v>54426</v>
      </c>
      <c r="N8" s="19">
        <v>10.06</v>
      </c>
      <c r="O8" s="20">
        <f>((Tabela38[[#This Row],[Objetive value Cannibalism 18 stratified/Exact method]]-Tabela38[[#This Row],[Objetive Value Cannibalis m18 stratified/H-R1]])/Tabela38[[#This Row],[Objetive value Cannibalism 18 stratified/Exact method]])*100</f>
        <v>25.890522875816995</v>
      </c>
      <c r="P8" s="80"/>
      <c r="Q8" s="77"/>
      <c r="R8" s="76">
        <v>100</v>
      </c>
    </row>
    <row r="9" spans="1:22" x14ac:dyDescent="0.25">
      <c r="A9" s="166" t="s">
        <v>384</v>
      </c>
      <c r="B9" s="12" t="s">
        <v>1069</v>
      </c>
      <c r="C9" s="11">
        <v>15000</v>
      </c>
      <c r="D9" s="47">
        <v>0.1</v>
      </c>
      <c r="E9" s="11">
        <v>10</v>
      </c>
      <c r="F9" s="190">
        <v>76789</v>
      </c>
      <c r="G9" s="190">
        <v>10575</v>
      </c>
      <c r="H9" s="191">
        <v>0.01</v>
      </c>
      <c r="I9" s="170">
        <v>66110</v>
      </c>
      <c r="J9" s="170">
        <v>2520</v>
      </c>
      <c r="K9" s="170">
        <v>1176</v>
      </c>
      <c r="L9" s="175">
        <f>((Tabela38[[#This Row],[Objetive value Cannibalism 18 stratified/Exact method]]-Tabela38[[#This Row],[Objetive value Cannibalism 18 stratified/GATeS]])/Tabela38[[#This Row],[Objetive value Cannibalism 18 stratified/Exact method]])*100</f>
        <v>13.90693979606454</v>
      </c>
      <c r="M9" s="23">
        <v>70705</v>
      </c>
      <c r="N9" s="19">
        <v>6.2</v>
      </c>
      <c r="O9" s="20">
        <f>((Tabela38[[#This Row],[Objetive value Cannibalism 18 stratified/Exact method]]-Tabela38[[#This Row],[Objetive Value Cannibalis m18 stratified/H-R1]])/Tabela38[[#This Row],[Objetive value Cannibalism 18 stratified/Exact method]])*100</f>
        <v>7.9230098060920184</v>
      </c>
      <c r="P9" s="96">
        <v>33481.99</v>
      </c>
      <c r="Q9" s="22">
        <v>7.54</v>
      </c>
      <c r="R9" s="180">
        <f>((Tabela38[[#This Row],[Objetive value Cannibalism 18 stratified/Exact method]]-Tabela38[[#This Row],[Objetive value Cannibalism 18 stratified/H-R2]])/Tabela38[[#This Row],[Objetive value Cannibalism 18 stratified/Exact method]])*100</f>
        <v>56.397413692065271</v>
      </c>
    </row>
    <row r="10" spans="1:22" x14ac:dyDescent="0.25">
      <c r="A10" s="166" t="s">
        <v>384</v>
      </c>
      <c r="B10" s="12" t="s">
        <v>1070</v>
      </c>
      <c r="C10" s="11">
        <v>15000</v>
      </c>
      <c r="D10" s="47">
        <v>0.1</v>
      </c>
      <c r="E10" s="11">
        <v>10</v>
      </c>
      <c r="F10" s="190">
        <v>42209</v>
      </c>
      <c r="G10" s="190">
        <v>173.75</v>
      </c>
      <c r="H10" s="191">
        <v>0</v>
      </c>
      <c r="I10" s="170">
        <v>40844</v>
      </c>
      <c r="J10" s="170">
        <v>1700</v>
      </c>
      <c r="K10" s="170">
        <v>258</v>
      </c>
      <c r="L10" s="175">
        <f>((Tabela38[[#This Row],[Objetive value Cannibalism 18 stratified/Exact method]]-Tabela38[[#This Row],[Objetive value Cannibalism 18 stratified/GATeS]])/Tabela38[[#This Row],[Objetive value Cannibalism 18 stratified/Exact method]])*100</f>
        <v>3.2339074604942071</v>
      </c>
      <c r="M10" s="23">
        <v>34684</v>
      </c>
      <c r="N10" s="19">
        <v>7.2</v>
      </c>
      <c r="O10" s="20">
        <f>((Tabela38[[#This Row],[Objetive value Cannibalism 18 stratified/Exact method]]-Tabela38[[#This Row],[Objetive Value Cannibalis m18 stratified/H-R1]])/Tabela38[[#This Row],[Objetive value Cannibalism 18 stratified/Exact method]])*100</f>
        <v>17.827951384775758</v>
      </c>
      <c r="P10" s="80"/>
      <c r="Q10" s="77"/>
      <c r="R10" s="76">
        <v>100</v>
      </c>
    </row>
    <row r="11" spans="1:22" x14ac:dyDescent="0.25">
      <c r="A11" s="166" t="s">
        <v>384</v>
      </c>
      <c r="B11" s="12" t="s">
        <v>1071</v>
      </c>
      <c r="C11" s="11">
        <v>15000</v>
      </c>
      <c r="D11" s="47">
        <v>0.1</v>
      </c>
      <c r="E11" s="11">
        <v>10</v>
      </c>
      <c r="F11" s="190">
        <v>61412</v>
      </c>
      <c r="G11" s="190">
        <v>95.26</v>
      </c>
      <c r="H11" s="191">
        <v>0</v>
      </c>
      <c r="I11" s="170">
        <v>59969</v>
      </c>
      <c r="J11" s="170">
        <v>1737</v>
      </c>
      <c r="K11" s="170">
        <v>316</v>
      </c>
      <c r="L11" s="175">
        <f>((Tabela38[[#This Row],[Objetive value Cannibalism 18 stratified/Exact method]]-Tabela38[[#This Row],[Objetive value Cannibalism 18 stratified/GATeS]])/Tabela38[[#This Row],[Objetive value Cannibalism 18 stratified/Exact method]])*100</f>
        <v>2.3497036409822187</v>
      </c>
      <c r="M11" s="23">
        <v>61412</v>
      </c>
      <c r="N11" s="19">
        <v>5.77</v>
      </c>
      <c r="O11" s="20">
        <f>((Tabela38[[#This Row],[Objetive value Cannibalism 18 stratified/Exact method]]-Tabela38[[#This Row],[Objetive Value Cannibalis m18 stratified/H-R1]])/Tabela38[[#This Row],[Objetive value Cannibalism 18 stratified/Exact method]])*100</f>
        <v>0</v>
      </c>
      <c r="P11" s="96">
        <v>25056</v>
      </c>
      <c r="Q11" s="22">
        <v>7.05</v>
      </c>
      <c r="R11" s="180">
        <f>((Tabela38[[#This Row],[Objetive value Cannibalism 18 stratified/Exact method]]-Tabela38[[#This Row],[Objetive value Cannibalism 18 stratified/H-R2]])/Tabela38[[#This Row],[Objetive value Cannibalism 18 stratified/Exact method]])*100</f>
        <v>59.200156321240151</v>
      </c>
      <c r="V11" s="123"/>
    </row>
    <row r="12" spans="1:22" x14ac:dyDescent="0.25">
      <c r="A12" s="166" t="s">
        <v>384</v>
      </c>
      <c r="B12" s="12" t="s">
        <v>1072</v>
      </c>
      <c r="C12" s="11">
        <v>15000</v>
      </c>
      <c r="D12" s="47">
        <v>0.1</v>
      </c>
      <c r="E12" s="11">
        <v>10</v>
      </c>
      <c r="F12" s="190">
        <v>60903</v>
      </c>
      <c r="G12" s="190">
        <v>302.01</v>
      </c>
      <c r="H12" s="191">
        <v>0</v>
      </c>
      <c r="I12" s="170">
        <v>55585</v>
      </c>
      <c r="J12" s="170">
        <v>1675</v>
      </c>
      <c r="K12" s="170">
        <v>299</v>
      </c>
      <c r="L12" s="212">
        <f>((Tabela38[[#This Row],[Objetive value Cannibalism 18 stratified/Exact method]]-Tabela38[[#This Row],[Objetive value Cannibalism 18 stratified/GATeS]])/Tabela38[[#This Row],[Objetive value Cannibalism 18 stratified/Exact method]])*100</f>
        <v>8.7319179679161945</v>
      </c>
      <c r="M12" s="23">
        <v>33234</v>
      </c>
      <c r="N12" s="19">
        <v>9.83</v>
      </c>
      <c r="O12" s="20">
        <f>((Tabela38[[#This Row],[Objetive value Cannibalism 18 stratified/Exact method]]-Tabela38[[#This Row],[Objetive Value Cannibalis m18 stratified/H-R1]])/Tabela38[[#This Row],[Objetive value Cannibalism 18 stratified/Exact method]])*100</f>
        <v>45.431259543864833</v>
      </c>
      <c r="P12" s="96">
        <v>42946</v>
      </c>
      <c r="Q12" s="22">
        <v>3.14</v>
      </c>
      <c r="R12" s="180">
        <f>((Tabela38[[#This Row],[Objetive value Cannibalism 18 stratified/Exact method]]-Tabela38[[#This Row],[Objetive value Cannibalism 18 stratified/H-R2]])/Tabela38[[#This Row],[Objetive value Cannibalism 18 stratified/Exact method]])*100</f>
        <v>29.484590250069783</v>
      </c>
    </row>
    <row r="13" spans="1:22" x14ac:dyDescent="0.25">
      <c r="A13" s="166" t="s">
        <v>384</v>
      </c>
      <c r="B13" s="12" t="s">
        <v>1073</v>
      </c>
      <c r="C13" s="11">
        <v>15000</v>
      </c>
      <c r="D13" s="47">
        <v>0.1</v>
      </c>
      <c r="E13" s="11">
        <v>10</v>
      </c>
      <c r="F13" s="190">
        <v>101689</v>
      </c>
      <c r="G13" s="190">
        <v>1373.25</v>
      </c>
      <c r="H13" s="191">
        <v>0.01</v>
      </c>
      <c r="I13" s="170">
        <v>96041</v>
      </c>
      <c r="J13" s="170">
        <v>1738</v>
      </c>
      <c r="K13" s="170">
        <v>298</v>
      </c>
      <c r="L13" s="175">
        <f>((Tabela38[[#This Row],[Objetive value Cannibalism 18 stratified/Exact method]]-Tabela38[[#This Row],[Objetive value Cannibalism 18 stratified/GATeS]])/Tabela38[[#This Row],[Objetive value Cannibalism 18 stratified/Exact method]])*100</f>
        <v>5.554189735369607</v>
      </c>
      <c r="M13" s="23">
        <v>101694</v>
      </c>
      <c r="N13" s="19">
        <v>8.68</v>
      </c>
      <c r="O13" s="20">
        <f>((Tabela38[[#This Row],[Objetive value Cannibalism 18 stratified/Exact method]]-Tabela38[[#This Row],[Objetive Value Cannibalis m18 stratified/H-R1]])/Tabela38[[#This Row],[Objetive value Cannibalism 18 stratified/Exact method]])*100</f>
        <v>-4.916952669413604E-3</v>
      </c>
      <c r="P13" s="80"/>
      <c r="Q13" s="77"/>
      <c r="R13" s="76">
        <v>100</v>
      </c>
    </row>
    <row r="14" spans="1:22" x14ac:dyDescent="0.25">
      <c r="A14" s="166" t="s">
        <v>384</v>
      </c>
      <c r="B14" s="12" t="s">
        <v>1074</v>
      </c>
      <c r="C14" s="11">
        <v>15000</v>
      </c>
      <c r="D14" s="47">
        <v>0.1</v>
      </c>
      <c r="E14" s="11">
        <v>10</v>
      </c>
      <c r="F14" s="190">
        <v>62424</v>
      </c>
      <c r="G14" s="190">
        <v>41.59</v>
      </c>
      <c r="H14" s="191">
        <v>0</v>
      </c>
      <c r="I14" s="170">
        <v>62424</v>
      </c>
      <c r="J14" s="170">
        <v>1337</v>
      </c>
      <c r="K14" s="170">
        <v>214</v>
      </c>
      <c r="L14" s="212">
        <f>((Tabela38[[#This Row],[Objetive value Cannibalism 18 stratified/Exact method]]-Tabela38[[#This Row],[Objetive value Cannibalism 18 stratified/GATeS]])/Tabela38[[#This Row],[Objetive value Cannibalism 18 stratified/Exact method]])*100</f>
        <v>0</v>
      </c>
      <c r="M14" s="23">
        <v>35611</v>
      </c>
      <c r="N14" s="19">
        <v>6.71</v>
      </c>
      <c r="O14" s="20">
        <f>((Tabela38[[#This Row],[Objetive value Cannibalism 18 stratified/Exact method]]-Tabela38[[#This Row],[Objetive Value Cannibalis m18 stratified/H-R1]])/Tabela38[[#This Row],[Objetive value Cannibalism 18 stratified/Exact method]])*100</f>
        <v>42.953030885556835</v>
      </c>
      <c r="P14" s="96">
        <v>62424</v>
      </c>
      <c r="Q14" s="22">
        <v>3.58</v>
      </c>
      <c r="R14" s="180">
        <f>((Tabela38[[#This Row],[Objetive value Cannibalism 18 stratified/Exact method]]-Tabela38[[#This Row],[Objetive value Cannibalism 18 stratified/H-R2]])/Tabela38[[#This Row],[Objetive value Cannibalism 18 stratified/Exact method]])*100</f>
        <v>0</v>
      </c>
    </row>
    <row r="15" spans="1:22" x14ac:dyDescent="0.25">
      <c r="A15" s="166" t="s">
        <v>384</v>
      </c>
      <c r="B15" s="12" t="s">
        <v>1075</v>
      </c>
      <c r="C15" s="11">
        <v>15000</v>
      </c>
      <c r="D15" s="47">
        <v>0.1</v>
      </c>
      <c r="E15" s="11">
        <v>10</v>
      </c>
      <c r="F15" s="190">
        <v>18575</v>
      </c>
      <c r="G15" s="190">
        <v>23.28</v>
      </c>
      <c r="H15" s="191">
        <v>0</v>
      </c>
      <c r="I15" s="170">
        <v>18575</v>
      </c>
      <c r="J15" s="170">
        <v>1513</v>
      </c>
      <c r="K15" s="170">
        <v>283</v>
      </c>
      <c r="L15" s="175">
        <f>((Tabela38[[#This Row],[Objetive value Cannibalism 18 stratified/Exact method]]-Tabela38[[#This Row],[Objetive value Cannibalism 18 stratified/GATeS]])/Tabela38[[#This Row],[Objetive value Cannibalism 18 stratified/Exact method]])*100</f>
        <v>0</v>
      </c>
      <c r="M15" s="23">
        <v>17964</v>
      </c>
      <c r="N15" s="19">
        <v>10.78</v>
      </c>
      <c r="O15" s="20">
        <f>((Tabela38[[#This Row],[Objetive value Cannibalism 18 stratified/Exact method]]-Tabela38[[#This Row],[Objetive Value Cannibalis m18 stratified/H-R1]])/Tabela38[[#This Row],[Objetive value Cannibalism 18 stratified/Exact method]])*100</f>
        <v>3.289367429340512</v>
      </c>
      <c r="P15" s="96">
        <v>14892</v>
      </c>
      <c r="Q15" s="22">
        <v>8.58</v>
      </c>
      <c r="R15" s="180">
        <f>((Tabela38[[#This Row],[Objetive value Cannibalism 18 stratified/Exact method]]-Tabela38[[#This Row],[Objetive value Cannibalism 18 stratified/H-R2]])/Tabela38[[#This Row],[Objetive value Cannibalism 18 stratified/Exact method]])*100</f>
        <v>19.827725437415882</v>
      </c>
    </row>
    <row r="16" spans="1:22" x14ac:dyDescent="0.25">
      <c r="A16" s="166" t="s">
        <v>384</v>
      </c>
      <c r="B16" s="12" t="s">
        <v>1076</v>
      </c>
      <c r="C16" s="11">
        <v>15000</v>
      </c>
      <c r="D16" s="47">
        <v>0.1</v>
      </c>
      <c r="E16" s="11">
        <v>10</v>
      </c>
      <c r="F16" s="190">
        <v>6620</v>
      </c>
      <c r="G16" s="190">
        <v>28.48</v>
      </c>
      <c r="H16" s="191">
        <v>0</v>
      </c>
      <c r="I16" s="170">
        <v>6620</v>
      </c>
      <c r="J16" s="170">
        <v>402</v>
      </c>
      <c r="K16" s="170">
        <v>44</v>
      </c>
      <c r="L16" s="175">
        <f>((Tabela38[[#This Row],[Objetive value Cannibalism 18 stratified/Exact method]]-Tabela38[[#This Row],[Objetive value Cannibalism 18 stratified/GATeS]])/Tabela38[[#This Row],[Objetive value Cannibalism 18 stratified/Exact method]])*100</f>
        <v>0</v>
      </c>
      <c r="M16" s="79"/>
      <c r="N16" s="77"/>
      <c r="O16" s="78">
        <v>100</v>
      </c>
      <c r="P16" s="96">
        <v>6620</v>
      </c>
      <c r="Q16" s="22">
        <v>2.33</v>
      </c>
      <c r="R16" s="180">
        <f>((Tabela38[[#This Row],[Objetive value Cannibalism 18 stratified/Exact method]]-Tabela38[[#This Row],[Objetive value Cannibalism 18 stratified/H-R2]])/Tabela38[[#This Row],[Objetive value Cannibalism 18 stratified/Exact method]])*100</f>
        <v>0</v>
      </c>
    </row>
    <row r="17" spans="1:18" x14ac:dyDescent="0.25">
      <c r="A17" s="166" t="s">
        <v>384</v>
      </c>
      <c r="B17" s="12" t="s">
        <v>1077</v>
      </c>
      <c r="C17" s="11">
        <v>15000</v>
      </c>
      <c r="D17" s="47">
        <v>0.1</v>
      </c>
      <c r="E17" s="11">
        <v>10</v>
      </c>
      <c r="F17" s="190">
        <v>49486</v>
      </c>
      <c r="G17" s="190">
        <v>39.61</v>
      </c>
      <c r="H17" s="191">
        <v>0</v>
      </c>
      <c r="I17" s="170">
        <v>49483</v>
      </c>
      <c r="J17" s="170">
        <v>1444</v>
      </c>
      <c r="K17" s="170">
        <v>239</v>
      </c>
      <c r="L17" s="212">
        <f>((Tabela38[[#This Row],[Objetive value Cannibalism 18 stratified/Exact method]]-Tabela38[[#This Row],[Objetive value Cannibalism 18 stratified/GATeS]])/Tabela38[[#This Row],[Objetive value Cannibalism 18 stratified/Exact method]])*100</f>
        <v>6.0623206563472495E-3</v>
      </c>
      <c r="M17" s="23">
        <v>36577</v>
      </c>
      <c r="N17" s="19">
        <v>7.76</v>
      </c>
      <c r="O17" s="20">
        <f>((Tabela38[[#This Row],[Objetive value Cannibalism 18 stratified/Exact method]]-Tabela38[[#This Row],[Objetive Value Cannibalis m18 stratified/H-R1]])/Tabela38[[#This Row],[Objetive value Cannibalism 18 stratified/Exact method]])*100</f>
        <v>26.086165784262217</v>
      </c>
      <c r="P17" s="80"/>
      <c r="Q17" s="77"/>
      <c r="R17" s="76">
        <v>100</v>
      </c>
    </row>
    <row r="18" spans="1:18" x14ac:dyDescent="0.25">
      <c r="A18" s="166" t="s">
        <v>384</v>
      </c>
      <c r="B18" s="12" t="s">
        <v>1078</v>
      </c>
      <c r="C18" s="11">
        <v>15000</v>
      </c>
      <c r="D18" s="47">
        <v>0.1</v>
      </c>
      <c r="E18" s="11">
        <v>10</v>
      </c>
      <c r="F18" s="190">
        <v>69676</v>
      </c>
      <c r="G18" s="190">
        <v>114.17</v>
      </c>
      <c r="H18" s="191">
        <v>0.01</v>
      </c>
      <c r="I18" s="170">
        <v>44382</v>
      </c>
      <c r="J18" s="170">
        <v>1668</v>
      </c>
      <c r="K18" s="170">
        <v>140</v>
      </c>
      <c r="L18" s="175">
        <f>((Tabela38[[#This Row],[Objetive value Cannibalism 18 stratified/Exact method]]-Tabela38[[#This Row],[Objetive value Cannibalism 18 stratified/GATeS]])/Tabela38[[#This Row],[Objetive value Cannibalism 18 stratified/Exact method]])*100</f>
        <v>36.302313565646713</v>
      </c>
      <c r="M18" s="23">
        <v>60539</v>
      </c>
      <c r="N18" s="19">
        <v>5.77</v>
      </c>
      <c r="O18" s="20">
        <f>((Tabela38[[#This Row],[Objetive value Cannibalism 18 stratified/Exact method]]-Tabela38[[#This Row],[Objetive Value Cannibalis m18 stratified/H-R1]])/Tabela38[[#This Row],[Objetive value Cannibalism 18 stratified/Exact method]])*100</f>
        <v>13.11355416499225</v>
      </c>
      <c r="P18" s="80"/>
      <c r="Q18" s="77"/>
      <c r="R18" s="76">
        <v>100</v>
      </c>
    </row>
    <row r="19" spans="1:18" x14ac:dyDescent="0.25">
      <c r="A19" s="166" t="s">
        <v>384</v>
      </c>
      <c r="B19" s="12" t="s">
        <v>1079</v>
      </c>
      <c r="C19" s="11">
        <v>15000</v>
      </c>
      <c r="D19" s="47">
        <v>0.1</v>
      </c>
      <c r="E19" s="11">
        <v>10</v>
      </c>
      <c r="F19" s="190">
        <v>48842</v>
      </c>
      <c r="G19" s="190">
        <v>103.36</v>
      </c>
      <c r="H19" s="191">
        <v>0</v>
      </c>
      <c r="I19" s="170">
        <v>42354</v>
      </c>
      <c r="J19" s="170">
        <v>1716</v>
      </c>
      <c r="K19" s="170">
        <v>271</v>
      </c>
      <c r="L19" s="175">
        <f>((Tabela38[[#This Row],[Objetive value Cannibalism 18 stratified/Exact method]]-Tabela38[[#This Row],[Objetive value Cannibalism 18 stratified/GATeS]])/Tabela38[[#This Row],[Objetive value Cannibalism 18 stratified/Exact method]])*100</f>
        <v>13.283649318209736</v>
      </c>
      <c r="M19" s="53">
        <v>41832</v>
      </c>
      <c r="N19" s="42">
        <v>6.73</v>
      </c>
      <c r="O19" s="20">
        <f>((Tabela38[[#This Row],[Objetive value Cannibalism 18 stratified/Exact method]]-Tabela38[[#This Row],[Objetive Value Cannibalis m18 stratified/H-R1]])/Tabela38[[#This Row],[Objetive value Cannibalism 18 stratified/Exact method]])*100</f>
        <v>14.352401621555218</v>
      </c>
      <c r="P19" s="96">
        <v>25274</v>
      </c>
      <c r="Q19" s="22">
        <v>4.0599999999999996</v>
      </c>
      <c r="R19" s="180">
        <f>((Tabela38[[#This Row],[Objetive value Cannibalism 18 stratified/Exact method]]-Tabela38[[#This Row],[Objetive value Cannibalism 18 stratified/H-R2]])/Tabela38[[#This Row],[Objetive value Cannibalism 18 stratified/Exact method]])*100</f>
        <v>48.253552270586795</v>
      </c>
    </row>
    <row r="20" spans="1:18" x14ac:dyDescent="0.25">
      <c r="A20" s="167" t="s">
        <v>385</v>
      </c>
      <c r="B20" s="58" t="s">
        <v>1068</v>
      </c>
      <c r="C20" s="11">
        <v>5000</v>
      </c>
      <c r="D20" s="47">
        <v>0.15</v>
      </c>
      <c r="E20" s="11">
        <v>40</v>
      </c>
      <c r="F20" s="192">
        <v>176762</v>
      </c>
      <c r="G20" s="190">
        <v>20077.330000000002</v>
      </c>
      <c r="H20" s="191">
        <v>0.01</v>
      </c>
      <c r="I20" s="170">
        <v>169555</v>
      </c>
      <c r="J20" s="170">
        <v>845</v>
      </c>
      <c r="K20" s="170">
        <v>39</v>
      </c>
      <c r="L20" s="175">
        <f>((Tabela38[[#This Row],[Objetive value Cannibalism 18 stratified/Exact method]]-Tabela38[[#This Row],[Objetive value Cannibalism 18 stratified/GATeS]])/Tabela38[[#This Row],[Objetive value Cannibalism 18 stratified/Exact method]])*100</f>
        <v>4.0772337945938606</v>
      </c>
      <c r="M20" s="54">
        <v>32745</v>
      </c>
      <c r="N20" s="65">
        <v>0.2</v>
      </c>
      <c r="O20" s="20">
        <f>((Tabela38[[#This Row],[Objetive value Cannibalism 18 stratified/Exact method]]-Tabela38[[#This Row],[Objetive Value Cannibalis m18 stratified/H-R1]])/Tabela38[[#This Row],[Objetive value Cannibalism 18 stratified/Exact method]])*100</f>
        <v>81.475090800058837</v>
      </c>
      <c r="P20" s="92">
        <v>32748</v>
      </c>
      <c r="Q20" s="60">
        <v>0.27</v>
      </c>
      <c r="R20" s="180">
        <f>((Tabela38[[#This Row],[Objetive value Cannibalism 18 stratified/Exact method]]-Tabela38[[#This Row],[Objetive value Cannibalism 18 stratified/H-R2]])/Tabela38[[#This Row],[Objetive value Cannibalism 18 stratified/Exact method]])*100</f>
        <v>81.473393602697413</v>
      </c>
    </row>
    <row r="21" spans="1:18" s="189" customFormat="1" x14ac:dyDescent="0.25">
      <c r="A21" s="185" t="s">
        <v>1090</v>
      </c>
      <c r="B21" s="186"/>
      <c r="C21" s="186"/>
      <c r="D21" s="186"/>
      <c r="E21" s="186"/>
      <c r="F21" s="188">
        <f>SUBTOTAL(101,Tabela38[Objetive value Cannibalism 18 stratified/Exact method])</f>
        <v>200447.77777777778</v>
      </c>
      <c r="G21" s="188">
        <f>SUBTOTAL(101,Tabela38[Time/s Cannibalism 18 stratified/Exact method])</f>
        <v>2472.1577777777775</v>
      </c>
      <c r="H21" s="188">
        <f>SUBTOTAL(101,Tabela38[GAP % Time/s Cannibalism  18 stratified/Exact method])</f>
        <v>3.8888888888888892E-3</v>
      </c>
      <c r="I21" s="188">
        <f>SUBTOTAL(101,Tabela38[Objetive value Cannibalism 18 stratified/GATeS])</f>
        <v>183931.33333333334</v>
      </c>
      <c r="J21" s="188">
        <f>SUBTOTAL(101,Tabela38[Time/s Cannibalism 18 stratified/GATeS])</f>
        <v>3323.6666666666665</v>
      </c>
      <c r="K21" s="188">
        <f>SUBTOTAL(101,Tabela38[Time/s Best Solution Cannibalism 18 stratified/GATeS])</f>
        <v>945.27777777777783</v>
      </c>
      <c r="L21" s="188">
        <f>SUBTOTAL(101,Tabela38[Δ % (2020) Cannibalism 18 stratified/GATeS])</f>
        <v>8.6096914148812047</v>
      </c>
      <c r="M21" s="188">
        <f>SUBTOTAL(101,Tabela38[Objetive Value Cannibalis m18 stratified/H-R1])</f>
        <v>56855.470588235294</v>
      </c>
      <c r="N21" s="188">
        <f>SUBTOTAL(101,Tabela38[Time/s Cannibalism 18 stratified/H-R1])</f>
        <v>10.265882352941176</v>
      </c>
      <c r="O21" s="188">
        <f>SUBTOTAL(101,Tabela38[Δ % (2020) Cannibalism 18 stratified/H-R1])</f>
        <v>32.062851391349376</v>
      </c>
      <c r="P21" s="188">
        <f>SUBTOTAL(101,Tabela38[Objetive value Cannibalism 18 stratified/H-R2])</f>
        <v>129964.66555555555</v>
      </c>
      <c r="Q21" s="188">
        <f>SUBTOTAL(101,Tabela38[Time/s Cannibalism 18 stratified/H-R1                ])</f>
        <v>9.3177777777777759</v>
      </c>
      <c r="R21" s="188">
        <f>SUBTOTAL(101,Tabela38[Δ % (2020) Cannibalism 18 stratified/H-R2])</f>
        <v>69.916571352755795</v>
      </c>
    </row>
    <row r="25" spans="1:18" x14ac:dyDescent="0.25">
      <c r="P25" s="94">
        <v>69.916571352755795</v>
      </c>
      <c r="Q25" s="94">
        <v>32.062676721594485</v>
      </c>
    </row>
    <row r="26" spans="1:18" x14ac:dyDescent="0.25">
      <c r="R26" s="88">
        <f>AVERAGE(R3,R9,R11,R12,R14,R15,R16,R19,R20)</f>
        <v>39.833142705511577</v>
      </c>
    </row>
  </sheetData>
  <mergeCells count="4">
    <mergeCell ref="P1:R1"/>
    <mergeCell ref="F1:H1"/>
    <mergeCell ref="I1:L1"/>
    <mergeCell ref="M1:O1"/>
  </mergeCells>
  <conditionalFormatting sqref="N4:N16">
    <cfRule type="cellIs" dxfId="34" priority="5" operator="greaterThan">
      <formula>3600</formula>
    </cfRule>
  </conditionalFormatting>
  <conditionalFormatting sqref="N3">
    <cfRule type="cellIs" dxfId="33" priority="4" operator="greaterThan">
      <formula>3600</formula>
    </cfRule>
  </conditionalFormatting>
  <conditionalFormatting sqref="Q4:Q16">
    <cfRule type="cellIs" dxfId="32" priority="3" operator="greaterThan">
      <formula>3600</formula>
    </cfRule>
  </conditionalFormatting>
  <conditionalFormatting sqref="Q3">
    <cfRule type="cellIs" dxfId="31" priority="2" operator="greaterThan">
      <formula>3600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5" zoomScaleNormal="85" workbookViewId="0">
      <selection activeCell="A6" sqref="A6"/>
    </sheetView>
  </sheetViews>
  <sheetFormatPr defaultRowHeight="15" x14ac:dyDescent="0.25"/>
  <cols>
    <col min="1" max="1" width="10.7109375" style="88" bestFit="1" customWidth="1"/>
    <col min="2" max="2" width="41" style="88" bestFit="1" customWidth="1"/>
    <col min="3" max="3" width="9.28515625" style="88" customWidth="1"/>
    <col min="4" max="4" width="13.5703125" style="88" customWidth="1"/>
    <col min="5" max="5" width="20.85546875" style="88" customWidth="1"/>
    <col min="6" max="11" width="15.42578125" style="88" customWidth="1"/>
    <col min="12" max="12" width="15.42578125" style="93" customWidth="1"/>
    <col min="13" max="18" width="15.42578125" style="88" customWidth="1"/>
    <col min="19" max="16384" width="9.140625" style="88"/>
  </cols>
  <sheetData>
    <row r="1" spans="1:18" ht="15" customHeight="1" x14ac:dyDescent="0.25">
      <c r="A1" s="194"/>
      <c r="B1" s="194"/>
      <c r="C1" s="208"/>
      <c r="D1" s="208"/>
      <c r="E1" s="208"/>
      <c r="F1" s="265" t="s">
        <v>1594</v>
      </c>
      <c r="G1" s="266"/>
      <c r="H1" s="267"/>
      <c r="I1" s="245" t="s">
        <v>1526</v>
      </c>
      <c r="J1" s="246"/>
      <c r="K1" s="246"/>
      <c r="L1" s="247"/>
      <c r="M1" s="251" t="s">
        <v>1532</v>
      </c>
      <c r="N1" s="252"/>
      <c r="O1" s="253"/>
      <c r="P1" s="263" t="s">
        <v>1541</v>
      </c>
      <c r="Q1" s="264"/>
      <c r="R1" s="243"/>
    </row>
    <row r="2" spans="1:18" s="193" customFormat="1" ht="75" x14ac:dyDescent="0.25">
      <c r="A2" s="195" t="s">
        <v>1085</v>
      </c>
      <c r="B2" s="196" t="s">
        <v>1</v>
      </c>
      <c r="C2" s="196" t="s">
        <v>2</v>
      </c>
      <c r="D2" s="196" t="s">
        <v>3</v>
      </c>
      <c r="E2" s="196" t="s">
        <v>4</v>
      </c>
      <c r="F2" s="209" t="s">
        <v>1651</v>
      </c>
      <c r="G2" s="209" t="s">
        <v>1652</v>
      </c>
      <c r="H2" s="209" t="s">
        <v>1687</v>
      </c>
      <c r="I2" s="199" t="s">
        <v>1653</v>
      </c>
      <c r="J2" s="199" t="s">
        <v>1654</v>
      </c>
      <c r="K2" s="199" t="s">
        <v>1655</v>
      </c>
      <c r="L2" s="199" t="s">
        <v>1656</v>
      </c>
      <c r="M2" s="202" t="s">
        <v>1657</v>
      </c>
      <c r="N2" s="202" t="s">
        <v>1658</v>
      </c>
      <c r="O2" s="202" t="s">
        <v>1659</v>
      </c>
      <c r="P2" s="210" t="s">
        <v>1660</v>
      </c>
      <c r="Q2" s="210" t="s">
        <v>1661</v>
      </c>
      <c r="R2" s="203" t="s">
        <v>1662</v>
      </c>
    </row>
    <row r="3" spans="1:18" x14ac:dyDescent="0.25">
      <c r="A3" s="197" t="s">
        <v>1492</v>
      </c>
      <c r="B3" s="198" t="s">
        <v>1454</v>
      </c>
      <c r="C3" s="47">
        <v>100000</v>
      </c>
      <c r="D3" s="47">
        <v>0.15</v>
      </c>
      <c r="E3" s="47">
        <v>15</v>
      </c>
      <c r="F3" s="190">
        <v>2407391</v>
      </c>
      <c r="G3" s="190">
        <v>10282.799999999999</v>
      </c>
      <c r="H3" s="190">
        <v>0</v>
      </c>
      <c r="I3" s="200">
        <v>2395841</v>
      </c>
      <c r="J3" s="200">
        <v>30168</v>
      </c>
      <c r="K3" s="200">
        <v>19463</v>
      </c>
      <c r="L3" s="201">
        <f>((Tabela3810[[#This Row],[Objetive value Similarity 18 stratified/Exact method]]-Tabela3810[[#This Row],[Objetive value Similarity 18 stratified/GATeS]])/Tabela3810[[#This Row],[Objetive value Similarity 18 stratified/Exact method]])*100</f>
        <v>0.4797725006033503</v>
      </c>
      <c r="M3" s="23">
        <v>233451</v>
      </c>
      <c r="N3" s="53">
        <v>47.64</v>
      </c>
      <c r="O3" s="20">
        <f>((Tabela3810[[#This Row],[Objetive value Similarity 18 stratified/Exact method]]-Tabela3810[[#This Row],[Objetive Value Similarity 18 stratified/H-R1]])/Tabela3810[[#This Row],[Objetive value Similarity 18 stratified/Exact method]])*100</f>
        <v>90.302738524817954</v>
      </c>
      <c r="P3" s="177">
        <v>926240</v>
      </c>
      <c r="Q3" s="179">
        <v>39.74</v>
      </c>
      <c r="R3" s="180">
        <f>((Tabela3810[[#This Row],[Objetive value Similarity 18 stratified/Exact method]]-Tabela3810[[#This Row],[Objetive value Similarity 18 stratified/H-R2]])/Tabela3810[[#This Row],[Objetive value Similarity 18 stratified/Exact method]])*100</f>
        <v>61.525153163736178</v>
      </c>
    </row>
    <row r="4" spans="1:18" x14ac:dyDescent="0.25">
      <c r="A4" s="197" t="s">
        <v>384</v>
      </c>
      <c r="B4" s="198" t="s">
        <v>1455</v>
      </c>
      <c r="C4" s="47">
        <v>15000</v>
      </c>
      <c r="D4" s="47">
        <v>0.1</v>
      </c>
      <c r="E4" s="47">
        <v>10</v>
      </c>
      <c r="F4" s="190">
        <v>27847</v>
      </c>
      <c r="G4" s="190">
        <v>90.05</v>
      </c>
      <c r="H4" s="190">
        <v>0.01</v>
      </c>
      <c r="I4" s="200">
        <v>27846</v>
      </c>
      <c r="J4" s="200">
        <v>232</v>
      </c>
      <c r="K4" s="200">
        <v>33</v>
      </c>
      <c r="L4" s="201">
        <f>((Tabela3810[[#This Row],[Objetive value Similarity 18 stratified/Exact method]]-Tabela3810[[#This Row],[Objetive value Similarity 18 stratified/GATeS]])/Tabela3810[[#This Row],[Objetive value Similarity 18 stratified/Exact method]])*100</f>
        <v>3.5910511006571623E-3</v>
      </c>
      <c r="M4" s="23">
        <v>27847</v>
      </c>
      <c r="N4" s="53">
        <v>10.71</v>
      </c>
      <c r="O4" s="20">
        <f>((Tabela3810[[#This Row],[Objetive value Similarity 18 stratified/Exact method]]-Tabela3810[[#This Row],[Objetive Value Similarity 18 stratified/H-R1]])/Tabela3810[[#This Row],[Objetive value Similarity 18 stratified/Exact method]])*100</f>
        <v>0</v>
      </c>
      <c r="P4" s="80"/>
      <c r="Q4" s="79"/>
      <c r="R4" s="76">
        <v>100</v>
      </c>
    </row>
    <row r="5" spans="1:18" x14ac:dyDescent="0.25">
      <c r="A5" s="197" t="s">
        <v>384</v>
      </c>
      <c r="B5" s="198" t="s">
        <v>1456</v>
      </c>
      <c r="C5" s="47">
        <v>15000</v>
      </c>
      <c r="D5" s="47">
        <v>0.1</v>
      </c>
      <c r="E5" s="47">
        <v>10</v>
      </c>
      <c r="F5" s="190">
        <v>84283</v>
      </c>
      <c r="G5" s="190">
        <v>296</v>
      </c>
      <c r="H5" s="190">
        <v>0</v>
      </c>
      <c r="I5" s="200">
        <v>65953</v>
      </c>
      <c r="J5" s="200">
        <v>985</v>
      </c>
      <c r="K5" s="200">
        <v>163</v>
      </c>
      <c r="L5" s="201">
        <f>((Tabela3810[[#This Row],[Objetive value Similarity 18 stratified/Exact method]]-Tabela3810[[#This Row],[Objetive value Similarity 18 stratified/GATeS]])/Tabela3810[[#This Row],[Objetive value Similarity 18 stratified/Exact method]])*100</f>
        <v>21.74815799152854</v>
      </c>
      <c r="M5" s="23">
        <v>54875</v>
      </c>
      <c r="N5" s="53">
        <v>8.99</v>
      </c>
      <c r="O5" s="20">
        <f>((Tabela3810[[#This Row],[Objetive value Similarity 18 stratified/Exact method]]-Tabela3810[[#This Row],[Objetive Value Similarity 18 stratified/H-R1]])/Tabela3810[[#This Row],[Objetive value Similarity 18 stratified/Exact method]])*100</f>
        <v>34.891971097374324</v>
      </c>
      <c r="P5" s="80"/>
      <c r="Q5" s="79"/>
      <c r="R5" s="76">
        <v>100</v>
      </c>
    </row>
    <row r="6" spans="1:18" x14ac:dyDescent="0.25">
      <c r="A6" s="197" t="s">
        <v>384</v>
      </c>
      <c r="B6" s="198" t="s">
        <v>1457</v>
      </c>
      <c r="C6" s="47">
        <v>15000</v>
      </c>
      <c r="D6" s="47">
        <v>0.1</v>
      </c>
      <c r="E6" s="47">
        <v>10</v>
      </c>
      <c r="F6" s="190">
        <v>47441</v>
      </c>
      <c r="G6" s="190">
        <v>192.84</v>
      </c>
      <c r="H6" s="190">
        <v>0.01</v>
      </c>
      <c r="I6" s="200">
        <v>47441</v>
      </c>
      <c r="J6" s="200">
        <v>1874</v>
      </c>
      <c r="K6" s="200">
        <v>460</v>
      </c>
      <c r="L6" s="201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M6" s="23">
        <v>34474</v>
      </c>
      <c r="N6" s="53">
        <v>8.9600000000000009</v>
      </c>
      <c r="O6" s="20">
        <f>((Tabela3810[[#This Row],[Objetive value Similarity 18 stratified/Exact method]]-Tabela3810[[#This Row],[Objetive Value Similarity 18 stratified/H-R1]])/Tabela3810[[#This Row],[Objetive value Similarity 18 stratified/Exact method]])*100</f>
        <v>27.33289770451719</v>
      </c>
      <c r="P6" s="80"/>
      <c r="Q6" s="79"/>
      <c r="R6" s="76">
        <v>100</v>
      </c>
    </row>
    <row r="7" spans="1:18" x14ac:dyDescent="0.25">
      <c r="A7" s="197" t="s">
        <v>384</v>
      </c>
      <c r="B7" s="198" t="s">
        <v>1458</v>
      </c>
      <c r="C7" s="47">
        <v>15000</v>
      </c>
      <c r="D7" s="47">
        <v>0.1</v>
      </c>
      <c r="E7" s="47">
        <v>10</v>
      </c>
      <c r="F7" s="190">
        <v>27905</v>
      </c>
      <c r="G7" s="190">
        <v>211.89</v>
      </c>
      <c r="H7" s="190">
        <v>0.01</v>
      </c>
      <c r="I7" s="200">
        <v>27900</v>
      </c>
      <c r="J7" s="200">
        <v>951</v>
      </c>
      <c r="K7" s="200">
        <v>215</v>
      </c>
      <c r="L7" s="201">
        <f>((Tabela3810[[#This Row],[Objetive value Similarity 18 stratified/Exact method]]-Tabela3810[[#This Row],[Objetive value Similarity 18 stratified/GATeS]])/Tabela3810[[#This Row],[Objetive value Similarity 18 stratified/Exact method]])*100</f>
        <v>1.7917935853789643E-2</v>
      </c>
      <c r="M7" s="23">
        <v>27332</v>
      </c>
      <c r="N7" s="53">
        <v>16.809999999999999</v>
      </c>
      <c r="O7" s="20">
        <f>((Tabela3810[[#This Row],[Objetive value Similarity 18 stratified/Exact method]]-Tabela3810[[#This Row],[Objetive Value Similarity 18 stratified/H-R1]])/Tabela3810[[#This Row],[Objetive value Similarity 18 stratified/Exact method]])*100</f>
        <v>2.0533954488442934</v>
      </c>
      <c r="P7" s="80"/>
      <c r="Q7" s="79"/>
      <c r="R7" s="76">
        <v>100</v>
      </c>
    </row>
    <row r="8" spans="1:18" x14ac:dyDescent="0.25">
      <c r="A8" s="197" t="s">
        <v>384</v>
      </c>
      <c r="B8" s="198" t="s">
        <v>1459</v>
      </c>
      <c r="C8" s="47">
        <v>15000</v>
      </c>
      <c r="D8" s="47">
        <v>0.1</v>
      </c>
      <c r="E8" s="47">
        <v>10</v>
      </c>
      <c r="F8" s="190">
        <v>73440</v>
      </c>
      <c r="G8" s="190">
        <v>97.39</v>
      </c>
      <c r="H8" s="190">
        <v>0</v>
      </c>
      <c r="I8" s="200">
        <v>73440</v>
      </c>
      <c r="J8" s="200">
        <v>1496</v>
      </c>
      <c r="K8" s="200">
        <v>261</v>
      </c>
      <c r="L8" s="201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M8" s="23">
        <v>54426</v>
      </c>
      <c r="N8" s="53">
        <v>10.06</v>
      </c>
      <c r="O8" s="20">
        <f>((Tabela3810[[#This Row],[Objetive value Similarity 18 stratified/Exact method]]-Tabela3810[[#This Row],[Objetive Value Similarity 18 stratified/H-R1]])/Tabela3810[[#This Row],[Objetive value Similarity 18 stratified/Exact method]])*100</f>
        <v>25.890522875816995</v>
      </c>
      <c r="P8" s="80"/>
      <c r="Q8" s="79"/>
      <c r="R8" s="76">
        <v>100</v>
      </c>
    </row>
    <row r="9" spans="1:18" x14ac:dyDescent="0.25">
      <c r="A9" s="197" t="s">
        <v>384</v>
      </c>
      <c r="B9" s="198" t="s">
        <v>1460</v>
      </c>
      <c r="C9" s="47">
        <v>15000</v>
      </c>
      <c r="D9" s="47">
        <v>0.1</v>
      </c>
      <c r="E9" s="47">
        <v>10</v>
      </c>
      <c r="F9" s="190">
        <v>67222</v>
      </c>
      <c r="G9" s="190">
        <v>266.2</v>
      </c>
      <c r="H9" s="190">
        <v>0.01</v>
      </c>
      <c r="I9" s="200">
        <v>64084</v>
      </c>
      <c r="J9" s="200">
        <v>2148</v>
      </c>
      <c r="K9" s="200">
        <v>609</v>
      </c>
      <c r="L9" s="201">
        <f>((Tabela3810[[#This Row],[Objetive value Similarity 18 stratified/Exact method]]-Tabela3810[[#This Row],[Objetive value Similarity 18 stratified/GATeS]])/Tabela3810[[#This Row],[Objetive value Similarity 18 stratified/Exact method]])*100</f>
        <v>4.6681146053375384</v>
      </c>
      <c r="M9" s="23">
        <v>65439</v>
      </c>
      <c r="N9" s="53">
        <v>11.09</v>
      </c>
      <c r="O9" s="20">
        <f>((Tabela3810[[#This Row],[Objetive value Similarity 18 stratified/Exact method]]-Tabela3810[[#This Row],[Objetive Value Similarity 18 stratified/H-R1]])/Tabela3810[[#This Row],[Objetive value Similarity 18 stratified/Exact method]])*100</f>
        <v>2.6524054624973967</v>
      </c>
      <c r="P9" s="177">
        <v>33481</v>
      </c>
      <c r="Q9" s="179">
        <v>7</v>
      </c>
      <c r="R9" s="180">
        <f>((Tabela3810[[#This Row],[Objetive value Similarity 18 stratified/Exact method]]-Tabela3810[[#This Row],[Objetive value Similarity 18 stratified/H-R2]])/Tabela3810[[#This Row],[Objetive value Similarity 18 stratified/Exact method]])*100</f>
        <v>50.193389069054774</v>
      </c>
    </row>
    <row r="10" spans="1:18" x14ac:dyDescent="0.25">
      <c r="A10" s="197" t="s">
        <v>384</v>
      </c>
      <c r="B10" s="198" t="s">
        <v>1461</v>
      </c>
      <c r="C10" s="47">
        <v>15000</v>
      </c>
      <c r="D10" s="47">
        <v>0.1</v>
      </c>
      <c r="E10" s="47">
        <v>10</v>
      </c>
      <c r="F10" s="190">
        <v>40844</v>
      </c>
      <c r="G10" s="190">
        <v>30.08</v>
      </c>
      <c r="H10" s="190">
        <v>0</v>
      </c>
      <c r="I10" s="200">
        <v>40844</v>
      </c>
      <c r="J10" s="200">
        <v>1459</v>
      </c>
      <c r="K10" s="200">
        <v>445</v>
      </c>
      <c r="L10" s="201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M10" s="23">
        <v>34166</v>
      </c>
      <c r="N10" s="53">
        <v>15.56</v>
      </c>
      <c r="O10" s="20">
        <f>((Tabela3810[[#This Row],[Objetive value Similarity 18 stratified/Exact method]]-Tabela3810[[#This Row],[Objetive Value Similarity 18 stratified/H-R1]])/Tabela3810[[#This Row],[Objetive value Similarity 18 stratified/Exact method]])*100</f>
        <v>16.350014690040151</v>
      </c>
      <c r="P10" s="80"/>
      <c r="Q10" s="79"/>
      <c r="R10" s="76">
        <v>100</v>
      </c>
    </row>
    <row r="11" spans="1:18" x14ac:dyDescent="0.25">
      <c r="A11" s="197" t="s">
        <v>384</v>
      </c>
      <c r="B11" s="198" t="s">
        <v>1462</v>
      </c>
      <c r="C11" s="47">
        <v>15000</v>
      </c>
      <c r="D11" s="47">
        <v>0.1</v>
      </c>
      <c r="E11" s="47">
        <v>10</v>
      </c>
      <c r="F11" s="190">
        <v>40984</v>
      </c>
      <c r="G11" s="190">
        <v>69.09</v>
      </c>
      <c r="H11" s="190">
        <v>0</v>
      </c>
      <c r="I11" s="200">
        <v>40984</v>
      </c>
      <c r="J11" s="200">
        <v>1429</v>
      </c>
      <c r="K11" s="200">
        <v>376</v>
      </c>
      <c r="L11" s="201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M11" s="23">
        <v>40984</v>
      </c>
      <c r="N11" s="53">
        <v>21.08</v>
      </c>
      <c r="O11" s="20">
        <f>((Tabela3810[[#This Row],[Objetive value Similarity 18 stratified/Exact method]]-Tabela3810[[#This Row],[Objetive Value Similarity 18 stratified/H-R1]])/Tabela3810[[#This Row],[Objetive value Similarity 18 stratified/Exact method]])*100</f>
        <v>0</v>
      </c>
      <c r="P11" s="177">
        <v>19989</v>
      </c>
      <c r="Q11" s="179">
        <v>18.37</v>
      </c>
      <c r="R11" s="180">
        <f>((Tabela3810[[#This Row],[Objetive value Similarity 18 stratified/Exact method]]-Tabela3810[[#This Row],[Objetive value Similarity 18 stratified/H-R2]])/Tabela3810[[#This Row],[Objetive value Similarity 18 stratified/Exact method]])*100</f>
        <v>51.227308217841106</v>
      </c>
    </row>
    <row r="12" spans="1:18" x14ac:dyDescent="0.25">
      <c r="A12" s="197" t="s">
        <v>384</v>
      </c>
      <c r="B12" s="198" t="s">
        <v>1463</v>
      </c>
      <c r="C12" s="47">
        <v>15000</v>
      </c>
      <c r="D12" s="47">
        <v>0.1</v>
      </c>
      <c r="E12" s="47">
        <v>10</v>
      </c>
      <c r="F12" s="190">
        <v>87958</v>
      </c>
      <c r="G12" s="190">
        <v>83.99</v>
      </c>
      <c r="H12" s="190">
        <v>0</v>
      </c>
      <c r="I12" s="200">
        <v>86971</v>
      </c>
      <c r="J12" s="200">
        <v>1913</v>
      </c>
      <c r="K12" s="200">
        <v>501</v>
      </c>
      <c r="L12" s="201">
        <f>((Tabela3810[[#This Row],[Objetive value Similarity 18 stratified/Exact method]]-Tabela3810[[#This Row],[Objetive value Similarity 18 stratified/GATeS]])/Tabela3810[[#This Row],[Objetive value Similarity 18 stratified/Exact method]])*100</f>
        <v>1.1221264694513291</v>
      </c>
      <c r="M12" s="23">
        <v>40402</v>
      </c>
      <c r="N12" s="53">
        <v>18.010000000000002</v>
      </c>
      <c r="O12" s="20">
        <f>((Tabela3810[[#This Row],[Objetive value Similarity 18 stratified/Exact method]]-Tabela3810[[#This Row],[Objetive Value Similarity 18 stratified/H-R1]])/Tabela3810[[#This Row],[Objetive value Similarity 18 stratified/Exact method]])*100</f>
        <v>54.066713658791699</v>
      </c>
      <c r="P12" s="177">
        <v>42946</v>
      </c>
      <c r="Q12" s="179">
        <v>12.66</v>
      </c>
      <c r="R12" s="180">
        <f>((Tabela3810[[#This Row],[Objetive value Similarity 18 stratified/Exact method]]-Tabela3810[[#This Row],[Objetive value Similarity 18 stratified/H-R2]])/Tabela3810[[#This Row],[Objetive value Similarity 18 stratified/Exact method]])*100</f>
        <v>51.17442415698401</v>
      </c>
    </row>
    <row r="13" spans="1:18" x14ac:dyDescent="0.25">
      <c r="A13" s="197" t="s">
        <v>384</v>
      </c>
      <c r="B13" s="198" t="s">
        <v>1464</v>
      </c>
      <c r="C13" s="47">
        <v>15000</v>
      </c>
      <c r="D13" s="47">
        <v>0.1</v>
      </c>
      <c r="E13" s="47">
        <v>10</v>
      </c>
      <c r="F13" s="190">
        <v>83507</v>
      </c>
      <c r="G13" s="190">
        <v>114.14</v>
      </c>
      <c r="H13" s="190">
        <v>0</v>
      </c>
      <c r="I13" s="200">
        <v>79159</v>
      </c>
      <c r="J13" s="200">
        <v>1627</v>
      </c>
      <c r="K13" s="200">
        <v>425</v>
      </c>
      <c r="L13" s="201">
        <f>((Tabela3810[[#This Row],[Objetive value Similarity 18 stratified/Exact method]]-Tabela3810[[#This Row],[Objetive value Similarity 18 stratified/GATeS]])/Tabela3810[[#This Row],[Objetive value Similarity 18 stratified/Exact method]])*100</f>
        <v>5.2067491348030703</v>
      </c>
      <c r="M13" s="23">
        <v>69215</v>
      </c>
      <c r="N13" s="53">
        <v>9.7100000000000009</v>
      </c>
      <c r="O13" s="20">
        <f>((Tabela3810[[#This Row],[Objetive value Similarity 18 stratified/Exact method]]-Tabela3810[[#This Row],[Objetive Value Similarity 18 stratified/H-R1]])/Tabela3810[[#This Row],[Objetive value Similarity 18 stratified/Exact method]])*100</f>
        <v>17.114732896643396</v>
      </c>
      <c r="P13" s="80"/>
      <c r="Q13" s="79"/>
      <c r="R13" s="76">
        <v>100</v>
      </c>
    </row>
    <row r="14" spans="1:18" x14ac:dyDescent="0.25">
      <c r="A14" s="197" t="s">
        <v>384</v>
      </c>
      <c r="B14" s="198" t="s">
        <v>1465</v>
      </c>
      <c r="C14" s="47">
        <v>15000</v>
      </c>
      <c r="D14" s="47">
        <v>0.1</v>
      </c>
      <c r="E14" s="47">
        <v>10</v>
      </c>
      <c r="F14" s="190">
        <v>62424</v>
      </c>
      <c r="G14" s="190">
        <v>96.03</v>
      </c>
      <c r="H14" s="190">
        <v>0</v>
      </c>
      <c r="I14" s="200">
        <v>62424</v>
      </c>
      <c r="J14" s="200">
        <v>1807</v>
      </c>
      <c r="K14" s="200">
        <v>408</v>
      </c>
      <c r="L14" s="201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M14" s="23">
        <v>35611</v>
      </c>
      <c r="N14" s="53">
        <v>21.2</v>
      </c>
      <c r="O14" s="20">
        <f>((Tabela3810[[#This Row],[Objetive value Similarity 18 stratified/Exact method]]-Tabela3810[[#This Row],[Objetive Value Similarity 18 stratified/H-R1]])/Tabela3810[[#This Row],[Objetive value Similarity 18 stratified/Exact method]])*100</f>
        <v>42.953030885556835</v>
      </c>
      <c r="P14" s="177">
        <v>62424</v>
      </c>
      <c r="Q14" s="179">
        <v>8.6300000000000008</v>
      </c>
      <c r="R14" s="180">
        <f>((Tabela3810[[#This Row],[Objetive value Similarity 18 stratified/Exact method]]-Tabela3810[[#This Row],[Objetive value Similarity 18 stratified/H-R2]])/Tabela3810[[#This Row],[Objetive value Similarity 18 stratified/Exact method]])*100</f>
        <v>0</v>
      </c>
    </row>
    <row r="15" spans="1:18" x14ac:dyDescent="0.25">
      <c r="A15" s="197" t="s">
        <v>384</v>
      </c>
      <c r="B15" s="198" t="s">
        <v>1466</v>
      </c>
      <c r="C15" s="47">
        <v>15000</v>
      </c>
      <c r="D15" s="47">
        <v>0.1</v>
      </c>
      <c r="E15" s="47">
        <v>10</v>
      </c>
      <c r="F15" s="190">
        <v>18575</v>
      </c>
      <c r="G15" s="190">
        <v>34.840000000000003</v>
      </c>
      <c r="H15" s="190">
        <v>0</v>
      </c>
      <c r="I15" s="200">
        <v>18575</v>
      </c>
      <c r="J15" s="200">
        <v>1473</v>
      </c>
      <c r="K15" s="200">
        <v>254</v>
      </c>
      <c r="L15" s="201">
        <f>((Tabela3810[[#This Row],[Objetive value Similarity 18 stratified/Exact method]]-Tabela3810[[#This Row],[Objetive value Similarity 18 stratified/GATeS]])/Tabela3810[[#This Row],[Objetive value Similarity 18 stratified/Exact method]])*100</f>
        <v>0</v>
      </c>
      <c r="M15" s="23">
        <v>17964</v>
      </c>
      <c r="N15" s="53">
        <v>10.49</v>
      </c>
      <c r="O15" s="20">
        <f>((Tabela3810[[#This Row],[Objetive value Similarity 18 stratified/Exact method]]-Tabela3810[[#This Row],[Objetive Value Similarity 18 stratified/H-R1]])/Tabela3810[[#This Row],[Objetive value Similarity 18 stratified/Exact method]])*100</f>
        <v>3.289367429340512</v>
      </c>
      <c r="P15" s="177">
        <v>14892</v>
      </c>
      <c r="Q15" s="179">
        <v>8.58</v>
      </c>
      <c r="R15" s="180">
        <f>((Tabela3810[[#This Row],[Objetive value Similarity 18 stratified/Exact method]]-Tabela3810[[#This Row],[Objetive value Similarity 18 stratified/H-R2]])/Tabela3810[[#This Row],[Objetive value Similarity 18 stratified/Exact method]])*100</f>
        <v>19.827725437415882</v>
      </c>
    </row>
    <row r="16" spans="1:18" x14ac:dyDescent="0.25">
      <c r="A16" s="197" t="s">
        <v>384</v>
      </c>
      <c r="B16" s="198" t="s">
        <v>1467</v>
      </c>
      <c r="C16" s="47">
        <v>15000</v>
      </c>
      <c r="D16" s="47">
        <v>0.1</v>
      </c>
      <c r="E16" s="47">
        <v>10</v>
      </c>
      <c r="F16" s="190">
        <v>6620</v>
      </c>
      <c r="G16" s="190">
        <v>98.16</v>
      </c>
      <c r="H16" s="190">
        <v>0</v>
      </c>
      <c r="I16" s="200">
        <v>6616</v>
      </c>
      <c r="J16" s="200">
        <v>1039</v>
      </c>
      <c r="K16" s="200">
        <v>33</v>
      </c>
      <c r="L16" s="201">
        <f>((Tabela3810[[#This Row],[Objetive value Similarity 18 stratified/Exact method]]-Tabela3810[[#This Row],[Objetive value Similarity 18 stratified/GATeS]])/Tabela3810[[#This Row],[Objetive value Similarity 18 stratified/Exact method]])*100</f>
        <v>6.0422960725075525E-2</v>
      </c>
      <c r="M16" s="79"/>
      <c r="N16" s="79"/>
      <c r="O16" s="78">
        <v>100</v>
      </c>
      <c r="P16" s="177">
        <v>6620</v>
      </c>
      <c r="Q16" s="179">
        <v>2.33</v>
      </c>
      <c r="R16" s="180">
        <f>((Tabela3810[[#This Row],[Objetive value Similarity 18 stratified/Exact method]]-Tabela3810[[#This Row],[Objetive value Similarity 18 stratified/H-R2]])/Tabela3810[[#This Row],[Objetive value Similarity 18 stratified/Exact method]])*100</f>
        <v>0</v>
      </c>
    </row>
    <row r="17" spans="1:18" x14ac:dyDescent="0.25">
      <c r="A17" s="197" t="s">
        <v>384</v>
      </c>
      <c r="B17" s="198" t="s">
        <v>1468</v>
      </c>
      <c r="C17" s="47">
        <v>15000</v>
      </c>
      <c r="D17" s="47">
        <v>0.1</v>
      </c>
      <c r="E17" s="47">
        <v>10</v>
      </c>
      <c r="F17" s="190">
        <v>49486</v>
      </c>
      <c r="G17" s="190">
        <v>114.94</v>
      </c>
      <c r="H17" s="190">
        <v>0</v>
      </c>
      <c r="I17" s="200">
        <v>49483</v>
      </c>
      <c r="J17" s="200">
        <v>1204</v>
      </c>
      <c r="K17" s="200">
        <v>200</v>
      </c>
      <c r="L17" s="201">
        <f>((Tabela3810[[#This Row],[Objetive value Similarity 18 stratified/Exact method]]-Tabela3810[[#This Row],[Objetive value Similarity 18 stratified/GATeS]])/Tabela3810[[#This Row],[Objetive value Similarity 18 stratified/Exact method]])*100</f>
        <v>6.0623206563472495E-3</v>
      </c>
      <c r="M17" s="23">
        <v>36577</v>
      </c>
      <c r="N17" s="53">
        <v>18.18</v>
      </c>
      <c r="O17" s="20">
        <f>((Tabela3810[[#This Row],[Objetive value Similarity 18 stratified/Exact method]]-Tabela3810[[#This Row],[Objetive Value Similarity 18 stratified/H-R1]])/Tabela3810[[#This Row],[Objetive value Similarity 18 stratified/Exact method]])*100</f>
        <v>26.086165784262217</v>
      </c>
      <c r="P17" s="80"/>
      <c r="Q17" s="79"/>
      <c r="R17" s="76">
        <v>100</v>
      </c>
    </row>
    <row r="18" spans="1:18" x14ac:dyDescent="0.25">
      <c r="A18" s="197" t="s">
        <v>384</v>
      </c>
      <c r="B18" s="198" t="s">
        <v>1469</v>
      </c>
      <c r="C18" s="47">
        <v>15000</v>
      </c>
      <c r="D18" s="47">
        <v>0.1</v>
      </c>
      <c r="E18" s="47">
        <v>10</v>
      </c>
      <c r="F18" s="190">
        <v>58770</v>
      </c>
      <c r="G18" s="190">
        <v>156.08000000000001</v>
      </c>
      <c r="H18" s="190">
        <v>0</v>
      </c>
      <c r="I18" s="200">
        <v>43330</v>
      </c>
      <c r="J18" s="200">
        <v>1739</v>
      </c>
      <c r="K18" s="200">
        <v>587</v>
      </c>
      <c r="L18" s="201">
        <f>((Tabela3810[[#This Row],[Objetive value Similarity 18 stratified/Exact method]]-Tabela3810[[#This Row],[Objetive value Similarity 18 stratified/GATeS]])/Tabela3810[[#This Row],[Objetive value Similarity 18 stratified/Exact method]])*100</f>
        <v>26.271907435766543</v>
      </c>
      <c r="M18" s="23">
        <v>47525</v>
      </c>
      <c r="N18" s="53">
        <v>13.39</v>
      </c>
      <c r="O18" s="20">
        <f>((Tabela3810[[#This Row],[Objetive value Similarity 18 stratified/Exact method]]-Tabela3810[[#This Row],[Objetive Value Similarity 18 stratified/H-R1]])/Tabela3810[[#This Row],[Objetive value Similarity 18 stratified/Exact method]])*100</f>
        <v>19.133911859792409</v>
      </c>
      <c r="P18" s="80"/>
      <c r="Q18" s="79"/>
      <c r="R18" s="76">
        <v>100</v>
      </c>
    </row>
    <row r="19" spans="1:18" x14ac:dyDescent="0.25">
      <c r="A19" s="197" t="s">
        <v>384</v>
      </c>
      <c r="B19" s="198" t="s">
        <v>1470</v>
      </c>
      <c r="C19" s="47">
        <v>15000</v>
      </c>
      <c r="D19" s="47">
        <v>0.1</v>
      </c>
      <c r="E19" s="47">
        <v>10</v>
      </c>
      <c r="F19" s="190">
        <v>42356</v>
      </c>
      <c r="G19" s="190">
        <v>122.28</v>
      </c>
      <c r="H19" s="190">
        <v>0</v>
      </c>
      <c r="I19" s="200">
        <v>42354</v>
      </c>
      <c r="J19" s="200">
        <v>1824</v>
      </c>
      <c r="K19" s="200">
        <v>439</v>
      </c>
      <c r="L19" s="201">
        <f>((Tabela3810[[#This Row],[Objetive value Similarity 18 stratified/Exact method]]-Tabela3810[[#This Row],[Objetive value Similarity 18 stratified/GATeS]])/Tabela3810[[#This Row],[Objetive value Similarity 18 stratified/Exact method]])*100</f>
        <v>4.7218811974690722E-3</v>
      </c>
      <c r="M19" s="53">
        <v>27845</v>
      </c>
      <c r="N19" s="23">
        <v>7.99</v>
      </c>
      <c r="O19" s="20">
        <f>((Tabela3810[[#This Row],[Objetive value Similarity 18 stratified/Exact method]]-Tabela3810[[#This Row],[Objetive Value Similarity 18 stratified/H-R1]])/Tabela3810[[#This Row],[Objetive value Similarity 18 stratified/Exact method]])*100</f>
        <v>34.259609028236845</v>
      </c>
      <c r="P19" s="177">
        <v>25274</v>
      </c>
      <c r="Q19" s="179">
        <v>7.8</v>
      </c>
      <c r="R19" s="180">
        <f>((Tabela3810[[#This Row],[Objetive value Similarity 18 stratified/Exact method]]-Tabela3810[[#This Row],[Objetive value Similarity 18 stratified/H-R2]])/Tabela3810[[#This Row],[Objetive value Similarity 18 stratified/Exact method]])*100</f>
        <v>40.329587307583346</v>
      </c>
    </row>
    <row r="20" spans="1:18" x14ac:dyDescent="0.25">
      <c r="A20" s="204" t="s">
        <v>385</v>
      </c>
      <c r="B20" s="205" t="s">
        <v>1471</v>
      </c>
      <c r="C20" s="47">
        <v>5000</v>
      </c>
      <c r="D20" s="47">
        <v>0.15</v>
      </c>
      <c r="E20" s="47">
        <v>40</v>
      </c>
      <c r="F20" s="192">
        <v>171662</v>
      </c>
      <c r="G20" s="190">
        <v>4583.08</v>
      </c>
      <c r="H20" s="190">
        <v>0.01</v>
      </c>
      <c r="I20" s="200">
        <v>159700</v>
      </c>
      <c r="J20" s="200">
        <v>939</v>
      </c>
      <c r="K20" s="200">
        <v>86</v>
      </c>
      <c r="L20" s="201">
        <f>((Tabela3810[[#This Row],[Objetive value Similarity 18 stratified/Exact method]]-Tabela3810[[#This Row],[Objetive value Similarity 18 stratified/GATeS]])/Tabela3810[[#This Row],[Objetive value Similarity 18 stratified/Exact method]])*100</f>
        <v>6.9683447705374517</v>
      </c>
      <c r="M20" s="54">
        <v>171367</v>
      </c>
      <c r="N20" s="49">
        <v>7.2</v>
      </c>
      <c r="O20" s="20">
        <f>((Tabela3810[[#This Row],[Objetive value Similarity 18 stratified/Exact method]]-Tabela3810[[#This Row],[Objetive Value Similarity 18 stratified/H-R1]])/Tabela3810[[#This Row],[Objetive value Similarity 18 stratified/Exact method]])*100</f>
        <v>0.17184933182649625</v>
      </c>
      <c r="P20" s="178">
        <v>75684</v>
      </c>
      <c r="Q20" s="184">
        <v>1.22</v>
      </c>
      <c r="R20" s="180">
        <f>((Tabela3810[[#This Row],[Objetive value Similarity 18 stratified/Exact method]]-Tabela3810[[#This Row],[Objetive value Similarity 18 stratified/H-R2]])/Tabela3810[[#This Row],[Objetive value Similarity 18 stratified/Exact method]])*100</f>
        <v>55.911034474723586</v>
      </c>
    </row>
    <row r="21" spans="1:18" s="211" customFormat="1" x14ac:dyDescent="0.25">
      <c r="A21" s="206" t="s">
        <v>1090</v>
      </c>
      <c r="B21" s="207"/>
      <c r="C21" s="207"/>
      <c r="D21" s="207"/>
      <c r="E21" s="207"/>
      <c r="F21" s="188">
        <f>SUBTOTAL(101,Tabela3810[Objetive value Similarity 18 stratified/Exact method])</f>
        <v>188817.5</v>
      </c>
      <c r="G21" s="188">
        <f>SUBTOTAL(101,Tabela3810[Time/s Similarity 18 stratified/Exact method])</f>
        <v>941.10444444444431</v>
      </c>
      <c r="H21" s="188">
        <f>SUBTOTAL(101,Tabela3810[GAP % Time/s Similarity  18 stratified/Exact method])</f>
        <v>2.7777777777777779E-3</v>
      </c>
      <c r="I21" s="188">
        <f>SUBTOTAL(101,Tabela3810[Objetive value Similarity 18 stratified/GATeS])</f>
        <v>185163.61111111112</v>
      </c>
      <c r="J21" s="188">
        <f>SUBTOTAL(101,Tabela3810[Time/s Similarity 18 stratified/GATeS])</f>
        <v>3017.0555555555557</v>
      </c>
      <c r="K21" s="188">
        <f>SUBTOTAL(101,Tabela3810[Time/s Best Solution Similarity 18 stratified/GATeS])</f>
        <v>1386.5555555555557</v>
      </c>
      <c r="L21" s="188">
        <f>SUBTOTAL(101,Tabela3810[Δ % (2020) Similarity 18 stratified/GATeS])</f>
        <v>3.697660503197842</v>
      </c>
      <c r="M21" s="188">
        <f>SUBTOTAL(101,Tabela3810[Objetive Value Similarity 18 stratified/H-R1])</f>
        <v>59970.588235294119</v>
      </c>
      <c r="N21" s="188">
        <f>SUBTOTAL(101,Tabela3810[Time/s Similarity 18 stratified/H-R1])</f>
        <v>15.121764705882356</v>
      </c>
      <c r="O21" s="188">
        <f>SUBTOTAL(101,Tabela3810[Δ % (2020) Similarity 18 stratified/H-R1])</f>
        <v>27.586073704353264</v>
      </c>
      <c r="P21" s="188">
        <f>SUBTOTAL(101,Tabela3810[Objetive value Similarity 18 stratified/H-R2])</f>
        <v>134172.22222222222</v>
      </c>
      <c r="Q21" s="188">
        <f>SUBTOTAL(101,Tabela3810[Time/s Similarity 18 stratified/H-R1                ])</f>
        <v>11.814444444444442</v>
      </c>
      <c r="R21" s="188">
        <f>SUBTOTAL(101,Tabela3810[Δ % (2020) Similarity 18 stratified/H-R2])</f>
        <v>68.343812323741062</v>
      </c>
    </row>
  </sheetData>
  <mergeCells count="4">
    <mergeCell ref="P1:R1"/>
    <mergeCell ref="F1:H1"/>
    <mergeCell ref="I1:L1"/>
    <mergeCell ref="M1:O1"/>
  </mergeCells>
  <conditionalFormatting sqref="N4:N10 N13:N16">
    <cfRule type="cellIs" dxfId="24" priority="9" operator="greaterThan">
      <formula>3600</formula>
    </cfRule>
  </conditionalFormatting>
  <conditionalFormatting sqref="N3">
    <cfRule type="cellIs" dxfId="23" priority="8" operator="greaterThan">
      <formula>3600</formula>
    </cfRule>
  </conditionalFormatting>
  <conditionalFormatting sqref="N11:N12">
    <cfRule type="cellIs" dxfId="21" priority="7" operator="greaterThan">
      <formula>3600</formula>
    </cfRule>
  </conditionalFormatting>
  <conditionalFormatting sqref="Q4:Q10 Q13:Q16">
    <cfRule type="cellIs" dxfId="19" priority="4" operator="greaterThan">
      <formula>3600</formula>
    </cfRule>
  </conditionalFormatting>
  <conditionalFormatting sqref="Q3">
    <cfRule type="cellIs" dxfId="18" priority="3" operator="greaterThan">
      <formula>3600</formula>
    </cfRule>
  </conditionalFormatting>
  <conditionalFormatting sqref="Q11:Q12">
    <cfRule type="cellIs" dxfId="17" priority="2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A12" sqref="A12"/>
    </sheetView>
  </sheetViews>
  <sheetFormatPr defaultRowHeight="15" x14ac:dyDescent="0.25"/>
  <cols>
    <col min="1" max="1" width="10.7109375" style="94" bestFit="1" customWidth="1"/>
    <col min="2" max="2" width="44" style="94" bestFit="1" customWidth="1"/>
    <col min="3" max="3" width="9.28515625" style="94" hidden="1" customWidth="1"/>
    <col min="4" max="4" width="13.5703125" style="94" hidden="1" customWidth="1"/>
    <col min="5" max="5" width="20.85546875" style="94" hidden="1" customWidth="1"/>
    <col min="6" max="6" width="9.42578125" style="94" hidden="1" customWidth="1"/>
    <col min="7" max="7" width="9.140625" style="94" hidden="1" customWidth="1"/>
    <col min="8" max="10" width="15.42578125" style="94" customWidth="1"/>
    <col min="11" max="13" width="15.42578125" style="94" hidden="1" customWidth="1"/>
    <col min="14" max="16" width="15.42578125" style="94" customWidth="1"/>
    <col min="17" max="17" width="15.42578125" style="93" customWidth="1"/>
    <col min="18" max="29" width="15.42578125" style="94" customWidth="1"/>
    <col min="30" max="16384" width="9.140625" style="94"/>
  </cols>
  <sheetData>
    <row r="1" spans="1:29" ht="15" customHeight="1" x14ac:dyDescent="0.25">
      <c r="A1" s="1"/>
      <c r="B1" s="1"/>
      <c r="C1" s="2"/>
      <c r="D1" s="2"/>
      <c r="E1" s="2"/>
      <c r="F1" s="2"/>
      <c r="G1" s="2"/>
      <c r="H1" s="248" t="s">
        <v>1663</v>
      </c>
      <c r="I1" s="249"/>
      <c r="J1" s="250"/>
      <c r="K1" s="268" t="s">
        <v>1609</v>
      </c>
      <c r="L1" s="269"/>
      <c r="M1" s="270"/>
      <c r="N1" s="255" t="s">
        <v>1543</v>
      </c>
      <c r="O1" s="256"/>
      <c r="P1" s="256"/>
      <c r="Q1" s="257"/>
      <c r="R1" s="244" t="s">
        <v>1548</v>
      </c>
      <c r="S1" s="258"/>
      <c r="T1" s="258"/>
      <c r="U1" s="259"/>
      <c r="V1" s="260" t="s">
        <v>1549</v>
      </c>
      <c r="W1" s="261"/>
      <c r="X1" s="261"/>
      <c r="Y1" s="262"/>
      <c r="Z1" s="241" t="s">
        <v>1554</v>
      </c>
      <c r="AA1" s="242"/>
      <c r="AB1" s="242"/>
      <c r="AC1" s="254"/>
    </row>
    <row r="2" spans="1:29" s="91" customFormat="1" ht="75" x14ac:dyDescent="0.25">
      <c r="A2" s="165" t="s">
        <v>1085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9" t="s">
        <v>1664</v>
      </c>
      <c r="I2" s="9" t="s">
        <v>1665</v>
      </c>
      <c r="J2" s="9" t="s">
        <v>1688</v>
      </c>
      <c r="K2" s="168" t="s">
        <v>1666</v>
      </c>
      <c r="L2" s="168" t="s">
        <v>1667</v>
      </c>
      <c r="M2" s="168" t="s">
        <v>1668</v>
      </c>
      <c r="N2" s="169" t="s">
        <v>1669</v>
      </c>
      <c r="O2" s="169" t="s">
        <v>1670</v>
      </c>
      <c r="P2" s="169" t="s">
        <v>1671</v>
      </c>
      <c r="Q2" s="199" t="s">
        <v>1672</v>
      </c>
      <c r="R2" s="98" t="s">
        <v>1673</v>
      </c>
      <c r="S2" s="98" t="s">
        <v>1674</v>
      </c>
      <c r="T2" s="98" t="s">
        <v>1675</v>
      </c>
      <c r="U2" s="98" t="s">
        <v>1676</v>
      </c>
      <c r="V2" s="172" t="s">
        <v>1677</v>
      </c>
      <c r="W2" s="172" t="s">
        <v>1678</v>
      </c>
      <c r="X2" s="172" t="s">
        <v>1679</v>
      </c>
      <c r="Y2" s="172" t="s">
        <v>1680</v>
      </c>
      <c r="Z2" s="173" t="s">
        <v>1681</v>
      </c>
      <c r="AA2" s="173" t="s">
        <v>1682</v>
      </c>
      <c r="AB2" s="173" t="s">
        <v>1683</v>
      </c>
      <c r="AC2" s="174" t="s">
        <v>1684</v>
      </c>
    </row>
    <row r="3" spans="1:29" x14ac:dyDescent="0.25">
      <c r="A3" s="166" t="s">
        <v>1492</v>
      </c>
      <c r="B3" s="12" t="s">
        <v>1472</v>
      </c>
      <c r="C3" s="11">
        <v>100000</v>
      </c>
      <c r="D3" s="47">
        <v>0.15</v>
      </c>
      <c r="E3" s="11">
        <v>15</v>
      </c>
      <c r="F3" s="12" t="s">
        <v>18</v>
      </c>
      <c r="G3" s="12" t="s">
        <v>16</v>
      </c>
      <c r="H3" s="190">
        <v>2776856</v>
      </c>
      <c r="I3" s="190">
        <v>40058.730000000003</v>
      </c>
      <c r="J3" s="191">
        <v>0</v>
      </c>
      <c r="K3" s="15">
        <v>1519</v>
      </c>
      <c r="L3" s="15">
        <v>0</v>
      </c>
      <c r="M3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99.945297847637761</v>
      </c>
      <c r="N3" s="170">
        <v>2340803</v>
      </c>
      <c r="O3" s="170">
        <v>33152</v>
      </c>
      <c r="P3" s="170">
        <v>25762</v>
      </c>
      <c r="Q3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15.703118922983403</v>
      </c>
      <c r="R3" s="176">
        <v>332336</v>
      </c>
      <c r="S3" s="176">
        <v>103.45</v>
      </c>
      <c r="T3" s="182">
        <v>0</v>
      </c>
      <c r="U3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88.031932516486265</v>
      </c>
      <c r="V3" s="23">
        <v>271452</v>
      </c>
      <c r="W3" s="53">
        <v>49.82</v>
      </c>
      <c r="X3" s="53">
        <v>0</v>
      </c>
      <c r="Y3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90.224484092801362</v>
      </c>
      <c r="Z3" s="177">
        <v>926240</v>
      </c>
      <c r="AA3" s="179">
        <v>33.54</v>
      </c>
      <c r="AB3" s="179">
        <v>0</v>
      </c>
      <c r="AC3" s="18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66.644291241605615</v>
      </c>
    </row>
    <row r="4" spans="1:29" x14ac:dyDescent="0.25">
      <c r="A4" s="166" t="s">
        <v>384</v>
      </c>
      <c r="B4" s="12" t="s">
        <v>1473</v>
      </c>
      <c r="C4" s="11">
        <v>15000</v>
      </c>
      <c r="D4" s="47">
        <v>0.1</v>
      </c>
      <c r="E4" s="11">
        <v>10</v>
      </c>
      <c r="F4" s="12" t="s">
        <v>18</v>
      </c>
      <c r="G4" s="12" t="s">
        <v>16</v>
      </c>
      <c r="H4" s="190">
        <v>27847</v>
      </c>
      <c r="I4" s="190">
        <v>91.83</v>
      </c>
      <c r="J4" s="191">
        <v>0.01</v>
      </c>
      <c r="K4" s="15">
        <v>27846</v>
      </c>
      <c r="L4" s="59">
        <v>1310</v>
      </c>
      <c r="M4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3.5910511006571623E-3</v>
      </c>
      <c r="N4" s="170">
        <v>27846</v>
      </c>
      <c r="O4" s="170">
        <v>366</v>
      </c>
      <c r="P4" s="170">
        <v>55</v>
      </c>
      <c r="Q4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3.5910511006571623E-3</v>
      </c>
      <c r="R4" s="176">
        <v>38486.07</v>
      </c>
      <c r="S4" s="176">
        <v>12</v>
      </c>
      <c r="T4" s="182">
        <v>0</v>
      </c>
      <c r="U4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-38.205444033468595</v>
      </c>
      <c r="V4" s="23">
        <v>27847</v>
      </c>
      <c r="W4" s="53">
        <v>9.49</v>
      </c>
      <c r="X4" s="53">
        <v>0</v>
      </c>
      <c r="Y4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0</v>
      </c>
      <c r="Z4" s="80"/>
      <c r="AA4" s="79"/>
      <c r="AB4" s="79"/>
      <c r="AC4" s="76">
        <v>100</v>
      </c>
    </row>
    <row r="5" spans="1:29" x14ac:dyDescent="0.25">
      <c r="A5" s="166" t="s">
        <v>384</v>
      </c>
      <c r="B5" s="12" t="s">
        <v>1474</v>
      </c>
      <c r="C5" s="11">
        <v>15000</v>
      </c>
      <c r="D5" s="47">
        <v>0.1</v>
      </c>
      <c r="E5" s="11">
        <v>10</v>
      </c>
      <c r="F5" s="12" t="s">
        <v>18</v>
      </c>
      <c r="G5" s="12" t="s">
        <v>16</v>
      </c>
      <c r="H5" s="190">
        <v>84283</v>
      </c>
      <c r="I5" s="190">
        <v>296</v>
      </c>
      <c r="J5" s="191">
        <v>0</v>
      </c>
      <c r="K5" s="15">
        <v>77977</v>
      </c>
      <c r="L5" s="59">
        <v>4337</v>
      </c>
      <c r="M5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7.48193585895139</v>
      </c>
      <c r="N5" s="170">
        <v>65953</v>
      </c>
      <c r="O5" s="170">
        <v>1665</v>
      </c>
      <c r="P5" s="170">
        <v>288</v>
      </c>
      <c r="Q5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21.74815799152854</v>
      </c>
      <c r="R5" s="176">
        <v>93781.41</v>
      </c>
      <c r="S5" s="176">
        <v>7.67</v>
      </c>
      <c r="T5" s="182">
        <v>0</v>
      </c>
      <c r="U5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-11.269662921348319</v>
      </c>
      <c r="V5" s="23">
        <v>54875</v>
      </c>
      <c r="W5" s="53">
        <v>8.99</v>
      </c>
      <c r="X5" s="53">
        <v>0</v>
      </c>
      <c r="Y5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34.891971097374324</v>
      </c>
      <c r="Z5" s="80"/>
      <c r="AA5" s="79"/>
      <c r="AB5" s="79"/>
      <c r="AC5" s="76">
        <v>100</v>
      </c>
    </row>
    <row r="6" spans="1:29" x14ac:dyDescent="0.25">
      <c r="A6" s="166" t="s">
        <v>384</v>
      </c>
      <c r="B6" s="12" t="s">
        <v>1475</v>
      </c>
      <c r="C6" s="11">
        <v>15000</v>
      </c>
      <c r="D6" s="47">
        <v>0.1</v>
      </c>
      <c r="E6" s="11">
        <v>10</v>
      </c>
      <c r="F6" s="12" t="s">
        <v>18</v>
      </c>
      <c r="G6" s="12" t="s">
        <v>16</v>
      </c>
      <c r="H6" s="190">
        <v>47441</v>
      </c>
      <c r="I6" s="190">
        <v>192.84</v>
      </c>
      <c r="J6" s="191">
        <v>0.01</v>
      </c>
      <c r="K6" s="15">
        <v>47441</v>
      </c>
      <c r="L6" s="59">
        <v>570</v>
      </c>
      <c r="M6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0</v>
      </c>
      <c r="N6" s="170">
        <v>47441</v>
      </c>
      <c r="O6" s="170">
        <v>1830</v>
      </c>
      <c r="P6" s="170">
        <v>277</v>
      </c>
      <c r="Q6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6" s="176">
        <v>52737.08</v>
      </c>
      <c r="S6" s="176">
        <v>2.0299999999999998</v>
      </c>
      <c r="T6" s="182">
        <v>0</v>
      </c>
      <c r="U6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-11.163508357749629</v>
      </c>
      <c r="V6" s="23">
        <v>34474</v>
      </c>
      <c r="W6" s="53">
        <v>8.9600000000000009</v>
      </c>
      <c r="X6" s="53">
        <v>0</v>
      </c>
      <c r="Y6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27.33289770451719</v>
      </c>
      <c r="Z6" s="80"/>
      <c r="AA6" s="79"/>
      <c r="AB6" s="79"/>
      <c r="AC6" s="76">
        <v>100</v>
      </c>
    </row>
    <row r="7" spans="1:29" x14ac:dyDescent="0.25">
      <c r="A7" s="166" t="s">
        <v>384</v>
      </c>
      <c r="B7" s="12" t="s">
        <v>1476</v>
      </c>
      <c r="C7" s="11">
        <v>15000</v>
      </c>
      <c r="D7" s="47">
        <v>0.1</v>
      </c>
      <c r="E7" s="11">
        <v>10</v>
      </c>
      <c r="F7" s="12" t="s">
        <v>18</v>
      </c>
      <c r="G7" s="12" t="s">
        <v>16</v>
      </c>
      <c r="H7" s="190">
        <v>27905</v>
      </c>
      <c r="I7" s="190">
        <v>215.75</v>
      </c>
      <c r="J7" s="191">
        <v>0.01</v>
      </c>
      <c r="K7" s="15">
        <v>27900</v>
      </c>
      <c r="L7" s="59">
        <v>177</v>
      </c>
      <c r="M7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1.7917935853789643E-2</v>
      </c>
      <c r="N7" s="170">
        <v>27900</v>
      </c>
      <c r="O7" s="170">
        <v>1588</v>
      </c>
      <c r="P7" s="170">
        <v>297</v>
      </c>
      <c r="Q7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1.7917935853789643E-2</v>
      </c>
      <c r="R7" s="176">
        <v>65265.71</v>
      </c>
      <c r="S7" s="176">
        <v>9.84</v>
      </c>
      <c r="T7" s="182">
        <v>0</v>
      </c>
      <c r="U7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-133.88536104640744</v>
      </c>
      <c r="V7" s="23">
        <v>27332</v>
      </c>
      <c r="W7" s="53">
        <v>13.93</v>
      </c>
      <c r="X7" s="53">
        <v>0</v>
      </c>
      <c r="Y7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2.0533954488442934</v>
      </c>
      <c r="Z7" s="80"/>
      <c r="AA7" s="79"/>
      <c r="AB7" s="79"/>
      <c r="AC7" s="76">
        <v>100</v>
      </c>
    </row>
    <row r="8" spans="1:29" x14ac:dyDescent="0.25">
      <c r="A8" s="166" t="s">
        <v>384</v>
      </c>
      <c r="B8" s="12" t="s">
        <v>1477</v>
      </c>
      <c r="C8" s="11">
        <v>15000</v>
      </c>
      <c r="D8" s="47">
        <v>0.1</v>
      </c>
      <c r="E8" s="11">
        <v>10</v>
      </c>
      <c r="F8" s="12" t="s">
        <v>18</v>
      </c>
      <c r="G8" s="12" t="s">
        <v>16</v>
      </c>
      <c r="H8" s="190">
        <v>73440</v>
      </c>
      <c r="I8" s="190">
        <v>97.39</v>
      </c>
      <c r="J8" s="191">
        <v>0</v>
      </c>
      <c r="K8" s="15">
        <v>42354</v>
      </c>
      <c r="L8" s="59">
        <v>541</v>
      </c>
      <c r="M8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42.328431372549019</v>
      </c>
      <c r="N8" s="170">
        <v>73437</v>
      </c>
      <c r="O8" s="170">
        <v>1879</v>
      </c>
      <c r="P8" s="170">
        <v>319</v>
      </c>
      <c r="Q8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4.0849673202614373E-3</v>
      </c>
      <c r="R8" s="176">
        <v>74149.58</v>
      </c>
      <c r="S8" s="176">
        <v>1.89</v>
      </c>
      <c r="T8" s="182">
        <v>0</v>
      </c>
      <c r="U8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-0.96620370370370612</v>
      </c>
      <c r="V8" s="23">
        <v>54426</v>
      </c>
      <c r="W8" s="53">
        <v>10.06</v>
      </c>
      <c r="X8" s="53">
        <v>0</v>
      </c>
      <c r="Y8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25.890522875816995</v>
      </c>
      <c r="Z8" s="80"/>
      <c r="AA8" s="79"/>
      <c r="AB8" s="79"/>
      <c r="AC8" s="76">
        <v>100</v>
      </c>
    </row>
    <row r="9" spans="1:29" x14ac:dyDescent="0.25">
      <c r="A9" s="166" t="s">
        <v>384</v>
      </c>
      <c r="B9" s="12" t="s">
        <v>1478</v>
      </c>
      <c r="C9" s="11">
        <v>15000</v>
      </c>
      <c r="D9" s="47">
        <v>0.1</v>
      </c>
      <c r="E9" s="11">
        <v>10</v>
      </c>
      <c r="F9" s="12" t="s">
        <v>18</v>
      </c>
      <c r="G9" s="12" t="s">
        <v>16</v>
      </c>
      <c r="H9" s="190">
        <v>64263</v>
      </c>
      <c r="I9" s="190">
        <v>272.13</v>
      </c>
      <c r="J9" s="191">
        <v>0</v>
      </c>
      <c r="K9" s="15">
        <v>42823</v>
      </c>
      <c r="L9" s="59">
        <v>3777</v>
      </c>
      <c r="M9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33.362899335542998</v>
      </c>
      <c r="N9" s="170">
        <v>53265</v>
      </c>
      <c r="O9" s="170">
        <v>3164</v>
      </c>
      <c r="P9" s="170">
        <v>31</v>
      </c>
      <c r="Q9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17.11404696326035</v>
      </c>
      <c r="R9" s="176">
        <v>82536.7</v>
      </c>
      <c r="S9" s="176">
        <v>45.94</v>
      </c>
      <c r="T9" s="182">
        <v>0</v>
      </c>
      <c r="U9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-28.435802872570527</v>
      </c>
      <c r="V9" s="23">
        <v>47480</v>
      </c>
      <c r="W9" s="53">
        <v>21.12</v>
      </c>
      <c r="X9" s="53">
        <v>0</v>
      </c>
      <c r="Y9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26.116116583415028</v>
      </c>
      <c r="Z9" s="96">
        <v>33482</v>
      </c>
      <c r="AA9" s="21">
        <v>12.5</v>
      </c>
      <c r="AB9" s="21">
        <v>0</v>
      </c>
      <c r="AC9" s="18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47.898479685044272</v>
      </c>
    </row>
    <row r="10" spans="1:29" x14ac:dyDescent="0.25">
      <c r="A10" s="166" t="s">
        <v>384</v>
      </c>
      <c r="B10" s="12" t="s">
        <v>1479</v>
      </c>
      <c r="C10" s="11">
        <v>15000</v>
      </c>
      <c r="D10" s="47">
        <v>0.1</v>
      </c>
      <c r="E10" s="11">
        <v>10</v>
      </c>
      <c r="F10" s="12" t="s">
        <v>18</v>
      </c>
      <c r="G10" s="12" t="s">
        <v>16</v>
      </c>
      <c r="H10" s="190">
        <v>40844</v>
      </c>
      <c r="I10" s="190">
        <v>29</v>
      </c>
      <c r="J10" s="191">
        <v>0</v>
      </c>
      <c r="K10" s="15">
        <v>40844</v>
      </c>
      <c r="L10" s="59">
        <v>3888</v>
      </c>
      <c r="M10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0</v>
      </c>
      <c r="N10" s="170">
        <v>40844</v>
      </c>
      <c r="O10" s="170">
        <v>1684</v>
      </c>
      <c r="P10" s="170">
        <v>261</v>
      </c>
      <c r="Q10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0" s="176">
        <v>45186.52</v>
      </c>
      <c r="S10" s="176">
        <v>12.71</v>
      </c>
      <c r="T10" s="182">
        <v>0</v>
      </c>
      <c r="U10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-10.631965527372433</v>
      </c>
      <c r="V10" s="23">
        <v>34166</v>
      </c>
      <c r="W10" s="53">
        <v>15.56</v>
      </c>
      <c r="X10" s="53">
        <v>0</v>
      </c>
      <c r="Y10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16.350014690040151</v>
      </c>
      <c r="Z10" s="80"/>
      <c r="AA10" s="79"/>
      <c r="AB10" s="79"/>
      <c r="AC10" s="76">
        <v>100</v>
      </c>
    </row>
    <row r="11" spans="1:29" x14ac:dyDescent="0.25">
      <c r="A11" s="166" t="s">
        <v>384</v>
      </c>
      <c r="B11" s="12" t="s">
        <v>1480</v>
      </c>
      <c r="C11" s="11">
        <v>15000</v>
      </c>
      <c r="D11" s="47">
        <v>0.1</v>
      </c>
      <c r="E11" s="11">
        <v>10</v>
      </c>
      <c r="F11" s="12" t="s">
        <v>18</v>
      </c>
      <c r="G11" s="12" t="s">
        <v>16</v>
      </c>
      <c r="H11" s="190">
        <v>40984</v>
      </c>
      <c r="I11" s="190">
        <v>5010.1400000000003</v>
      </c>
      <c r="J11" s="191">
        <v>0</v>
      </c>
      <c r="K11" s="15">
        <v>40984</v>
      </c>
      <c r="L11" s="59">
        <v>3806</v>
      </c>
      <c r="M11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0</v>
      </c>
      <c r="N11" s="170">
        <v>40984</v>
      </c>
      <c r="O11" s="170">
        <v>1250</v>
      </c>
      <c r="P11" s="170">
        <v>323</v>
      </c>
      <c r="Q11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1" s="176">
        <v>68426.17</v>
      </c>
      <c r="S11" s="176">
        <v>12.77</v>
      </c>
      <c r="T11" s="182">
        <v>0</v>
      </c>
      <c r="U11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-66.958252000780789</v>
      </c>
      <c r="V11" s="23">
        <v>40984</v>
      </c>
      <c r="W11" s="53">
        <v>14.1</v>
      </c>
      <c r="X11" s="53">
        <v>0</v>
      </c>
      <c r="Y11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0</v>
      </c>
      <c r="Z11" s="96">
        <v>19989</v>
      </c>
      <c r="AA11" s="21">
        <v>13.91</v>
      </c>
      <c r="AB11" s="21">
        <v>0</v>
      </c>
      <c r="AC11" s="18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51.227308217841106</v>
      </c>
    </row>
    <row r="12" spans="1:29" x14ac:dyDescent="0.25">
      <c r="A12" s="166" t="s">
        <v>384</v>
      </c>
      <c r="B12" s="12" t="s">
        <v>1481</v>
      </c>
      <c r="C12" s="11">
        <v>15000</v>
      </c>
      <c r="D12" s="47">
        <v>0.1</v>
      </c>
      <c r="E12" s="11">
        <v>10</v>
      </c>
      <c r="F12" s="12" t="s">
        <v>18</v>
      </c>
      <c r="G12" s="12" t="s">
        <v>16</v>
      </c>
      <c r="H12" s="190">
        <v>87958</v>
      </c>
      <c r="I12" s="190">
        <v>83.75</v>
      </c>
      <c r="J12" s="191">
        <v>0</v>
      </c>
      <c r="K12" s="15">
        <v>86210</v>
      </c>
      <c r="L12" s="59">
        <v>4008</v>
      </c>
      <c r="M12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1.9873121262420701</v>
      </c>
      <c r="N12" s="170">
        <v>86971</v>
      </c>
      <c r="O12" s="170">
        <v>2265</v>
      </c>
      <c r="P12" s="170">
        <v>664</v>
      </c>
      <c r="Q12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1.1221264694513291</v>
      </c>
      <c r="R12" s="176">
        <v>94821.08</v>
      </c>
      <c r="S12" s="176">
        <v>14.25</v>
      </c>
      <c r="T12" s="182">
        <v>0</v>
      </c>
      <c r="U12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-7.802678551126677</v>
      </c>
      <c r="V12" s="23">
        <v>40402</v>
      </c>
      <c r="W12" s="53">
        <v>15.1</v>
      </c>
      <c r="X12" s="53">
        <v>0</v>
      </c>
      <c r="Y12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54.066713658791699</v>
      </c>
      <c r="Z12" s="96">
        <v>42946</v>
      </c>
      <c r="AA12" s="21">
        <v>12.47</v>
      </c>
      <c r="AB12" s="21">
        <v>0</v>
      </c>
      <c r="AC12" s="18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51.17442415698401</v>
      </c>
    </row>
    <row r="13" spans="1:29" x14ac:dyDescent="0.25">
      <c r="A13" s="166" t="s">
        <v>384</v>
      </c>
      <c r="B13" s="12" t="s">
        <v>1482</v>
      </c>
      <c r="C13" s="11">
        <v>15000</v>
      </c>
      <c r="D13" s="47">
        <v>0.1</v>
      </c>
      <c r="E13" s="11">
        <v>10</v>
      </c>
      <c r="F13" s="12" t="s">
        <v>18</v>
      </c>
      <c r="G13" s="12" t="s">
        <v>16</v>
      </c>
      <c r="H13" s="190">
        <v>96067</v>
      </c>
      <c r="I13" s="190">
        <v>104.19</v>
      </c>
      <c r="J13" s="191">
        <v>0</v>
      </c>
      <c r="K13" s="15">
        <v>96019</v>
      </c>
      <c r="L13" s="59">
        <v>3590</v>
      </c>
      <c r="M13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4.9965128504064871E-2</v>
      </c>
      <c r="N13" s="170">
        <v>96041</v>
      </c>
      <c r="O13" s="170">
        <v>2761</v>
      </c>
      <c r="P13" s="170">
        <v>297</v>
      </c>
      <c r="Q13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2.7064444606368469E-2</v>
      </c>
      <c r="R13" s="176">
        <v>109256.31</v>
      </c>
      <c r="S13" s="176">
        <v>11.18</v>
      </c>
      <c r="T13" s="182">
        <v>0</v>
      </c>
      <c r="U13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-13.729282688123911</v>
      </c>
      <c r="V13" s="23">
        <v>83043</v>
      </c>
      <c r="W13" s="53">
        <v>14.41</v>
      </c>
      <c r="X13" s="53">
        <v>0</v>
      </c>
      <c r="Y13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13.557204867436267</v>
      </c>
      <c r="Z13" s="80"/>
      <c r="AA13" s="79"/>
      <c r="AB13" s="79"/>
      <c r="AC13" s="76">
        <v>100</v>
      </c>
    </row>
    <row r="14" spans="1:29" x14ac:dyDescent="0.25">
      <c r="A14" s="166" t="s">
        <v>384</v>
      </c>
      <c r="B14" s="12" t="s">
        <v>1483</v>
      </c>
      <c r="C14" s="11">
        <v>15000</v>
      </c>
      <c r="D14" s="47">
        <v>0.1</v>
      </c>
      <c r="E14" s="11">
        <v>10</v>
      </c>
      <c r="F14" s="12" t="s">
        <v>18</v>
      </c>
      <c r="G14" s="12" t="s">
        <v>16</v>
      </c>
      <c r="H14" s="190">
        <v>62424</v>
      </c>
      <c r="I14" s="190">
        <v>62.24</v>
      </c>
      <c r="J14" s="191">
        <v>0</v>
      </c>
      <c r="K14" s="15">
        <v>62424</v>
      </c>
      <c r="L14" s="59">
        <v>1245</v>
      </c>
      <c r="M14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0</v>
      </c>
      <c r="N14" s="170">
        <v>62424</v>
      </c>
      <c r="O14" s="170">
        <v>1695</v>
      </c>
      <c r="P14" s="170">
        <v>264</v>
      </c>
      <c r="Q14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4" s="176">
        <v>80312.03</v>
      </c>
      <c r="S14" s="176">
        <v>13.62</v>
      </c>
      <c r="T14" s="182">
        <v>0</v>
      </c>
      <c r="U14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-28.655693323080868</v>
      </c>
      <c r="V14" s="23">
        <v>35611</v>
      </c>
      <c r="W14" s="53">
        <v>18.989999999999998</v>
      </c>
      <c r="X14" s="53">
        <v>0</v>
      </c>
      <c r="Y14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42.953030885556835</v>
      </c>
      <c r="Z14" s="96">
        <v>62424</v>
      </c>
      <c r="AA14" s="21">
        <v>9.5500000000000007</v>
      </c>
      <c r="AB14" s="21">
        <v>0</v>
      </c>
      <c r="AC14" s="18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0</v>
      </c>
    </row>
    <row r="15" spans="1:29" x14ac:dyDescent="0.25">
      <c r="A15" s="166" t="s">
        <v>384</v>
      </c>
      <c r="B15" s="12" t="s">
        <v>1484</v>
      </c>
      <c r="C15" s="11">
        <v>15000</v>
      </c>
      <c r="D15" s="47">
        <v>0.1</v>
      </c>
      <c r="E15" s="11">
        <v>10</v>
      </c>
      <c r="F15" s="12" t="s">
        <v>18</v>
      </c>
      <c r="G15" s="12" t="s">
        <v>16</v>
      </c>
      <c r="H15" s="190">
        <v>18575</v>
      </c>
      <c r="I15" s="190">
        <v>34.840000000000003</v>
      </c>
      <c r="J15" s="191">
        <v>0</v>
      </c>
      <c r="K15" s="15">
        <v>18575</v>
      </c>
      <c r="L15" s="59">
        <v>534</v>
      </c>
      <c r="M15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0</v>
      </c>
      <c r="N15" s="170">
        <v>18575</v>
      </c>
      <c r="O15" s="170">
        <v>1568</v>
      </c>
      <c r="P15" s="170">
        <v>338</v>
      </c>
      <c r="Q15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5" s="176">
        <v>24051.61</v>
      </c>
      <c r="S15" s="176">
        <v>1.86</v>
      </c>
      <c r="T15" s="182">
        <v>0</v>
      </c>
      <c r="U15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-29.483768506056528</v>
      </c>
      <c r="V15" s="23">
        <v>17964</v>
      </c>
      <c r="W15" s="53">
        <v>10.49</v>
      </c>
      <c r="X15" s="53">
        <v>0</v>
      </c>
      <c r="Y15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3.289367429340512</v>
      </c>
      <c r="Z15" s="96">
        <v>14892</v>
      </c>
      <c r="AA15" s="21">
        <v>8.58</v>
      </c>
      <c r="AB15" s="21">
        <v>0</v>
      </c>
      <c r="AC15" s="18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19.827725437415882</v>
      </c>
    </row>
    <row r="16" spans="1:29" x14ac:dyDescent="0.25">
      <c r="A16" s="166" t="s">
        <v>384</v>
      </c>
      <c r="B16" s="12" t="s">
        <v>1485</v>
      </c>
      <c r="C16" s="11">
        <v>15000</v>
      </c>
      <c r="D16" s="47">
        <v>0.1</v>
      </c>
      <c r="E16" s="11">
        <v>10</v>
      </c>
      <c r="F16" s="12" t="s">
        <v>18</v>
      </c>
      <c r="G16" s="12" t="s">
        <v>16</v>
      </c>
      <c r="H16" s="190">
        <v>6620</v>
      </c>
      <c r="I16" s="190">
        <v>98.16</v>
      </c>
      <c r="J16" s="191">
        <v>0</v>
      </c>
      <c r="K16" s="15">
        <v>6620</v>
      </c>
      <c r="L16" s="59">
        <v>168</v>
      </c>
      <c r="M16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0</v>
      </c>
      <c r="N16" s="170">
        <v>6620</v>
      </c>
      <c r="O16" s="170">
        <v>483</v>
      </c>
      <c r="P16" s="170">
        <v>43</v>
      </c>
      <c r="Q16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0</v>
      </c>
      <c r="R16" s="176">
        <v>11919.19</v>
      </c>
      <c r="S16" s="176">
        <v>1.76</v>
      </c>
      <c r="T16" s="182">
        <v>0</v>
      </c>
      <c r="U16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-80.048187311178253</v>
      </c>
      <c r="V16" s="79"/>
      <c r="W16" s="79"/>
      <c r="X16" s="79"/>
      <c r="Y16" s="78">
        <v>100</v>
      </c>
      <c r="Z16" s="96">
        <v>6620</v>
      </c>
      <c r="AA16" s="21">
        <v>2.33</v>
      </c>
      <c r="AB16" s="21">
        <v>0</v>
      </c>
      <c r="AC16" s="18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0</v>
      </c>
    </row>
    <row r="17" spans="1:29" x14ac:dyDescent="0.25">
      <c r="A17" s="166" t="s">
        <v>384</v>
      </c>
      <c r="B17" s="12" t="s">
        <v>1486</v>
      </c>
      <c r="C17" s="11">
        <v>15000</v>
      </c>
      <c r="D17" s="47">
        <v>0.1</v>
      </c>
      <c r="E17" s="11">
        <v>10</v>
      </c>
      <c r="F17" s="12" t="s">
        <v>18</v>
      </c>
      <c r="G17" s="12" t="s">
        <v>16</v>
      </c>
      <c r="H17" s="190">
        <v>49486</v>
      </c>
      <c r="I17" s="190">
        <v>89.05</v>
      </c>
      <c r="J17" s="191">
        <v>0</v>
      </c>
      <c r="K17" s="15">
        <v>49483</v>
      </c>
      <c r="L17" s="59">
        <v>1488</v>
      </c>
      <c r="M17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6.0623206563472495E-3</v>
      </c>
      <c r="N17" s="170">
        <v>49483</v>
      </c>
      <c r="O17" s="170">
        <v>1799</v>
      </c>
      <c r="P17" s="170">
        <v>276</v>
      </c>
      <c r="Q17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6.0623206563472495E-3</v>
      </c>
      <c r="R17" s="176">
        <v>68189.45</v>
      </c>
      <c r="S17" s="176">
        <v>10.28</v>
      </c>
      <c r="T17" s="182">
        <v>0</v>
      </c>
      <c r="U17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-37.795437093319315</v>
      </c>
      <c r="V17" s="23">
        <v>36577</v>
      </c>
      <c r="W17" s="53">
        <v>18.07</v>
      </c>
      <c r="X17" s="53">
        <v>0</v>
      </c>
      <c r="Y17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26.086165784262217</v>
      </c>
      <c r="Z17" s="80"/>
      <c r="AA17" s="79"/>
      <c r="AB17" s="79"/>
      <c r="AC17" s="76">
        <v>100</v>
      </c>
    </row>
    <row r="18" spans="1:29" x14ac:dyDescent="0.25">
      <c r="A18" s="166" t="s">
        <v>384</v>
      </c>
      <c r="B18" s="12" t="s">
        <v>1487</v>
      </c>
      <c r="C18" s="11">
        <v>15000</v>
      </c>
      <c r="D18" s="47">
        <v>0.1</v>
      </c>
      <c r="E18" s="11">
        <v>10</v>
      </c>
      <c r="F18" s="12" t="s">
        <v>18</v>
      </c>
      <c r="G18" s="12" t="s">
        <v>16</v>
      </c>
      <c r="H18" s="190">
        <v>68631</v>
      </c>
      <c r="I18" s="190">
        <v>160.66999999999999</v>
      </c>
      <c r="J18" s="191">
        <v>0</v>
      </c>
      <c r="K18" s="15">
        <v>50848</v>
      </c>
      <c r="L18" s="59">
        <v>4062</v>
      </c>
      <c r="M18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25.911031458087454</v>
      </c>
      <c r="N18" s="170">
        <v>44382</v>
      </c>
      <c r="O18" s="170">
        <v>1873</v>
      </c>
      <c r="P18" s="170">
        <v>147</v>
      </c>
      <c r="Q18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35.332429951479654</v>
      </c>
      <c r="R18" s="176">
        <v>82097.72</v>
      </c>
      <c r="S18" s="176">
        <v>13.72</v>
      </c>
      <c r="T18" s="182">
        <v>0</v>
      </c>
      <c r="U18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-19.621920123559324</v>
      </c>
      <c r="V18" s="23">
        <v>65361</v>
      </c>
      <c r="W18" s="53">
        <v>16.03</v>
      </c>
      <c r="X18" s="53">
        <v>0</v>
      </c>
      <c r="Y18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4.7646107444157888</v>
      </c>
      <c r="Z18" s="80"/>
      <c r="AA18" s="79"/>
      <c r="AB18" s="79"/>
      <c r="AC18" s="76">
        <v>100</v>
      </c>
    </row>
    <row r="19" spans="1:29" x14ac:dyDescent="0.25">
      <c r="A19" s="166" t="s">
        <v>384</v>
      </c>
      <c r="B19" s="12" t="s">
        <v>1488</v>
      </c>
      <c r="C19" s="11">
        <v>15000</v>
      </c>
      <c r="D19" s="47">
        <v>0.1</v>
      </c>
      <c r="E19" s="11">
        <v>10</v>
      </c>
      <c r="F19" s="12" t="s">
        <v>18</v>
      </c>
      <c r="G19" s="12" t="s">
        <v>16</v>
      </c>
      <c r="H19" s="190">
        <v>42356</v>
      </c>
      <c r="I19" s="190">
        <v>90.88</v>
      </c>
      <c r="J19" s="191">
        <v>0</v>
      </c>
      <c r="K19" s="15">
        <v>42354</v>
      </c>
      <c r="L19" s="59">
        <v>1264</v>
      </c>
      <c r="M19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4.7218811974690722E-3</v>
      </c>
      <c r="N19" s="170">
        <v>42354</v>
      </c>
      <c r="O19" s="170">
        <v>1152</v>
      </c>
      <c r="P19" s="170">
        <v>348</v>
      </c>
      <c r="Q19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4.7218811974690722E-3</v>
      </c>
      <c r="R19" s="176">
        <v>65577.929999999993</v>
      </c>
      <c r="S19" s="176">
        <v>14.94</v>
      </c>
      <c r="T19" s="182">
        <v>0</v>
      </c>
      <c r="U19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-54.825597317971464</v>
      </c>
      <c r="V19" s="53">
        <v>27845</v>
      </c>
      <c r="W19" s="23">
        <v>7.89</v>
      </c>
      <c r="X19" s="53">
        <v>0</v>
      </c>
      <c r="Y19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34.259609028236845</v>
      </c>
      <c r="Z19" s="96">
        <v>25274</v>
      </c>
      <c r="AA19" s="21">
        <v>6.52</v>
      </c>
      <c r="AB19" s="21">
        <v>0</v>
      </c>
      <c r="AC19" s="18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40.329587307583346</v>
      </c>
    </row>
    <row r="20" spans="1:29" x14ac:dyDescent="0.25">
      <c r="A20" s="167" t="s">
        <v>385</v>
      </c>
      <c r="B20" s="58" t="s">
        <v>1489</v>
      </c>
      <c r="C20" s="11">
        <v>5000</v>
      </c>
      <c r="D20" s="47">
        <v>0.15</v>
      </c>
      <c r="E20" s="11">
        <v>40</v>
      </c>
      <c r="F20" s="12" t="s">
        <v>18</v>
      </c>
      <c r="G20" s="12" t="s">
        <v>16</v>
      </c>
      <c r="H20" s="192">
        <v>178743</v>
      </c>
      <c r="I20" s="190">
        <v>244.95</v>
      </c>
      <c r="J20" s="191">
        <v>0.01</v>
      </c>
      <c r="K20" s="59">
        <v>141800</v>
      </c>
      <c r="L20" s="59">
        <v>3254</v>
      </c>
      <c r="M20" s="18">
        <f>((Tabela381013[[#This Row],[Objetive value Dissimilarity 18 stratified/Exact method]]-Tabela381013[[#This Row],[Objetive value Dissimilarity 18 stratified/GRASP Tabu]])/Tabela381013[[#This Row],[Objetive value Dissimilarity 18 stratified/Exact method]])*100</f>
        <v>20.668221972328986</v>
      </c>
      <c r="N20" s="170">
        <v>144462</v>
      </c>
      <c r="O20" s="170">
        <v>823</v>
      </c>
      <c r="P20" s="170">
        <v>278</v>
      </c>
      <c r="Q20" s="201">
        <f>((Tabela381013[[#This Row],[Objetive value Dissimilarity 18 stratified/Exact method]]-Tabela381013[[#This Row],[Objetive value Dissimilarity 18 stratified/GATeS]])/Tabela381013[[#This Row],[Objetive value Dissimilarity 18 stratified/Exact method]])*100</f>
        <v>19.178932881287658</v>
      </c>
      <c r="R20" s="181">
        <v>201918.28</v>
      </c>
      <c r="S20" s="181">
        <v>12.39</v>
      </c>
      <c r="T20" s="183">
        <v>0</v>
      </c>
      <c r="U20" s="171">
        <f>((Tabela381013[[#This Row],[Objetive value Dissimilarity 18 stratified/Exact method]]-Tabela381013[[#This Row],[Objetive value Dissimilarity 18 stratified/Relaxed model]])/Tabela381013[[#This Row],[Objetive value Dissimilarity 18 stratified/Exact method]])*100</f>
        <v>-12.9656993560587</v>
      </c>
      <c r="V20" s="54">
        <v>134438</v>
      </c>
      <c r="W20" s="49">
        <v>2.46</v>
      </c>
      <c r="X20" s="54">
        <v>0</v>
      </c>
      <c r="Y20" s="20">
        <f>((Tabela381013[[#This Row],[Objetive value Dissimilarity 18 stratified/Exact method]]-Tabela381013[[#This Row],[Objetive Value Dissimilarity 18 stratified/H-R1]])/Tabela381013[[#This Row],[Objetive value Dissimilarity 18 stratified/Exact method]])*100</f>
        <v>24.78698466513374</v>
      </c>
      <c r="Z20" s="92">
        <v>75684</v>
      </c>
      <c r="AA20" s="146">
        <v>1.1499999999999999</v>
      </c>
      <c r="AB20" s="146">
        <v>0</v>
      </c>
      <c r="AC20" s="180">
        <f>((Tabela381013[[#This Row],[Objetive value Dissimilarity 18 stratified/Exact method]]-Tabela381013[[#This Row],[Objetive value Dissimilarity 18 stratified/H-R2]])/Tabela381013[[#This Row],[Objetive value Dissimilarity 18 stratified/Exact method]])*100</f>
        <v>57.6576425370504</v>
      </c>
    </row>
    <row r="21" spans="1:29" s="189" customFormat="1" x14ac:dyDescent="0.25">
      <c r="A21" s="185" t="s">
        <v>1090</v>
      </c>
      <c r="B21" s="186"/>
      <c r="C21" s="186"/>
      <c r="D21" s="186"/>
      <c r="E21" s="186"/>
      <c r="F21" s="186"/>
      <c r="G21" s="186"/>
      <c r="H21" s="187">
        <f>SUBTOTAL(101,Tabela381013[Objetive value Dissimilarity 18 stratified/Exact method])</f>
        <v>210817.94444444444</v>
      </c>
      <c r="I21" s="187">
        <f>SUBTOTAL(101,Tabela381013[Time/s Dissimilarity 18 stratified/Exact method])</f>
        <v>2624.0299999999997</v>
      </c>
      <c r="J21" s="187">
        <f>SUBTOTAL(101,Tabela381013[GAP % Time/s Dissimilarity 18 stratified/Exact method])</f>
        <v>2.2222222222222222E-3</v>
      </c>
      <c r="K21" s="187">
        <f>SUBTOTAL(101,Tabela381013[Objetive value Dissimilarity 18 stratified/GRASP Tabu])</f>
        <v>50223.388888888891</v>
      </c>
      <c r="L21" s="187">
        <f>SUBTOTAL(101,Tabela381013[Time/s Dissimilarity 18 stratified/GRASP Tabu])</f>
        <v>2112.1666666666665</v>
      </c>
      <c r="M21" s="187">
        <f>SUBTOTAL(101,Tabela381013[Δ % (2020) Dissimilarity 18 stratified/GRASP Tabu])</f>
        <v>12.875966016036223</v>
      </c>
      <c r="N21" s="187">
        <f>SUBTOTAL(101,Tabela381013[Objetive value Dissimilarity 18 stratified/GATeS])</f>
        <v>181654.72222222222</v>
      </c>
      <c r="O21" s="187">
        <f>SUBTOTAL(101,Tabela381013[Time/s Dissimilarity 18 stratified/GATeS])</f>
        <v>3388.7222222222222</v>
      </c>
      <c r="P21" s="187">
        <f>SUBTOTAL(101,Tabela381013[Time/s Best Solution Dissimilarity 18 stratified/GATeS])</f>
        <v>1681.5555555555557</v>
      </c>
      <c r="Q21" s="188">
        <f>SUBTOTAL(101,Tabela381013[Δ % (2020) Dissimilarity 18 stratified/GATeS])</f>
        <v>6.1256808767069906</v>
      </c>
      <c r="R21" s="187">
        <f>SUBTOTAL(101,Tabela381013[Objetive value Dissimilarity 18 stratified/Relaxed model])</f>
        <v>88391.602222222209</v>
      </c>
      <c r="S21" s="188">
        <f>SUBTOTAL(101,Tabela381013[Time/s Dissimilarity 18 stratified/Relaxed model])</f>
        <v>16.794444444444444</v>
      </c>
      <c r="T21" s="187">
        <f>SUBTOTAL(101,Tabela381013[GAP % Dissimilarity 18 stratified/Relaxed model])</f>
        <v>0</v>
      </c>
      <c r="U21" s="187">
        <f>SUBTOTAL(101,Tabela381013[Δ % (2020) Dissimilarity 18 stratified/Relaxed model])</f>
        <v>-27.689585123188348</v>
      </c>
      <c r="V21" s="187">
        <f>SUBTOTAL(101,Tabela381013[Objetive Value Dissimilarity 18 stratified/H-R1])</f>
        <v>60839.823529411762</v>
      </c>
      <c r="W21" s="187">
        <f>SUBTOTAL(101,Tabela381013[Time/s Dissimilarity 18 stratified/H-R1])</f>
        <v>15.027647058823529</v>
      </c>
      <c r="X21" s="187">
        <f>SUBTOTAL(101,Tabela381013[GAP % Dissimilarity 18 stratified/H-R1])</f>
        <v>0</v>
      </c>
      <c r="Y21" s="188">
        <f>SUBTOTAL(101,Tabela381013[Δ % (2020) Dissimilarity 18 stratified/H-R1])</f>
        <v>29.256838308665735</v>
      </c>
      <c r="Z21" s="188">
        <f>SUBTOTAL(101,Tabela381013[Objetive value Dissimilarity 18 stratified/H-R2])</f>
        <v>134172.33333333334</v>
      </c>
      <c r="AA21" s="187">
        <f>SUBTOTAL(101,Tabela381013[Time/s Dissimilarity 18 stratified/H-R1                ])</f>
        <v>11.172222222222222</v>
      </c>
      <c r="AB21" s="187">
        <f>SUBTOTAL(101,Tabela381013[GAP% Dissimilarity 18 stratified/H-R1])</f>
        <v>0</v>
      </c>
      <c r="AC21" s="188">
        <f>SUBTOTAL(101,Tabela381013[Δ % (2020) Dissimilarity 18 stratified/H-R2])</f>
        <v>68.597747699084707</v>
      </c>
    </row>
  </sheetData>
  <mergeCells count="6">
    <mergeCell ref="Z1:AC1"/>
    <mergeCell ref="H1:J1"/>
    <mergeCell ref="K1:M1"/>
    <mergeCell ref="N1:Q1"/>
    <mergeCell ref="R1:U1"/>
    <mergeCell ref="V1:Y1"/>
  </mergeCells>
  <conditionalFormatting sqref="S4:T10 S13:T14 S16:T16 T18">
    <cfRule type="cellIs" dxfId="15" priority="16" operator="greaterThan">
      <formula>3600</formula>
    </cfRule>
  </conditionalFormatting>
  <conditionalFormatting sqref="S3:T3">
    <cfRule type="cellIs" dxfId="14" priority="15" operator="greaterThan">
      <formula>3600</formula>
    </cfRule>
  </conditionalFormatting>
  <conditionalFormatting sqref="S11:T12">
    <cfRule type="cellIs" dxfId="13" priority="14" operator="greaterThan">
      <formula>3600</formula>
    </cfRule>
  </conditionalFormatting>
  <conditionalFormatting sqref="T15">
    <cfRule type="cellIs" dxfId="12" priority="13" operator="greaterThan">
      <formula>3600</formula>
    </cfRule>
  </conditionalFormatting>
  <conditionalFormatting sqref="T19:T20">
    <cfRule type="cellIs" dxfId="11" priority="12" operator="greaterThan">
      <formula>3600</formula>
    </cfRule>
  </conditionalFormatting>
  <conditionalFormatting sqref="T17">
    <cfRule type="cellIs" dxfId="10" priority="11" operator="greaterThan">
      <formula>3600</formula>
    </cfRule>
  </conditionalFormatting>
  <conditionalFormatting sqref="W4:X10 W12:X14 W16:X16 X18">
    <cfRule type="cellIs" dxfId="9" priority="10" operator="greaterThan">
      <formula>3600</formula>
    </cfRule>
  </conditionalFormatting>
  <conditionalFormatting sqref="W3:X3">
    <cfRule type="cellIs" dxfId="8" priority="9" operator="greaterThan">
      <formula>3600</formula>
    </cfRule>
  </conditionalFormatting>
  <conditionalFormatting sqref="W11:X11">
    <cfRule type="cellIs" dxfId="7" priority="8" operator="greaterThan">
      <formula>3600</formula>
    </cfRule>
  </conditionalFormatting>
  <conditionalFormatting sqref="X15">
    <cfRule type="cellIs" dxfId="6" priority="7" operator="greaterThan">
      <formula>3600</formula>
    </cfRule>
  </conditionalFormatting>
  <conditionalFormatting sqref="X19:X20">
    <cfRule type="cellIs" dxfId="5" priority="6" operator="greaterThan">
      <formula>3600</formula>
    </cfRule>
  </conditionalFormatting>
  <conditionalFormatting sqref="X17">
    <cfRule type="cellIs" dxfId="4" priority="5" operator="greaterThan">
      <formula>3600</formula>
    </cfRule>
  </conditionalFormatting>
  <conditionalFormatting sqref="AA4:AB10 AB13:AB20 AA13:AA16">
    <cfRule type="cellIs" dxfId="3" priority="4" operator="greaterThan">
      <formula>3600</formula>
    </cfRule>
  </conditionalFormatting>
  <conditionalFormatting sqref="AA3:AB3">
    <cfRule type="cellIs" dxfId="2" priority="3" operator="greaterThan">
      <formula>3600</formula>
    </cfRule>
  </conditionalFormatting>
  <conditionalFormatting sqref="AA11:AB12">
    <cfRule type="cellIs" dxfId="1" priority="2" operator="greaterThan">
      <formula>3600</formula>
    </cfRule>
  </conditionalFormatting>
  <conditionalFormatting sqref="L3">
    <cfRule type="cellIs" dxfId="0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0"/>
  <sheetViews>
    <sheetView zoomScale="85" zoomScaleNormal="85" workbookViewId="0">
      <pane ySplit="2" topLeftCell="A3" activePane="bottomLeft" state="frozen"/>
      <selection pane="bottomLeft" activeCell="A5" sqref="A5"/>
    </sheetView>
  </sheetViews>
  <sheetFormatPr defaultColWidth="12.140625" defaultRowHeight="15" x14ac:dyDescent="0.25"/>
  <cols>
    <col min="1" max="1" width="11.140625" style="3" bestFit="1" customWidth="1"/>
    <col min="2" max="2" width="25.5703125" style="39" bestFit="1" customWidth="1"/>
    <col min="3" max="3" width="10" style="3" customWidth="1"/>
    <col min="4" max="4" width="11.85546875" style="3" customWidth="1"/>
    <col min="5" max="5" width="13" style="3" customWidth="1"/>
    <col min="6" max="6" width="10.85546875" style="3" customWidth="1"/>
    <col min="7" max="7" width="10" style="3" customWidth="1"/>
    <col min="8" max="10" width="17.5703125" style="3" customWidth="1"/>
    <col min="11" max="14" width="11.5703125" style="3" customWidth="1"/>
    <col min="15" max="15" width="14.28515625" style="34" customWidth="1"/>
    <col min="16" max="17" width="11.7109375" style="34" customWidth="1"/>
    <col min="18" max="18" width="12.140625" style="34" customWidth="1"/>
    <col min="19" max="19" width="13.42578125" style="34" customWidth="1"/>
    <col min="20" max="20" width="11.7109375" style="34" customWidth="1"/>
    <col min="21" max="21" width="11.85546875" style="34" customWidth="1"/>
    <col min="22" max="22" width="11.5703125" style="34" customWidth="1"/>
    <col min="23" max="16384" width="12.140625" style="3"/>
  </cols>
  <sheetData>
    <row r="1" spans="1:22" ht="30" customHeight="1" x14ac:dyDescent="0.25">
      <c r="A1" s="102"/>
      <c r="B1" s="102"/>
      <c r="C1" s="103"/>
      <c r="D1" s="103"/>
      <c r="E1" s="103"/>
      <c r="F1" s="103"/>
      <c r="G1" s="103"/>
      <c r="H1" s="218" t="s">
        <v>1513</v>
      </c>
      <c r="I1" s="218"/>
      <c r="J1" s="218"/>
      <c r="K1" s="219" t="s">
        <v>1514</v>
      </c>
      <c r="L1" s="219"/>
      <c r="M1" s="219"/>
      <c r="N1" s="219"/>
      <c r="O1" s="217" t="s">
        <v>1515</v>
      </c>
      <c r="P1" s="217"/>
      <c r="Q1" s="217"/>
      <c r="R1" s="217"/>
      <c r="S1" s="213" t="s">
        <v>1524</v>
      </c>
      <c r="T1" s="213"/>
      <c r="U1" s="213"/>
      <c r="V1" s="213"/>
    </row>
    <row r="2" spans="1:22" s="10" customFormat="1" ht="75.75" customHeight="1" x14ac:dyDescent="0.25">
      <c r="A2" s="105" t="s">
        <v>1085</v>
      </c>
      <c r="B2" s="105" t="s">
        <v>1</v>
      </c>
      <c r="C2" s="105" t="s">
        <v>2</v>
      </c>
      <c r="D2" s="105" t="s">
        <v>3</v>
      </c>
      <c r="E2" s="105" t="s">
        <v>4</v>
      </c>
      <c r="F2" s="105" t="s">
        <v>5</v>
      </c>
      <c r="G2" s="105" t="s">
        <v>6</v>
      </c>
      <c r="H2" s="126" t="s">
        <v>1096</v>
      </c>
      <c r="I2" s="126" t="s">
        <v>1091</v>
      </c>
      <c r="J2" s="126" t="s">
        <v>1092</v>
      </c>
      <c r="K2" s="127" t="s">
        <v>1499</v>
      </c>
      <c r="L2" s="127" t="s">
        <v>1500</v>
      </c>
      <c r="M2" s="127" t="s">
        <v>1501</v>
      </c>
      <c r="N2" s="127" t="s">
        <v>1502</v>
      </c>
      <c r="O2" s="105" t="s">
        <v>1516</v>
      </c>
      <c r="P2" s="105" t="s">
        <v>1517</v>
      </c>
      <c r="Q2" s="105" t="s">
        <v>1518</v>
      </c>
      <c r="R2" s="105" t="s">
        <v>1519</v>
      </c>
      <c r="S2" s="109" t="s">
        <v>1520</v>
      </c>
      <c r="T2" s="109" t="s">
        <v>1521</v>
      </c>
      <c r="U2" s="109" t="s">
        <v>1522</v>
      </c>
      <c r="V2" s="109" t="s">
        <v>1523</v>
      </c>
    </row>
    <row r="3" spans="1:22" s="10" customFormat="1" x14ac:dyDescent="0.25">
      <c r="A3" s="3" t="s">
        <v>319</v>
      </c>
      <c r="B3" s="39" t="s">
        <v>679</v>
      </c>
      <c r="C3" s="3">
        <v>10000</v>
      </c>
      <c r="D3" s="95">
        <v>0.1</v>
      </c>
      <c r="E3" s="3">
        <v>10</v>
      </c>
      <c r="F3" s="39" t="s">
        <v>13</v>
      </c>
      <c r="G3" s="39" t="s">
        <v>14</v>
      </c>
      <c r="H3" s="128">
        <v>217055</v>
      </c>
      <c r="I3" s="128">
        <v>124.390000000013</v>
      </c>
      <c r="J3" s="129">
        <v>0</v>
      </c>
      <c r="K3" s="139">
        <v>208248</v>
      </c>
      <c r="L3" s="139">
        <v>1682</v>
      </c>
      <c r="M3" s="139">
        <v>585</v>
      </c>
      <c r="N3" s="130">
        <f>((Tabela13633[[#This Row],[Objetive value Cannibalism ]]-Tabela13633[[#This Row],[Objetive value Cannibalism/GATeS]])/Tabela13633[[#This Row],[Objetive value Cannibalism ]])*100</f>
        <v>4.0574969477782128</v>
      </c>
      <c r="O3" s="131">
        <v>213118</v>
      </c>
      <c r="P3" s="131">
        <v>3.28</v>
      </c>
      <c r="Q3" s="131">
        <v>0</v>
      </c>
      <c r="R3" s="141">
        <f>(((Tabela13633[[#This Row],[Objetive value Cannibalism ]]-Tabela13633[[#This Row],[Objetive value Cannibalism/H-R1]])/Tabela13633[[#This Row],[Objetive value Cannibalism ]]))*100</f>
        <v>1.813825988804681</v>
      </c>
      <c r="S3" s="113">
        <v>209317</v>
      </c>
      <c r="T3" s="113">
        <v>3.66</v>
      </c>
      <c r="U3" s="113">
        <v>0</v>
      </c>
      <c r="V3" s="143">
        <f>(((Tabela13633[[#This Row],[Objetive value Cannibalism ]]-Tabela13633[[#This Row],[Objetive value Cannibalism/H-R2]])/Tabela13633[[#This Row],[Objetive value Cannibalism ]]))*100</f>
        <v>3.5649950473382317</v>
      </c>
    </row>
    <row r="4" spans="1:22" s="10" customFormat="1" x14ac:dyDescent="0.25">
      <c r="A4" s="3" t="s">
        <v>319</v>
      </c>
      <c r="B4" s="39" t="s">
        <v>680</v>
      </c>
      <c r="C4" s="3">
        <v>10000</v>
      </c>
      <c r="D4" s="95">
        <v>0.1</v>
      </c>
      <c r="E4" s="3">
        <v>10</v>
      </c>
      <c r="F4" s="39" t="s">
        <v>13</v>
      </c>
      <c r="G4" s="39" t="s">
        <v>16</v>
      </c>
      <c r="H4" s="128">
        <v>120674</v>
      </c>
      <c r="I4" s="128">
        <v>409.59299999999303</v>
      </c>
      <c r="J4" s="129">
        <v>6.78</v>
      </c>
      <c r="K4" s="139">
        <v>120038</v>
      </c>
      <c r="L4" s="139">
        <v>1612</v>
      </c>
      <c r="M4" s="139">
        <v>153</v>
      </c>
      <c r="N4" s="130">
        <f>((Tabela13633[[#This Row],[Objetive value Cannibalism ]]-Tabela13633[[#This Row],[Objetive value Cannibalism/GATeS]])/Tabela13633[[#This Row],[Objetive value Cannibalism ]])*100</f>
        <v>0.52703979316174154</v>
      </c>
      <c r="O4" s="131">
        <v>120671</v>
      </c>
      <c r="P4" s="131">
        <v>5.62</v>
      </c>
      <c r="Q4" s="131">
        <v>0</v>
      </c>
      <c r="R4" s="141">
        <f>(((Tabela13633[[#This Row],[Objetive value Cannibalism ]]-Tabela13633[[#This Row],[Objetive value Cannibalism/H-R1]])/Tabela13633[[#This Row],[Objetive value Cannibalism ]]))*100</f>
        <v>2.4860367601968942E-3</v>
      </c>
      <c r="S4" s="113">
        <v>114628</v>
      </c>
      <c r="T4" s="113">
        <v>3.11</v>
      </c>
      <c r="U4" s="113">
        <v>0</v>
      </c>
      <c r="V4" s="143">
        <f>(((Tabela13633[[#This Row],[Objetive value Cannibalism ]]-Tabela13633[[#This Row],[Objetive value Cannibalism/H-R2]])/Tabela13633[[#This Row],[Objetive value Cannibalism ]]))*100</f>
        <v>5.0101927507168078</v>
      </c>
    </row>
    <row r="5" spans="1:22" s="10" customFormat="1" x14ac:dyDescent="0.25">
      <c r="A5" s="3" t="s">
        <v>319</v>
      </c>
      <c r="B5" s="39" t="s">
        <v>681</v>
      </c>
      <c r="C5" s="3">
        <v>10000</v>
      </c>
      <c r="D5" s="95">
        <v>0.1</v>
      </c>
      <c r="E5" s="3">
        <v>10</v>
      </c>
      <c r="F5" s="39" t="s">
        <v>18</v>
      </c>
      <c r="G5" s="39" t="s">
        <v>14</v>
      </c>
      <c r="H5" s="128">
        <v>212844</v>
      </c>
      <c r="I5" s="128">
        <v>122.625</v>
      </c>
      <c r="J5" s="129">
        <v>0</v>
      </c>
      <c r="K5" s="139">
        <v>201694</v>
      </c>
      <c r="L5" s="139">
        <v>1718</v>
      </c>
      <c r="M5" s="139">
        <v>1639</v>
      </c>
      <c r="N5" s="130">
        <f>((Tabela13633[[#This Row],[Objetive value Cannibalism ]]-Tabela13633[[#This Row],[Objetive value Cannibalism/GATeS]])/Tabela13633[[#This Row],[Objetive value Cannibalism ]])*100</f>
        <v>5.2385784894100844</v>
      </c>
      <c r="O5" s="131">
        <v>197037</v>
      </c>
      <c r="P5" s="131">
        <v>3.19</v>
      </c>
      <c r="Q5" s="131">
        <v>0</v>
      </c>
      <c r="R5" s="141">
        <f>(((Tabela13633[[#This Row],[Objetive value Cannibalism ]]-Tabela13633[[#This Row],[Objetive value Cannibalism/H-R1]])/Tabela13633[[#This Row],[Objetive value Cannibalism ]]))*100</f>
        <v>7.4265659356148168</v>
      </c>
      <c r="S5" s="113">
        <v>201839</v>
      </c>
      <c r="T5" s="113">
        <v>2.83</v>
      </c>
      <c r="U5" s="113">
        <v>0</v>
      </c>
      <c r="V5" s="143">
        <f>(((Tabela13633[[#This Row],[Objetive value Cannibalism ]]-Tabela13633[[#This Row],[Objetive value Cannibalism/H-R2]])/Tabela13633[[#This Row],[Objetive value Cannibalism ]]))*100</f>
        <v>5.1704534776643927</v>
      </c>
    </row>
    <row r="6" spans="1:22" s="10" customFormat="1" x14ac:dyDescent="0.25">
      <c r="A6" s="3" t="s">
        <v>319</v>
      </c>
      <c r="B6" s="39" t="s">
        <v>682</v>
      </c>
      <c r="C6" s="3">
        <v>10000</v>
      </c>
      <c r="D6" s="95">
        <v>0.1</v>
      </c>
      <c r="E6" s="3">
        <v>10</v>
      </c>
      <c r="F6" s="39" t="s">
        <v>18</v>
      </c>
      <c r="G6" s="39" t="s">
        <v>16</v>
      </c>
      <c r="H6" s="128">
        <v>130610</v>
      </c>
      <c r="I6" s="128">
        <v>216.29700000002001</v>
      </c>
      <c r="J6" s="129">
        <v>0</v>
      </c>
      <c r="K6" s="139">
        <v>130154</v>
      </c>
      <c r="L6" s="139">
        <v>1605</v>
      </c>
      <c r="M6" s="139">
        <v>1072</v>
      </c>
      <c r="N6" s="130">
        <f>((Tabela13633[[#This Row],[Objetive value Cannibalism ]]-Tabela13633[[#This Row],[Objetive value Cannibalism/GATeS]])/Tabela13633[[#This Row],[Objetive value Cannibalism ]])*100</f>
        <v>0.34913100068907432</v>
      </c>
      <c r="O6" s="131">
        <v>130607</v>
      </c>
      <c r="P6" s="131">
        <v>5</v>
      </c>
      <c r="Q6" s="131">
        <v>0</v>
      </c>
      <c r="R6" s="141">
        <f>(((Tabela13633[[#This Row],[Objetive value Cannibalism ]]-Tabela13633[[#This Row],[Objetive value Cannibalism/H-R1]])/Tabela13633[[#This Row],[Objetive value Cannibalism ]]))*100</f>
        <v>2.2969144782175942E-3</v>
      </c>
      <c r="S6" s="113">
        <v>130607</v>
      </c>
      <c r="T6" s="113">
        <v>4.99</v>
      </c>
      <c r="U6" s="113">
        <v>0</v>
      </c>
      <c r="V6" s="143">
        <f>(((Tabela13633[[#This Row],[Objetive value Cannibalism ]]-Tabela13633[[#This Row],[Objetive value Cannibalism/H-R2]])/Tabela13633[[#This Row],[Objetive value Cannibalism ]]))*100</f>
        <v>2.2969144782175942E-3</v>
      </c>
    </row>
    <row r="7" spans="1:22" x14ac:dyDescent="0.25">
      <c r="A7" s="3" t="s">
        <v>319</v>
      </c>
      <c r="B7" s="39" t="s">
        <v>683</v>
      </c>
      <c r="C7" s="3">
        <v>10000</v>
      </c>
      <c r="D7" s="95">
        <v>0.1</v>
      </c>
      <c r="E7" s="3">
        <v>10</v>
      </c>
      <c r="F7" s="39" t="s">
        <v>21</v>
      </c>
      <c r="G7" s="39" t="s">
        <v>14</v>
      </c>
      <c r="H7" s="128">
        <v>117247</v>
      </c>
      <c r="I7" s="128">
        <v>103.859000000054</v>
      </c>
      <c r="J7" s="129">
        <v>0</v>
      </c>
      <c r="K7" s="139">
        <v>101691</v>
      </c>
      <c r="L7" s="139">
        <v>1819</v>
      </c>
      <c r="M7" s="139">
        <v>291</v>
      </c>
      <c r="N7" s="130">
        <f>((Tabela13633[[#This Row],[Objetive value Cannibalism ]]-Tabela13633[[#This Row],[Objetive value Cannibalism/GATeS]])/Tabela13633[[#This Row],[Objetive value Cannibalism ]])*100</f>
        <v>13.267716871220586</v>
      </c>
      <c r="O7" s="131">
        <v>31966</v>
      </c>
      <c r="P7" s="131">
        <v>8.16</v>
      </c>
      <c r="Q7" s="131">
        <v>0</v>
      </c>
      <c r="R7" s="141">
        <f>(((Tabela13633[[#This Row],[Objetive value Cannibalism ]]-Tabela13633[[#This Row],[Objetive value Cannibalism/H-R1]])/Tabela13633[[#This Row],[Objetive value Cannibalism ]]))*100</f>
        <v>72.736189412095825</v>
      </c>
      <c r="S7" s="113">
        <v>117247</v>
      </c>
      <c r="T7" s="113">
        <v>2.81</v>
      </c>
      <c r="U7" s="113">
        <v>0</v>
      </c>
      <c r="V7" s="143">
        <f>(((Tabela13633[[#This Row],[Objetive value Cannibalism ]]-Tabela13633[[#This Row],[Objetive value Cannibalism/H-R2]])/Tabela13633[[#This Row],[Objetive value Cannibalism ]]))*100</f>
        <v>0</v>
      </c>
    </row>
    <row r="8" spans="1:22" x14ac:dyDescent="0.25">
      <c r="A8" s="3" t="s">
        <v>319</v>
      </c>
      <c r="B8" s="39" t="s">
        <v>684</v>
      </c>
      <c r="C8" s="3">
        <v>10000</v>
      </c>
      <c r="D8" s="95">
        <v>0.1</v>
      </c>
      <c r="E8" s="3">
        <v>10</v>
      </c>
      <c r="F8" s="39" t="s">
        <v>21</v>
      </c>
      <c r="G8" s="39" t="s">
        <v>16</v>
      </c>
      <c r="H8" s="128">
        <v>120787</v>
      </c>
      <c r="I8" s="128">
        <v>247.640999999945</v>
      </c>
      <c r="J8" s="129">
        <v>0</v>
      </c>
      <c r="K8" s="139">
        <v>118990</v>
      </c>
      <c r="L8" s="139">
        <v>1735</v>
      </c>
      <c r="M8" s="139">
        <v>1089</v>
      </c>
      <c r="N8" s="130">
        <f>((Tabela13633[[#This Row],[Objetive value Cannibalism ]]-Tabela13633[[#This Row],[Objetive value Cannibalism/GATeS]])/Tabela13633[[#This Row],[Objetive value Cannibalism ]])*100</f>
        <v>1.4877428862377573</v>
      </c>
      <c r="O8" s="131">
        <v>119365</v>
      </c>
      <c r="P8" s="131">
        <v>4.63</v>
      </c>
      <c r="Q8" s="131">
        <v>0</v>
      </c>
      <c r="R8" s="141">
        <f>(((Tabela13633[[#This Row],[Objetive value Cannibalism ]]-Tabela13633[[#This Row],[Objetive value Cannibalism/H-R1]])/Tabela13633[[#This Row],[Objetive value Cannibalism ]]))*100</f>
        <v>1.1772790118141852</v>
      </c>
      <c r="S8" s="113">
        <v>116536</v>
      </c>
      <c r="T8" s="113">
        <v>4.93</v>
      </c>
      <c r="U8" s="113">
        <v>0</v>
      </c>
      <c r="V8" s="143">
        <f>(((Tabela13633[[#This Row],[Objetive value Cannibalism ]]-Tabela13633[[#This Row],[Objetive value Cannibalism/H-R2]])/Tabela13633[[#This Row],[Objetive value Cannibalism ]]))*100</f>
        <v>3.519418480465613</v>
      </c>
    </row>
    <row r="9" spans="1:22" x14ac:dyDescent="0.25">
      <c r="A9" s="3" t="s">
        <v>338</v>
      </c>
      <c r="B9" s="39" t="s">
        <v>697</v>
      </c>
      <c r="C9" s="3">
        <v>10000</v>
      </c>
      <c r="D9" s="95">
        <v>0.1</v>
      </c>
      <c r="E9" s="3">
        <v>15</v>
      </c>
      <c r="F9" s="39" t="s">
        <v>13</v>
      </c>
      <c r="G9" s="39" t="s">
        <v>14</v>
      </c>
      <c r="H9" s="128">
        <v>281496</v>
      </c>
      <c r="I9" s="128">
        <v>616.625</v>
      </c>
      <c r="J9" s="129">
        <v>10.45</v>
      </c>
      <c r="K9" s="139">
        <v>268928</v>
      </c>
      <c r="L9" s="139">
        <v>1799</v>
      </c>
      <c r="M9" s="139">
        <v>493</v>
      </c>
      <c r="N9" s="130">
        <f>((Tabela13633[[#This Row],[Objetive value Cannibalism ]]-Tabela13633[[#This Row],[Objetive value Cannibalism/GATeS]])/Tabela13633[[#This Row],[Objetive value Cannibalism ]])*100</f>
        <v>4.4647170830136123</v>
      </c>
      <c r="O9" s="131">
        <v>243770</v>
      </c>
      <c r="P9" s="131">
        <v>3.56</v>
      </c>
      <c r="Q9" s="131">
        <v>0</v>
      </c>
      <c r="R9" s="141">
        <f>(((Tabela13633[[#This Row],[Objetive value Cannibalism ]]-Tabela13633[[#This Row],[Objetive value Cannibalism/H-R1]])/Tabela13633[[#This Row],[Objetive value Cannibalism ]]))*100</f>
        <v>13.401966635405122</v>
      </c>
      <c r="S9" s="113">
        <v>221909</v>
      </c>
      <c r="T9" s="113">
        <v>3.44</v>
      </c>
      <c r="U9" s="113">
        <v>0</v>
      </c>
      <c r="V9" s="143">
        <f>(((Tabela13633[[#This Row],[Objetive value Cannibalism ]]-Tabela13633[[#This Row],[Objetive value Cannibalism/H-R2]])/Tabela13633[[#This Row],[Objetive value Cannibalism ]]))*100</f>
        <v>21.167973967658511</v>
      </c>
    </row>
    <row r="10" spans="1:22" x14ac:dyDescent="0.25">
      <c r="A10" s="3" t="s">
        <v>338</v>
      </c>
      <c r="B10" s="39" t="s">
        <v>698</v>
      </c>
      <c r="C10" s="3">
        <v>10000</v>
      </c>
      <c r="D10" s="95">
        <v>0.1</v>
      </c>
      <c r="E10" s="3">
        <v>15</v>
      </c>
      <c r="F10" s="39" t="s">
        <v>13</v>
      </c>
      <c r="G10" s="39" t="s">
        <v>16</v>
      </c>
      <c r="H10" s="128">
        <v>167934</v>
      </c>
      <c r="I10" s="128">
        <v>2532.79700000002</v>
      </c>
      <c r="J10" s="129">
        <v>0.02</v>
      </c>
      <c r="K10" s="139">
        <v>164279</v>
      </c>
      <c r="L10" s="139">
        <v>1665</v>
      </c>
      <c r="M10" s="139">
        <v>853</v>
      </c>
      <c r="N10" s="130">
        <f>((Tabela13633[[#This Row],[Objetive value Cannibalism ]]-Tabela13633[[#This Row],[Objetive value Cannibalism/GATeS]])/Tabela13633[[#This Row],[Objetive value Cannibalism ]])*100</f>
        <v>2.176450272130718</v>
      </c>
      <c r="O10" s="131">
        <v>160354</v>
      </c>
      <c r="P10" s="131">
        <v>6.01</v>
      </c>
      <c r="Q10" s="131">
        <v>0</v>
      </c>
      <c r="R10" s="141">
        <f>(((Tabela13633[[#This Row],[Objetive value Cannibalism ]]-Tabela13633[[#This Row],[Objetive value Cannibalism/H-R1]])/Tabela13633[[#This Row],[Objetive value Cannibalism ]]))*100</f>
        <v>4.5136779925446904</v>
      </c>
      <c r="S10" s="113">
        <v>153900</v>
      </c>
      <c r="T10" s="113">
        <v>4.67</v>
      </c>
      <c r="U10" s="113">
        <v>0</v>
      </c>
      <c r="V10" s="143">
        <f>(((Tabela13633[[#This Row],[Objetive value Cannibalism ]]-Tabela13633[[#This Row],[Objetive value Cannibalism/H-R2]])/Tabela13633[[#This Row],[Objetive value Cannibalism ]]))*100</f>
        <v>8.3568544785451415</v>
      </c>
    </row>
    <row r="11" spans="1:22" x14ac:dyDescent="0.25">
      <c r="A11" s="3" t="s">
        <v>338</v>
      </c>
      <c r="B11" s="39" t="s">
        <v>699</v>
      </c>
      <c r="C11" s="3">
        <v>10000</v>
      </c>
      <c r="D11" s="95">
        <v>0.1</v>
      </c>
      <c r="E11" s="3">
        <v>15</v>
      </c>
      <c r="F11" s="39" t="s">
        <v>18</v>
      </c>
      <c r="G11" s="39" t="s">
        <v>14</v>
      </c>
      <c r="H11" s="128">
        <v>324946</v>
      </c>
      <c r="I11" s="128">
        <v>489.640000000013</v>
      </c>
      <c r="J11" s="129">
        <v>9.4700000000000006</v>
      </c>
      <c r="K11" s="139">
        <v>306747</v>
      </c>
      <c r="L11" s="139">
        <v>1801</v>
      </c>
      <c r="M11" s="139">
        <v>1509</v>
      </c>
      <c r="N11" s="130">
        <f>((Tabela13633[[#This Row],[Objetive value Cannibalism ]]-Tabela13633[[#This Row],[Objetive value Cannibalism/GATeS]])/Tabela13633[[#This Row],[Objetive value Cannibalism ]])*100</f>
        <v>5.6006228727234681</v>
      </c>
      <c r="O11" s="131">
        <v>282633</v>
      </c>
      <c r="P11" s="131">
        <v>3.42</v>
      </c>
      <c r="Q11" s="131">
        <v>0</v>
      </c>
      <c r="R11" s="141">
        <f>(((Tabela13633[[#This Row],[Objetive value Cannibalism ]]-Tabela13633[[#This Row],[Objetive value Cannibalism/H-R1]])/Tabela13633[[#This Row],[Objetive value Cannibalism ]]))*100</f>
        <v>13.021548195700209</v>
      </c>
      <c r="S11" s="113">
        <v>287697</v>
      </c>
      <c r="T11" s="113">
        <v>3.28</v>
      </c>
      <c r="U11" s="113">
        <v>0</v>
      </c>
      <c r="V11" s="143">
        <f>(((Tabela13633[[#This Row],[Objetive value Cannibalism ]]-Tabela13633[[#This Row],[Objetive value Cannibalism/H-R2]])/Tabela13633[[#This Row],[Objetive value Cannibalism ]]))*100</f>
        <v>11.463135413268667</v>
      </c>
    </row>
    <row r="12" spans="1:22" x14ac:dyDescent="0.25">
      <c r="A12" s="3" t="s">
        <v>338</v>
      </c>
      <c r="B12" s="39" t="s">
        <v>700</v>
      </c>
      <c r="C12" s="3">
        <v>10000</v>
      </c>
      <c r="D12" s="95">
        <v>0.1</v>
      </c>
      <c r="E12" s="3">
        <v>15</v>
      </c>
      <c r="F12" s="39" t="s">
        <v>18</v>
      </c>
      <c r="G12" s="39" t="s">
        <v>16</v>
      </c>
      <c r="H12" s="128">
        <v>168184</v>
      </c>
      <c r="I12" s="128">
        <v>4880.9529999999704</v>
      </c>
      <c r="J12" s="129">
        <v>0</v>
      </c>
      <c r="K12" s="139">
        <v>164686</v>
      </c>
      <c r="L12" s="139">
        <v>1603</v>
      </c>
      <c r="M12" s="139">
        <v>694</v>
      </c>
      <c r="N12" s="130">
        <f>((Tabela13633[[#This Row],[Objetive value Cannibalism ]]-Tabela13633[[#This Row],[Objetive value Cannibalism/GATeS]])/Tabela13633[[#This Row],[Objetive value Cannibalism ]])*100</f>
        <v>2.0798649098606288</v>
      </c>
      <c r="O12" s="131">
        <v>168184</v>
      </c>
      <c r="P12" s="131">
        <v>6.73</v>
      </c>
      <c r="Q12" s="131">
        <v>0</v>
      </c>
      <c r="R12" s="141">
        <f>(((Tabela13633[[#This Row],[Objetive value Cannibalism ]]-Tabela13633[[#This Row],[Objetive value Cannibalism/H-R1]])/Tabela13633[[#This Row],[Objetive value Cannibalism ]]))*100</f>
        <v>0</v>
      </c>
      <c r="S12" s="113">
        <v>164906</v>
      </c>
      <c r="T12" s="113">
        <v>6.64</v>
      </c>
      <c r="U12" s="113">
        <v>0</v>
      </c>
      <c r="V12" s="143">
        <f>(((Tabela13633[[#This Row],[Objetive value Cannibalism ]]-Tabela13633[[#This Row],[Objetive value Cannibalism/H-R2]])/Tabela13633[[#This Row],[Objetive value Cannibalism ]]))*100</f>
        <v>1.9490557960329162</v>
      </c>
    </row>
    <row r="13" spans="1:22" x14ac:dyDescent="0.25">
      <c r="A13" s="3" t="s">
        <v>338</v>
      </c>
      <c r="B13" s="39" t="s">
        <v>701</v>
      </c>
      <c r="C13" s="3">
        <v>10000</v>
      </c>
      <c r="D13" s="95">
        <v>0.1</v>
      </c>
      <c r="E13" s="3">
        <v>15</v>
      </c>
      <c r="F13" s="39" t="s">
        <v>21</v>
      </c>
      <c r="G13" s="39" t="s">
        <v>14</v>
      </c>
      <c r="H13" s="128">
        <v>299406</v>
      </c>
      <c r="I13" s="128">
        <v>168.952999999979</v>
      </c>
      <c r="J13" s="129">
        <v>0</v>
      </c>
      <c r="K13" s="139">
        <v>298921</v>
      </c>
      <c r="L13" s="139">
        <v>1808</v>
      </c>
      <c r="M13" s="139">
        <v>1005</v>
      </c>
      <c r="N13" s="130">
        <f>((Tabela13633[[#This Row],[Objetive value Cannibalism ]]-Tabela13633[[#This Row],[Objetive value Cannibalism/GATeS]])/Tabela13633[[#This Row],[Objetive value Cannibalism ]])*100</f>
        <v>0.16198740172207637</v>
      </c>
      <c r="O13" s="131">
        <v>299406</v>
      </c>
      <c r="P13" s="131">
        <v>4.3899999999999997</v>
      </c>
      <c r="Q13" s="131">
        <v>0</v>
      </c>
      <c r="R13" s="141">
        <f>(((Tabela13633[[#This Row],[Objetive value Cannibalism ]]-Tabela13633[[#This Row],[Objetive value Cannibalism/H-R1]])/Tabela13633[[#This Row],[Objetive value Cannibalism ]]))*100</f>
        <v>0</v>
      </c>
      <c r="S13" s="113">
        <v>299406</v>
      </c>
      <c r="T13" s="113">
        <v>4.7699999999999996</v>
      </c>
      <c r="U13" s="113">
        <v>0</v>
      </c>
      <c r="V13" s="143">
        <f>(((Tabela13633[[#This Row],[Objetive value Cannibalism ]]-Tabela13633[[#This Row],[Objetive value Cannibalism/H-R2]])/Tabela13633[[#This Row],[Objetive value Cannibalism ]]))*100</f>
        <v>0</v>
      </c>
    </row>
    <row r="14" spans="1:22" x14ac:dyDescent="0.25">
      <c r="A14" s="3" t="s">
        <v>338</v>
      </c>
      <c r="B14" s="39" t="s">
        <v>702</v>
      </c>
      <c r="C14" s="3">
        <v>10000</v>
      </c>
      <c r="D14" s="95">
        <v>0.1</v>
      </c>
      <c r="E14" s="3">
        <v>15</v>
      </c>
      <c r="F14" s="39" t="s">
        <v>21</v>
      </c>
      <c r="G14" s="39" t="s">
        <v>16</v>
      </c>
      <c r="H14" s="128">
        <v>166494</v>
      </c>
      <c r="I14" s="128">
        <v>3250.6559999999499</v>
      </c>
      <c r="J14" s="129">
        <v>0</v>
      </c>
      <c r="K14" s="139">
        <v>164376</v>
      </c>
      <c r="L14" s="139">
        <v>1679</v>
      </c>
      <c r="M14" s="139">
        <v>738</v>
      </c>
      <c r="N14" s="130">
        <f>((Tabela13633[[#This Row],[Objetive value Cannibalism ]]-Tabela13633[[#This Row],[Objetive value Cannibalism/GATeS]])/Tabela13633[[#This Row],[Objetive value Cannibalism ]])*100</f>
        <v>1.2721179141590688</v>
      </c>
      <c r="O14" s="131">
        <v>166193</v>
      </c>
      <c r="P14" s="131">
        <v>5.88</v>
      </c>
      <c r="Q14" s="131">
        <v>0</v>
      </c>
      <c r="R14" s="141">
        <f>(((Tabela13633[[#This Row],[Objetive value Cannibalism ]]-Tabela13633[[#This Row],[Objetive value Cannibalism/H-R1]])/Tabela13633[[#This Row],[Objetive value Cannibalism ]]))*100</f>
        <v>0.18078729563828128</v>
      </c>
      <c r="S14" s="113">
        <v>165481</v>
      </c>
      <c r="T14" s="113">
        <v>5</v>
      </c>
      <c r="U14" s="113">
        <v>0</v>
      </c>
      <c r="V14" s="143">
        <f>(((Tabela13633[[#This Row],[Objetive value Cannibalism ]]-Tabela13633[[#This Row],[Objetive value Cannibalism/H-R2]])/Tabela13633[[#This Row],[Objetive value Cannibalism ]]))*100</f>
        <v>0.60843033382584366</v>
      </c>
    </row>
    <row r="15" spans="1:22" x14ac:dyDescent="0.25">
      <c r="A15" s="3" t="s">
        <v>300</v>
      </c>
      <c r="B15" s="39" t="s">
        <v>661</v>
      </c>
      <c r="C15" s="3">
        <v>10000</v>
      </c>
      <c r="D15" s="95">
        <v>0.1</v>
      </c>
      <c r="E15" s="3">
        <v>5</v>
      </c>
      <c r="F15" s="39" t="s">
        <v>13</v>
      </c>
      <c r="G15" s="39" t="s">
        <v>14</v>
      </c>
      <c r="H15" s="128">
        <v>98470</v>
      </c>
      <c r="I15" s="128">
        <v>42.0940000000409</v>
      </c>
      <c r="J15" s="129">
        <v>0</v>
      </c>
      <c r="K15" s="139">
        <v>98255</v>
      </c>
      <c r="L15" s="139">
        <v>1587</v>
      </c>
      <c r="M15" s="139">
        <v>275</v>
      </c>
      <c r="N15" s="130">
        <f>((Tabela13633[[#This Row],[Objetive value Cannibalism ]]-Tabela13633[[#This Row],[Objetive value Cannibalism/GATeS]])/Tabela13633[[#This Row],[Objetive value Cannibalism ]])*100</f>
        <v>0.21834061135371177</v>
      </c>
      <c r="O15" s="131">
        <v>92991</v>
      </c>
      <c r="P15" s="131">
        <v>1.86</v>
      </c>
      <c r="Q15" s="131">
        <v>0</v>
      </c>
      <c r="R15" s="141">
        <f>(((Tabela13633[[#This Row],[Objetive value Cannibalism ]]-Tabela13633[[#This Row],[Objetive value Cannibalism/H-R1]])/Tabela13633[[#This Row],[Objetive value Cannibalism ]]))*100</f>
        <v>5.5641312074743574</v>
      </c>
      <c r="S15" s="113">
        <v>98470</v>
      </c>
      <c r="T15" s="113">
        <v>1.56</v>
      </c>
      <c r="U15" s="113">
        <v>0</v>
      </c>
      <c r="V15" s="143">
        <f>(((Tabela13633[[#This Row],[Objetive value Cannibalism ]]-Tabela13633[[#This Row],[Objetive value Cannibalism/H-R2]])/Tabela13633[[#This Row],[Objetive value Cannibalism ]]))*100</f>
        <v>0</v>
      </c>
    </row>
    <row r="16" spans="1:22" x14ac:dyDescent="0.25">
      <c r="A16" s="3" t="s">
        <v>300</v>
      </c>
      <c r="B16" s="39" t="s">
        <v>662</v>
      </c>
      <c r="C16" s="3">
        <v>10000</v>
      </c>
      <c r="D16" s="95">
        <v>0.1</v>
      </c>
      <c r="E16" s="3">
        <v>5</v>
      </c>
      <c r="F16" s="39" t="s">
        <v>13</v>
      </c>
      <c r="G16" s="39" t="s">
        <v>16</v>
      </c>
      <c r="H16" s="128">
        <v>70754</v>
      </c>
      <c r="I16" s="128">
        <v>21.812999999965498</v>
      </c>
      <c r="J16" s="129">
        <v>0</v>
      </c>
      <c r="K16" s="139">
        <v>70674</v>
      </c>
      <c r="L16" s="139">
        <v>1579</v>
      </c>
      <c r="M16" s="139">
        <v>100</v>
      </c>
      <c r="N16" s="130">
        <f>((Tabela13633[[#This Row],[Objetive value Cannibalism ]]-Tabela13633[[#This Row],[Objetive value Cannibalism/GATeS]])/Tabela13633[[#This Row],[Objetive value Cannibalism ]])*100</f>
        <v>0.11306781242049919</v>
      </c>
      <c r="O16" s="131">
        <v>70754</v>
      </c>
      <c r="P16" s="131">
        <v>2.35</v>
      </c>
      <c r="Q16" s="131">
        <v>0</v>
      </c>
      <c r="R16" s="141">
        <f>(((Tabela13633[[#This Row],[Objetive value Cannibalism ]]-Tabela13633[[#This Row],[Objetive value Cannibalism/H-R1]])/Tabela13633[[#This Row],[Objetive value Cannibalism ]]))*100</f>
        <v>0</v>
      </c>
      <c r="S16" s="113">
        <v>70754</v>
      </c>
      <c r="T16" s="113">
        <v>2.12</v>
      </c>
      <c r="U16" s="113">
        <v>0</v>
      </c>
      <c r="V16" s="143">
        <f>(((Tabela13633[[#This Row],[Objetive value Cannibalism ]]-Tabela13633[[#This Row],[Objetive value Cannibalism/H-R2]])/Tabela13633[[#This Row],[Objetive value Cannibalism ]]))*100</f>
        <v>0</v>
      </c>
    </row>
    <row r="17" spans="1:22" x14ac:dyDescent="0.25">
      <c r="A17" s="3" t="s">
        <v>300</v>
      </c>
      <c r="B17" s="39" t="s">
        <v>663</v>
      </c>
      <c r="C17" s="3">
        <v>10000</v>
      </c>
      <c r="D17" s="95">
        <v>0.1</v>
      </c>
      <c r="E17" s="3">
        <v>5</v>
      </c>
      <c r="F17" s="39" t="s">
        <v>18</v>
      </c>
      <c r="G17" s="39" t="s">
        <v>14</v>
      </c>
      <c r="H17" s="128">
        <v>92796</v>
      </c>
      <c r="I17" s="128">
        <v>38.3130000000819</v>
      </c>
      <c r="J17" s="129">
        <v>0</v>
      </c>
      <c r="K17" s="139">
        <v>84293</v>
      </c>
      <c r="L17" s="139">
        <v>1578</v>
      </c>
      <c r="M17" s="139">
        <v>1242</v>
      </c>
      <c r="N17" s="130">
        <f>((Tabela13633[[#This Row],[Objetive value Cannibalism ]]-Tabela13633[[#This Row],[Objetive value Cannibalism/GATeS]])/Tabela13633[[#This Row],[Objetive value Cannibalism ]])*100</f>
        <v>9.1631104788999522</v>
      </c>
      <c r="O17" s="131">
        <v>92796</v>
      </c>
      <c r="P17" s="131">
        <v>1.73</v>
      </c>
      <c r="Q17" s="131">
        <v>0</v>
      </c>
      <c r="R17" s="141">
        <f>(((Tabela13633[[#This Row],[Objetive value Cannibalism ]]-Tabela13633[[#This Row],[Objetive value Cannibalism/H-R1]])/Tabela13633[[#This Row],[Objetive value Cannibalism ]]))*100</f>
        <v>0</v>
      </c>
      <c r="S17" s="113">
        <v>92796</v>
      </c>
      <c r="T17" s="113">
        <v>1.74</v>
      </c>
      <c r="U17" s="113">
        <v>0</v>
      </c>
      <c r="V17" s="143">
        <f>(((Tabela13633[[#This Row],[Objetive value Cannibalism ]]-Tabela13633[[#This Row],[Objetive value Cannibalism/H-R2]])/Tabela13633[[#This Row],[Objetive value Cannibalism ]]))*100</f>
        <v>0</v>
      </c>
    </row>
    <row r="18" spans="1:22" x14ac:dyDescent="0.25">
      <c r="A18" s="3" t="s">
        <v>300</v>
      </c>
      <c r="B18" s="39" t="s">
        <v>664</v>
      </c>
      <c r="C18" s="3">
        <v>10000</v>
      </c>
      <c r="D18" s="95">
        <v>0.1</v>
      </c>
      <c r="E18" s="3">
        <v>5</v>
      </c>
      <c r="F18" s="39" t="s">
        <v>18</v>
      </c>
      <c r="G18" s="39" t="s">
        <v>16</v>
      </c>
      <c r="H18" s="128">
        <v>81007</v>
      </c>
      <c r="I18" s="128">
        <v>18.687999999965498</v>
      </c>
      <c r="J18" s="129">
        <v>0</v>
      </c>
      <c r="K18" s="139">
        <v>80635</v>
      </c>
      <c r="L18" s="139">
        <v>1580</v>
      </c>
      <c r="M18" s="139">
        <v>188</v>
      </c>
      <c r="N18" s="130">
        <f>((Tabela13633[[#This Row],[Objetive value Cannibalism ]]-Tabela13633[[#This Row],[Objetive value Cannibalism/GATeS]])/Tabela13633[[#This Row],[Objetive value Cannibalism ]])*100</f>
        <v>0.45921957361709481</v>
      </c>
      <c r="O18" s="131">
        <v>80187</v>
      </c>
      <c r="P18" s="131">
        <v>3.47</v>
      </c>
      <c r="Q18" s="131">
        <v>0</v>
      </c>
      <c r="R18" s="141">
        <f>(((Tabela13633[[#This Row],[Objetive value Cannibalism ]]-Tabela13633[[#This Row],[Objetive value Cannibalism/H-R1]])/Tabela13633[[#This Row],[Objetive value Cannibalism ]]))*100</f>
        <v>1.0122581999086497</v>
      </c>
      <c r="S18" s="113">
        <v>78598</v>
      </c>
      <c r="T18" s="113">
        <v>2.2599999999999998</v>
      </c>
      <c r="U18" s="113">
        <v>0</v>
      </c>
      <c r="V18" s="143">
        <f>(((Tabela13633[[#This Row],[Objetive value Cannibalism ]]-Tabela13633[[#This Row],[Objetive value Cannibalism/H-R2]])/Tabela13633[[#This Row],[Objetive value Cannibalism ]]))*100</f>
        <v>2.9738170775365091</v>
      </c>
    </row>
    <row r="19" spans="1:22" x14ac:dyDescent="0.25">
      <c r="A19" s="3" t="s">
        <v>300</v>
      </c>
      <c r="B19" s="39" t="s">
        <v>665</v>
      </c>
      <c r="C19" s="3">
        <v>10000</v>
      </c>
      <c r="D19" s="95">
        <v>0.1</v>
      </c>
      <c r="E19" s="3">
        <v>5</v>
      </c>
      <c r="F19" s="39" t="s">
        <v>21</v>
      </c>
      <c r="G19" s="39" t="s">
        <v>14</v>
      </c>
      <c r="H19" s="128">
        <v>85040</v>
      </c>
      <c r="I19" s="128">
        <v>31.031000000075402</v>
      </c>
      <c r="J19" s="129">
        <v>0</v>
      </c>
      <c r="K19" s="139">
        <v>84728</v>
      </c>
      <c r="L19" s="139">
        <v>1525</v>
      </c>
      <c r="M19" s="139">
        <v>71</v>
      </c>
      <c r="N19" s="130">
        <f>((Tabela13633[[#This Row],[Objetive value Cannibalism ]]-Tabela13633[[#This Row],[Objetive value Cannibalism/GATeS]])/Tabela13633[[#This Row],[Objetive value Cannibalism ]])*100</f>
        <v>0.36688617121354661</v>
      </c>
      <c r="O19" s="131">
        <v>78685</v>
      </c>
      <c r="P19" s="131">
        <v>2.08</v>
      </c>
      <c r="Q19" s="131">
        <v>0</v>
      </c>
      <c r="R19" s="141">
        <f>(((Tabela13633[[#This Row],[Objetive value Cannibalism ]]-Tabela13633[[#This Row],[Objetive value Cannibalism/H-R1]])/Tabela13633[[#This Row],[Objetive value Cannibalism ]]))*100</f>
        <v>7.4729539040451556</v>
      </c>
      <c r="S19" s="113">
        <v>85040</v>
      </c>
      <c r="T19" s="113">
        <v>1.59</v>
      </c>
      <c r="U19" s="113">
        <v>0</v>
      </c>
      <c r="V19" s="143">
        <f>(((Tabela13633[[#This Row],[Objetive value Cannibalism ]]-Tabela13633[[#This Row],[Objetive value Cannibalism/H-R2]])/Tabela13633[[#This Row],[Objetive value Cannibalism ]]))*100</f>
        <v>0</v>
      </c>
    </row>
    <row r="20" spans="1:22" x14ac:dyDescent="0.25">
      <c r="A20" s="3" t="s">
        <v>300</v>
      </c>
      <c r="B20" s="39" t="s">
        <v>666</v>
      </c>
      <c r="C20" s="3">
        <v>10000</v>
      </c>
      <c r="D20" s="95">
        <v>0.1</v>
      </c>
      <c r="E20" s="3">
        <v>5</v>
      </c>
      <c r="F20" s="39" t="s">
        <v>21</v>
      </c>
      <c r="G20" s="39" t="s">
        <v>16</v>
      </c>
      <c r="H20" s="128">
        <v>75961</v>
      </c>
      <c r="I20" s="128">
        <v>15.0779999999795</v>
      </c>
      <c r="J20" s="129">
        <v>0</v>
      </c>
      <c r="K20" s="139">
        <v>75961</v>
      </c>
      <c r="L20" s="139">
        <v>1255</v>
      </c>
      <c r="M20" s="139">
        <v>56</v>
      </c>
      <c r="N20" s="130">
        <f>((Tabela13633[[#This Row],[Objetive value Cannibalism ]]-Tabela13633[[#This Row],[Objetive value Cannibalism/GATeS]])/Tabela13633[[#This Row],[Objetive value Cannibalism ]])*100</f>
        <v>0</v>
      </c>
      <c r="O20" s="131">
        <v>75961</v>
      </c>
      <c r="P20" s="131">
        <v>2.09</v>
      </c>
      <c r="Q20" s="131">
        <v>0</v>
      </c>
      <c r="R20" s="141">
        <f>(((Tabela13633[[#This Row],[Objetive value Cannibalism ]]-Tabela13633[[#This Row],[Objetive value Cannibalism/H-R1]])/Tabela13633[[#This Row],[Objetive value Cannibalism ]]))*100</f>
        <v>0</v>
      </c>
      <c r="S20" s="113">
        <v>75961</v>
      </c>
      <c r="T20" s="113">
        <v>2.14</v>
      </c>
      <c r="U20" s="113">
        <v>0</v>
      </c>
      <c r="V20" s="143">
        <f>(((Tabela13633[[#This Row],[Objetive value Cannibalism ]]-Tabela13633[[#This Row],[Objetive value Cannibalism/H-R2]])/Tabela13633[[#This Row],[Objetive value Cannibalism ]]))*100</f>
        <v>0</v>
      </c>
    </row>
    <row r="21" spans="1:22" x14ac:dyDescent="0.25">
      <c r="A21" s="3" t="s">
        <v>319</v>
      </c>
      <c r="B21" s="39" t="s">
        <v>685</v>
      </c>
      <c r="C21" s="3">
        <v>10000</v>
      </c>
      <c r="D21" s="3">
        <v>0.15</v>
      </c>
      <c r="E21" s="3">
        <v>10</v>
      </c>
      <c r="F21" s="39" t="s">
        <v>13</v>
      </c>
      <c r="G21" s="39" t="s">
        <v>14</v>
      </c>
      <c r="H21" s="128">
        <v>226259</v>
      </c>
      <c r="I21" s="128">
        <v>126.312000000034</v>
      </c>
      <c r="J21" s="129">
        <v>0</v>
      </c>
      <c r="K21" s="139">
        <v>209129</v>
      </c>
      <c r="L21" s="139">
        <v>1738</v>
      </c>
      <c r="M21" s="139">
        <v>876</v>
      </c>
      <c r="N21" s="130">
        <f>((Tabela13633[[#This Row],[Objetive value Cannibalism ]]-Tabela13633[[#This Row],[Objetive value Cannibalism/GATeS]])/Tabela13633[[#This Row],[Objetive value Cannibalism ]])*100</f>
        <v>7.5709695525923824</v>
      </c>
      <c r="O21" s="131">
        <v>208573</v>
      </c>
      <c r="P21" s="131">
        <v>3.25</v>
      </c>
      <c r="Q21" s="131">
        <v>0</v>
      </c>
      <c r="R21" s="141">
        <f>(((Tabela13633[[#This Row],[Objetive value Cannibalism ]]-Tabela13633[[#This Row],[Objetive value Cannibalism/H-R1]])/Tabela13633[[#This Row],[Objetive value Cannibalism ]]))*100</f>
        <v>7.8167056338090415</v>
      </c>
      <c r="S21" s="113">
        <v>201327</v>
      </c>
      <c r="T21" s="113">
        <v>3.12</v>
      </c>
      <c r="U21" s="113">
        <v>0</v>
      </c>
      <c r="V21" s="143">
        <f>(((Tabela13633[[#This Row],[Objetive value Cannibalism ]]-Tabela13633[[#This Row],[Objetive value Cannibalism/H-R2]])/Tabela13633[[#This Row],[Objetive value Cannibalism ]]))*100</f>
        <v>11.01923017426931</v>
      </c>
    </row>
    <row r="22" spans="1:22" x14ac:dyDescent="0.25">
      <c r="A22" s="3" t="s">
        <v>319</v>
      </c>
      <c r="B22" s="39" t="s">
        <v>686</v>
      </c>
      <c r="C22" s="3">
        <v>10000</v>
      </c>
      <c r="D22" s="3">
        <v>0.15</v>
      </c>
      <c r="E22" s="3">
        <v>10</v>
      </c>
      <c r="F22" s="39" t="s">
        <v>13</v>
      </c>
      <c r="G22" s="39" t="s">
        <v>16</v>
      </c>
      <c r="H22" s="128">
        <v>126591</v>
      </c>
      <c r="I22" s="128">
        <v>325.25</v>
      </c>
      <c r="J22" s="129">
        <v>0</v>
      </c>
      <c r="K22" s="139">
        <v>125489</v>
      </c>
      <c r="L22" s="139">
        <v>1606</v>
      </c>
      <c r="M22" s="139">
        <v>668</v>
      </c>
      <c r="N22" s="130">
        <f>((Tabela13633[[#This Row],[Objetive value Cannibalism ]]-Tabela13633[[#This Row],[Objetive value Cannibalism/GATeS]])/Tabela13633[[#This Row],[Objetive value Cannibalism ]])*100</f>
        <v>0.87052002117054128</v>
      </c>
      <c r="O22" s="131">
        <v>125787</v>
      </c>
      <c r="P22" s="131">
        <v>4.3</v>
      </c>
      <c r="Q22" s="131">
        <v>0</v>
      </c>
      <c r="R22" s="141">
        <f>(((Tabela13633[[#This Row],[Objetive value Cannibalism ]]-Tabela13633[[#This Row],[Objetive value Cannibalism/H-R1]])/Tabela13633[[#This Row],[Objetive value Cannibalism ]]))*100</f>
        <v>0.63511624049103022</v>
      </c>
      <c r="S22" s="113">
        <v>126591</v>
      </c>
      <c r="T22" s="113">
        <v>4.37</v>
      </c>
      <c r="U22" s="113">
        <v>0</v>
      </c>
      <c r="V22" s="143">
        <f>(((Tabela13633[[#This Row],[Objetive value Cannibalism ]]-Tabela13633[[#This Row],[Objetive value Cannibalism/H-R2]])/Tabela13633[[#This Row],[Objetive value Cannibalism ]]))*100</f>
        <v>0</v>
      </c>
    </row>
    <row r="23" spans="1:22" x14ac:dyDescent="0.25">
      <c r="A23" s="3" t="s">
        <v>319</v>
      </c>
      <c r="B23" s="39" t="s">
        <v>687</v>
      </c>
      <c r="C23" s="3">
        <v>10000</v>
      </c>
      <c r="D23" s="3">
        <v>0.15</v>
      </c>
      <c r="E23" s="3">
        <v>10</v>
      </c>
      <c r="F23" s="39" t="s">
        <v>18</v>
      </c>
      <c r="G23" s="39" t="s">
        <v>14</v>
      </c>
      <c r="H23" s="128">
        <v>227926</v>
      </c>
      <c r="I23" s="128">
        <v>113.78200000000599</v>
      </c>
      <c r="J23" s="129">
        <v>0</v>
      </c>
      <c r="K23" s="139">
        <v>221838</v>
      </c>
      <c r="L23" s="139">
        <v>1658</v>
      </c>
      <c r="M23" s="139">
        <v>479</v>
      </c>
      <c r="N23" s="130">
        <f>((Tabela13633[[#This Row],[Objetive value Cannibalism ]]-Tabela13633[[#This Row],[Objetive value Cannibalism/GATeS]])/Tabela13633[[#This Row],[Objetive value Cannibalism ]])*100</f>
        <v>2.6710423558523382</v>
      </c>
      <c r="O23" s="131">
        <v>222181</v>
      </c>
      <c r="P23" s="131">
        <v>2.98</v>
      </c>
      <c r="Q23" s="131">
        <v>0</v>
      </c>
      <c r="R23" s="141">
        <f>(((Tabela13633[[#This Row],[Objetive value Cannibalism ]]-Tabela13633[[#This Row],[Objetive value Cannibalism/H-R1]])/Tabela13633[[#This Row],[Objetive value Cannibalism ]]))*100</f>
        <v>2.5205549169467285</v>
      </c>
      <c r="S23" s="113">
        <v>223252</v>
      </c>
      <c r="T23" s="113">
        <v>3.1</v>
      </c>
      <c r="U23" s="113">
        <v>0</v>
      </c>
      <c r="V23" s="143">
        <f>(((Tabela13633[[#This Row],[Objetive value Cannibalism ]]-Tabela13633[[#This Row],[Objetive value Cannibalism/H-R2]])/Tabela13633[[#This Row],[Objetive value Cannibalism ]]))*100</f>
        <v>2.0506655668945184</v>
      </c>
    </row>
    <row r="24" spans="1:22" x14ac:dyDescent="0.25">
      <c r="A24" s="3" t="s">
        <v>319</v>
      </c>
      <c r="B24" s="39" t="s">
        <v>688</v>
      </c>
      <c r="C24" s="3">
        <v>10000</v>
      </c>
      <c r="D24" s="3">
        <v>0.15</v>
      </c>
      <c r="E24" s="3">
        <v>10</v>
      </c>
      <c r="F24" s="39" t="s">
        <v>18</v>
      </c>
      <c r="G24" s="39" t="s">
        <v>16</v>
      </c>
      <c r="H24" s="128">
        <v>121928</v>
      </c>
      <c r="I24" s="128">
        <v>311.81299999996497</v>
      </c>
      <c r="J24" s="129">
        <v>5.74</v>
      </c>
      <c r="K24" s="139">
        <v>121642</v>
      </c>
      <c r="L24" s="139">
        <v>1616</v>
      </c>
      <c r="M24" s="139">
        <v>475</v>
      </c>
      <c r="N24" s="130">
        <f>((Tabela13633[[#This Row],[Objetive value Cannibalism ]]-Tabela13633[[#This Row],[Objetive value Cannibalism/GATeS]])/Tabela13633[[#This Row],[Objetive value Cannibalism ]])*100</f>
        <v>0.23456466111147564</v>
      </c>
      <c r="O24" s="131">
        <v>117783</v>
      </c>
      <c r="P24" s="131">
        <v>3.83</v>
      </c>
      <c r="Q24" s="131">
        <v>0</v>
      </c>
      <c r="R24" s="141">
        <f>(((Tabela13633[[#This Row],[Objetive value Cannibalism ]]-Tabela13633[[#This Row],[Objetive value Cannibalism/H-R1]])/Tabela13633[[#This Row],[Objetive value Cannibalism ]]))*100</f>
        <v>3.3995472738009318</v>
      </c>
      <c r="S24" s="113">
        <v>119641</v>
      </c>
      <c r="T24" s="113">
        <v>3.66</v>
      </c>
      <c r="U24" s="113">
        <v>0</v>
      </c>
      <c r="V24" s="143">
        <f>(((Tabela13633[[#This Row],[Objetive value Cannibalism ]]-Tabela13633[[#This Row],[Objetive value Cannibalism/H-R2]])/Tabela13633[[#This Row],[Objetive value Cannibalism ]]))*100</f>
        <v>1.8756971327340726</v>
      </c>
    </row>
    <row r="25" spans="1:22" x14ac:dyDescent="0.25">
      <c r="A25" s="3" t="s">
        <v>319</v>
      </c>
      <c r="B25" s="39" t="s">
        <v>689</v>
      </c>
      <c r="C25" s="3">
        <v>10000</v>
      </c>
      <c r="D25" s="3">
        <v>0.15</v>
      </c>
      <c r="E25" s="3">
        <v>10</v>
      </c>
      <c r="F25" s="39" t="s">
        <v>21</v>
      </c>
      <c r="G25" s="39" t="s">
        <v>14</v>
      </c>
      <c r="H25" s="128">
        <v>168712</v>
      </c>
      <c r="I25" s="128">
        <v>103.765000000013</v>
      </c>
      <c r="J25" s="129">
        <v>0</v>
      </c>
      <c r="K25" s="139">
        <v>168712</v>
      </c>
      <c r="L25" s="139">
        <v>1830</v>
      </c>
      <c r="M25" s="139">
        <v>479</v>
      </c>
      <c r="N25" s="130">
        <f>((Tabela13633[[#This Row],[Objetive value Cannibalism ]]-Tabela13633[[#This Row],[Objetive value Cannibalism/GATeS]])/Tabela13633[[#This Row],[Objetive value Cannibalism ]])*100</f>
        <v>0</v>
      </c>
      <c r="O25" s="131">
        <v>153936</v>
      </c>
      <c r="P25" s="131">
        <v>6.77</v>
      </c>
      <c r="Q25" s="131">
        <v>0</v>
      </c>
      <c r="R25" s="141">
        <f>(((Tabela13633[[#This Row],[Objetive value Cannibalism ]]-Tabela13633[[#This Row],[Objetive value Cannibalism/H-R1]])/Tabela13633[[#This Row],[Objetive value Cannibalism ]]))*100</f>
        <v>8.7581203471003839</v>
      </c>
      <c r="S25" s="113">
        <v>168712</v>
      </c>
      <c r="T25" s="113">
        <v>5.66</v>
      </c>
      <c r="U25" s="113">
        <v>0</v>
      </c>
      <c r="V25" s="143">
        <f>(((Tabela13633[[#This Row],[Objetive value Cannibalism ]]-Tabela13633[[#This Row],[Objetive value Cannibalism/H-R2]])/Tabela13633[[#This Row],[Objetive value Cannibalism ]]))*100</f>
        <v>0</v>
      </c>
    </row>
    <row r="26" spans="1:22" x14ac:dyDescent="0.25">
      <c r="A26" s="3" t="s">
        <v>319</v>
      </c>
      <c r="B26" s="39" t="s">
        <v>690</v>
      </c>
      <c r="C26" s="3">
        <v>10000</v>
      </c>
      <c r="D26" s="3">
        <v>0.15</v>
      </c>
      <c r="E26" s="3">
        <v>10</v>
      </c>
      <c r="F26" s="39" t="s">
        <v>21</v>
      </c>
      <c r="G26" s="39" t="s">
        <v>16</v>
      </c>
      <c r="H26" s="128">
        <v>129392</v>
      </c>
      <c r="I26" s="128">
        <v>234.46900000004001</v>
      </c>
      <c r="J26" s="129">
        <v>0</v>
      </c>
      <c r="K26" s="139">
        <v>129088</v>
      </c>
      <c r="L26" s="139">
        <v>1612</v>
      </c>
      <c r="M26" s="139">
        <v>1154</v>
      </c>
      <c r="N26" s="130">
        <f>((Tabela13633[[#This Row],[Objetive value Cannibalism ]]-Tabela13633[[#This Row],[Objetive value Cannibalism/GATeS]])/Tabela13633[[#This Row],[Objetive value Cannibalism ]])*100</f>
        <v>0.23494497341412143</v>
      </c>
      <c r="O26" s="131">
        <v>127540</v>
      </c>
      <c r="P26" s="131">
        <v>6.3</v>
      </c>
      <c r="Q26" s="131">
        <v>0</v>
      </c>
      <c r="R26" s="141">
        <f>(((Tabela13633[[#This Row],[Objetive value Cannibalism ]]-Tabela13633[[#This Row],[Objetive value Cannibalism/H-R1]])/Tabela13633[[#This Row],[Objetive value Cannibalism ]]))*100</f>
        <v>1.4313095090886609</v>
      </c>
      <c r="S26" s="113">
        <v>126986</v>
      </c>
      <c r="T26" s="113">
        <v>5.14</v>
      </c>
      <c r="U26" s="113">
        <v>0</v>
      </c>
      <c r="V26" s="143">
        <f>(((Tabela13633[[#This Row],[Objetive value Cannibalism ]]-Tabela13633[[#This Row],[Objetive value Cannibalism/H-R2]])/Tabela13633[[#This Row],[Objetive value Cannibalism ]]))*100</f>
        <v>1.8594658093236058</v>
      </c>
    </row>
    <row r="27" spans="1:22" x14ac:dyDescent="0.25">
      <c r="A27" s="3" t="s">
        <v>338</v>
      </c>
      <c r="B27" s="39" t="s">
        <v>703</v>
      </c>
      <c r="C27" s="3">
        <v>10000</v>
      </c>
      <c r="D27" s="3">
        <v>0.15</v>
      </c>
      <c r="E27" s="3">
        <v>15</v>
      </c>
      <c r="F27" s="39" t="s">
        <v>13</v>
      </c>
      <c r="G27" s="39" t="s">
        <v>14</v>
      </c>
      <c r="H27" s="128">
        <v>325621</v>
      </c>
      <c r="I27" s="128">
        <v>598.312000000034</v>
      </c>
      <c r="J27" s="129">
        <v>4.6500000000000004</v>
      </c>
      <c r="K27" s="139">
        <v>305437</v>
      </c>
      <c r="L27" s="139">
        <v>1851</v>
      </c>
      <c r="M27" s="139">
        <v>565</v>
      </c>
      <c r="N27" s="130">
        <f>((Tabela13633[[#This Row],[Objetive value Cannibalism ]]-Tabela13633[[#This Row],[Objetive value Cannibalism/GATeS]])/Tabela13633[[#This Row],[Objetive value Cannibalism ]])*100</f>
        <v>6.1986174110392147</v>
      </c>
      <c r="O27" s="131">
        <v>281165</v>
      </c>
      <c r="P27" s="131">
        <v>4.09</v>
      </c>
      <c r="Q27" s="131">
        <v>0</v>
      </c>
      <c r="R27" s="141">
        <f>(((Tabela13633[[#This Row],[Objetive value Cannibalism ]]-Tabela13633[[#This Row],[Objetive value Cannibalism/H-R1]])/Tabela13633[[#This Row],[Objetive value Cannibalism ]]))*100</f>
        <v>13.652682105883834</v>
      </c>
      <c r="S27" s="113">
        <v>272367</v>
      </c>
      <c r="T27" s="113">
        <v>3.63</v>
      </c>
      <c r="U27" s="113">
        <v>0</v>
      </c>
      <c r="V27" s="143">
        <f>(((Tabela13633[[#This Row],[Objetive value Cannibalism ]]-Tabela13633[[#This Row],[Objetive value Cannibalism/H-R2]])/Tabela13633[[#This Row],[Objetive value Cannibalism ]]))*100</f>
        <v>16.354596294465036</v>
      </c>
    </row>
    <row r="28" spans="1:22" x14ac:dyDescent="0.25">
      <c r="A28" s="3" t="s">
        <v>338</v>
      </c>
      <c r="B28" s="39" t="s">
        <v>704</v>
      </c>
      <c r="C28" s="3">
        <v>10000</v>
      </c>
      <c r="D28" s="3">
        <v>0.15</v>
      </c>
      <c r="E28" s="3">
        <v>15</v>
      </c>
      <c r="F28" s="39" t="s">
        <v>13</v>
      </c>
      <c r="G28" s="39" t="s">
        <v>16</v>
      </c>
      <c r="H28" s="128">
        <v>166094</v>
      </c>
      <c r="I28" s="128">
        <v>4002.4059999999499</v>
      </c>
      <c r="J28" s="129">
        <v>1.32</v>
      </c>
      <c r="K28" s="139">
        <v>162715</v>
      </c>
      <c r="L28" s="139">
        <v>1663</v>
      </c>
      <c r="M28" s="139">
        <v>1663</v>
      </c>
      <c r="N28" s="130">
        <f>((Tabela13633[[#This Row],[Objetive value Cannibalism ]]-Tabela13633[[#This Row],[Objetive value Cannibalism/GATeS]])/Tabela13633[[#This Row],[Objetive value Cannibalism ]])*100</f>
        <v>2.0343901646055849</v>
      </c>
      <c r="O28" s="131">
        <v>160506</v>
      </c>
      <c r="P28" s="131">
        <v>6.36</v>
      </c>
      <c r="Q28" s="131">
        <v>0</v>
      </c>
      <c r="R28" s="141">
        <f>(((Tabela13633[[#This Row],[Objetive value Cannibalism ]]-Tabela13633[[#This Row],[Objetive value Cannibalism/H-R1]])/Tabela13633[[#This Row],[Objetive value Cannibalism ]]))*100</f>
        <v>3.3643599407564388</v>
      </c>
      <c r="S28" s="113">
        <v>152688</v>
      </c>
      <c r="T28" s="113">
        <v>5.14</v>
      </c>
      <c r="U28" s="113">
        <v>0</v>
      </c>
      <c r="V28" s="143">
        <f>(((Tabela13633[[#This Row],[Objetive value Cannibalism ]]-Tabela13633[[#This Row],[Objetive value Cannibalism/H-R2]])/Tabela13633[[#This Row],[Objetive value Cannibalism ]]))*100</f>
        <v>8.0713331005334332</v>
      </c>
    </row>
    <row r="29" spans="1:22" x14ac:dyDescent="0.25">
      <c r="A29" s="3" t="s">
        <v>338</v>
      </c>
      <c r="B29" s="39" t="s">
        <v>705</v>
      </c>
      <c r="C29" s="3">
        <v>10000</v>
      </c>
      <c r="D29" s="3">
        <v>0.15</v>
      </c>
      <c r="E29" s="3">
        <v>15</v>
      </c>
      <c r="F29" s="39" t="s">
        <v>18</v>
      </c>
      <c r="G29" s="39" t="s">
        <v>14</v>
      </c>
      <c r="H29" s="128">
        <v>315933</v>
      </c>
      <c r="I29" s="128">
        <v>583.81199999991804</v>
      </c>
      <c r="J29" s="129">
        <v>0.96</v>
      </c>
      <c r="K29" s="139">
        <v>301585</v>
      </c>
      <c r="L29" s="139">
        <v>1836</v>
      </c>
      <c r="M29" s="139">
        <v>1209</v>
      </c>
      <c r="N29" s="130">
        <f>((Tabela13633[[#This Row],[Objetive value Cannibalism ]]-Tabela13633[[#This Row],[Objetive value Cannibalism/GATeS]])/Tabela13633[[#This Row],[Objetive value Cannibalism ]])*100</f>
        <v>4.5414692355657689</v>
      </c>
      <c r="O29" s="131">
        <v>284678</v>
      </c>
      <c r="P29" s="131">
        <v>3.89</v>
      </c>
      <c r="Q29" s="131">
        <v>0</v>
      </c>
      <c r="R29" s="141">
        <f>(((Tabela13633[[#This Row],[Objetive value Cannibalism ]]-Tabela13633[[#This Row],[Objetive value Cannibalism/H-R1]])/Tabela13633[[#This Row],[Objetive value Cannibalism ]]))*100</f>
        <v>9.8929203343746934</v>
      </c>
      <c r="S29" s="113">
        <v>282127</v>
      </c>
      <c r="T29" s="113">
        <v>3.57</v>
      </c>
      <c r="U29" s="113">
        <v>0</v>
      </c>
      <c r="V29" s="143">
        <f>(((Tabela13633[[#This Row],[Objetive value Cannibalism ]]-Tabela13633[[#This Row],[Objetive value Cannibalism/H-R2]])/Tabela13633[[#This Row],[Objetive value Cannibalism ]]))*100</f>
        <v>10.700370015161443</v>
      </c>
    </row>
    <row r="30" spans="1:22" x14ac:dyDescent="0.25">
      <c r="A30" s="3" t="s">
        <v>338</v>
      </c>
      <c r="B30" s="39" t="s">
        <v>706</v>
      </c>
      <c r="C30" s="3">
        <v>10000</v>
      </c>
      <c r="D30" s="3">
        <v>0.15</v>
      </c>
      <c r="E30" s="3">
        <v>15</v>
      </c>
      <c r="F30" s="39" t="s">
        <v>18</v>
      </c>
      <c r="G30" s="39" t="s">
        <v>16</v>
      </c>
      <c r="H30" s="128">
        <v>178269</v>
      </c>
      <c r="I30" s="128">
        <v>3556.26599999994</v>
      </c>
      <c r="J30" s="129">
        <v>0</v>
      </c>
      <c r="K30" s="139">
        <v>175369</v>
      </c>
      <c r="L30" s="139">
        <v>1631</v>
      </c>
      <c r="M30" s="139">
        <v>867</v>
      </c>
      <c r="N30" s="130">
        <f>((Tabela13633[[#This Row],[Objetive value Cannibalism ]]-Tabela13633[[#This Row],[Objetive value Cannibalism/GATeS]])/Tabela13633[[#This Row],[Objetive value Cannibalism ]])*100</f>
        <v>1.6267550723906006</v>
      </c>
      <c r="O30" s="131">
        <v>178073</v>
      </c>
      <c r="P30" s="131">
        <v>7.11</v>
      </c>
      <c r="Q30" s="131">
        <v>0</v>
      </c>
      <c r="R30" s="141">
        <f>(((Tabela13633[[#This Row],[Objetive value Cannibalism ]]-Tabela13633[[#This Row],[Objetive value Cannibalism/H-R1]])/Tabela13633[[#This Row],[Objetive value Cannibalism ]]))*100</f>
        <v>0.10994620489260612</v>
      </c>
      <c r="S30" s="113">
        <v>177002</v>
      </c>
      <c r="T30" s="113">
        <v>7.45</v>
      </c>
      <c r="U30" s="113">
        <v>0</v>
      </c>
      <c r="V30" s="143">
        <f>(((Tabela13633[[#This Row],[Objetive value Cannibalism ]]-Tabela13633[[#This Row],[Objetive value Cannibalism/H-R2]])/Tabela13633[[#This Row],[Objetive value Cannibalism ]]))*100</f>
        <v>0.71072368162720378</v>
      </c>
    </row>
    <row r="31" spans="1:22" x14ac:dyDescent="0.25">
      <c r="A31" s="3" t="s">
        <v>338</v>
      </c>
      <c r="B31" s="39" t="s">
        <v>707</v>
      </c>
      <c r="C31" s="3">
        <v>10000</v>
      </c>
      <c r="D31" s="3">
        <v>0.15</v>
      </c>
      <c r="E31" s="3">
        <v>15</v>
      </c>
      <c r="F31" s="39" t="s">
        <v>21</v>
      </c>
      <c r="G31" s="39" t="s">
        <v>14</v>
      </c>
      <c r="H31" s="128">
        <v>316545</v>
      </c>
      <c r="I31" s="128">
        <v>165.452999999979</v>
      </c>
      <c r="J31" s="129">
        <v>0</v>
      </c>
      <c r="K31" s="139">
        <v>316156</v>
      </c>
      <c r="L31" s="139">
        <v>1911</v>
      </c>
      <c r="M31" s="139">
        <v>191</v>
      </c>
      <c r="N31" s="130">
        <f>((Tabela13633[[#This Row],[Objetive value Cannibalism ]]-Tabela13633[[#This Row],[Objetive value Cannibalism/GATeS]])/Tabela13633[[#This Row],[Objetive value Cannibalism ]])*100</f>
        <v>0.12288932063371717</v>
      </c>
      <c r="O31" s="131">
        <v>305109</v>
      </c>
      <c r="P31" s="131">
        <v>8.86</v>
      </c>
      <c r="Q31" s="131">
        <v>0</v>
      </c>
      <c r="R31" s="141">
        <f>(((Tabela13633[[#This Row],[Objetive value Cannibalism ]]-Tabela13633[[#This Row],[Objetive value Cannibalism/H-R1]])/Tabela13633[[#This Row],[Objetive value Cannibalism ]]))*100</f>
        <v>3.6127564801213099</v>
      </c>
      <c r="S31" s="113">
        <v>316544</v>
      </c>
      <c r="T31" s="113">
        <v>5.22</v>
      </c>
      <c r="U31" s="113">
        <v>0</v>
      </c>
      <c r="V31" s="143">
        <f>(((Tabela13633[[#This Row],[Objetive value Cannibalism ]]-Tabela13633[[#This Row],[Objetive value Cannibalism/H-R2]])/Tabela13633[[#This Row],[Objetive value Cannibalism ]]))*100</f>
        <v>3.1591084995814182E-4</v>
      </c>
    </row>
    <row r="32" spans="1:22" x14ac:dyDescent="0.25">
      <c r="A32" s="3" t="s">
        <v>338</v>
      </c>
      <c r="B32" s="39" t="s">
        <v>708</v>
      </c>
      <c r="C32" s="3">
        <v>10000</v>
      </c>
      <c r="D32" s="3">
        <v>0.15</v>
      </c>
      <c r="E32" s="3">
        <v>15</v>
      </c>
      <c r="F32" s="39" t="s">
        <v>21</v>
      </c>
      <c r="G32" s="39" t="s">
        <v>16</v>
      </c>
      <c r="H32" s="128">
        <v>167355</v>
      </c>
      <c r="I32" s="128">
        <v>2573.5929999999898</v>
      </c>
      <c r="J32" s="129">
        <v>0.52</v>
      </c>
      <c r="K32" s="139">
        <v>163014</v>
      </c>
      <c r="L32" s="139">
        <v>1642</v>
      </c>
      <c r="M32" s="139">
        <v>1557</v>
      </c>
      <c r="N32" s="130">
        <f>((Tabela13633[[#This Row],[Objetive value Cannibalism ]]-Tabela13633[[#This Row],[Objetive value Cannibalism/GATeS]])/Tabela13633[[#This Row],[Objetive value Cannibalism ]])*100</f>
        <v>2.593887245675361</v>
      </c>
      <c r="O32" s="131">
        <v>167351</v>
      </c>
      <c r="P32" s="131">
        <v>7.98</v>
      </c>
      <c r="Q32" s="131">
        <v>0</v>
      </c>
      <c r="R32" s="141">
        <f>(((Tabela13633[[#This Row],[Objetive value Cannibalism ]]-Tabela13633[[#This Row],[Objetive value Cannibalism/H-R1]])/Tabela13633[[#This Row],[Objetive value Cannibalism ]]))*100</f>
        <v>2.3901287681873861E-3</v>
      </c>
      <c r="S32" s="113">
        <v>163278</v>
      </c>
      <c r="T32" s="113">
        <v>6.33</v>
      </c>
      <c r="U32" s="113">
        <v>0</v>
      </c>
      <c r="V32" s="143">
        <f>(((Tabela13633[[#This Row],[Objetive value Cannibalism ]]-Tabela13633[[#This Row],[Objetive value Cannibalism/H-R2]])/Tabela13633[[#This Row],[Objetive value Cannibalism ]]))*100</f>
        <v>2.4361387469749931</v>
      </c>
    </row>
    <row r="33" spans="1:22" x14ac:dyDescent="0.25">
      <c r="A33" s="3" t="s">
        <v>300</v>
      </c>
      <c r="B33" s="39" t="s">
        <v>667</v>
      </c>
      <c r="C33" s="3">
        <v>10000</v>
      </c>
      <c r="D33" s="3">
        <v>0.15</v>
      </c>
      <c r="E33" s="3">
        <v>5</v>
      </c>
      <c r="F33" s="39" t="s">
        <v>13</v>
      </c>
      <c r="G33" s="39" t="s">
        <v>14</v>
      </c>
      <c r="H33" s="128">
        <v>110521</v>
      </c>
      <c r="I33" s="128">
        <v>26.3440000000409</v>
      </c>
      <c r="J33" s="129">
        <v>0</v>
      </c>
      <c r="K33" s="139">
        <v>110471</v>
      </c>
      <c r="L33" s="139">
        <v>1554</v>
      </c>
      <c r="M33" s="139">
        <v>1368</v>
      </c>
      <c r="N33" s="130">
        <f>((Tabela13633[[#This Row],[Objetive value Cannibalism ]]-Tabela13633[[#This Row],[Objetive value Cannibalism/GATeS]])/Tabela13633[[#This Row],[Objetive value Cannibalism ]])*100</f>
        <v>4.5240271079704311E-2</v>
      </c>
      <c r="O33" s="131">
        <v>110521</v>
      </c>
      <c r="P33" s="131">
        <v>1.78</v>
      </c>
      <c r="Q33" s="131">
        <v>0</v>
      </c>
      <c r="R33" s="141">
        <f>(((Tabela13633[[#This Row],[Objetive value Cannibalism ]]-Tabela13633[[#This Row],[Objetive value Cannibalism/H-R1]])/Tabela13633[[#This Row],[Objetive value Cannibalism ]]))*100</f>
        <v>0</v>
      </c>
      <c r="S33" s="113">
        <v>107396</v>
      </c>
      <c r="T33" s="113">
        <v>1.62</v>
      </c>
      <c r="U33" s="113">
        <v>0</v>
      </c>
      <c r="V33" s="143">
        <f>(((Tabela13633[[#This Row],[Objetive value Cannibalism ]]-Tabela13633[[#This Row],[Objetive value Cannibalism/H-R2]])/Tabela13633[[#This Row],[Objetive value Cannibalism ]]))*100</f>
        <v>2.8275169424815192</v>
      </c>
    </row>
    <row r="34" spans="1:22" x14ac:dyDescent="0.25">
      <c r="A34" s="3" t="s">
        <v>300</v>
      </c>
      <c r="B34" s="39" t="s">
        <v>668</v>
      </c>
      <c r="C34" s="3">
        <v>10000</v>
      </c>
      <c r="D34" s="3">
        <v>0.15</v>
      </c>
      <c r="E34" s="3">
        <v>5</v>
      </c>
      <c r="F34" s="39" t="s">
        <v>13</v>
      </c>
      <c r="G34" s="39" t="s">
        <v>16</v>
      </c>
      <c r="H34" s="128">
        <v>68758</v>
      </c>
      <c r="I34" s="128">
        <v>37.858999999938497</v>
      </c>
      <c r="J34" s="129">
        <v>0</v>
      </c>
      <c r="K34" s="139">
        <v>68758</v>
      </c>
      <c r="L34" s="139">
        <v>1586</v>
      </c>
      <c r="M34" s="139">
        <v>861</v>
      </c>
      <c r="N34" s="130">
        <f>((Tabela13633[[#This Row],[Objetive value Cannibalism ]]-Tabela13633[[#This Row],[Objetive value Cannibalism/GATeS]])/Tabela13633[[#This Row],[Objetive value Cannibalism ]])*100</f>
        <v>0</v>
      </c>
      <c r="O34" s="131">
        <v>68758</v>
      </c>
      <c r="P34" s="131">
        <v>2.5099999999999998</v>
      </c>
      <c r="Q34" s="131">
        <v>0</v>
      </c>
      <c r="R34" s="141">
        <f>(((Tabela13633[[#This Row],[Objetive value Cannibalism ]]-Tabela13633[[#This Row],[Objetive value Cannibalism/H-R1]])/Tabela13633[[#This Row],[Objetive value Cannibalism ]]))*100</f>
        <v>0</v>
      </c>
      <c r="S34" s="113">
        <v>58139</v>
      </c>
      <c r="T34" s="113">
        <v>2.2000000000000002</v>
      </c>
      <c r="U34" s="113">
        <v>0</v>
      </c>
      <c r="V34" s="143">
        <f>(((Tabela13633[[#This Row],[Objetive value Cannibalism ]]-Tabela13633[[#This Row],[Objetive value Cannibalism/H-R2]])/Tabela13633[[#This Row],[Objetive value Cannibalism ]]))*100</f>
        <v>15.444021059367637</v>
      </c>
    </row>
    <row r="35" spans="1:22" x14ac:dyDescent="0.25">
      <c r="A35" s="3" t="s">
        <v>300</v>
      </c>
      <c r="B35" s="39" t="s">
        <v>669</v>
      </c>
      <c r="C35" s="3">
        <v>10000</v>
      </c>
      <c r="D35" s="3">
        <v>0.15</v>
      </c>
      <c r="E35" s="3">
        <v>5</v>
      </c>
      <c r="F35" s="39" t="s">
        <v>18</v>
      </c>
      <c r="G35" s="39" t="s">
        <v>14</v>
      </c>
      <c r="H35" s="128">
        <v>109000</v>
      </c>
      <c r="I35" s="128">
        <v>41.297000000020397</v>
      </c>
      <c r="J35" s="129">
        <v>0</v>
      </c>
      <c r="K35" s="139">
        <v>108977</v>
      </c>
      <c r="L35" s="139">
        <v>1573</v>
      </c>
      <c r="M35" s="139">
        <v>791</v>
      </c>
      <c r="N35" s="130">
        <f>((Tabela13633[[#This Row],[Objetive value Cannibalism ]]-Tabela13633[[#This Row],[Objetive value Cannibalism/GATeS]])/Tabela13633[[#This Row],[Objetive value Cannibalism ]])*100</f>
        <v>2.1100917431192662E-2</v>
      </c>
      <c r="O35" s="131">
        <v>109000</v>
      </c>
      <c r="P35" s="131">
        <v>1.77</v>
      </c>
      <c r="Q35" s="131">
        <v>0</v>
      </c>
      <c r="R35" s="141">
        <f>(((Tabela13633[[#This Row],[Objetive value Cannibalism ]]-Tabela13633[[#This Row],[Objetive value Cannibalism/H-R1]])/Tabela13633[[#This Row],[Objetive value Cannibalism ]]))*100</f>
        <v>0</v>
      </c>
      <c r="S35" s="113">
        <v>109000</v>
      </c>
      <c r="T35" s="113">
        <v>1.75</v>
      </c>
      <c r="U35" s="113">
        <v>0</v>
      </c>
      <c r="V35" s="143">
        <f>(((Tabela13633[[#This Row],[Objetive value Cannibalism ]]-Tabela13633[[#This Row],[Objetive value Cannibalism/H-R2]])/Tabela13633[[#This Row],[Objetive value Cannibalism ]]))*100</f>
        <v>0</v>
      </c>
    </row>
    <row r="36" spans="1:22" x14ac:dyDescent="0.25">
      <c r="A36" s="3" t="s">
        <v>300</v>
      </c>
      <c r="B36" s="39" t="s">
        <v>670</v>
      </c>
      <c r="C36" s="3">
        <v>10000</v>
      </c>
      <c r="D36" s="3">
        <v>0.15</v>
      </c>
      <c r="E36" s="3">
        <v>5</v>
      </c>
      <c r="F36" s="39" t="s">
        <v>18</v>
      </c>
      <c r="G36" s="39" t="s">
        <v>16</v>
      </c>
      <c r="H36" s="128">
        <v>79208</v>
      </c>
      <c r="I36" s="128">
        <v>37.515000000013899</v>
      </c>
      <c r="J36" s="129">
        <v>0</v>
      </c>
      <c r="K36" s="139">
        <v>78663</v>
      </c>
      <c r="L36" s="139">
        <v>1569</v>
      </c>
      <c r="M36" s="139">
        <v>84</v>
      </c>
      <c r="N36" s="130">
        <f>((Tabela13633[[#This Row],[Objetive value Cannibalism ]]-Tabela13633[[#This Row],[Objetive value Cannibalism/GATeS]])/Tabela13633[[#This Row],[Objetive value Cannibalism ]])*100</f>
        <v>0.68806181193818805</v>
      </c>
      <c r="O36" s="131">
        <v>79208</v>
      </c>
      <c r="P36" s="131">
        <v>2.36</v>
      </c>
      <c r="Q36" s="131">
        <v>0</v>
      </c>
      <c r="R36" s="141">
        <f>(((Tabela13633[[#This Row],[Objetive value Cannibalism ]]-Tabela13633[[#This Row],[Objetive value Cannibalism/H-R1]])/Tabela13633[[#This Row],[Objetive value Cannibalism ]]))*100</f>
        <v>0</v>
      </c>
      <c r="S36" s="113">
        <v>79208</v>
      </c>
      <c r="T36" s="113">
        <v>2.37</v>
      </c>
      <c r="U36" s="113">
        <v>0</v>
      </c>
      <c r="V36" s="143">
        <f>(((Tabela13633[[#This Row],[Objetive value Cannibalism ]]-Tabela13633[[#This Row],[Objetive value Cannibalism/H-R2]])/Tabela13633[[#This Row],[Objetive value Cannibalism ]]))*100</f>
        <v>0</v>
      </c>
    </row>
    <row r="37" spans="1:22" x14ac:dyDescent="0.25">
      <c r="A37" s="3" t="s">
        <v>300</v>
      </c>
      <c r="B37" s="39" t="s">
        <v>671</v>
      </c>
      <c r="C37" s="3">
        <v>10000</v>
      </c>
      <c r="D37" s="3">
        <v>0.15</v>
      </c>
      <c r="E37" s="3">
        <v>5</v>
      </c>
      <c r="F37" s="39" t="s">
        <v>21</v>
      </c>
      <c r="G37" s="39" t="s">
        <v>14</v>
      </c>
      <c r="H37" s="128">
        <v>98612</v>
      </c>
      <c r="I37" s="128">
        <v>30.437999999965498</v>
      </c>
      <c r="J37" s="129">
        <v>0</v>
      </c>
      <c r="K37" s="139">
        <v>98612</v>
      </c>
      <c r="L37" s="139">
        <v>1337</v>
      </c>
      <c r="M37" s="139">
        <v>28</v>
      </c>
      <c r="N37" s="130">
        <f>((Tabela13633[[#This Row],[Objetive value Cannibalism ]]-Tabela13633[[#This Row],[Objetive value Cannibalism/GATeS]])/Tabela13633[[#This Row],[Objetive value Cannibalism ]])*100</f>
        <v>0</v>
      </c>
      <c r="O37" s="131">
        <v>98212</v>
      </c>
      <c r="P37" s="131">
        <v>2.2799999999999998</v>
      </c>
      <c r="Q37" s="131">
        <v>0</v>
      </c>
      <c r="R37" s="141">
        <f>(((Tabela13633[[#This Row],[Objetive value Cannibalism ]]-Tabela13633[[#This Row],[Objetive value Cannibalism/H-R1]])/Tabela13633[[#This Row],[Objetive value Cannibalism ]]))*100</f>
        <v>0.40563014643248285</v>
      </c>
      <c r="S37" s="113">
        <v>98612</v>
      </c>
      <c r="T37" s="113">
        <v>1.45</v>
      </c>
      <c r="U37" s="113">
        <v>0</v>
      </c>
      <c r="V37" s="143">
        <f>(((Tabela13633[[#This Row],[Objetive value Cannibalism ]]-Tabela13633[[#This Row],[Objetive value Cannibalism/H-R2]])/Tabela13633[[#This Row],[Objetive value Cannibalism ]]))*100</f>
        <v>0</v>
      </c>
    </row>
    <row r="38" spans="1:22" x14ac:dyDescent="0.25">
      <c r="A38" s="3" t="s">
        <v>300</v>
      </c>
      <c r="B38" s="39" t="s">
        <v>672</v>
      </c>
      <c r="C38" s="3">
        <v>10000</v>
      </c>
      <c r="D38" s="3">
        <v>0.15</v>
      </c>
      <c r="E38" s="3">
        <v>5</v>
      </c>
      <c r="F38" s="39" t="s">
        <v>21</v>
      </c>
      <c r="G38" s="39" t="s">
        <v>16</v>
      </c>
      <c r="H38" s="128">
        <v>81458</v>
      </c>
      <c r="I38" s="128">
        <v>18.265000000013899</v>
      </c>
      <c r="J38" s="129">
        <v>0</v>
      </c>
      <c r="K38" s="139">
        <v>81430</v>
      </c>
      <c r="L38" s="139">
        <v>1641</v>
      </c>
      <c r="M38" s="139">
        <v>325</v>
      </c>
      <c r="N38" s="130">
        <f>((Tabela13633[[#This Row],[Objetive value Cannibalism ]]-Tabela13633[[#This Row],[Objetive value Cannibalism/GATeS]])/Tabela13633[[#This Row],[Objetive value Cannibalism ]])*100</f>
        <v>3.4373542193523045E-2</v>
      </c>
      <c r="O38" s="131">
        <v>81458</v>
      </c>
      <c r="P38" s="131">
        <v>2.56</v>
      </c>
      <c r="Q38" s="131">
        <v>0</v>
      </c>
      <c r="R38" s="141">
        <f>(((Tabela13633[[#This Row],[Objetive value Cannibalism ]]-Tabela13633[[#This Row],[Objetive value Cannibalism/H-R1]])/Tabela13633[[#This Row],[Objetive value Cannibalism ]]))*100</f>
        <v>0</v>
      </c>
      <c r="S38" s="113">
        <v>81458</v>
      </c>
      <c r="T38" s="113">
        <v>2.4500000000000002</v>
      </c>
      <c r="U38" s="113">
        <v>0</v>
      </c>
      <c r="V38" s="143">
        <f>(((Tabela13633[[#This Row],[Objetive value Cannibalism ]]-Tabela13633[[#This Row],[Objetive value Cannibalism/H-R2]])/Tabela13633[[#This Row],[Objetive value Cannibalism ]]))*100</f>
        <v>0</v>
      </c>
    </row>
    <row r="39" spans="1:22" x14ac:dyDescent="0.25">
      <c r="A39" s="3" t="s">
        <v>319</v>
      </c>
      <c r="B39" s="39" t="s">
        <v>673</v>
      </c>
      <c r="C39" s="3">
        <v>10000</v>
      </c>
      <c r="D39" s="3">
        <v>0.05</v>
      </c>
      <c r="E39" s="3">
        <v>10</v>
      </c>
      <c r="F39" s="39" t="s">
        <v>13</v>
      </c>
      <c r="G39" s="39" t="s">
        <v>14</v>
      </c>
      <c r="H39" s="128">
        <v>210276</v>
      </c>
      <c r="I39" s="128">
        <v>111.75</v>
      </c>
      <c r="J39" s="129">
        <v>0</v>
      </c>
      <c r="K39" s="139">
        <v>193099</v>
      </c>
      <c r="L39" s="139">
        <v>1680</v>
      </c>
      <c r="M39" s="139">
        <v>95</v>
      </c>
      <c r="N39" s="130">
        <f>((Tabela13633[[#This Row],[Objetive value Cannibalism ]]-Tabela13633[[#This Row],[Objetive value Cannibalism/GATeS]])/Tabela13633[[#This Row],[Objetive value Cannibalism ]])*100</f>
        <v>8.1687876885617001</v>
      </c>
      <c r="O39" s="131">
        <v>195360</v>
      </c>
      <c r="P39" s="131">
        <v>3.47</v>
      </c>
      <c r="Q39" s="131">
        <v>0</v>
      </c>
      <c r="R39" s="141">
        <f>(((Tabela13633[[#This Row],[Objetive value Cannibalism ]]-Tabela13633[[#This Row],[Objetive value Cannibalism/H-R1]])/Tabela13633[[#This Row],[Objetive value Cannibalism ]]))*100</f>
        <v>7.0935342121782803</v>
      </c>
      <c r="S39" s="113">
        <v>171429</v>
      </c>
      <c r="T39" s="113">
        <v>2.44</v>
      </c>
      <c r="U39" s="113">
        <v>0</v>
      </c>
      <c r="V39" s="143">
        <f>(((Tabela13633[[#This Row],[Objetive value Cannibalism ]]-Tabela13633[[#This Row],[Objetive value Cannibalism/H-R2]])/Tabela13633[[#This Row],[Objetive value Cannibalism ]]))*100</f>
        <v>18.474290931918048</v>
      </c>
    </row>
    <row r="40" spans="1:22" x14ac:dyDescent="0.25">
      <c r="A40" s="3" t="s">
        <v>319</v>
      </c>
      <c r="B40" s="39" t="s">
        <v>674</v>
      </c>
      <c r="C40" s="3">
        <v>10000</v>
      </c>
      <c r="D40" s="3">
        <v>0.05</v>
      </c>
      <c r="E40" s="3">
        <v>10</v>
      </c>
      <c r="F40" s="39" t="s">
        <v>13</v>
      </c>
      <c r="G40" s="39" t="s">
        <v>16</v>
      </c>
      <c r="H40" s="128">
        <v>118959</v>
      </c>
      <c r="I40" s="128">
        <v>329.875</v>
      </c>
      <c r="J40" s="129">
        <v>0</v>
      </c>
      <c r="K40" s="139">
        <v>118223</v>
      </c>
      <c r="L40" s="139">
        <v>1605</v>
      </c>
      <c r="M40" s="139">
        <v>208</v>
      </c>
      <c r="N40" s="130">
        <f>((Tabela13633[[#This Row],[Objetive value Cannibalism ]]-Tabela13633[[#This Row],[Objetive value Cannibalism/GATeS]])/Tabela13633[[#This Row],[Objetive value Cannibalism ]])*100</f>
        <v>0.61870056069738311</v>
      </c>
      <c r="O40" s="131">
        <v>113278</v>
      </c>
      <c r="P40" s="131">
        <v>3.55</v>
      </c>
      <c r="Q40" s="131">
        <v>0</v>
      </c>
      <c r="R40" s="141">
        <f>(((Tabela13633[[#This Row],[Objetive value Cannibalism ]]-Tabela13633[[#This Row],[Objetive value Cannibalism/H-R1]])/Tabela13633[[#This Row],[Objetive value Cannibalism ]]))*100</f>
        <v>4.7755949528829253</v>
      </c>
      <c r="S40" s="113">
        <v>114402</v>
      </c>
      <c r="T40" s="113">
        <v>3.79</v>
      </c>
      <c r="U40" s="113">
        <v>0</v>
      </c>
      <c r="V40" s="143">
        <f>(((Tabela13633[[#This Row],[Objetive value Cannibalism ]]-Tabela13633[[#This Row],[Objetive value Cannibalism/H-R2]])/Tabela13633[[#This Row],[Objetive value Cannibalism ]]))*100</f>
        <v>3.8307315966005095</v>
      </c>
    </row>
    <row r="41" spans="1:22" x14ac:dyDescent="0.25">
      <c r="A41" s="3" t="s">
        <v>319</v>
      </c>
      <c r="B41" s="39" t="s">
        <v>675</v>
      </c>
      <c r="C41" s="3">
        <v>10000</v>
      </c>
      <c r="D41" s="3">
        <v>0.05</v>
      </c>
      <c r="E41" s="3">
        <v>10</v>
      </c>
      <c r="F41" s="39" t="s">
        <v>18</v>
      </c>
      <c r="G41" s="39" t="s">
        <v>14</v>
      </c>
      <c r="H41" s="128">
        <v>206629</v>
      </c>
      <c r="I41" s="128">
        <v>185.67099999997299</v>
      </c>
      <c r="J41" s="129">
        <v>0</v>
      </c>
      <c r="K41" s="139">
        <v>192728</v>
      </c>
      <c r="L41" s="139">
        <v>1668</v>
      </c>
      <c r="M41" s="139">
        <v>1042</v>
      </c>
      <c r="N41" s="130">
        <f>((Tabela13633[[#This Row],[Objetive value Cannibalism ]]-Tabela13633[[#This Row],[Objetive value Cannibalism/GATeS]])/Tabela13633[[#This Row],[Objetive value Cannibalism ]])*100</f>
        <v>6.7275164667108687</v>
      </c>
      <c r="O41" s="131">
        <v>188320</v>
      </c>
      <c r="P41" s="131">
        <v>3.14</v>
      </c>
      <c r="Q41" s="131">
        <v>0</v>
      </c>
      <c r="R41" s="141">
        <f>(((Tabela13633[[#This Row],[Objetive value Cannibalism ]]-Tabela13633[[#This Row],[Objetive value Cannibalism/H-R1]])/Tabela13633[[#This Row],[Objetive value Cannibalism ]]))*100</f>
        <v>8.8608085021947538</v>
      </c>
      <c r="S41" s="113">
        <v>192863</v>
      </c>
      <c r="T41" s="113">
        <v>3.16</v>
      </c>
      <c r="U41" s="113">
        <v>0</v>
      </c>
      <c r="V41" s="143">
        <f>(((Tabela13633[[#This Row],[Objetive value Cannibalism ]]-Tabela13633[[#This Row],[Objetive value Cannibalism/H-R2]])/Tabela13633[[#This Row],[Objetive value Cannibalism ]]))*100</f>
        <v>6.6621819783283076</v>
      </c>
    </row>
    <row r="42" spans="1:22" x14ac:dyDescent="0.25">
      <c r="A42" s="3" t="s">
        <v>319</v>
      </c>
      <c r="B42" s="39" t="s">
        <v>676</v>
      </c>
      <c r="C42" s="3">
        <v>10000</v>
      </c>
      <c r="D42" s="3">
        <v>0.05</v>
      </c>
      <c r="E42" s="3">
        <v>10</v>
      </c>
      <c r="F42" s="39" t="s">
        <v>18</v>
      </c>
      <c r="G42" s="39" t="s">
        <v>16</v>
      </c>
      <c r="H42" s="128">
        <v>114499</v>
      </c>
      <c r="I42" s="128">
        <v>394.640999999945</v>
      </c>
      <c r="J42" s="129">
        <v>0</v>
      </c>
      <c r="K42" s="139">
        <v>114093</v>
      </c>
      <c r="L42" s="139">
        <v>1657</v>
      </c>
      <c r="M42" s="139">
        <v>234</v>
      </c>
      <c r="N42" s="130">
        <f>((Tabela13633[[#This Row],[Objetive value Cannibalism ]]-Tabela13633[[#This Row],[Objetive value Cannibalism/GATeS]])/Tabela13633[[#This Row],[Objetive value Cannibalism ]])*100</f>
        <v>0.35458824967903652</v>
      </c>
      <c r="O42" s="131">
        <v>114495</v>
      </c>
      <c r="P42" s="131">
        <v>4.8099999999999996</v>
      </c>
      <c r="Q42" s="131">
        <v>0</v>
      </c>
      <c r="R42" s="141">
        <f>(((Tabela13633[[#This Row],[Objetive value Cannibalism ]]-Tabela13633[[#This Row],[Objetive value Cannibalism/H-R1]])/Tabela13633[[#This Row],[Objetive value Cannibalism ]]))*100</f>
        <v>3.4934802924043002E-3</v>
      </c>
      <c r="S42" s="113">
        <v>114495</v>
      </c>
      <c r="T42" s="113">
        <v>4.82</v>
      </c>
      <c r="U42" s="113">
        <v>0</v>
      </c>
      <c r="V42" s="143">
        <f>(((Tabela13633[[#This Row],[Objetive value Cannibalism ]]-Tabela13633[[#This Row],[Objetive value Cannibalism/H-R2]])/Tabela13633[[#This Row],[Objetive value Cannibalism ]]))*100</f>
        <v>3.4934802924043002E-3</v>
      </c>
    </row>
    <row r="43" spans="1:22" x14ac:dyDescent="0.25">
      <c r="A43" s="3" t="s">
        <v>319</v>
      </c>
      <c r="B43" s="39" t="s">
        <v>677</v>
      </c>
      <c r="C43" s="3">
        <v>10000</v>
      </c>
      <c r="D43" s="3">
        <v>0.05</v>
      </c>
      <c r="E43" s="3">
        <v>10</v>
      </c>
      <c r="F43" s="39" t="s">
        <v>21</v>
      </c>
      <c r="G43" s="39" t="s">
        <v>14</v>
      </c>
      <c r="H43" s="128">
        <v>165548</v>
      </c>
      <c r="I43" s="128">
        <v>89.547000000020404</v>
      </c>
      <c r="J43" s="129">
        <v>0</v>
      </c>
      <c r="K43" s="139">
        <v>164945</v>
      </c>
      <c r="L43" s="139">
        <v>1685</v>
      </c>
      <c r="M43" s="139">
        <v>611</v>
      </c>
      <c r="N43" s="130">
        <f>((Tabela13633[[#This Row],[Objetive value Cannibalism ]]-Tabela13633[[#This Row],[Objetive value Cannibalism/GATeS]])/Tabela13633[[#This Row],[Objetive value Cannibalism ]])*100</f>
        <v>0.36424481117259039</v>
      </c>
      <c r="O43" s="131">
        <v>156611</v>
      </c>
      <c r="P43" s="131">
        <v>2.41</v>
      </c>
      <c r="Q43" s="131">
        <v>0</v>
      </c>
      <c r="R43" s="141">
        <f>(((Tabela13633[[#This Row],[Objetive value Cannibalism ]]-Tabela13633[[#This Row],[Objetive value Cannibalism/H-R1]])/Tabela13633[[#This Row],[Objetive value Cannibalism ]]))*100</f>
        <v>5.39843429096093</v>
      </c>
      <c r="S43" s="113">
        <v>156611</v>
      </c>
      <c r="T43" s="113">
        <v>2.2999999999999998</v>
      </c>
      <c r="U43" s="113">
        <v>0</v>
      </c>
      <c r="V43" s="143">
        <f>(((Tabela13633[[#This Row],[Objetive value Cannibalism ]]-Tabela13633[[#This Row],[Objetive value Cannibalism/H-R2]])/Tabela13633[[#This Row],[Objetive value Cannibalism ]]))*100</f>
        <v>5.39843429096093</v>
      </c>
    </row>
    <row r="44" spans="1:22" x14ac:dyDescent="0.25">
      <c r="A44" s="3" t="s">
        <v>319</v>
      </c>
      <c r="B44" s="39" t="s">
        <v>678</v>
      </c>
      <c r="C44" s="3">
        <v>10000</v>
      </c>
      <c r="D44" s="3">
        <v>0.05</v>
      </c>
      <c r="E44" s="3">
        <v>10</v>
      </c>
      <c r="F44" s="39" t="s">
        <v>21</v>
      </c>
      <c r="G44" s="39" t="s">
        <v>16</v>
      </c>
      <c r="H44" s="128">
        <v>115676</v>
      </c>
      <c r="I44" s="128">
        <v>303.015999999945</v>
      </c>
      <c r="J44" s="129">
        <v>9.7100000000000009</v>
      </c>
      <c r="K44" s="139">
        <v>112883</v>
      </c>
      <c r="L44" s="139">
        <v>1704</v>
      </c>
      <c r="M44" s="139">
        <v>526</v>
      </c>
      <c r="N44" s="130">
        <f>((Tabela13633[[#This Row],[Objetive value Cannibalism ]]-Tabela13633[[#This Row],[Objetive value Cannibalism/GATeS]])/Tabela13633[[#This Row],[Objetive value Cannibalism ]])*100</f>
        <v>2.4145025761610017</v>
      </c>
      <c r="O44" s="131">
        <v>115562</v>
      </c>
      <c r="P44" s="131">
        <v>3.25</v>
      </c>
      <c r="Q44" s="131">
        <v>0</v>
      </c>
      <c r="R44" s="141">
        <f>(((Tabela13633[[#This Row],[Objetive value Cannibalism ]]-Tabela13633[[#This Row],[Objetive value Cannibalism/H-R1]])/Tabela13633[[#This Row],[Objetive value Cannibalism ]]))*100</f>
        <v>9.8551125557591907E-2</v>
      </c>
      <c r="S44" s="113">
        <v>115562</v>
      </c>
      <c r="T44" s="113">
        <v>3.32</v>
      </c>
      <c r="U44" s="113">
        <v>0</v>
      </c>
      <c r="V44" s="143">
        <f>(((Tabela13633[[#This Row],[Objetive value Cannibalism ]]-Tabela13633[[#This Row],[Objetive value Cannibalism/H-R2]])/Tabela13633[[#This Row],[Objetive value Cannibalism ]]))*100</f>
        <v>9.8551125557591907E-2</v>
      </c>
    </row>
    <row r="45" spans="1:22" x14ac:dyDescent="0.25">
      <c r="A45" s="3" t="s">
        <v>338</v>
      </c>
      <c r="B45" s="39" t="s">
        <v>691</v>
      </c>
      <c r="C45" s="3">
        <v>10000</v>
      </c>
      <c r="D45" s="3">
        <v>0.05</v>
      </c>
      <c r="E45" s="3">
        <v>15</v>
      </c>
      <c r="F45" s="39" t="s">
        <v>13</v>
      </c>
      <c r="G45" s="39" t="s">
        <v>14</v>
      </c>
      <c r="H45" s="128">
        <v>317003</v>
      </c>
      <c r="I45" s="128">
        <v>1471</v>
      </c>
      <c r="J45" s="129">
        <v>0.86</v>
      </c>
      <c r="K45" s="139">
        <v>298422</v>
      </c>
      <c r="L45" s="139">
        <v>1808</v>
      </c>
      <c r="M45" s="139">
        <v>179</v>
      </c>
      <c r="N45" s="130">
        <f>((Tabela13633[[#This Row],[Objetive value Cannibalism ]]-Tabela13633[[#This Row],[Objetive value Cannibalism/GATeS]])/Tabela13633[[#This Row],[Objetive value Cannibalism ]])*100</f>
        <v>5.8614587243653844</v>
      </c>
      <c r="O45" s="131">
        <v>295691</v>
      </c>
      <c r="P45" s="131">
        <v>3.98</v>
      </c>
      <c r="Q45" s="131">
        <v>0</v>
      </c>
      <c r="R45" s="141">
        <f>(((Tabela13633[[#This Row],[Objetive value Cannibalism ]]-Tabela13633[[#This Row],[Objetive value Cannibalism/H-R1]])/Tabela13633[[#This Row],[Objetive value Cannibalism ]]))*100</f>
        <v>6.7229647668949513</v>
      </c>
      <c r="S45" s="113">
        <v>260607</v>
      </c>
      <c r="T45" s="113">
        <v>3.83</v>
      </c>
      <c r="U45" s="113">
        <v>0</v>
      </c>
      <c r="V45" s="143">
        <f>(((Tabela13633[[#This Row],[Objetive value Cannibalism ]]-Tabela13633[[#This Row],[Objetive value Cannibalism/H-R2]])/Tabela13633[[#This Row],[Objetive value Cannibalism ]]))*100</f>
        <v>17.790367914499232</v>
      </c>
    </row>
    <row r="46" spans="1:22" x14ac:dyDescent="0.25">
      <c r="A46" s="3" t="s">
        <v>338</v>
      </c>
      <c r="B46" s="39" t="s">
        <v>692</v>
      </c>
      <c r="C46" s="3">
        <v>10000</v>
      </c>
      <c r="D46" s="3">
        <v>0.05</v>
      </c>
      <c r="E46" s="3">
        <v>15</v>
      </c>
      <c r="F46" s="39" t="s">
        <v>13</v>
      </c>
      <c r="G46" s="39" t="s">
        <v>16</v>
      </c>
      <c r="H46" s="128">
        <v>169129</v>
      </c>
      <c r="I46" s="128">
        <v>4016.6879999999601</v>
      </c>
      <c r="J46" s="129">
        <v>0.25</v>
      </c>
      <c r="K46" s="139">
        <v>164533</v>
      </c>
      <c r="L46" s="139">
        <v>1653</v>
      </c>
      <c r="M46" s="139">
        <v>938</v>
      </c>
      <c r="N46" s="130">
        <f>((Tabela13633[[#This Row],[Objetive value Cannibalism ]]-Tabela13633[[#This Row],[Objetive value Cannibalism/GATeS]])/Tabela13633[[#This Row],[Objetive value Cannibalism ]])*100</f>
        <v>2.7174523588503452</v>
      </c>
      <c r="O46" s="131">
        <v>156746</v>
      </c>
      <c r="P46" s="131">
        <v>5.08</v>
      </c>
      <c r="Q46" s="131">
        <v>0</v>
      </c>
      <c r="R46" s="141">
        <f>(((Tabela13633[[#This Row],[Objetive value Cannibalism ]]-Tabela13633[[#This Row],[Objetive value Cannibalism/H-R1]])/Tabela13633[[#This Row],[Objetive value Cannibalism ]]))*100</f>
        <v>7.3216302349094473</v>
      </c>
      <c r="S46" s="113">
        <v>158799</v>
      </c>
      <c r="T46" s="113">
        <v>4.62</v>
      </c>
      <c r="U46" s="113">
        <v>0</v>
      </c>
      <c r="V46" s="143">
        <f>(((Tabela13633[[#This Row],[Objetive value Cannibalism ]]-Tabela13633[[#This Row],[Objetive value Cannibalism/H-R2]])/Tabela13633[[#This Row],[Objetive value Cannibalism ]]))*100</f>
        <v>6.1077638961975778</v>
      </c>
    </row>
    <row r="47" spans="1:22" x14ac:dyDescent="0.25">
      <c r="A47" s="3" t="s">
        <v>338</v>
      </c>
      <c r="B47" s="39" t="s">
        <v>693</v>
      </c>
      <c r="C47" s="3">
        <v>10000</v>
      </c>
      <c r="D47" s="3">
        <v>0.05</v>
      </c>
      <c r="E47" s="3">
        <v>15</v>
      </c>
      <c r="F47" s="39" t="s">
        <v>18</v>
      </c>
      <c r="G47" s="39" t="s">
        <v>14</v>
      </c>
      <c r="H47" s="128">
        <v>284525</v>
      </c>
      <c r="I47" s="128">
        <v>341.702999999979</v>
      </c>
      <c r="J47" s="129">
        <v>20.440000000000001</v>
      </c>
      <c r="K47" s="139">
        <v>283653</v>
      </c>
      <c r="L47" s="139">
        <v>1859</v>
      </c>
      <c r="M47" s="139">
        <v>544</v>
      </c>
      <c r="N47" s="130">
        <f>((Tabela13633[[#This Row],[Objetive value Cannibalism ]]-Tabela13633[[#This Row],[Objetive value Cannibalism/GATeS]])/Tabela13633[[#This Row],[Objetive value Cannibalism ]])*100</f>
        <v>0.30647570512257272</v>
      </c>
      <c r="O47" s="131">
        <v>275394</v>
      </c>
      <c r="P47" s="131">
        <v>4.59</v>
      </c>
      <c r="Q47" s="131">
        <v>0</v>
      </c>
      <c r="R47" s="141">
        <f>(((Tabela13633[[#This Row],[Objetive value Cannibalism ]]-Tabela13633[[#This Row],[Objetive value Cannibalism/H-R1]])/Tabela13633[[#This Row],[Objetive value Cannibalism ]]))*100</f>
        <v>3.2092083296722604</v>
      </c>
      <c r="S47" s="113">
        <v>265219</v>
      </c>
      <c r="T47" s="113">
        <v>3.93</v>
      </c>
      <c r="U47" s="113">
        <v>0</v>
      </c>
      <c r="V47" s="143">
        <f>(((Tabela13633[[#This Row],[Objetive value Cannibalism ]]-Tabela13633[[#This Row],[Objetive value Cannibalism/H-R2]])/Tabela13633[[#This Row],[Objetive value Cannibalism ]]))*100</f>
        <v>6.7853439943765927</v>
      </c>
    </row>
    <row r="48" spans="1:22" x14ac:dyDescent="0.25">
      <c r="A48" s="3" t="s">
        <v>338</v>
      </c>
      <c r="B48" s="39" t="s">
        <v>694</v>
      </c>
      <c r="C48" s="3">
        <v>10000</v>
      </c>
      <c r="D48" s="3">
        <v>0.05</v>
      </c>
      <c r="E48" s="3">
        <v>15</v>
      </c>
      <c r="F48" s="39" t="s">
        <v>18</v>
      </c>
      <c r="G48" s="39" t="s">
        <v>16</v>
      </c>
      <c r="H48" s="128">
        <v>175388</v>
      </c>
      <c r="I48" s="128">
        <v>2070.2349999999801</v>
      </c>
      <c r="J48" s="129">
        <v>1.23</v>
      </c>
      <c r="K48" s="139">
        <v>173177</v>
      </c>
      <c r="L48" s="139">
        <v>1702</v>
      </c>
      <c r="M48" s="139">
        <v>945</v>
      </c>
      <c r="N48" s="130">
        <f>((Tabela13633[[#This Row],[Objetive value Cannibalism ]]-Tabela13633[[#This Row],[Objetive value Cannibalism/GATeS]])/Tabela13633[[#This Row],[Objetive value Cannibalism ]])*100</f>
        <v>1.2606335667206421</v>
      </c>
      <c r="O48" s="131">
        <v>175375</v>
      </c>
      <c r="P48" s="131">
        <v>7.54</v>
      </c>
      <c r="Q48" s="131">
        <v>0</v>
      </c>
      <c r="R48" s="141">
        <f>(((Tabela13633[[#This Row],[Objetive value Cannibalism ]]-Tabela13633[[#This Row],[Objetive value Cannibalism/H-R1]])/Tabela13633[[#This Row],[Objetive value Cannibalism ]]))*100</f>
        <v>7.4121376605012883E-3</v>
      </c>
      <c r="S48" s="113">
        <v>175375</v>
      </c>
      <c r="T48" s="113">
        <v>7.6</v>
      </c>
      <c r="U48" s="113">
        <v>0</v>
      </c>
      <c r="V48" s="143">
        <f>(((Tabela13633[[#This Row],[Objetive value Cannibalism ]]-Tabela13633[[#This Row],[Objetive value Cannibalism/H-R2]])/Tabela13633[[#This Row],[Objetive value Cannibalism ]]))*100</f>
        <v>7.4121376605012883E-3</v>
      </c>
    </row>
    <row r="49" spans="1:22" x14ac:dyDescent="0.25">
      <c r="A49" s="3" t="s">
        <v>338</v>
      </c>
      <c r="B49" s="39" t="s">
        <v>695</v>
      </c>
      <c r="C49" s="3">
        <v>10000</v>
      </c>
      <c r="D49" s="3">
        <v>0.05</v>
      </c>
      <c r="E49" s="3">
        <v>15</v>
      </c>
      <c r="F49" s="39" t="s">
        <v>21</v>
      </c>
      <c r="G49" s="39" t="s">
        <v>14</v>
      </c>
      <c r="H49" s="128">
        <v>263662</v>
      </c>
      <c r="I49" s="128">
        <v>178.15599999995899</v>
      </c>
      <c r="J49" s="129">
        <v>0</v>
      </c>
      <c r="K49" s="139">
        <v>212812</v>
      </c>
      <c r="L49" s="139">
        <v>2047</v>
      </c>
      <c r="M49" s="139">
        <v>1375</v>
      </c>
      <c r="N49" s="130">
        <f>((Tabela13633[[#This Row],[Objetive value Cannibalism ]]-Tabela13633[[#This Row],[Objetive value Cannibalism/GATeS]])/Tabela13633[[#This Row],[Objetive value Cannibalism ]])*100</f>
        <v>19.286055631831665</v>
      </c>
      <c r="O49" s="131">
        <v>187957</v>
      </c>
      <c r="P49" s="131">
        <v>14.01</v>
      </c>
      <c r="Q49" s="131">
        <v>0</v>
      </c>
      <c r="R49" s="141">
        <f>(((Tabela13633[[#This Row],[Objetive value Cannibalism ]]-Tabela13633[[#This Row],[Objetive value Cannibalism/H-R1]])/Tabela13633[[#This Row],[Objetive value Cannibalism ]]))*100</f>
        <v>28.71289757340838</v>
      </c>
      <c r="S49" s="113">
        <v>182426</v>
      </c>
      <c r="T49" s="113">
        <v>10.09</v>
      </c>
      <c r="U49" s="113">
        <v>0</v>
      </c>
      <c r="V49" s="143">
        <f>(((Tabela13633[[#This Row],[Objetive value Cannibalism ]]-Tabela13633[[#This Row],[Objetive value Cannibalism/H-R2]])/Tabela13633[[#This Row],[Objetive value Cannibalism ]]))*100</f>
        <v>30.810659101425308</v>
      </c>
    </row>
    <row r="50" spans="1:22" x14ac:dyDescent="0.25">
      <c r="A50" s="3" t="s">
        <v>338</v>
      </c>
      <c r="B50" s="39" t="s">
        <v>696</v>
      </c>
      <c r="C50" s="3">
        <v>10000</v>
      </c>
      <c r="D50" s="3">
        <v>0.05</v>
      </c>
      <c r="E50" s="3">
        <v>15</v>
      </c>
      <c r="F50" s="39" t="s">
        <v>21</v>
      </c>
      <c r="G50" s="39" t="s">
        <v>16</v>
      </c>
      <c r="H50" s="128">
        <v>161029</v>
      </c>
      <c r="I50" s="128">
        <v>3592.32799999997</v>
      </c>
      <c r="J50" s="129">
        <v>0.12</v>
      </c>
      <c r="K50" s="139">
        <v>158336</v>
      </c>
      <c r="L50" s="139">
        <v>1896</v>
      </c>
      <c r="M50" s="139">
        <v>780</v>
      </c>
      <c r="N50" s="130">
        <f>((Tabela13633[[#This Row],[Objetive value Cannibalism ]]-Tabela13633[[#This Row],[Objetive value Cannibalism/GATeS]])/Tabela13633[[#This Row],[Objetive value Cannibalism ]])*100</f>
        <v>1.6723695731824701</v>
      </c>
      <c r="O50" s="131">
        <v>159696</v>
      </c>
      <c r="P50" s="131">
        <v>8.0299999999999994</v>
      </c>
      <c r="Q50" s="131">
        <v>0</v>
      </c>
      <c r="R50" s="141">
        <f>(((Tabela13633[[#This Row],[Objetive value Cannibalism ]]-Tabela13633[[#This Row],[Objetive value Cannibalism/H-R1]])/Tabela13633[[#This Row],[Objetive value Cannibalism ]]))*100</f>
        <v>0.82780120350992681</v>
      </c>
      <c r="S50" s="113">
        <v>154939</v>
      </c>
      <c r="T50" s="113">
        <v>6.28</v>
      </c>
      <c r="U50" s="113">
        <v>0</v>
      </c>
      <c r="V50" s="143">
        <f>(((Tabela13633[[#This Row],[Objetive value Cannibalism ]]-Tabela13633[[#This Row],[Objetive value Cannibalism/H-R2]])/Tabela13633[[#This Row],[Objetive value Cannibalism ]]))*100</f>
        <v>3.781927478901316</v>
      </c>
    </row>
    <row r="51" spans="1:22" x14ac:dyDescent="0.25">
      <c r="A51" s="3" t="s">
        <v>300</v>
      </c>
      <c r="B51" s="37" t="s">
        <v>655</v>
      </c>
      <c r="C51" s="3">
        <v>10000</v>
      </c>
      <c r="D51" s="3">
        <v>0.05</v>
      </c>
      <c r="E51" s="3">
        <v>5</v>
      </c>
      <c r="F51" s="39" t="s">
        <v>13</v>
      </c>
      <c r="G51" s="39" t="s">
        <v>14</v>
      </c>
      <c r="H51" s="128">
        <v>105467</v>
      </c>
      <c r="I51" s="128">
        <v>37.359999999986002</v>
      </c>
      <c r="J51" s="129">
        <v>0</v>
      </c>
      <c r="K51" s="139">
        <v>105176</v>
      </c>
      <c r="L51" s="139">
        <v>1550</v>
      </c>
      <c r="M51" s="139">
        <v>1187</v>
      </c>
      <c r="N51" s="130">
        <f>((Tabela13633[[#This Row],[Objetive value Cannibalism ]]-Tabela13633[[#This Row],[Objetive value Cannibalism/GATeS]])/Tabela13633[[#This Row],[Objetive value Cannibalism ]])*100</f>
        <v>0.27591568926773308</v>
      </c>
      <c r="O51" s="131">
        <v>105466</v>
      </c>
      <c r="P51" s="131">
        <v>1.78</v>
      </c>
      <c r="Q51" s="131">
        <v>0</v>
      </c>
      <c r="R51" s="141">
        <f>(((Tabela13633[[#This Row],[Objetive value Cannibalism ]]-Tabela13633[[#This Row],[Objetive value Cannibalism/H-R1]])/Tabela13633[[#This Row],[Objetive value Cannibalism ]]))*100</f>
        <v>9.4816388064513073E-4</v>
      </c>
      <c r="S51" s="113">
        <v>68760</v>
      </c>
      <c r="T51" s="113">
        <v>1.22</v>
      </c>
      <c r="U51" s="113">
        <v>0</v>
      </c>
      <c r="V51" s="143">
        <f>(((Tabela13633[[#This Row],[Objetive value Cannibalism ]]-Tabela13633[[#This Row],[Objetive value Cannibalism/H-R2]])/Tabela13633[[#This Row],[Objetive value Cannibalism ]]))*100</f>
        <v>34.804251566840811</v>
      </c>
    </row>
    <row r="52" spans="1:22" x14ac:dyDescent="0.25">
      <c r="A52" s="3" t="s">
        <v>300</v>
      </c>
      <c r="B52" s="39" t="s">
        <v>656</v>
      </c>
      <c r="C52" s="3">
        <v>10000</v>
      </c>
      <c r="D52" s="3">
        <v>0.05</v>
      </c>
      <c r="E52" s="3">
        <v>5</v>
      </c>
      <c r="F52" s="39" t="s">
        <v>13</v>
      </c>
      <c r="G52" s="39" t="s">
        <v>16</v>
      </c>
      <c r="H52" s="128">
        <v>60004</v>
      </c>
      <c r="I52" s="128">
        <v>34.421999999904003</v>
      </c>
      <c r="J52" s="129">
        <v>0</v>
      </c>
      <c r="K52" s="139">
        <v>59706</v>
      </c>
      <c r="L52" s="139">
        <v>946</v>
      </c>
      <c r="M52" s="139">
        <v>826</v>
      </c>
      <c r="N52" s="130">
        <f>((Tabela13633[[#This Row],[Objetive value Cannibalism ]]-Tabela13633[[#This Row],[Objetive value Cannibalism/GATeS]])/Tabela13633[[#This Row],[Objetive value Cannibalism ]])*100</f>
        <v>0.49663355776281587</v>
      </c>
      <c r="O52" s="131">
        <v>60004</v>
      </c>
      <c r="P52" s="131">
        <v>2.02</v>
      </c>
      <c r="Q52" s="131">
        <v>0</v>
      </c>
      <c r="R52" s="141">
        <f>(((Tabela13633[[#This Row],[Objetive value Cannibalism ]]-Tabela13633[[#This Row],[Objetive value Cannibalism/H-R1]])/Tabela13633[[#This Row],[Objetive value Cannibalism ]]))*100</f>
        <v>0</v>
      </c>
      <c r="S52" s="113">
        <v>60004</v>
      </c>
      <c r="T52" s="113">
        <v>2.15</v>
      </c>
      <c r="U52" s="113">
        <v>0</v>
      </c>
      <c r="V52" s="143">
        <f>(((Tabela13633[[#This Row],[Objetive value Cannibalism ]]-Tabela13633[[#This Row],[Objetive value Cannibalism/H-R2]])/Tabela13633[[#This Row],[Objetive value Cannibalism ]]))*100</f>
        <v>0</v>
      </c>
    </row>
    <row r="53" spans="1:22" x14ac:dyDescent="0.25">
      <c r="A53" s="3" t="s">
        <v>300</v>
      </c>
      <c r="B53" s="39" t="s">
        <v>657</v>
      </c>
      <c r="C53" s="3">
        <v>10000</v>
      </c>
      <c r="D53" s="3">
        <v>0.05</v>
      </c>
      <c r="E53" s="3">
        <v>5</v>
      </c>
      <c r="F53" s="39" t="s">
        <v>18</v>
      </c>
      <c r="G53" s="39" t="s">
        <v>14</v>
      </c>
      <c r="H53" s="128">
        <v>109188</v>
      </c>
      <c r="I53" s="128">
        <v>31.280999999959</v>
      </c>
      <c r="J53" s="129">
        <v>0</v>
      </c>
      <c r="K53" s="139">
        <v>109117</v>
      </c>
      <c r="L53" s="139">
        <v>1632</v>
      </c>
      <c r="M53" s="139">
        <v>696</v>
      </c>
      <c r="N53" s="130">
        <f>((Tabela13633[[#This Row],[Objetive value Cannibalism ]]-Tabela13633[[#This Row],[Objetive value Cannibalism/GATeS]])/Tabela13633[[#This Row],[Objetive value Cannibalism ]])*100</f>
        <v>6.5025460673334062E-2</v>
      </c>
      <c r="O53" s="131">
        <v>109188</v>
      </c>
      <c r="P53" s="131">
        <v>2.17</v>
      </c>
      <c r="Q53" s="131">
        <v>0</v>
      </c>
      <c r="R53" s="141">
        <f>(((Tabela13633[[#This Row],[Objetive value Cannibalism ]]-Tabela13633[[#This Row],[Objetive value Cannibalism/H-R1]])/Tabela13633[[#This Row],[Objetive value Cannibalism ]]))*100</f>
        <v>0</v>
      </c>
      <c r="S53" s="113">
        <v>108663</v>
      </c>
      <c r="T53" s="113">
        <v>1.77</v>
      </c>
      <c r="U53" s="113">
        <v>0</v>
      </c>
      <c r="V53" s="143">
        <f>(((Tabela13633[[#This Row],[Objetive value Cannibalism ]]-Tabela13633[[#This Row],[Objetive value Cannibalism/H-R2]])/Tabela13633[[#This Row],[Objetive value Cannibalism ]]))*100</f>
        <v>0.48082206835916036</v>
      </c>
    </row>
    <row r="54" spans="1:22" x14ac:dyDescent="0.25">
      <c r="A54" s="3" t="s">
        <v>300</v>
      </c>
      <c r="B54" s="39" t="s">
        <v>658</v>
      </c>
      <c r="C54" s="3">
        <v>10000</v>
      </c>
      <c r="D54" s="3">
        <v>0.05</v>
      </c>
      <c r="E54" s="3">
        <v>5</v>
      </c>
      <c r="F54" s="39" t="s">
        <v>18</v>
      </c>
      <c r="G54" s="39" t="s">
        <v>16</v>
      </c>
      <c r="H54" s="128">
        <v>74176</v>
      </c>
      <c r="I54" s="128">
        <v>23.186999999918001</v>
      </c>
      <c r="J54" s="129">
        <v>0</v>
      </c>
      <c r="K54" s="139">
        <v>74164</v>
      </c>
      <c r="L54" s="139">
        <v>1532</v>
      </c>
      <c r="M54" s="139">
        <v>377</v>
      </c>
      <c r="N54" s="130">
        <f>((Tabela13633[[#This Row],[Objetive value Cannibalism ]]-Tabela13633[[#This Row],[Objetive value Cannibalism/GATeS]])/Tabela13633[[#This Row],[Objetive value Cannibalism ]])*100</f>
        <v>1.617773943054357E-2</v>
      </c>
      <c r="O54" s="131">
        <v>74176</v>
      </c>
      <c r="P54" s="131">
        <v>2.34</v>
      </c>
      <c r="Q54" s="131">
        <v>0</v>
      </c>
      <c r="R54" s="141">
        <f>(((Tabela13633[[#This Row],[Objetive value Cannibalism ]]-Tabela13633[[#This Row],[Objetive value Cannibalism/H-R1]])/Tabela13633[[#This Row],[Objetive value Cannibalism ]]))*100</f>
        <v>0</v>
      </c>
      <c r="S54" s="113">
        <v>74176</v>
      </c>
      <c r="T54" s="113">
        <v>2.2200000000000002</v>
      </c>
      <c r="U54" s="113">
        <v>0</v>
      </c>
      <c r="V54" s="143">
        <f>(((Tabela13633[[#This Row],[Objetive value Cannibalism ]]-Tabela13633[[#This Row],[Objetive value Cannibalism/H-R2]])/Tabela13633[[#This Row],[Objetive value Cannibalism ]]))*100</f>
        <v>0</v>
      </c>
    </row>
    <row r="55" spans="1:22" x14ac:dyDescent="0.25">
      <c r="A55" s="3" t="s">
        <v>300</v>
      </c>
      <c r="B55" s="39" t="s">
        <v>659</v>
      </c>
      <c r="C55" s="3">
        <v>10000</v>
      </c>
      <c r="D55" s="3">
        <v>0.05</v>
      </c>
      <c r="E55" s="3">
        <v>5</v>
      </c>
      <c r="F55" s="39" t="s">
        <v>21</v>
      </c>
      <c r="G55" s="39" t="s">
        <v>14</v>
      </c>
      <c r="H55" s="128">
        <v>70353</v>
      </c>
      <c r="I55" s="128">
        <v>35.797000000020397</v>
      </c>
      <c r="J55" s="129">
        <v>0</v>
      </c>
      <c r="K55" s="139">
        <v>61049</v>
      </c>
      <c r="L55" s="139">
        <v>537</v>
      </c>
      <c r="M55" s="139">
        <v>23</v>
      </c>
      <c r="N55" s="130">
        <f>((Tabela13633[[#This Row],[Objetive value Cannibalism ]]-Tabela13633[[#This Row],[Objetive value Cannibalism/GATeS]])/Tabela13633[[#This Row],[Objetive value Cannibalism ]])*100</f>
        <v>13.224738106406267</v>
      </c>
      <c r="O55" s="131">
        <v>28345</v>
      </c>
      <c r="P55" s="131">
        <v>3.66</v>
      </c>
      <c r="Q55" s="131">
        <v>0</v>
      </c>
      <c r="R55" s="141">
        <f>(((Tabela13633[[#This Row],[Objetive value Cannibalism ]]-Tabela13633[[#This Row],[Objetive value Cannibalism/H-R1]])/Tabela13633[[#This Row],[Objetive value Cannibalism ]]))*100</f>
        <v>59.710317967961565</v>
      </c>
      <c r="S55" s="113">
        <v>70353</v>
      </c>
      <c r="T55" s="113">
        <v>1.89</v>
      </c>
      <c r="U55" s="113">
        <v>0</v>
      </c>
      <c r="V55" s="143">
        <f>(((Tabela13633[[#This Row],[Objetive value Cannibalism ]]-Tabela13633[[#This Row],[Objetive value Cannibalism/H-R2]])/Tabela13633[[#This Row],[Objetive value Cannibalism ]]))*100</f>
        <v>0</v>
      </c>
    </row>
    <row r="56" spans="1:22" x14ac:dyDescent="0.25">
      <c r="A56" s="3" t="s">
        <v>300</v>
      </c>
      <c r="B56" s="39" t="s">
        <v>660</v>
      </c>
      <c r="C56" s="3">
        <v>10000</v>
      </c>
      <c r="D56" s="3">
        <v>0.05</v>
      </c>
      <c r="E56" s="3">
        <v>5</v>
      </c>
      <c r="F56" s="39" t="s">
        <v>21</v>
      </c>
      <c r="G56" s="39" t="s">
        <v>16</v>
      </c>
      <c r="H56" s="128">
        <v>51544</v>
      </c>
      <c r="I56" s="128">
        <v>39.297000000020397</v>
      </c>
      <c r="J56" s="129">
        <v>53.93</v>
      </c>
      <c r="K56" s="139">
        <v>51140</v>
      </c>
      <c r="L56" s="139">
        <v>908</v>
      </c>
      <c r="M56" s="139">
        <v>10</v>
      </c>
      <c r="N56" s="130">
        <f>((Tabela13633[[#This Row],[Objetive value Cannibalism ]]-Tabela13633[[#This Row],[Objetive value Cannibalism/GATeS]])/Tabela13633[[#This Row],[Objetive value Cannibalism ]])*100</f>
        <v>0.78379636815148224</v>
      </c>
      <c r="O56" s="131">
        <v>50677</v>
      </c>
      <c r="P56" s="131">
        <v>2.4700000000000002</v>
      </c>
      <c r="Q56" s="131">
        <v>0</v>
      </c>
      <c r="R56" s="141">
        <f>(((Tabela13633[[#This Row],[Objetive value Cannibalism ]]-Tabela13633[[#This Row],[Objetive value Cannibalism/H-R1]])/Tabela13633[[#This Row],[Objetive value Cannibalism ]]))*100</f>
        <v>1.6820580474934039</v>
      </c>
      <c r="S56" s="113">
        <v>50677</v>
      </c>
      <c r="T56" s="113">
        <v>2.23</v>
      </c>
      <c r="U56" s="113">
        <v>0</v>
      </c>
      <c r="V56" s="143">
        <f>(((Tabela13633[[#This Row],[Objetive value Cannibalism ]]-Tabela13633[[#This Row],[Objetive value Cannibalism/H-R2]])/Tabela13633[[#This Row],[Objetive value Cannibalism ]]))*100</f>
        <v>1.6820580474934039</v>
      </c>
    </row>
    <row r="57" spans="1:22" x14ac:dyDescent="0.25">
      <c r="A57" s="3" t="s">
        <v>205</v>
      </c>
      <c r="B57" s="37" t="s">
        <v>571</v>
      </c>
      <c r="C57" s="3">
        <v>1000</v>
      </c>
      <c r="D57" s="114">
        <v>0.1</v>
      </c>
      <c r="E57" s="3">
        <v>10</v>
      </c>
      <c r="F57" s="39" t="s">
        <v>13</v>
      </c>
      <c r="G57" s="39" t="s">
        <v>14</v>
      </c>
      <c r="H57" s="128">
        <v>20387</v>
      </c>
      <c r="I57" s="128">
        <v>3.2349999999860302</v>
      </c>
      <c r="J57" s="129">
        <v>0</v>
      </c>
      <c r="K57" s="139">
        <v>19743</v>
      </c>
      <c r="L57" s="139">
        <v>76</v>
      </c>
      <c r="M57" s="139">
        <v>49</v>
      </c>
      <c r="N57" s="130">
        <f>((Tabela13633[[#This Row],[Objetive value Cannibalism ]]-Tabela13633[[#This Row],[Objetive value Cannibalism/GATeS]])/Tabela13633[[#This Row],[Objetive value Cannibalism ]])*100</f>
        <v>3.1588757541570609</v>
      </c>
      <c r="O57" s="131">
        <v>19789</v>
      </c>
      <c r="P57" s="131">
        <v>0.7</v>
      </c>
      <c r="Q57" s="131">
        <v>0</v>
      </c>
      <c r="R57" s="141">
        <f>(((Tabela13633[[#This Row],[Objetive value Cannibalism ]]-Tabela13633[[#This Row],[Objetive value Cannibalism/H-R1]])/Tabela13633[[#This Row],[Objetive value Cannibalism ]]))*100</f>
        <v>2.9332417717172712</v>
      </c>
      <c r="S57" s="113">
        <v>19013</v>
      </c>
      <c r="T57" s="113">
        <v>0.66</v>
      </c>
      <c r="U57" s="113">
        <v>0</v>
      </c>
      <c r="V57" s="143">
        <f>(((Tabela13633[[#This Row],[Objetive value Cannibalism ]]-Tabela13633[[#This Row],[Objetive value Cannibalism/H-R2]])/Tabela13633[[#This Row],[Objetive value Cannibalism ]]))*100</f>
        <v>6.7395889537450335</v>
      </c>
    </row>
    <row r="58" spans="1:22" x14ac:dyDescent="0.25">
      <c r="A58" s="3" t="s">
        <v>205</v>
      </c>
      <c r="B58" s="39" t="s">
        <v>572</v>
      </c>
      <c r="C58" s="3">
        <v>1000</v>
      </c>
      <c r="D58" s="114">
        <v>0.1</v>
      </c>
      <c r="E58" s="3">
        <v>10</v>
      </c>
      <c r="F58" s="39" t="s">
        <v>13</v>
      </c>
      <c r="G58" s="39" t="s">
        <v>16</v>
      </c>
      <c r="H58" s="128">
        <v>12449</v>
      </c>
      <c r="I58" s="128">
        <v>5.4380000000819502</v>
      </c>
      <c r="J58" s="129">
        <v>8.49</v>
      </c>
      <c r="K58" s="139">
        <v>12431</v>
      </c>
      <c r="L58" s="139">
        <v>74</v>
      </c>
      <c r="M58" s="139">
        <v>33</v>
      </c>
      <c r="N58" s="130">
        <f>((Tabela13633[[#This Row],[Objetive value Cannibalism ]]-Tabela13633[[#This Row],[Objetive value Cannibalism/GATeS]])/Tabela13633[[#This Row],[Objetive value Cannibalism ]])*100</f>
        <v>0.14458992690175917</v>
      </c>
      <c r="O58" s="131">
        <v>11561</v>
      </c>
      <c r="P58" s="131">
        <v>0.97</v>
      </c>
      <c r="Q58" s="131">
        <v>0</v>
      </c>
      <c r="R58" s="141">
        <f>(((Tabela13633[[#This Row],[Objetive value Cannibalism ]]-Tabela13633[[#This Row],[Objetive value Cannibalism/H-R1]])/Tabela13633[[#This Row],[Objetive value Cannibalism ]]))*100</f>
        <v>7.1331030604867864</v>
      </c>
      <c r="S58" s="113">
        <v>11904</v>
      </c>
      <c r="T58" s="113">
        <v>1.29</v>
      </c>
      <c r="U58" s="113">
        <v>0</v>
      </c>
      <c r="V58" s="143">
        <f>(((Tabela13633[[#This Row],[Objetive value Cannibalism ]]-Tabela13633[[#This Row],[Objetive value Cannibalism/H-R2]])/Tabela13633[[#This Row],[Objetive value Cannibalism ]]))*100</f>
        <v>4.3778616756365976</v>
      </c>
    </row>
    <row r="59" spans="1:22" x14ac:dyDescent="0.25">
      <c r="A59" s="3" t="s">
        <v>205</v>
      </c>
      <c r="B59" s="39" t="s">
        <v>573</v>
      </c>
      <c r="C59" s="3">
        <v>1000</v>
      </c>
      <c r="D59" s="114">
        <v>0.1</v>
      </c>
      <c r="E59" s="3">
        <v>10</v>
      </c>
      <c r="F59" s="3" t="s">
        <v>18</v>
      </c>
      <c r="G59" s="39" t="s">
        <v>14</v>
      </c>
      <c r="H59" s="128">
        <v>17649</v>
      </c>
      <c r="I59" s="128">
        <v>2.6410000000614602</v>
      </c>
      <c r="J59" s="129">
        <v>0</v>
      </c>
      <c r="K59" s="139">
        <v>17523</v>
      </c>
      <c r="L59" s="139">
        <v>48</v>
      </c>
      <c r="M59" s="139">
        <v>23</v>
      </c>
      <c r="N59" s="130">
        <f>((Tabela13633[[#This Row],[Objetive value Cannibalism ]]-Tabela13633[[#This Row],[Objetive value Cannibalism/GATeS]])/Tabela13633[[#This Row],[Objetive value Cannibalism ]])*100</f>
        <v>0.71392146863844974</v>
      </c>
      <c r="O59" s="131">
        <v>17553</v>
      </c>
      <c r="P59" s="131">
        <v>0.75</v>
      </c>
      <c r="Q59" s="131">
        <v>0</v>
      </c>
      <c r="R59" s="141">
        <f>(((Tabela13633[[#This Row],[Objetive value Cannibalism ]]-Tabela13633[[#This Row],[Objetive value Cannibalism/H-R1]])/Tabela13633[[#This Row],[Objetive value Cannibalism ]]))*100</f>
        <v>0.54394016658167599</v>
      </c>
      <c r="S59" s="113">
        <v>17007</v>
      </c>
      <c r="T59" s="113">
        <v>0.79</v>
      </c>
      <c r="U59" s="113">
        <v>0</v>
      </c>
      <c r="V59" s="143">
        <f>(((Tabela13633[[#This Row],[Objetive value Cannibalism ]]-Tabela13633[[#This Row],[Objetive value Cannibalism/H-R2]])/Tabela13633[[#This Row],[Objetive value Cannibalism ]]))*100</f>
        <v>3.6375998640149585</v>
      </c>
    </row>
    <row r="60" spans="1:22" x14ac:dyDescent="0.25">
      <c r="A60" s="3" t="s">
        <v>205</v>
      </c>
      <c r="B60" s="39" t="s">
        <v>574</v>
      </c>
      <c r="C60" s="3">
        <v>1000</v>
      </c>
      <c r="D60" s="114">
        <v>0.1</v>
      </c>
      <c r="E60" s="3">
        <v>10</v>
      </c>
      <c r="F60" s="3" t="s">
        <v>18</v>
      </c>
      <c r="G60" s="39" t="s">
        <v>16</v>
      </c>
      <c r="H60" s="128">
        <v>13214</v>
      </c>
      <c r="I60" s="128">
        <v>3.32799999997951</v>
      </c>
      <c r="J60" s="129">
        <v>0</v>
      </c>
      <c r="K60" s="139">
        <v>13209</v>
      </c>
      <c r="L60" s="139">
        <v>99</v>
      </c>
      <c r="M60" s="139">
        <v>46</v>
      </c>
      <c r="N60" s="130">
        <f>((Tabela13633[[#This Row],[Objetive value Cannibalism ]]-Tabela13633[[#This Row],[Objetive value Cannibalism/GATeS]])/Tabela13633[[#This Row],[Objetive value Cannibalism ]])*100</f>
        <v>3.7838655970939911E-2</v>
      </c>
      <c r="O60" s="131">
        <v>13214</v>
      </c>
      <c r="P60" s="131">
        <v>0.77</v>
      </c>
      <c r="Q60" s="131">
        <v>0</v>
      </c>
      <c r="R60" s="141">
        <f>(((Tabela13633[[#This Row],[Objetive value Cannibalism ]]-Tabela13633[[#This Row],[Objetive value Cannibalism/H-R1]])/Tabela13633[[#This Row],[Objetive value Cannibalism ]]))*100</f>
        <v>0</v>
      </c>
      <c r="S60" s="113">
        <v>13101</v>
      </c>
      <c r="T60" s="113">
        <v>0.79</v>
      </c>
      <c r="U60" s="113">
        <v>0</v>
      </c>
      <c r="V60" s="143">
        <f>(((Tabela13633[[#This Row],[Objetive value Cannibalism ]]-Tabela13633[[#This Row],[Objetive value Cannibalism/H-R2]])/Tabela13633[[#This Row],[Objetive value Cannibalism ]]))*100</f>
        <v>0.85515362494324199</v>
      </c>
    </row>
    <row r="61" spans="1:22" x14ac:dyDescent="0.25">
      <c r="A61" s="3" t="s">
        <v>205</v>
      </c>
      <c r="B61" s="39" t="s">
        <v>575</v>
      </c>
      <c r="C61" s="3">
        <v>1000</v>
      </c>
      <c r="D61" s="114">
        <v>0.1</v>
      </c>
      <c r="E61" s="3">
        <v>10</v>
      </c>
      <c r="F61" s="39" t="s">
        <v>21</v>
      </c>
      <c r="G61" s="39" t="s">
        <v>14</v>
      </c>
      <c r="H61" s="128">
        <v>20149</v>
      </c>
      <c r="I61" s="128">
        <v>1.65599999995902</v>
      </c>
      <c r="J61" s="129">
        <v>0</v>
      </c>
      <c r="K61" s="139">
        <v>19958</v>
      </c>
      <c r="L61" s="139">
        <v>40</v>
      </c>
      <c r="M61" s="139">
        <v>23</v>
      </c>
      <c r="N61" s="130">
        <f>((Tabela13633[[#This Row],[Objetive value Cannibalism ]]-Tabela13633[[#This Row],[Objetive value Cannibalism/GATeS]])/Tabela13633[[#This Row],[Objetive value Cannibalism ]])*100</f>
        <v>0.94793786292123683</v>
      </c>
      <c r="O61" s="131">
        <v>19866</v>
      </c>
      <c r="P61" s="131">
        <v>1.01</v>
      </c>
      <c r="Q61" s="131">
        <v>0</v>
      </c>
      <c r="R61" s="141">
        <f>(((Tabela13633[[#This Row],[Objetive value Cannibalism ]]-Tabela13633[[#This Row],[Objetive value Cannibalism/H-R1]])/Tabela13633[[#This Row],[Objetive value Cannibalism ]]))*100</f>
        <v>1.4045362052707331</v>
      </c>
      <c r="S61" s="113">
        <v>20147</v>
      </c>
      <c r="T61" s="113">
        <v>1.35</v>
      </c>
      <c r="U61" s="113">
        <v>0</v>
      </c>
      <c r="V61" s="143">
        <f>(((Tabela13633[[#This Row],[Objetive value Cannibalism ]]-Tabela13633[[#This Row],[Objetive value Cannibalism/H-R2]])/Tabela13633[[#This Row],[Objetive value Cannibalism ]]))*100</f>
        <v>9.9260509206412235E-3</v>
      </c>
    </row>
    <row r="62" spans="1:22" x14ac:dyDescent="0.25">
      <c r="A62" s="3" t="s">
        <v>205</v>
      </c>
      <c r="B62" s="39" t="s">
        <v>576</v>
      </c>
      <c r="C62" s="3">
        <v>1000</v>
      </c>
      <c r="D62" s="114">
        <v>0.1</v>
      </c>
      <c r="E62" s="3">
        <v>10</v>
      </c>
      <c r="F62" s="39" t="s">
        <v>21</v>
      </c>
      <c r="G62" s="39" t="s">
        <v>16</v>
      </c>
      <c r="H62" s="128">
        <v>11839</v>
      </c>
      <c r="I62" s="128">
        <v>7.60899999993853</v>
      </c>
      <c r="J62" s="129">
        <v>0</v>
      </c>
      <c r="K62" s="139">
        <v>11809</v>
      </c>
      <c r="L62" s="139">
        <v>68</v>
      </c>
      <c r="M62" s="139">
        <v>47</v>
      </c>
      <c r="N62" s="130">
        <f>((Tabela13633[[#This Row],[Objetive value Cannibalism ]]-Tabela13633[[#This Row],[Objetive value Cannibalism/GATeS]])/Tabela13633[[#This Row],[Objetive value Cannibalism ]])*100</f>
        <v>0.25339978038685701</v>
      </c>
      <c r="O62" s="131">
        <v>11355</v>
      </c>
      <c r="P62" s="131">
        <v>1.44</v>
      </c>
      <c r="Q62" s="131">
        <v>0</v>
      </c>
      <c r="R62" s="141">
        <f>(((Tabela13633[[#This Row],[Objetive value Cannibalism ]]-Tabela13633[[#This Row],[Objetive value Cannibalism/H-R1]])/Tabela13633[[#This Row],[Objetive value Cannibalism ]]))*100</f>
        <v>4.088183123574626</v>
      </c>
      <c r="S62" s="113">
        <v>11586</v>
      </c>
      <c r="T62" s="113">
        <v>1.26</v>
      </c>
      <c r="U62" s="113">
        <v>0</v>
      </c>
      <c r="V62" s="143">
        <f>(((Tabela13633[[#This Row],[Objetive value Cannibalism ]]-Tabela13633[[#This Row],[Objetive value Cannibalism/H-R2]])/Tabela13633[[#This Row],[Objetive value Cannibalism ]]))*100</f>
        <v>2.1370048145958274</v>
      </c>
    </row>
    <row r="63" spans="1:22" x14ac:dyDescent="0.25">
      <c r="A63" s="3" t="s">
        <v>224</v>
      </c>
      <c r="B63" s="37" t="s">
        <v>589</v>
      </c>
      <c r="C63" s="3">
        <v>1000</v>
      </c>
      <c r="D63" s="114">
        <v>0.1</v>
      </c>
      <c r="E63" s="3">
        <v>15</v>
      </c>
      <c r="F63" s="39" t="s">
        <v>13</v>
      </c>
      <c r="G63" s="39" t="s">
        <v>14</v>
      </c>
      <c r="H63" s="128">
        <v>31589</v>
      </c>
      <c r="I63" s="128">
        <v>10.1720000000204</v>
      </c>
      <c r="J63" s="129">
        <v>5.45</v>
      </c>
      <c r="K63" s="139">
        <v>29899</v>
      </c>
      <c r="L63" s="139">
        <v>124</v>
      </c>
      <c r="M63" s="139">
        <v>58</v>
      </c>
      <c r="N63" s="130">
        <f>((Tabela13633[[#This Row],[Objetive value Cannibalism ]]-Tabela13633[[#This Row],[Objetive value Cannibalism/GATeS]])/Tabela13633[[#This Row],[Objetive value Cannibalism ]])*100</f>
        <v>5.3499635949222828</v>
      </c>
      <c r="O63" s="131">
        <v>27863</v>
      </c>
      <c r="P63" s="131">
        <v>0.75</v>
      </c>
      <c r="Q63" s="131">
        <v>0</v>
      </c>
      <c r="R63" s="141">
        <f>(((Tabela13633[[#This Row],[Objetive value Cannibalism ]]-Tabela13633[[#This Row],[Objetive value Cannibalism/H-R1]])/Tabela13633[[#This Row],[Objetive value Cannibalism ]]))*100</f>
        <v>11.795245180284276</v>
      </c>
      <c r="S63" s="113">
        <v>27109</v>
      </c>
      <c r="T63" s="113">
        <v>0.68</v>
      </c>
      <c r="U63" s="113">
        <v>0</v>
      </c>
      <c r="V63" s="143">
        <f>(((Tabela13633[[#This Row],[Objetive value Cannibalism ]]-Tabela13633[[#This Row],[Objetive value Cannibalism/H-R2]])/Tabela13633[[#This Row],[Objetive value Cannibalism ]]))*100</f>
        <v>14.182152014941909</v>
      </c>
    </row>
    <row r="64" spans="1:22" x14ac:dyDescent="0.25">
      <c r="A64" s="3" t="s">
        <v>224</v>
      </c>
      <c r="B64" s="39" t="s">
        <v>590</v>
      </c>
      <c r="C64" s="3">
        <v>1000</v>
      </c>
      <c r="D64" s="114">
        <v>0.1</v>
      </c>
      <c r="E64" s="3">
        <v>15</v>
      </c>
      <c r="F64" s="39" t="s">
        <v>13</v>
      </c>
      <c r="G64" s="39" t="s">
        <v>16</v>
      </c>
      <c r="H64" s="128">
        <v>17379</v>
      </c>
      <c r="I64" s="128">
        <v>85.875</v>
      </c>
      <c r="J64" s="129">
        <v>0.06</v>
      </c>
      <c r="K64" s="139">
        <v>17183</v>
      </c>
      <c r="L64" s="139">
        <v>205</v>
      </c>
      <c r="M64" s="139">
        <v>75</v>
      </c>
      <c r="N64" s="130">
        <f>((Tabela13633[[#This Row],[Objetive value Cannibalism ]]-Tabela13633[[#This Row],[Objetive value Cannibalism/GATeS]])/Tabela13633[[#This Row],[Objetive value Cannibalism ]])*100</f>
        <v>1.1277979170262959</v>
      </c>
      <c r="O64" s="131">
        <v>16854</v>
      </c>
      <c r="P64" s="131">
        <v>1.18</v>
      </c>
      <c r="Q64" s="131">
        <v>0</v>
      </c>
      <c r="R64" s="141">
        <f>(((Tabela13633[[#This Row],[Objetive value Cannibalism ]]-Tabela13633[[#This Row],[Objetive value Cannibalism/H-R1]])/Tabela13633[[#This Row],[Objetive value Cannibalism ]]))*100</f>
        <v>3.0208872777490074</v>
      </c>
      <c r="S64" s="113">
        <v>15828</v>
      </c>
      <c r="T64" s="113">
        <v>0.92</v>
      </c>
      <c r="U64" s="113">
        <v>0</v>
      </c>
      <c r="V64" s="143">
        <f>(((Tabela13633[[#This Row],[Objetive value Cannibalism ]]-Tabela13633[[#This Row],[Objetive value Cannibalism/H-R2]])/Tabela13633[[#This Row],[Objetive value Cannibalism ]]))*100</f>
        <v>8.9245641291213538</v>
      </c>
    </row>
    <row r="65" spans="1:22" x14ac:dyDescent="0.25">
      <c r="A65" s="3" t="s">
        <v>224</v>
      </c>
      <c r="B65" s="39" t="s">
        <v>591</v>
      </c>
      <c r="C65" s="3">
        <v>1000</v>
      </c>
      <c r="D65" s="114">
        <v>0.1</v>
      </c>
      <c r="E65" s="3">
        <v>15</v>
      </c>
      <c r="F65" s="3" t="s">
        <v>18</v>
      </c>
      <c r="G65" s="39" t="s">
        <v>14</v>
      </c>
      <c r="H65" s="128">
        <v>30056</v>
      </c>
      <c r="I65" s="128">
        <v>12.140999999945</v>
      </c>
      <c r="J65" s="129">
        <v>17.78</v>
      </c>
      <c r="K65" s="139">
        <v>28698</v>
      </c>
      <c r="L65" s="139">
        <v>92</v>
      </c>
      <c r="M65" s="139">
        <v>0</v>
      </c>
      <c r="N65" s="130">
        <f>((Tabela13633[[#This Row],[Objetive value Cannibalism ]]-Tabela13633[[#This Row],[Objetive value Cannibalism/GATeS]])/Tabela13633[[#This Row],[Objetive value Cannibalism ]])*100</f>
        <v>4.5182326324194841</v>
      </c>
      <c r="O65" s="131">
        <v>28756</v>
      </c>
      <c r="P65" s="131">
        <v>0.86</v>
      </c>
      <c r="Q65" s="131">
        <v>0</v>
      </c>
      <c r="R65" s="141">
        <f>(((Tabela13633[[#This Row],[Objetive value Cannibalism ]]-Tabela13633[[#This Row],[Objetive value Cannibalism/H-R1]])/Tabela13633[[#This Row],[Objetive value Cannibalism ]]))*100</f>
        <v>4.3252595155709344</v>
      </c>
      <c r="S65" s="113">
        <v>28097</v>
      </c>
      <c r="T65" s="113">
        <v>0.71</v>
      </c>
      <c r="U65" s="113">
        <v>0</v>
      </c>
      <c r="V65" s="143">
        <f>(((Tabela13633[[#This Row],[Objetive value Cannibalism ]]-Tabela13633[[#This Row],[Objetive value Cannibalism/H-R2]])/Tabela13633[[#This Row],[Objetive value Cannibalism ]]))*100</f>
        <v>6.5178333776949691</v>
      </c>
    </row>
    <row r="66" spans="1:22" x14ac:dyDescent="0.25">
      <c r="A66" s="3" t="s">
        <v>224</v>
      </c>
      <c r="B66" s="39" t="s">
        <v>592</v>
      </c>
      <c r="C66" s="3">
        <v>1000</v>
      </c>
      <c r="D66" s="114">
        <v>0.1</v>
      </c>
      <c r="E66" s="3">
        <v>15</v>
      </c>
      <c r="F66" s="3" t="s">
        <v>18</v>
      </c>
      <c r="G66" s="39" t="s">
        <v>16</v>
      </c>
      <c r="H66" s="128">
        <v>17441</v>
      </c>
      <c r="I66" s="128">
        <v>79.812000000034402</v>
      </c>
      <c r="J66" s="129">
        <v>0.54</v>
      </c>
      <c r="K66" s="139">
        <v>17370</v>
      </c>
      <c r="L66" s="139">
        <v>212</v>
      </c>
      <c r="M66" s="139">
        <v>205</v>
      </c>
      <c r="N66" s="130">
        <f>((Tabela13633[[#This Row],[Objetive value Cannibalism ]]-Tabela13633[[#This Row],[Objetive value Cannibalism/GATeS]])/Tabela13633[[#This Row],[Objetive value Cannibalism ]])*100</f>
        <v>0.40708674961298086</v>
      </c>
      <c r="O66" s="131">
        <v>17440</v>
      </c>
      <c r="P66" s="131">
        <v>0.75</v>
      </c>
      <c r="Q66" s="131">
        <v>0</v>
      </c>
      <c r="R66" s="141">
        <f>(((Tabela13633[[#This Row],[Objetive value Cannibalism ]]-Tabela13633[[#This Row],[Objetive value Cannibalism/H-R1]])/Tabela13633[[#This Row],[Objetive value Cannibalism ]]))*100</f>
        <v>5.7336161917321254E-3</v>
      </c>
      <c r="S66" s="113">
        <v>16873</v>
      </c>
      <c r="T66" s="113">
        <v>0.83</v>
      </c>
      <c r="U66" s="113">
        <v>0</v>
      </c>
      <c r="V66" s="143">
        <f>(((Tabela13633[[#This Row],[Objetive value Cannibalism ]]-Tabela13633[[#This Row],[Objetive value Cannibalism/H-R2]])/Tabela13633[[#This Row],[Objetive value Cannibalism ]]))*100</f>
        <v>3.2566939969038469</v>
      </c>
    </row>
    <row r="67" spans="1:22" x14ac:dyDescent="0.25">
      <c r="A67" s="3" t="s">
        <v>224</v>
      </c>
      <c r="B67" s="39" t="s">
        <v>593</v>
      </c>
      <c r="C67" s="3">
        <v>1000</v>
      </c>
      <c r="D67" s="114">
        <v>0.1</v>
      </c>
      <c r="E67" s="3">
        <v>15</v>
      </c>
      <c r="F67" s="39" t="s">
        <v>21</v>
      </c>
      <c r="G67" s="39" t="s">
        <v>14</v>
      </c>
      <c r="H67" s="128">
        <v>19028</v>
      </c>
      <c r="I67" s="128">
        <v>2.5940000000409702</v>
      </c>
      <c r="J67" s="129">
        <v>162.33000000000001</v>
      </c>
      <c r="K67" s="139">
        <v>19002</v>
      </c>
      <c r="L67" s="139">
        <v>46</v>
      </c>
      <c r="M67" s="139">
        <v>13</v>
      </c>
      <c r="N67" s="130">
        <f>((Tabela13633[[#This Row],[Objetive value Cannibalism ]]-Tabela13633[[#This Row],[Objetive value Cannibalism/GATeS]])/Tabela13633[[#This Row],[Objetive value Cannibalism ]])*100</f>
        <v>0.13664073996216103</v>
      </c>
      <c r="O67" s="131">
        <v>12913</v>
      </c>
      <c r="P67" s="131">
        <v>2.73</v>
      </c>
      <c r="Q67" s="131">
        <v>0</v>
      </c>
      <c r="R67" s="141">
        <f>(((Tabela13633[[#This Row],[Objetive value Cannibalism ]]-Tabela13633[[#This Row],[Objetive value Cannibalism/H-R1]])/Tabela13633[[#This Row],[Objetive value Cannibalism ]]))*100</f>
        <v>32.136850956485183</v>
      </c>
      <c r="S67" s="113">
        <v>16417</v>
      </c>
      <c r="T67" s="113">
        <v>1.97</v>
      </c>
      <c r="U67" s="113">
        <v>0</v>
      </c>
      <c r="V67" s="143">
        <f>(((Tabela13633[[#This Row],[Objetive value Cannibalism ]]-Tabela13633[[#This Row],[Objetive value Cannibalism/H-R2]])/Tabela13633[[#This Row],[Objetive value Cannibalism ]]))*100</f>
        <v>13.721883540046248</v>
      </c>
    </row>
    <row r="68" spans="1:22" x14ac:dyDescent="0.25">
      <c r="A68" s="3" t="s">
        <v>224</v>
      </c>
      <c r="B68" s="39" t="s">
        <v>594</v>
      </c>
      <c r="C68" s="3">
        <v>1000</v>
      </c>
      <c r="D68" s="114">
        <v>0.1</v>
      </c>
      <c r="E68" s="3">
        <v>15</v>
      </c>
      <c r="F68" s="39" t="s">
        <v>21</v>
      </c>
      <c r="G68" s="39" t="s">
        <v>16</v>
      </c>
      <c r="H68" s="128">
        <v>16394</v>
      </c>
      <c r="I68" s="128">
        <v>84.125</v>
      </c>
      <c r="J68" s="129">
        <v>1.77</v>
      </c>
      <c r="K68" s="139">
        <v>15971</v>
      </c>
      <c r="L68" s="139">
        <v>66</v>
      </c>
      <c r="M68" s="139">
        <v>11</v>
      </c>
      <c r="N68" s="130">
        <f>((Tabela13633[[#This Row],[Objetive value Cannibalism ]]-Tabela13633[[#This Row],[Objetive value Cannibalism/GATeS]])/Tabela13633[[#This Row],[Objetive value Cannibalism ]])*100</f>
        <v>2.5802122727827252</v>
      </c>
      <c r="O68" s="131">
        <v>15632</v>
      </c>
      <c r="P68" s="131">
        <v>0.67</v>
      </c>
      <c r="Q68" s="131">
        <v>0</v>
      </c>
      <c r="R68" s="141">
        <f>(((Tabela13633[[#This Row],[Objetive value Cannibalism ]]-Tabela13633[[#This Row],[Objetive value Cannibalism/H-R1]])/Tabela13633[[#This Row],[Objetive value Cannibalism ]]))*100</f>
        <v>4.6480419665731372</v>
      </c>
      <c r="S68" s="113">
        <v>15456</v>
      </c>
      <c r="T68" s="113">
        <v>0.76</v>
      </c>
      <c r="U68" s="113">
        <v>0</v>
      </c>
      <c r="V68" s="143">
        <f>(((Tabela13633[[#This Row],[Objetive value Cannibalism ]]-Tabela13633[[#This Row],[Objetive value Cannibalism/H-R2]])/Tabela13633[[#This Row],[Objetive value Cannibalism ]]))*100</f>
        <v>5.7216054654141759</v>
      </c>
    </row>
    <row r="69" spans="1:22" x14ac:dyDescent="0.25">
      <c r="A69" s="34" t="s">
        <v>186</v>
      </c>
      <c r="B69" s="39" t="s">
        <v>553</v>
      </c>
      <c r="C69" s="3">
        <v>1000</v>
      </c>
      <c r="D69" s="114">
        <v>0.1</v>
      </c>
      <c r="E69" s="3">
        <v>5</v>
      </c>
      <c r="F69" s="39" t="s">
        <v>13</v>
      </c>
      <c r="G69" s="39" t="s">
        <v>14</v>
      </c>
      <c r="H69" s="128">
        <v>10425</v>
      </c>
      <c r="I69" s="128">
        <v>0.875</v>
      </c>
      <c r="J69" s="129">
        <v>0</v>
      </c>
      <c r="K69" s="139">
        <v>10412</v>
      </c>
      <c r="L69" s="139">
        <v>55</v>
      </c>
      <c r="M69" s="139">
        <v>21</v>
      </c>
      <c r="N69" s="130">
        <f>((Tabela13633[[#This Row],[Objetive value Cannibalism ]]-Tabela13633[[#This Row],[Objetive value Cannibalism/GATeS]])/Tabela13633[[#This Row],[Objetive value Cannibalism ]])*100</f>
        <v>0.12470023980815348</v>
      </c>
      <c r="O69" s="131">
        <v>10425</v>
      </c>
      <c r="P69" s="131">
        <v>0.49</v>
      </c>
      <c r="Q69" s="131">
        <v>0</v>
      </c>
      <c r="R69" s="141">
        <f>(((Tabela13633[[#This Row],[Objetive value Cannibalism ]]-Tabela13633[[#This Row],[Objetive value Cannibalism/H-R1]])/Tabela13633[[#This Row],[Objetive value Cannibalism ]]))*100</f>
        <v>0</v>
      </c>
      <c r="S69" s="113">
        <v>8421</v>
      </c>
      <c r="T69" s="113">
        <v>0.41</v>
      </c>
      <c r="U69" s="113">
        <v>0</v>
      </c>
      <c r="V69" s="143">
        <f>(((Tabela13633[[#This Row],[Objetive value Cannibalism ]]-Tabela13633[[#This Row],[Objetive value Cannibalism/H-R2]])/Tabela13633[[#This Row],[Objetive value Cannibalism ]]))*100</f>
        <v>19.223021582733814</v>
      </c>
    </row>
    <row r="70" spans="1:22" x14ac:dyDescent="0.25">
      <c r="A70" s="3" t="s">
        <v>186</v>
      </c>
      <c r="B70" s="39" t="s">
        <v>554</v>
      </c>
      <c r="C70" s="3">
        <v>1000</v>
      </c>
      <c r="D70" s="114">
        <v>0.1</v>
      </c>
      <c r="E70" s="3">
        <v>5</v>
      </c>
      <c r="F70" s="39" t="s">
        <v>13</v>
      </c>
      <c r="G70" s="39" t="s">
        <v>16</v>
      </c>
      <c r="H70" s="128">
        <v>7196</v>
      </c>
      <c r="I70" s="128">
        <v>0.51500000001396895</v>
      </c>
      <c r="J70" s="129">
        <v>0</v>
      </c>
      <c r="K70" s="139">
        <v>7160</v>
      </c>
      <c r="L70" s="139">
        <v>31</v>
      </c>
      <c r="M70" s="139">
        <v>3</v>
      </c>
      <c r="N70" s="130">
        <f>((Tabela13633[[#This Row],[Objetive value Cannibalism ]]-Tabela13633[[#This Row],[Objetive value Cannibalism/GATeS]])/Tabela13633[[#This Row],[Objetive value Cannibalism ]])*100</f>
        <v>0.50027793218454697</v>
      </c>
      <c r="O70" s="131">
        <v>7196</v>
      </c>
      <c r="P70" s="131">
        <v>0.51</v>
      </c>
      <c r="Q70" s="131">
        <v>0</v>
      </c>
      <c r="R70" s="141">
        <f>(((Tabela13633[[#This Row],[Objetive value Cannibalism ]]-Tabela13633[[#This Row],[Objetive value Cannibalism/H-R1]])/Tabela13633[[#This Row],[Objetive value Cannibalism ]]))*100</f>
        <v>0</v>
      </c>
      <c r="S70" s="113">
        <v>7196</v>
      </c>
      <c r="T70" s="113">
        <v>0.53</v>
      </c>
      <c r="U70" s="113">
        <v>0</v>
      </c>
      <c r="V70" s="143">
        <f>(((Tabela13633[[#This Row],[Objetive value Cannibalism ]]-Tabela13633[[#This Row],[Objetive value Cannibalism/H-R2]])/Tabela13633[[#This Row],[Objetive value Cannibalism ]]))*100</f>
        <v>0</v>
      </c>
    </row>
    <row r="71" spans="1:22" x14ac:dyDescent="0.25">
      <c r="A71" s="3" t="s">
        <v>186</v>
      </c>
      <c r="B71" s="39" t="s">
        <v>555</v>
      </c>
      <c r="C71" s="3">
        <v>1000</v>
      </c>
      <c r="D71" s="114">
        <v>0.1</v>
      </c>
      <c r="E71" s="3">
        <v>5</v>
      </c>
      <c r="F71" s="39" t="s">
        <v>18</v>
      </c>
      <c r="G71" s="39" t="s">
        <v>14</v>
      </c>
      <c r="H71" s="128">
        <v>8639</v>
      </c>
      <c r="I71" s="128">
        <v>0.51599999994505197</v>
      </c>
      <c r="J71" s="129">
        <v>0</v>
      </c>
      <c r="K71" s="139">
        <v>8589</v>
      </c>
      <c r="L71" s="139">
        <v>17</v>
      </c>
      <c r="M71" s="139">
        <v>12</v>
      </c>
      <c r="N71" s="130">
        <f>((Tabela13633[[#This Row],[Objetive value Cannibalism ]]-Tabela13633[[#This Row],[Objetive value Cannibalism/GATeS]])/Tabela13633[[#This Row],[Objetive value Cannibalism ]])*100</f>
        <v>0.57877069105220513</v>
      </c>
      <c r="O71" s="131">
        <v>8458</v>
      </c>
      <c r="P71" s="131">
        <v>0.41</v>
      </c>
      <c r="Q71" s="131">
        <v>0</v>
      </c>
      <c r="R71" s="141">
        <f>(((Tabela13633[[#This Row],[Objetive value Cannibalism ]]-Tabela13633[[#This Row],[Objetive value Cannibalism/H-R1]])/Tabela13633[[#This Row],[Objetive value Cannibalism ]]))*100</f>
        <v>2.0951499016089827</v>
      </c>
      <c r="S71" s="113">
        <v>8639</v>
      </c>
      <c r="T71" s="113">
        <v>0.5</v>
      </c>
      <c r="U71" s="113">
        <v>0</v>
      </c>
      <c r="V71" s="143">
        <f>(((Tabela13633[[#This Row],[Objetive value Cannibalism ]]-Tabela13633[[#This Row],[Objetive value Cannibalism/H-R2]])/Tabela13633[[#This Row],[Objetive value Cannibalism ]]))*100</f>
        <v>0</v>
      </c>
    </row>
    <row r="72" spans="1:22" x14ac:dyDescent="0.25">
      <c r="A72" s="3" t="s">
        <v>186</v>
      </c>
      <c r="B72" s="39" t="s">
        <v>556</v>
      </c>
      <c r="C72" s="3">
        <v>1000</v>
      </c>
      <c r="D72" s="114">
        <v>0.1</v>
      </c>
      <c r="E72" s="3">
        <v>5</v>
      </c>
      <c r="F72" s="39" t="s">
        <v>18</v>
      </c>
      <c r="G72" s="39" t="s">
        <v>16</v>
      </c>
      <c r="H72" s="128">
        <v>7394</v>
      </c>
      <c r="I72" s="128">
        <v>0.79700000002048899</v>
      </c>
      <c r="J72" s="129">
        <v>0</v>
      </c>
      <c r="K72" s="139">
        <v>7392</v>
      </c>
      <c r="L72" s="139">
        <v>44</v>
      </c>
      <c r="M72" s="139">
        <v>11</v>
      </c>
      <c r="N72" s="130">
        <f>((Tabela13633[[#This Row],[Objetive value Cannibalism ]]-Tabela13633[[#This Row],[Objetive value Cannibalism/GATeS]])/Tabela13633[[#This Row],[Objetive value Cannibalism ]])*100</f>
        <v>2.7048958615093318E-2</v>
      </c>
      <c r="O72" s="131">
        <v>7394</v>
      </c>
      <c r="P72" s="131">
        <v>0.47</v>
      </c>
      <c r="Q72" s="131">
        <v>0</v>
      </c>
      <c r="R72" s="141">
        <f>(((Tabela13633[[#This Row],[Objetive value Cannibalism ]]-Tabela13633[[#This Row],[Objetive value Cannibalism/H-R1]])/Tabela13633[[#This Row],[Objetive value Cannibalism ]]))*100</f>
        <v>0</v>
      </c>
      <c r="S72" s="113">
        <v>7394</v>
      </c>
      <c r="T72" s="113">
        <v>0.63</v>
      </c>
      <c r="U72" s="113">
        <v>0</v>
      </c>
      <c r="V72" s="143">
        <f>(((Tabela13633[[#This Row],[Objetive value Cannibalism ]]-Tabela13633[[#This Row],[Objetive value Cannibalism/H-R2]])/Tabela13633[[#This Row],[Objetive value Cannibalism ]]))*100</f>
        <v>0</v>
      </c>
    </row>
    <row r="73" spans="1:22" x14ac:dyDescent="0.25">
      <c r="A73" s="3" t="s">
        <v>186</v>
      </c>
      <c r="B73" s="39" t="s">
        <v>557</v>
      </c>
      <c r="C73" s="3">
        <v>1000</v>
      </c>
      <c r="D73" s="114">
        <v>0.1</v>
      </c>
      <c r="E73" s="3">
        <v>5</v>
      </c>
      <c r="F73" s="39" t="s">
        <v>21</v>
      </c>
      <c r="G73" s="39" t="s">
        <v>14</v>
      </c>
      <c r="H73" s="128">
        <v>4788</v>
      </c>
      <c r="I73" s="128">
        <v>0.48399999993853199</v>
      </c>
      <c r="J73" s="129">
        <v>0</v>
      </c>
      <c r="K73" s="139">
        <v>4787</v>
      </c>
      <c r="L73" s="139">
        <v>18</v>
      </c>
      <c r="M73" s="139">
        <v>0</v>
      </c>
      <c r="N73" s="130">
        <f>((Tabela13633[[#This Row],[Objetive value Cannibalism ]]-Tabela13633[[#This Row],[Objetive value Cannibalism/GATeS]])/Tabela13633[[#This Row],[Objetive value Cannibalism ]])*100</f>
        <v>2.0885547201336674E-2</v>
      </c>
      <c r="O73" s="131">
        <v>4788</v>
      </c>
      <c r="P73" s="131">
        <v>0.35</v>
      </c>
      <c r="Q73" s="131">
        <v>0</v>
      </c>
      <c r="R73" s="141">
        <f>(((Tabela13633[[#This Row],[Objetive value Cannibalism ]]-Tabela13633[[#This Row],[Objetive value Cannibalism/H-R1]])/Tabela13633[[#This Row],[Objetive value Cannibalism ]]))*100</f>
        <v>0</v>
      </c>
      <c r="S73" s="113">
        <v>4788</v>
      </c>
      <c r="T73" s="113">
        <v>0.38</v>
      </c>
      <c r="U73" s="113">
        <v>0</v>
      </c>
      <c r="V73" s="143">
        <f>(((Tabela13633[[#This Row],[Objetive value Cannibalism ]]-Tabela13633[[#This Row],[Objetive value Cannibalism/H-R2]])/Tabela13633[[#This Row],[Objetive value Cannibalism ]]))*100</f>
        <v>0</v>
      </c>
    </row>
    <row r="74" spans="1:22" x14ac:dyDescent="0.25">
      <c r="A74" s="3" t="s">
        <v>186</v>
      </c>
      <c r="B74" s="39" t="s">
        <v>558</v>
      </c>
      <c r="C74" s="3">
        <v>1000</v>
      </c>
      <c r="D74" s="114">
        <v>0.1</v>
      </c>
      <c r="E74" s="3">
        <v>5</v>
      </c>
      <c r="F74" s="39" t="s">
        <v>21</v>
      </c>
      <c r="G74" s="39" t="s">
        <v>16</v>
      </c>
      <c r="H74" s="128">
        <v>6452</v>
      </c>
      <c r="I74" s="128">
        <v>0.64000000001396895</v>
      </c>
      <c r="J74" s="129">
        <v>0</v>
      </c>
      <c r="K74" s="139">
        <v>6316</v>
      </c>
      <c r="L74" s="139">
        <v>20</v>
      </c>
      <c r="M74" s="139">
        <v>15</v>
      </c>
      <c r="N74" s="130">
        <f>((Tabela13633[[#This Row],[Objetive value Cannibalism ]]-Tabela13633[[#This Row],[Objetive value Cannibalism/GATeS]])/Tabela13633[[#This Row],[Objetive value Cannibalism ]])*100</f>
        <v>2.1078735275883447</v>
      </c>
      <c r="O74" s="131">
        <v>6452</v>
      </c>
      <c r="P74" s="131">
        <v>0.7</v>
      </c>
      <c r="Q74" s="131">
        <v>0</v>
      </c>
      <c r="R74" s="141">
        <f>(((Tabela13633[[#This Row],[Objetive value Cannibalism ]]-Tabela13633[[#This Row],[Objetive value Cannibalism/H-R1]])/Tabela13633[[#This Row],[Objetive value Cannibalism ]]))*100</f>
        <v>0</v>
      </c>
      <c r="S74" s="113">
        <v>6342</v>
      </c>
      <c r="T74" s="113">
        <v>0.57999999999999996</v>
      </c>
      <c r="U74" s="113">
        <v>0</v>
      </c>
      <c r="V74" s="143">
        <f>(((Tabela13633[[#This Row],[Objetive value Cannibalism ]]-Tabela13633[[#This Row],[Objetive value Cannibalism/H-R2]])/Tabela13633[[#This Row],[Objetive value Cannibalism ]]))*100</f>
        <v>1.7048977061376318</v>
      </c>
    </row>
    <row r="75" spans="1:22" x14ac:dyDescent="0.25">
      <c r="A75" s="3" t="s">
        <v>205</v>
      </c>
      <c r="B75" s="37" t="s">
        <v>577</v>
      </c>
      <c r="C75" s="3">
        <v>1000</v>
      </c>
      <c r="D75" s="3">
        <v>0.15</v>
      </c>
      <c r="E75" s="3">
        <v>10</v>
      </c>
      <c r="F75" s="39" t="s">
        <v>13</v>
      </c>
      <c r="G75" s="39" t="s">
        <v>14</v>
      </c>
      <c r="H75" s="128">
        <v>19072</v>
      </c>
      <c r="I75" s="128">
        <v>3.0929999999934799</v>
      </c>
      <c r="J75" s="129">
        <v>0</v>
      </c>
      <c r="K75" s="139">
        <v>16850</v>
      </c>
      <c r="L75" s="139">
        <v>52</v>
      </c>
      <c r="M75" s="139">
        <v>15</v>
      </c>
      <c r="N75" s="130">
        <f>((Tabela13633[[#This Row],[Objetive value Cannibalism ]]-Tabela13633[[#This Row],[Objetive value Cannibalism/GATeS]])/Tabela13633[[#This Row],[Objetive value Cannibalism ]])*100</f>
        <v>11.650587248322147</v>
      </c>
      <c r="O75" s="131">
        <v>16561</v>
      </c>
      <c r="P75" s="131">
        <v>0.51</v>
      </c>
      <c r="Q75" s="131">
        <v>0</v>
      </c>
      <c r="R75" s="141">
        <f>(((Tabela13633[[#This Row],[Objetive value Cannibalism ]]-Tabela13633[[#This Row],[Objetive value Cannibalism/H-R1]])/Tabela13633[[#This Row],[Objetive value Cannibalism ]]))*100</f>
        <v>13.165897651006711</v>
      </c>
      <c r="S75" s="113">
        <v>16532</v>
      </c>
      <c r="T75" s="113">
        <v>0.69</v>
      </c>
      <c r="U75" s="113">
        <v>0</v>
      </c>
      <c r="V75" s="143">
        <f>(((Tabela13633[[#This Row],[Objetive value Cannibalism ]]-Tabela13633[[#This Row],[Objetive value Cannibalism/H-R2]])/Tabela13633[[#This Row],[Objetive value Cannibalism ]]))*100</f>
        <v>13.31795302013423</v>
      </c>
    </row>
    <row r="76" spans="1:22" x14ac:dyDescent="0.25">
      <c r="A76" s="3" t="s">
        <v>205</v>
      </c>
      <c r="B76" s="39" t="s">
        <v>578</v>
      </c>
      <c r="C76" s="3">
        <v>1000</v>
      </c>
      <c r="D76" s="3">
        <v>0.15</v>
      </c>
      <c r="E76" s="3">
        <v>10</v>
      </c>
      <c r="F76" s="39" t="s">
        <v>13</v>
      </c>
      <c r="G76" s="39" t="s">
        <v>16</v>
      </c>
      <c r="H76" s="128">
        <v>11627</v>
      </c>
      <c r="I76" s="128">
        <v>5.4220000000204802</v>
      </c>
      <c r="J76" s="129">
        <v>10.039999999999999</v>
      </c>
      <c r="K76" s="139">
        <v>11555</v>
      </c>
      <c r="L76" s="139">
        <v>88</v>
      </c>
      <c r="M76" s="139">
        <v>58</v>
      </c>
      <c r="N76" s="130">
        <f>((Tabela13633[[#This Row],[Objetive value Cannibalism ]]-Tabela13633[[#This Row],[Objetive value Cannibalism/GATeS]])/Tabela13633[[#This Row],[Objetive value Cannibalism ]])*100</f>
        <v>0.61924830136750664</v>
      </c>
      <c r="O76" s="131">
        <v>10817</v>
      </c>
      <c r="P76" s="131">
        <v>0.7</v>
      </c>
      <c r="Q76" s="131">
        <v>0</v>
      </c>
      <c r="R76" s="141">
        <f>(((Tabela13633[[#This Row],[Objetive value Cannibalism ]]-Tabela13633[[#This Row],[Objetive value Cannibalism/H-R1]])/Tabela13633[[#This Row],[Objetive value Cannibalism ]]))*100</f>
        <v>6.9665433903844498</v>
      </c>
      <c r="S76" s="113">
        <v>9927</v>
      </c>
      <c r="T76" s="113">
        <v>0.73</v>
      </c>
      <c r="U76" s="113">
        <v>0</v>
      </c>
      <c r="V76" s="143">
        <f>(((Tabela13633[[#This Row],[Objetive value Cannibalism ]]-Tabela13633[[#This Row],[Objetive value Cannibalism/H-R2]])/Tabela13633[[#This Row],[Objetive value Cannibalism ]]))*100</f>
        <v>14.621140448955019</v>
      </c>
    </row>
    <row r="77" spans="1:22" x14ac:dyDescent="0.25">
      <c r="A77" s="3" t="s">
        <v>205</v>
      </c>
      <c r="B77" s="39" t="s">
        <v>579</v>
      </c>
      <c r="C77" s="3">
        <v>1000</v>
      </c>
      <c r="D77" s="3">
        <v>0.15</v>
      </c>
      <c r="E77" s="3">
        <v>10</v>
      </c>
      <c r="F77" s="39" t="s">
        <v>18</v>
      </c>
      <c r="G77" s="39" t="s">
        <v>14</v>
      </c>
      <c r="H77" s="128">
        <v>17737</v>
      </c>
      <c r="I77" s="128">
        <v>2.90599999995902</v>
      </c>
      <c r="J77" s="129">
        <v>0</v>
      </c>
      <c r="K77" s="139">
        <v>17674</v>
      </c>
      <c r="L77" s="139">
        <v>66</v>
      </c>
      <c r="M77" s="139">
        <v>19</v>
      </c>
      <c r="N77" s="130">
        <f>((Tabela13633[[#This Row],[Objetive value Cannibalism ]]-Tabela13633[[#This Row],[Objetive value Cannibalism/GATeS]])/Tabela13633[[#This Row],[Objetive value Cannibalism ]])*100</f>
        <v>0.35518971641202007</v>
      </c>
      <c r="O77" s="131">
        <v>16545</v>
      </c>
      <c r="P77" s="131">
        <v>0.44</v>
      </c>
      <c r="Q77" s="131">
        <v>0</v>
      </c>
      <c r="R77" s="141">
        <f>(((Tabela13633[[#This Row],[Objetive value Cannibalism ]]-Tabela13633[[#This Row],[Objetive value Cannibalism/H-R1]])/Tabela13633[[#This Row],[Objetive value Cannibalism ]]))*100</f>
        <v>6.7204149517956804</v>
      </c>
      <c r="S77" s="113">
        <v>15484</v>
      </c>
      <c r="T77" s="113">
        <v>0.54</v>
      </c>
      <c r="U77" s="113">
        <v>0</v>
      </c>
      <c r="V77" s="143">
        <f>(((Tabela13633[[#This Row],[Objetive value Cannibalism ]]-Tabela13633[[#This Row],[Objetive value Cannibalism/H-R2]])/Tabela13633[[#This Row],[Objetive value Cannibalism ]]))*100</f>
        <v>12.702260810734622</v>
      </c>
    </row>
    <row r="78" spans="1:22" x14ac:dyDescent="0.25">
      <c r="A78" s="3" t="s">
        <v>205</v>
      </c>
      <c r="B78" s="39" t="s">
        <v>580</v>
      </c>
      <c r="C78" s="3">
        <v>1000</v>
      </c>
      <c r="D78" s="3">
        <v>0.15</v>
      </c>
      <c r="E78" s="3">
        <v>10</v>
      </c>
      <c r="F78" s="39" t="s">
        <v>18</v>
      </c>
      <c r="G78" s="39" t="s">
        <v>16</v>
      </c>
      <c r="H78" s="128">
        <v>13137</v>
      </c>
      <c r="I78" s="128">
        <v>4.1400000000139698</v>
      </c>
      <c r="J78" s="129">
        <v>0</v>
      </c>
      <c r="K78" s="139">
        <v>13104</v>
      </c>
      <c r="L78" s="139">
        <v>102</v>
      </c>
      <c r="M78" s="139">
        <v>27</v>
      </c>
      <c r="N78" s="130">
        <f>((Tabela13633[[#This Row],[Objetive value Cannibalism ]]-Tabela13633[[#This Row],[Objetive value Cannibalism/GATeS]])/Tabela13633[[#This Row],[Objetive value Cannibalism ]])*100</f>
        <v>0.25119890385932864</v>
      </c>
      <c r="O78" s="131">
        <v>13136</v>
      </c>
      <c r="P78" s="131">
        <v>0.59</v>
      </c>
      <c r="Q78" s="131">
        <v>0</v>
      </c>
      <c r="R78" s="141">
        <f>(((Tabela13633[[#This Row],[Objetive value Cannibalism ]]-Tabela13633[[#This Row],[Objetive value Cannibalism/H-R1]])/Tabela13633[[#This Row],[Objetive value Cannibalism ]]))*100</f>
        <v>7.6120879957372305E-3</v>
      </c>
      <c r="S78" s="113">
        <v>13136</v>
      </c>
      <c r="T78" s="113">
        <v>0.56999999999999995</v>
      </c>
      <c r="U78" s="113">
        <v>0</v>
      </c>
      <c r="V78" s="143">
        <f>(((Tabela13633[[#This Row],[Objetive value Cannibalism ]]-Tabela13633[[#This Row],[Objetive value Cannibalism/H-R2]])/Tabela13633[[#This Row],[Objetive value Cannibalism ]]))*100</f>
        <v>7.6120879957372305E-3</v>
      </c>
    </row>
    <row r="79" spans="1:22" x14ac:dyDescent="0.25">
      <c r="A79" s="3" t="s">
        <v>205</v>
      </c>
      <c r="B79" s="39" t="s">
        <v>581</v>
      </c>
      <c r="C79" s="3">
        <v>1000</v>
      </c>
      <c r="D79" s="3">
        <v>0.15</v>
      </c>
      <c r="E79" s="3">
        <v>10</v>
      </c>
      <c r="F79" s="39" t="s">
        <v>21</v>
      </c>
      <c r="G79" s="39" t="s">
        <v>14</v>
      </c>
      <c r="H79" s="128">
        <v>15789</v>
      </c>
      <c r="I79" s="128">
        <v>1.43799999996554</v>
      </c>
      <c r="J79" s="129">
        <v>0</v>
      </c>
      <c r="K79" s="139">
        <v>15694</v>
      </c>
      <c r="L79" s="139">
        <v>66</v>
      </c>
      <c r="M79" s="139">
        <v>27</v>
      </c>
      <c r="N79" s="130">
        <f>((Tabela13633[[#This Row],[Objetive value Cannibalism ]]-Tabela13633[[#This Row],[Objetive value Cannibalism/GATeS]])/Tabela13633[[#This Row],[Objetive value Cannibalism ]])*100</f>
        <v>0.60168471720818295</v>
      </c>
      <c r="O79" s="131">
        <v>3381</v>
      </c>
      <c r="P79" s="131">
        <v>1.7</v>
      </c>
      <c r="Q79" s="131">
        <v>1.18</v>
      </c>
      <c r="R79" s="141">
        <f>(((Tabela13633[[#This Row],[Objetive value Cannibalism ]]-Tabela13633[[#This Row],[Objetive value Cannibalism/H-R1]])/Tabela13633[[#This Row],[Objetive value Cannibalism ]]))*100</f>
        <v>78.586357590727715</v>
      </c>
      <c r="S79" s="113">
        <v>12552</v>
      </c>
      <c r="T79" s="113">
        <v>1.18</v>
      </c>
      <c r="U79" s="113">
        <v>0</v>
      </c>
      <c r="V79" s="143">
        <f>(((Tabela13633[[#This Row],[Objetive value Cannibalism ]]-Tabela13633[[#This Row],[Objetive value Cannibalism/H-R2]])/Tabela13633[[#This Row],[Objetive value Cannibalism ]]))*100</f>
        <v>20.501615048451455</v>
      </c>
    </row>
    <row r="80" spans="1:22" x14ac:dyDescent="0.25">
      <c r="A80" s="3" t="s">
        <v>205</v>
      </c>
      <c r="B80" s="39" t="s">
        <v>582</v>
      </c>
      <c r="C80" s="3">
        <v>1000</v>
      </c>
      <c r="D80" s="3">
        <v>0.15</v>
      </c>
      <c r="E80" s="3">
        <v>10</v>
      </c>
      <c r="F80" s="39" t="s">
        <v>21</v>
      </c>
      <c r="G80" s="39" t="s">
        <v>16</v>
      </c>
      <c r="H80" s="128">
        <v>12874</v>
      </c>
      <c r="I80" s="128">
        <v>2.7189999999245602</v>
      </c>
      <c r="J80" s="129">
        <v>0</v>
      </c>
      <c r="K80" s="139">
        <v>12847</v>
      </c>
      <c r="L80" s="139">
        <v>78</v>
      </c>
      <c r="M80" s="139">
        <v>13</v>
      </c>
      <c r="N80" s="130">
        <f>((Tabela13633[[#This Row],[Objetive value Cannibalism ]]-Tabela13633[[#This Row],[Objetive value Cannibalism/GATeS]])/Tabela13633[[#This Row],[Objetive value Cannibalism ]])*100</f>
        <v>0.20972502718657762</v>
      </c>
      <c r="O80" s="131">
        <v>12874</v>
      </c>
      <c r="P80" s="131">
        <v>0.59</v>
      </c>
      <c r="Q80" s="131">
        <v>0</v>
      </c>
      <c r="R80" s="141">
        <f>(((Tabela13633[[#This Row],[Objetive value Cannibalism ]]-Tabela13633[[#This Row],[Objetive value Cannibalism/H-R1]])/Tabela13633[[#This Row],[Objetive value Cannibalism ]]))*100</f>
        <v>0</v>
      </c>
      <c r="S80" s="113">
        <v>12549</v>
      </c>
      <c r="T80" s="113">
        <v>0.54</v>
      </c>
      <c r="U80" s="113">
        <v>0</v>
      </c>
      <c r="V80" s="143">
        <f>(((Tabela13633[[#This Row],[Objetive value Cannibalism ]]-Tabela13633[[#This Row],[Objetive value Cannibalism/H-R2]])/Tabela13633[[#This Row],[Objetive value Cannibalism ]]))*100</f>
        <v>2.5244679198384339</v>
      </c>
    </row>
    <row r="81" spans="1:22" x14ac:dyDescent="0.25">
      <c r="A81" s="3" t="s">
        <v>224</v>
      </c>
      <c r="B81" s="37" t="s">
        <v>595</v>
      </c>
      <c r="C81" s="3">
        <v>1000</v>
      </c>
      <c r="D81" s="3">
        <v>0.15</v>
      </c>
      <c r="E81" s="3">
        <v>15</v>
      </c>
      <c r="F81" s="39" t="s">
        <v>13</v>
      </c>
      <c r="G81" s="39" t="s">
        <v>14</v>
      </c>
      <c r="H81" s="128">
        <v>33357</v>
      </c>
      <c r="I81" s="128">
        <v>10.7810000000754</v>
      </c>
      <c r="J81" s="129">
        <v>3.96</v>
      </c>
      <c r="K81" s="139">
        <v>31813</v>
      </c>
      <c r="L81" s="139">
        <v>91</v>
      </c>
      <c r="M81" s="139">
        <v>69</v>
      </c>
      <c r="N81" s="130">
        <f>((Tabela13633[[#This Row],[Objetive value Cannibalism ]]-Tabela13633[[#This Row],[Objetive value Cannibalism/GATeS]])/Tabela13633[[#This Row],[Objetive value Cannibalism ]])*100</f>
        <v>4.6287136133345328</v>
      </c>
      <c r="O81" s="131">
        <v>29474</v>
      </c>
      <c r="P81" s="131">
        <v>0.67</v>
      </c>
      <c r="Q81" s="131">
        <v>0</v>
      </c>
      <c r="R81" s="141">
        <f>(((Tabela13633[[#This Row],[Objetive value Cannibalism ]]-Tabela13633[[#This Row],[Objetive value Cannibalism/H-R1]])/Tabela13633[[#This Row],[Objetive value Cannibalism ]]))*100</f>
        <v>11.640735078094552</v>
      </c>
      <c r="S81" s="113">
        <v>28299</v>
      </c>
      <c r="T81" s="113">
        <v>0.61</v>
      </c>
      <c r="U81" s="113">
        <v>0</v>
      </c>
      <c r="V81" s="143">
        <f>(((Tabela13633[[#This Row],[Objetive value Cannibalism ]]-Tabela13633[[#This Row],[Objetive value Cannibalism/H-R2]])/Tabela13633[[#This Row],[Objetive value Cannibalism ]]))*100</f>
        <v>15.16323410378631</v>
      </c>
    </row>
    <row r="82" spans="1:22" x14ac:dyDescent="0.25">
      <c r="A82" s="3" t="s">
        <v>224</v>
      </c>
      <c r="B82" s="39" t="s">
        <v>596</v>
      </c>
      <c r="C82" s="3">
        <v>1000</v>
      </c>
      <c r="D82" s="3">
        <v>0.15</v>
      </c>
      <c r="E82" s="3">
        <v>15</v>
      </c>
      <c r="F82" s="39" t="s">
        <v>13</v>
      </c>
      <c r="G82" s="39" t="s">
        <v>16</v>
      </c>
      <c r="H82" s="128">
        <v>18289.999999999902</v>
      </c>
      <c r="I82" s="128">
        <v>42.483999999938497</v>
      </c>
      <c r="J82" s="129">
        <v>0</v>
      </c>
      <c r="K82" s="139">
        <v>18059</v>
      </c>
      <c r="L82" s="139">
        <v>168</v>
      </c>
      <c r="M82" s="139">
        <v>140</v>
      </c>
      <c r="N82" s="130">
        <f>((Tabela13633[[#This Row],[Objetive value Cannibalism ]]-Tabela13633[[#This Row],[Objetive value Cannibalism/GATeS]])/Tabela13633[[#This Row],[Objetive value Cannibalism ]])*100</f>
        <v>1.2629852378343522</v>
      </c>
      <c r="O82" s="131">
        <v>17216</v>
      </c>
      <c r="P82" s="131">
        <v>0.83</v>
      </c>
      <c r="Q82" s="131">
        <v>0</v>
      </c>
      <c r="R82" s="141">
        <f>(((Tabela13633[[#This Row],[Objetive value Cannibalism ]]-Tabela13633[[#This Row],[Objetive value Cannibalism/H-R1]])/Tabela13633[[#This Row],[Objetive value Cannibalism ]]))*100</f>
        <v>5.87206123564739</v>
      </c>
      <c r="S82" s="113">
        <v>17219</v>
      </c>
      <c r="T82" s="113">
        <v>1.49</v>
      </c>
      <c r="U82" s="113">
        <v>0</v>
      </c>
      <c r="V82" s="143">
        <f>(((Tabela13633[[#This Row],[Objetive value Cannibalism ]]-Tabela13633[[#This Row],[Objetive value Cannibalism/H-R2]])/Tabela13633[[#This Row],[Objetive value Cannibalism ]]))*100</f>
        <v>5.8556588299612224</v>
      </c>
    </row>
    <row r="83" spans="1:22" x14ac:dyDescent="0.25">
      <c r="A83" s="3" t="s">
        <v>224</v>
      </c>
      <c r="B83" s="39" t="s">
        <v>597</v>
      </c>
      <c r="C83" s="3">
        <v>1000</v>
      </c>
      <c r="D83" s="3">
        <v>0.15</v>
      </c>
      <c r="E83" s="3">
        <v>15</v>
      </c>
      <c r="F83" s="39" t="s">
        <v>18</v>
      </c>
      <c r="G83" s="39" t="s">
        <v>14</v>
      </c>
      <c r="H83" s="128">
        <v>31422</v>
      </c>
      <c r="I83" s="128">
        <v>9.3130000000819493</v>
      </c>
      <c r="J83" s="129">
        <v>13.38</v>
      </c>
      <c r="K83" s="139">
        <v>30668</v>
      </c>
      <c r="L83" s="139">
        <v>112</v>
      </c>
      <c r="M83" s="139">
        <v>52</v>
      </c>
      <c r="N83" s="130">
        <f>((Tabela13633[[#This Row],[Objetive value Cannibalism ]]-Tabela13633[[#This Row],[Objetive value Cannibalism/GATeS]])/Tabela13633[[#This Row],[Objetive value Cannibalism ]])*100</f>
        <v>2.3995926420978932</v>
      </c>
      <c r="O83" s="131">
        <v>30731</v>
      </c>
      <c r="P83" s="131">
        <v>0.59</v>
      </c>
      <c r="Q83" s="131">
        <v>0</v>
      </c>
      <c r="R83" s="141">
        <f>(((Tabela13633[[#This Row],[Objetive value Cannibalism ]]-Tabela13633[[#This Row],[Objetive value Cannibalism/H-R1]])/Tabela13633[[#This Row],[Objetive value Cannibalism ]]))*100</f>
        <v>2.1990961746547004</v>
      </c>
      <c r="S83" s="113">
        <v>27358</v>
      </c>
      <c r="T83" s="113">
        <v>0.62</v>
      </c>
      <c r="U83" s="113">
        <v>0</v>
      </c>
      <c r="V83" s="143">
        <f>(((Tabela13633[[#This Row],[Objetive value Cannibalism ]]-Tabela13633[[#This Row],[Objetive value Cannibalism/H-R2]])/Tabela13633[[#This Row],[Objetive value Cannibalism ]]))*100</f>
        <v>12.933613391891033</v>
      </c>
    </row>
    <row r="84" spans="1:22" x14ac:dyDescent="0.25">
      <c r="A84" s="3" t="s">
        <v>224</v>
      </c>
      <c r="B84" s="39" t="s">
        <v>598</v>
      </c>
      <c r="C84" s="3">
        <v>1000</v>
      </c>
      <c r="D84" s="3">
        <v>0.15</v>
      </c>
      <c r="E84" s="3">
        <v>15</v>
      </c>
      <c r="F84" s="39" t="s">
        <v>18</v>
      </c>
      <c r="G84" s="39" t="s">
        <v>16</v>
      </c>
      <c r="H84" s="128">
        <v>17834</v>
      </c>
      <c r="I84" s="128">
        <v>56.765000000013899</v>
      </c>
      <c r="J84" s="129">
        <v>0</v>
      </c>
      <c r="K84" s="139">
        <v>17677</v>
      </c>
      <c r="L84" s="139">
        <v>155</v>
      </c>
      <c r="M84" s="139">
        <v>59</v>
      </c>
      <c r="N84" s="130">
        <f>((Tabela13633[[#This Row],[Objetive value Cannibalism ]]-Tabela13633[[#This Row],[Objetive value Cannibalism/GATeS]])/Tabela13633[[#This Row],[Objetive value Cannibalism ]])*100</f>
        <v>0.88034092183469781</v>
      </c>
      <c r="O84" s="131">
        <v>17130</v>
      </c>
      <c r="P84" s="131">
        <v>0.79</v>
      </c>
      <c r="Q84" s="131">
        <v>0</v>
      </c>
      <c r="R84" s="141">
        <f>(((Tabela13633[[#This Row],[Objetive value Cannibalism ]]-Tabela13633[[#This Row],[Objetive value Cannibalism/H-R1]])/Tabela13633[[#This Row],[Objetive value Cannibalism ]]))*100</f>
        <v>3.9475159807110014</v>
      </c>
      <c r="S84" s="113">
        <v>17271</v>
      </c>
      <c r="T84" s="113">
        <v>1.04</v>
      </c>
      <c r="U84" s="113">
        <v>0</v>
      </c>
      <c r="V84" s="143">
        <f>(((Tabela13633[[#This Row],[Objetive value Cannibalism ]]-Tabela13633[[#This Row],[Objetive value Cannibalism/H-R2]])/Tabela13633[[#This Row],[Objetive value Cannibalism ]]))*100</f>
        <v>3.1568913311651903</v>
      </c>
    </row>
    <row r="85" spans="1:22" x14ac:dyDescent="0.25">
      <c r="A85" s="3" t="s">
        <v>224</v>
      </c>
      <c r="B85" s="39" t="s">
        <v>599</v>
      </c>
      <c r="C85" s="3">
        <v>1000</v>
      </c>
      <c r="D85" s="3">
        <v>0.15</v>
      </c>
      <c r="E85" s="3">
        <v>15</v>
      </c>
      <c r="F85" s="39" t="s">
        <v>21</v>
      </c>
      <c r="G85" s="39" t="s">
        <v>14</v>
      </c>
      <c r="H85" s="128">
        <v>20519</v>
      </c>
      <c r="I85" s="128">
        <v>2.5619999999180401</v>
      </c>
      <c r="J85" s="129">
        <v>0</v>
      </c>
      <c r="K85" s="139">
        <v>20359</v>
      </c>
      <c r="L85" s="139">
        <v>61</v>
      </c>
      <c r="M85" s="139">
        <v>1</v>
      </c>
      <c r="N85" s="130">
        <f>((Tabela13633[[#This Row],[Objetive value Cannibalism ]]-Tabela13633[[#This Row],[Objetive value Cannibalism/GATeS]])/Tabela13633[[#This Row],[Objetive value Cannibalism ]])*100</f>
        <v>0.77976509576490083</v>
      </c>
      <c r="O85" s="115"/>
      <c r="P85" s="115"/>
      <c r="Q85" s="115"/>
      <c r="R85" s="142">
        <v>100</v>
      </c>
      <c r="S85" s="113">
        <v>19332</v>
      </c>
      <c r="T85" s="113">
        <v>0.91</v>
      </c>
      <c r="U85" s="113">
        <v>0</v>
      </c>
      <c r="V85" s="143">
        <f>(((Tabela13633[[#This Row],[Objetive value Cannibalism ]]-Tabela13633[[#This Row],[Objetive value Cannibalism/H-R2]])/Tabela13633[[#This Row],[Objetive value Cannibalism ]]))*100</f>
        <v>5.7848823042058584</v>
      </c>
    </row>
    <row r="86" spans="1:22" x14ac:dyDescent="0.25">
      <c r="A86" s="3" t="s">
        <v>224</v>
      </c>
      <c r="B86" s="39" t="s">
        <v>600</v>
      </c>
      <c r="C86" s="3">
        <v>1000</v>
      </c>
      <c r="D86" s="3">
        <v>0.15</v>
      </c>
      <c r="E86" s="3">
        <v>15</v>
      </c>
      <c r="F86" s="39" t="s">
        <v>21</v>
      </c>
      <c r="G86" s="39" t="s">
        <v>16</v>
      </c>
      <c r="H86" s="128">
        <v>17344</v>
      </c>
      <c r="I86" s="128">
        <v>52.359999999986002</v>
      </c>
      <c r="J86" s="129">
        <v>0</v>
      </c>
      <c r="K86" s="139">
        <v>17087</v>
      </c>
      <c r="L86" s="139">
        <v>174</v>
      </c>
      <c r="M86" s="139">
        <v>86</v>
      </c>
      <c r="N86" s="130">
        <f>((Tabela13633[[#This Row],[Objetive value Cannibalism ]]-Tabela13633[[#This Row],[Objetive value Cannibalism/GATeS]])/Tabela13633[[#This Row],[Objetive value Cannibalism ]])*100</f>
        <v>1.4817804428044281</v>
      </c>
      <c r="O86" s="131">
        <v>17263</v>
      </c>
      <c r="P86" s="131">
        <v>0.87</v>
      </c>
      <c r="Q86" s="131">
        <v>0</v>
      </c>
      <c r="R86" s="141">
        <f>(((Tabela13633[[#This Row],[Objetive value Cannibalism ]]-Tabela13633[[#This Row],[Objetive value Cannibalism/H-R1]])/Tabela13633[[#This Row],[Objetive value Cannibalism ]]))*100</f>
        <v>0.46702029520295202</v>
      </c>
      <c r="S86" s="113">
        <v>17058</v>
      </c>
      <c r="T86" s="113">
        <v>0.81</v>
      </c>
      <c r="U86" s="113">
        <v>0</v>
      </c>
      <c r="V86" s="143">
        <f>(((Tabela13633[[#This Row],[Objetive value Cannibalism ]]-Tabela13633[[#This Row],[Objetive value Cannibalism/H-R2]])/Tabela13633[[#This Row],[Objetive value Cannibalism ]]))*100</f>
        <v>1.6489852398523983</v>
      </c>
    </row>
    <row r="87" spans="1:22" x14ac:dyDescent="0.25">
      <c r="A87" s="34" t="s">
        <v>186</v>
      </c>
      <c r="B87" s="39" t="s">
        <v>559</v>
      </c>
      <c r="C87" s="3">
        <v>1000</v>
      </c>
      <c r="D87" s="3">
        <v>0.15</v>
      </c>
      <c r="E87" s="3">
        <v>5</v>
      </c>
      <c r="F87" s="39" t="s">
        <v>13</v>
      </c>
      <c r="G87" s="39" t="s">
        <v>14</v>
      </c>
      <c r="H87" s="128">
        <v>11481</v>
      </c>
      <c r="I87" s="128">
        <v>0.60999999998603005</v>
      </c>
      <c r="J87" s="129">
        <v>50.86</v>
      </c>
      <c r="K87" s="139">
        <v>11466</v>
      </c>
      <c r="L87" s="139">
        <v>34</v>
      </c>
      <c r="M87" s="139">
        <v>20</v>
      </c>
      <c r="N87" s="130">
        <f>((Tabela13633[[#This Row],[Objetive value Cannibalism ]]-Tabela13633[[#This Row],[Objetive value Cannibalism/GATeS]])/Tabela13633[[#This Row],[Objetive value Cannibalism ]])*100</f>
        <v>0.13065064018813691</v>
      </c>
      <c r="O87" s="131">
        <v>11480</v>
      </c>
      <c r="P87" s="131">
        <v>0.54</v>
      </c>
      <c r="Q87" s="131">
        <v>0</v>
      </c>
      <c r="R87" s="141">
        <f>(((Tabela13633[[#This Row],[Objetive value Cannibalism ]]-Tabela13633[[#This Row],[Objetive value Cannibalism/H-R1]])/Tabela13633[[#This Row],[Objetive value Cannibalism ]]))*100</f>
        <v>8.7100426792091276E-3</v>
      </c>
      <c r="S87" s="113">
        <v>11480</v>
      </c>
      <c r="T87" s="113">
        <v>0.61</v>
      </c>
      <c r="U87" s="113">
        <v>0</v>
      </c>
      <c r="V87" s="143">
        <f>(((Tabela13633[[#This Row],[Objetive value Cannibalism ]]-Tabela13633[[#This Row],[Objetive value Cannibalism/H-R2]])/Tabela13633[[#This Row],[Objetive value Cannibalism ]]))*100</f>
        <v>8.7100426792091276E-3</v>
      </c>
    </row>
    <row r="88" spans="1:22" x14ac:dyDescent="0.25">
      <c r="A88" s="3" t="s">
        <v>186</v>
      </c>
      <c r="B88" s="39" t="s">
        <v>560</v>
      </c>
      <c r="C88" s="3">
        <v>1000</v>
      </c>
      <c r="D88" s="3">
        <v>0.15</v>
      </c>
      <c r="E88" s="3">
        <v>5</v>
      </c>
      <c r="F88" s="39" t="s">
        <v>13</v>
      </c>
      <c r="G88" s="39" t="s">
        <v>16</v>
      </c>
      <c r="H88" s="128">
        <v>6471</v>
      </c>
      <c r="I88" s="128">
        <v>0.453000000095926</v>
      </c>
      <c r="J88" s="129">
        <v>0</v>
      </c>
      <c r="K88" s="139">
        <v>6348</v>
      </c>
      <c r="L88" s="139">
        <v>24</v>
      </c>
      <c r="M88" s="139">
        <v>18</v>
      </c>
      <c r="N88" s="130">
        <f>((Tabela13633[[#This Row],[Objetive value Cannibalism ]]-Tabela13633[[#This Row],[Objetive value Cannibalism/GATeS]])/Tabela13633[[#This Row],[Objetive value Cannibalism ]])*100</f>
        <v>1.9007881316643487</v>
      </c>
      <c r="O88" s="131">
        <v>6471</v>
      </c>
      <c r="P88" s="131">
        <v>0.44</v>
      </c>
      <c r="Q88" s="131">
        <v>0</v>
      </c>
      <c r="R88" s="141">
        <f>(((Tabela13633[[#This Row],[Objetive value Cannibalism ]]-Tabela13633[[#This Row],[Objetive value Cannibalism/H-R1]])/Tabela13633[[#This Row],[Objetive value Cannibalism ]]))*100</f>
        <v>0</v>
      </c>
      <c r="S88" s="113">
        <v>6471</v>
      </c>
      <c r="T88" s="113">
        <v>0.4</v>
      </c>
      <c r="U88" s="113">
        <v>0</v>
      </c>
      <c r="V88" s="143">
        <f>(((Tabela13633[[#This Row],[Objetive value Cannibalism ]]-Tabela13633[[#This Row],[Objetive value Cannibalism/H-R2]])/Tabela13633[[#This Row],[Objetive value Cannibalism ]]))*100</f>
        <v>0</v>
      </c>
    </row>
    <row r="89" spans="1:22" x14ac:dyDescent="0.25">
      <c r="A89" s="3" t="s">
        <v>186</v>
      </c>
      <c r="B89" s="39" t="s">
        <v>561</v>
      </c>
      <c r="C89" s="3">
        <v>1000</v>
      </c>
      <c r="D89" s="3">
        <v>0.15</v>
      </c>
      <c r="E89" s="3">
        <v>5</v>
      </c>
      <c r="F89" s="39" t="s">
        <v>18</v>
      </c>
      <c r="G89" s="39" t="s">
        <v>14</v>
      </c>
      <c r="H89" s="128">
        <v>11864</v>
      </c>
      <c r="I89" s="128">
        <v>0.57900000002700802</v>
      </c>
      <c r="J89" s="129">
        <v>0</v>
      </c>
      <c r="K89" s="139">
        <v>11864</v>
      </c>
      <c r="L89" s="139">
        <v>36</v>
      </c>
      <c r="M89" s="139">
        <v>2</v>
      </c>
      <c r="N89" s="130">
        <f>((Tabela13633[[#This Row],[Objetive value Cannibalism ]]-Tabela13633[[#This Row],[Objetive value Cannibalism/GATeS]])/Tabela13633[[#This Row],[Objetive value Cannibalism ]])*100</f>
        <v>0</v>
      </c>
      <c r="O89" s="131">
        <v>11864</v>
      </c>
      <c r="P89" s="131">
        <v>0.39</v>
      </c>
      <c r="Q89" s="131">
        <v>0</v>
      </c>
      <c r="R89" s="141">
        <f>(((Tabela13633[[#This Row],[Objetive value Cannibalism ]]-Tabela13633[[#This Row],[Objetive value Cannibalism/H-R1]])/Tabela13633[[#This Row],[Objetive value Cannibalism ]]))*100</f>
        <v>0</v>
      </c>
      <c r="S89" s="113">
        <v>11249</v>
      </c>
      <c r="T89" s="113">
        <v>0.4</v>
      </c>
      <c r="U89" s="113">
        <v>0</v>
      </c>
      <c r="V89" s="143">
        <f>(((Tabela13633[[#This Row],[Objetive value Cannibalism ]]-Tabela13633[[#This Row],[Objetive value Cannibalism/H-R2]])/Tabela13633[[#This Row],[Objetive value Cannibalism ]]))*100</f>
        <v>5.183749157113958</v>
      </c>
    </row>
    <row r="90" spans="1:22" x14ac:dyDescent="0.25">
      <c r="A90" s="3" t="s">
        <v>186</v>
      </c>
      <c r="B90" s="39" t="s">
        <v>562</v>
      </c>
      <c r="C90" s="3">
        <v>1000</v>
      </c>
      <c r="D90" s="3">
        <v>0.15</v>
      </c>
      <c r="E90" s="3">
        <v>5</v>
      </c>
      <c r="F90" s="39" t="s">
        <v>18</v>
      </c>
      <c r="G90" s="39" t="s">
        <v>16</v>
      </c>
      <c r="H90" s="128">
        <v>7286</v>
      </c>
      <c r="I90" s="128">
        <v>0.75</v>
      </c>
      <c r="J90" s="129">
        <v>0</v>
      </c>
      <c r="K90" s="139">
        <v>7279</v>
      </c>
      <c r="L90" s="139">
        <v>23</v>
      </c>
      <c r="M90" s="139">
        <v>18</v>
      </c>
      <c r="N90" s="130">
        <f>((Tabela13633[[#This Row],[Objetive value Cannibalism ]]-Tabela13633[[#This Row],[Objetive value Cannibalism/GATeS]])/Tabela13633[[#This Row],[Objetive value Cannibalism ]])*100</f>
        <v>9.6074663738676916E-2</v>
      </c>
      <c r="O90" s="131">
        <v>7286</v>
      </c>
      <c r="P90" s="131">
        <v>0.45</v>
      </c>
      <c r="Q90" s="131">
        <v>0</v>
      </c>
      <c r="R90" s="141">
        <f>(((Tabela13633[[#This Row],[Objetive value Cannibalism ]]-Tabela13633[[#This Row],[Objetive value Cannibalism/H-R1]])/Tabela13633[[#This Row],[Objetive value Cannibalism ]]))*100</f>
        <v>0</v>
      </c>
      <c r="S90" s="113">
        <v>7286</v>
      </c>
      <c r="T90" s="113">
        <v>0.62</v>
      </c>
      <c r="U90" s="113">
        <v>0</v>
      </c>
      <c r="V90" s="143">
        <f>(((Tabela13633[[#This Row],[Objetive value Cannibalism ]]-Tabela13633[[#This Row],[Objetive value Cannibalism/H-R2]])/Tabela13633[[#This Row],[Objetive value Cannibalism ]]))*100</f>
        <v>0</v>
      </c>
    </row>
    <row r="91" spans="1:22" x14ac:dyDescent="0.25">
      <c r="A91" s="3" t="s">
        <v>186</v>
      </c>
      <c r="B91" s="39" t="s">
        <v>563</v>
      </c>
      <c r="C91" s="3">
        <v>1000</v>
      </c>
      <c r="D91" s="3">
        <v>0.15</v>
      </c>
      <c r="E91" s="3">
        <v>5</v>
      </c>
      <c r="F91" s="39" t="s">
        <v>21</v>
      </c>
      <c r="G91" s="39" t="s">
        <v>14</v>
      </c>
      <c r="H91" s="128">
        <v>10141</v>
      </c>
      <c r="I91" s="128">
        <v>0.48499999998602999</v>
      </c>
      <c r="J91" s="129">
        <v>0</v>
      </c>
      <c r="K91" s="139">
        <v>10130</v>
      </c>
      <c r="L91" s="139">
        <v>24</v>
      </c>
      <c r="M91" s="139">
        <v>4</v>
      </c>
      <c r="N91" s="130">
        <f>((Tabela13633[[#This Row],[Objetive value Cannibalism ]]-Tabela13633[[#This Row],[Objetive value Cannibalism/GATeS]])/Tabela13633[[#This Row],[Objetive value Cannibalism ]])*100</f>
        <v>0.10847056503303422</v>
      </c>
      <c r="O91" s="131">
        <v>10141</v>
      </c>
      <c r="P91" s="131">
        <v>0.69</v>
      </c>
      <c r="Q91" s="131">
        <v>0</v>
      </c>
      <c r="R91" s="141">
        <f>(((Tabela13633[[#This Row],[Objetive value Cannibalism ]]-Tabela13633[[#This Row],[Objetive value Cannibalism/H-R1]])/Tabela13633[[#This Row],[Objetive value Cannibalism ]]))*100</f>
        <v>0</v>
      </c>
      <c r="S91" s="113">
        <v>10141</v>
      </c>
      <c r="T91" s="113">
        <v>0.73</v>
      </c>
      <c r="U91" s="113">
        <v>0</v>
      </c>
      <c r="V91" s="143">
        <f>(((Tabela13633[[#This Row],[Objetive value Cannibalism ]]-Tabela13633[[#This Row],[Objetive value Cannibalism/H-R2]])/Tabela13633[[#This Row],[Objetive value Cannibalism ]]))*100</f>
        <v>0</v>
      </c>
    </row>
    <row r="92" spans="1:22" x14ac:dyDescent="0.25">
      <c r="A92" s="3" t="s">
        <v>186</v>
      </c>
      <c r="B92" s="39" t="s">
        <v>564</v>
      </c>
      <c r="C92" s="3">
        <v>1000</v>
      </c>
      <c r="D92" s="3">
        <v>0.15</v>
      </c>
      <c r="E92" s="3">
        <v>5</v>
      </c>
      <c r="F92" s="39" t="s">
        <v>21</v>
      </c>
      <c r="G92" s="39" t="s">
        <v>16</v>
      </c>
      <c r="H92" s="128">
        <v>6256</v>
      </c>
      <c r="I92" s="128">
        <v>0.51599999994505197</v>
      </c>
      <c r="J92" s="129">
        <v>0</v>
      </c>
      <c r="K92" s="139">
        <v>6171</v>
      </c>
      <c r="L92" s="139">
        <v>19</v>
      </c>
      <c r="M92" s="139">
        <v>7</v>
      </c>
      <c r="N92" s="130">
        <f>((Tabela13633[[#This Row],[Objetive value Cannibalism ]]-Tabela13633[[#This Row],[Objetive value Cannibalism/GATeS]])/Tabela13633[[#This Row],[Objetive value Cannibalism ]])*100</f>
        <v>1.3586956521739131</v>
      </c>
      <c r="O92" s="131">
        <v>6256</v>
      </c>
      <c r="P92" s="131">
        <v>0.39</v>
      </c>
      <c r="Q92" s="131">
        <v>0</v>
      </c>
      <c r="R92" s="141">
        <f>(((Tabela13633[[#This Row],[Objetive value Cannibalism ]]-Tabela13633[[#This Row],[Objetive value Cannibalism/H-R1]])/Tabela13633[[#This Row],[Objetive value Cannibalism ]]))*100</f>
        <v>0</v>
      </c>
      <c r="S92" s="113">
        <v>6178</v>
      </c>
      <c r="T92" s="113">
        <v>0.48</v>
      </c>
      <c r="U92" s="113">
        <v>0</v>
      </c>
      <c r="V92" s="143">
        <f>(((Tabela13633[[#This Row],[Objetive value Cannibalism ]]-Tabela13633[[#This Row],[Objetive value Cannibalism/H-R2]])/Tabela13633[[#This Row],[Objetive value Cannibalism ]]))*100</f>
        <v>1.2468030690537084</v>
      </c>
    </row>
    <row r="93" spans="1:22" x14ac:dyDescent="0.25">
      <c r="A93" s="3" t="s">
        <v>205</v>
      </c>
      <c r="B93" s="39" t="s">
        <v>565</v>
      </c>
      <c r="C93" s="3">
        <v>1000</v>
      </c>
      <c r="D93" s="3">
        <v>0.05</v>
      </c>
      <c r="E93" s="3">
        <v>10</v>
      </c>
      <c r="F93" s="39" t="s">
        <v>13</v>
      </c>
      <c r="G93" s="39" t="s">
        <v>14</v>
      </c>
      <c r="H93" s="128">
        <v>14237</v>
      </c>
      <c r="I93" s="128">
        <v>2.8900000000139698</v>
      </c>
      <c r="J93" s="129">
        <v>0</v>
      </c>
      <c r="K93" s="139">
        <v>14197</v>
      </c>
      <c r="L93" s="139">
        <v>60</v>
      </c>
      <c r="M93" s="139">
        <v>42</v>
      </c>
      <c r="N93" s="130">
        <f>((Tabela13633[[#This Row],[Objetive value Cannibalism ]]-Tabela13633[[#This Row],[Objetive value Cannibalism/GATeS]])/Tabela13633[[#This Row],[Objetive value Cannibalism ]])*100</f>
        <v>0.28095806700849901</v>
      </c>
      <c r="O93" s="131">
        <v>14237</v>
      </c>
      <c r="P93" s="131">
        <v>0.76</v>
      </c>
      <c r="Q93" s="131">
        <v>0</v>
      </c>
      <c r="R93" s="141">
        <f>(((Tabela13633[[#This Row],[Objetive value Cannibalism ]]-Tabela13633[[#This Row],[Objetive value Cannibalism/H-R1]])/Tabela13633[[#This Row],[Objetive value Cannibalism ]]))*100</f>
        <v>0</v>
      </c>
      <c r="S93" s="113">
        <v>14237</v>
      </c>
      <c r="T93" s="113">
        <v>0.57999999999999996</v>
      </c>
      <c r="U93" s="113">
        <v>0</v>
      </c>
      <c r="V93" s="143">
        <f>(((Tabela13633[[#This Row],[Objetive value Cannibalism ]]-Tabela13633[[#This Row],[Objetive value Cannibalism/H-R2]])/Tabela13633[[#This Row],[Objetive value Cannibalism ]]))*100</f>
        <v>0</v>
      </c>
    </row>
    <row r="94" spans="1:22" x14ac:dyDescent="0.25">
      <c r="A94" s="3" t="s">
        <v>205</v>
      </c>
      <c r="B94" s="39" t="s">
        <v>566</v>
      </c>
      <c r="C94" s="3">
        <v>1000</v>
      </c>
      <c r="D94" s="3">
        <v>0.05</v>
      </c>
      <c r="E94" s="3">
        <v>10</v>
      </c>
      <c r="F94" s="39" t="s">
        <v>13</v>
      </c>
      <c r="G94" s="39" t="s">
        <v>16</v>
      </c>
      <c r="H94" s="128">
        <v>11762</v>
      </c>
      <c r="I94" s="128">
        <v>10.155999999959</v>
      </c>
      <c r="J94" s="129">
        <v>0</v>
      </c>
      <c r="K94" s="139">
        <v>11715</v>
      </c>
      <c r="L94" s="139">
        <v>101</v>
      </c>
      <c r="M94" s="139">
        <v>70</v>
      </c>
      <c r="N94" s="130">
        <f>((Tabela13633[[#This Row],[Objetive value Cannibalism ]]-Tabela13633[[#This Row],[Objetive value Cannibalism/GATeS]])/Tabela13633[[#This Row],[Objetive value Cannibalism ]])*100</f>
        <v>0.39959190613841178</v>
      </c>
      <c r="O94" s="131">
        <v>10894</v>
      </c>
      <c r="P94" s="131">
        <v>0.7</v>
      </c>
      <c r="Q94" s="131">
        <v>0</v>
      </c>
      <c r="R94" s="141">
        <f>(((Tabela13633[[#This Row],[Objetive value Cannibalism ]]-Tabela13633[[#This Row],[Objetive value Cannibalism/H-R1]])/Tabela13633[[#This Row],[Objetive value Cannibalism ]]))*100</f>
        <v>7.3796973303859881</v>
      </c>
      <c r="S94" s="113">
        <v>11309</v>
      </c>
      <c r="T94" s="113">
        <v>0.85</v>
      </c>
      <c r="U94" s="113">
        <v>0</v>
      </c>
      <c r="V94" s="143">
        <f>(((Tabela13633[[#This Row],[Objetive value Cannibalism ]]-Tabela13633[[#This Row],[Objetive value Cannibalism/H-R2]])/Tabela13633[[#This Row],[Objetive value Cannibalism ]]))*100</f>
        <v>3.8513858187383101</v>
      </c>
    </row>
    <row r="95" spans="1:22" x14ac:dyDescent="0.25">
      <c r="A95" s="3" t="s">
        <v>205</v>
      </c>
      <c r="B95" s="39" t="s">
        <v>567</v>
      </c>
      <c r="C95" s="3">
        <v>1000</v>
      </c>
      <c r="D95" s="3">
        <v>0.05</v>
      </c>
      <c r="E95" s="3">
        <v>10</v>
      </c>
      <c r="F95" s="39" t="s">
        <v>18</v>
      </c>
      <c r="G95" s="39" t="s">
        <v>14</v>
      </c>
      <c r="H95" s="128">
        <v>19657</v>
      </c>
      <c r="I95" s="128">
        <v>1.71900000004097</v>
      </c>
      <c r="J95" s="129">
        <v>0</v>
      </c>
      <c r="K95" s="139">
        <v>19605</v>
      </c>
      <c r="L95" s="139">
        <v>65</v>
      </c>
      <c r="M95" s="139">
        <v>3</v>
      </c>
      <c r="N95" s="130">
        <f>((Tabela13633[[#This Row],[Objetive value Cannibalism ]]-Tabela13633[[#This Row],[Objetive value Cannibalism/GATeS]])/Tabela13633[[#This Row],[Objetive value Cannibalism ]])*100</f>
        <v>0.26453680622678943</v>
      </c>
      <c r="O95" s="131">
        <v>18838</v>
      </c>
      <c r="P95" s="131">
        <v>0.77</v>
      </c>
      <c r="Q95" s="131">
        <v>0</v>
      </c>
      <c r="R95" s="141">
        <f>(((Tabela13633[[#This Row],[Objetive value Cannibalism ]]-Tabela13633[[#This Row],[Objetive value Cannibalism/H-R1]])/Tabela13633[[#This Row],[Objetive value Cannibalism ]]))*100</f>
        <v>4.1664546980719335</v>
      </c>
      <c r="S95" s="113">
        <v>19657</v>
      </c>
      <c r="T95" s="113">
        <v>0.97</v>
      </c>
      <c r="U95" s="113">
        <v>0</v>
      </c>
      <c r="V95" s="143">
        <f>(((Tabela13633[[#This Row],[Objetive value Cannibalism ]]-Tabela13633[[#This Row],[Objetive value Cannibalism/H-R2]])/Tabela13633[[#This Row],[Objetive value Cannibalism ]]))*100</f>
        <v>0</v>
      </c>
    </row>
    <row r="96" spans="1:22" x14ac:dyDescent="0.25">
      <c r="A96" s="3" t="s">
        <v>205</v>
      </c>
      <c r="B96" s="39" t="s">
        <v>568</v>
      </c>
      <c r="C96" s="3">
        <v>1000</v>
      </c>
      <c r="D96" s="3">
        <v>0.05</v>
      </c>
      <c r="E96" s="3">
        <v>10</v>
      </c>
      <c r="F96" s="39" t="s">
        <v>18</v>
      </c>
      <c r="G96" s="39" t="s">
        <v>16</v>
      </c>
      <c r="H96" s="128">
        <v>11938</v>
      </c>
      <c r="I96" s="128">
        <v>6.5</v>
      </c>
      <c r="J96" s="129">
        <v>0</v>
      </c>
      <c r="K96" s="139">
        <v>11736</v>
      </c>
      <c r="L96" s="139">
        <v>61</v>
      </c>
      <c r="M96" s="139">
        <v>6</v>
      </c>
      <c r="N96" s="130">
        <f>((Tabela13633[[#This Row],[Objetive value Cannibalism ]]-Tabela13633[[#This Row],[Objetive value Cannibalism/GATeS]])/Tabela13633[[#This Row],[Objetive value Cannibalism ]])*100</f>
        <v>1.6920757245769813</v>
      </c>
      <c r="O96" s="131">
        <v>11892</v>
      </c>
      <c r="P96" s="131">
        <v>0.71</v>
      </c>
      <c r="Q96" s="131">
        <v>0</v>
      </c>
      <c r="R96" s="141">
        <f>(((Tabela13633[[#This Row],[Objetive value Cannibalism ]]-Tabela13633[[#This Row],[Objetive value Cannibalism/H-R1]])/Tabela13633[[#This Row],[Objetive value Cannibalism ]]))*100</f>
        <v>0.38532417490366899</v>
      </c>
      <c r="S96" s="113">
        <v>11713</v>
      </c>
      <c r="T96" s="113">
        <v>0.72</v>
      </c>
      <c r="U96" s="113">
        <v>0</v>
      </c>
      <c r="V96" s="143">
        <f>(((Tabela13633[[#This Row],[Objetive value Cannibalism ]]-Tabela13633[[#This Row],[Objetive value Cannibalism/H-R2]])/Tabela13633[[#This Row],[Objetive value Cannibalism ]]))*100</f>
        <v>1.8847378120288156</v>
      </c>
    </row>
    <row r="97" spans="1:22" x14ac:dyDescent="0.25">
      <c r="A97" s="3" t="s">
        <v>205</v>
      </c>
      <c r="B97" s="39" t="s">
        <v>569</v>
      </c>
      <c r="C97" s="3">
        <v>1000</v>
      </c>
      <c r="D97" s="3">
        <v>0.05</v>
      </c>
      <c r="E97" s="3">
        <v>10</v>
      </c>
      <c r="F97" s="39" t="s">
        <v>21</v>
      </c>
      <c r="G97" s="39" t="s">
        <v>14</v>
      </c>
      <c r="H97" s="128">
        <v>14278</v>
      </c>
      <c r="I97" s="128">
        <v>1.4380000000819499</v>
      </c>
      <c r="J97" s="129">
        <v>123.92</v>
      </c>
      <c r="K97" s="139">
        <v>14185</v>
      </c>
      <c r="L97" s="139">
        <v>55</v>
      </c>
      <c r="M97" s="139">
        <v>0</v>
      </c>
      <c r="N97" s="130">
        <f>((Tabela13633[[#This Row],[Objetive value Cannibalism ]]-Tabela13633[[#This Row],[Objetive value Cannibalism/GATeS]])/Tabela13633[[#This Row],[Objetive value Cannibalism ]])*100</f>
        <v>0.65135172993416446</v>
      </c>
      <c r="O97" s="131">
        <v>14279</v>
      </c>
      <c r="P97" s="131">
        <v>0.86</v>
      </c>
      <c r="Q97" s="131">
        <v>0</v>
      </c>
      <c r="R97" s="141">
        <f>(((Tabela13633[[#This Row],[Objetive value Cannibalism ]]-Tabela13633[[#This Row],[Objetive value Cannibalism/H-R1]])/Tabela13633[[#This Row],[Objetive value Cannibalism ]]))*100</f>
        <v>-7.0037820423028427E-3</v>
      </c>
      <c r="S97" s="113">
        <v>14279</v>
      </c>
      <c r="T97" s="113">
        <v>0.88</v>
      </c>
      <c r="U97" s="113">
        <v>0</v>
      </c>
      <c r="V97" s="143">
        <f>(((Tabela13633[[#This Row],[Objetive value Cannibalism ]]-Tabela13633[[#This Row],[Objetive value Cannibalism/H-R2]])/Tabela13633[[#This Row],[Objetive value Cannibalism ]]))*100</f>
        <v>-7.0037820423028427E-3</v>
      </c>
    </row>
    <row r="98" spans="1:22" x14ac:dyDescent="0.25">
      <c r="A98" s="3" t="s">
        <v>205</v>
      </c>
      <c r="B98" s="39" t="s">
        <v>570</v>
      </c>
      <c r="C98" s="3">
        <v>1000</v>
      </c>
      <c r="D98" s="3">
        <v>0.05</v>
      </c>
      <c r="E98" s="3">
        <v>10</v>
      </c>
      <c r="F98" s="39" t="s">
        <v>21</v>
      </c>
      <c r="G98" s="39" t="s">
        <v>16</v>
      </c>
      <c r="H98" s="128">
        <v>11489</v>
      </c>
      <c r="I98" s="128">
        <v>3.0620000000344501</v>
      </c>
      <c r="J98" s="129">
        <v>0</v>
      </c>
      <c r="K98" s="139">
        <v>11372</v>
      </c>
      <c r="L98" s="139">
        <v>45</v>
      </c>
      <c r="M98" s="139">
        <v>18</v>
      </c>
      <c r="N98" s="130">
        <f>((Tabela13633[[#This Row],[Objetive value Cannibalism ]]-Tabela13633[[#This Row],[Objetive value Cannibalism/GATeS]])/Tabela13633[[#This Row],[Objetive value Cannibalism ]])*100</f>
        <v>1.0183653929845939</v>
      </c>
      <c r="O98" s="131">
        <v>11248</v>
      </c>
      <c r="P98" s="131">
        <v>0.82</v>
      </c>
      <c r="Q98" s="131">
        <v>0</v>
      </c>
      <c r="R98" s="141">
        <f>(((Tabela13633[[#This Row],[Objetive value Cannibalism ]]-Tabela13633[[#This Row],[Objetive value Cannibalism/H-R1]])/Tabela13633[[#This Row],[Objetive value Cannibalism ]]))*100</f>
        <v>2.0976586299939073</v>
      </c>
      <c r="S98" s="113">
        <v>11258</v>
      </c>
      <c r="T98" s="113">
        <v>1.05</v>
      </c>
      <c r="U98" s="113">
        <v>0</v>
      </c>
      <c r="V98" s="143">
        <f>(((Tabela13633[[#This Row],[Objetive value Cannibalism ]]-Tabela13633[[#This Row],[Objetive value Cannibalism/H-R2]])/Tabela13633[[#This Row],[Objetive value Cannibalism ]]))*100</f>
        <v>2.0106188528157367</v>
      </c>
    </row>
    <row r="99" spans="1:22" x14ac:dyDescent="0.25">
      <c r="A99" s="3" t="s">
        <v>224</v>
      </c>
      <c r="B99" s="37" t="s">
        <v>583</v>
      </c>
      <c r="C99" s="3">
        <v>1000</v>
      </c>
      <c r="D99" s="3">
        <v>0.05</v>
      </c>
      <c r="E99" s="3">
        <v>15</v>
      </c>
      <c r="F99" s="39" t="s">
        <v>13</v>
      </c>
      <c r="G99" s="39" t="s">
        <v>14</v>
      </c>
      <c r="H99" s="128">
        <v>28120</v>
      </c>
      <c r="I99" s="128">
        <v>13.890000000013901</v>
      </c>
      <c r="J99" s="129">
        <v>8.43</v>
      </c>
      <c r="K99" s="139">
        <v>26677</v>
      </c>
      <c r="L99" s="139">
        <v>99</v>
      </c>
      <c r="M99" s="139">
        <v>87</v>
      </c>
      <c r="N99" s="130">
        <f>((Tabela13633[[#This Row],[Objetive value Cannibalism ]]-Tabela13633[[#This Row],[Objetive value Cannibalism/GATeS]])/Tabela13633[[#This Row],[Objetive value Cannibalism ]])*100</f>
        <v>5.1315789473684212</v>
      </c>
      <c r="O99" s="131">
        <v>25084</v>
      </c>
      <c r="P99" s="131">
        <v>0.6</v>
      </c>
      <c r="Q99" s="131">
        <v>0</v>
      </c>
      <c r="R99" s="141">
        <f>(((Tabela13633[[#This Row],[Objetive value Cannibalism ]]-Tabela13633[[#This Row],[Objetive value Cannibalism/H-R1]])/Tabela13633[[#This Row],[Objetive value Cannibalism ]]))*100</f>
        <v>10.796586059743953</v>
      </c>
      <c r="S99" s="113">
        <v>25248</v>
      </c>
      <c r="T99" s="113">
        <v>0.61</v>
      </c>
      <c r="U99" s="113">
        <v>0</v>
      </c>
      <c r="V99" s="143">
        <f>(((Tabela13633[[#This Row],[Objetive value Cannibalism ]]-Tabela13633[[#This Row],[Objetive value Cannibalism/H-R2]])/Tabela13633[[#This Row],[Objetive value Cannibalism ]]))*100</f>
        <v>10.213371266002845</v>
      </c>
    </row>
    <row r="100" spans="1:22" x14ac:dyDescent="0.25">
      <c r="A100" s="3" t="s">
        <v>224</v>
      </c>
      <c r="B100" s="39" t="s">
        <v>584</v>
      </c>
      <c r="C100" s="3">
        <v>1000</v>
      </c>
      <c r="D100" s="3">
        <v>0.05</v>
      </c>
      <c r="E100" s="3">
        <v>15</v>
      </c>
      <c r="F100" s="39" t="s">
        <v>13</v>
      </c>
      <c r="G100" s="39" t="s">
        <v>16</v>
      </c>
      <c r="H100" s="128">
        <v>17041</v>
      </c>
      <c r="I100" s="128">
        <v>72.390999999944995</v>
      </c>
      <c r="J100" s="129">
        <v>0</v>
      </c>
      <c r="K100" s="139">
        <v>16877</v>
      </c>
      <c r="L100" s="139">
        <v>163</v>
      </c>
      <c r="M100" s="139">
        <v>58</v>
      </c>
      <c r="N100" s="130">
        <f>((Tabela13633[[#This Row],[Objetive value Cannibalism ]]-Tabela13633[[#This Row],[Objetive value Cannibalism/GATeS]])/Tabela13633[[#This Row],[Objetive value Cannibalism ]])*100</f>
        <v>0.9623848365706239</v>
      </c>
      <c r="O100" s="131">
        <v>17040</v>
      </c>
      <c r="P100" s="131">
        <v>0.87</v>
      </c>
      <c r="Q100" s="131">
        <v>0</v>
      </c>
      <c r="R100" s="141">
        <f>(((Tabela13633[[#This Row],[Objetive value Cannibalism ]]-Tabela13633[[#This Row],[Objetive value Cannibalism/H-R1]])/Tabela13633[[#This Row],[Objetive value Cannibalism ]]))*100</f>
        <v>5.8682002229916083E-3</v>
      </c>
      <c r="S100" s="113">
        <v>16599</v>
      </c>
      <c r="T100" s="113">
        <v>0.78</v>
      </c>
      <c r="U100" s="113">
        <v>0</v>
      </c>
      <c r="V100" s="143">
        <f>(((Tabela13633[[#This Row],[Objetive value Cannibalism ]]-Tabela13633[[#This Row],[Objetive value Cannibalism/H-R2]])/Tabela13633[[#This Row],[Objetive value Cannibalism ]]))*100</f>
        <v>2.5937444985622911</v>
      </c>
    </row>
    <row r="101" spans="1:22" x14ac:dyDescent="0.25">
      <c r="A101" s="3" t="s">
        <v>224</v>
      </c>
      <c r="B101" s="39" t="s">
        <v>585</v>
      </c>
      <c r="C101" s="3">
        <v>1000</v>
      </c>
      <c r="D101" s="3">
        <v>0.05</v>
      </c>
      <c r="E101" s="3">
        <v>15</v>
      </c>
      <c r="F101" s="39" t="s">
        <v>18</v>
      </c>
      <c r="G101" s="39" t="s">
        <v>14</v>
      </c>
      <c r="H101" s="128">
        <v>29002</v>
      </c>
      <c r="I101" s="128">
        <v>12.7029999999795</v>
      </c>
      <c r="J101" s="129">
        <v>13.08</v>
      </c>
      <c r="K101" s="139">
        <v>27569</v>
      </c>
      <c r="L101" s="139">
        <v>82</v>
      </c>
      <c r="M101" s="139">
        <v>36</v>
      </c>
      <c r="N101" s="130">
        <f>((Tabela13633[[#This Row],[Objetive value Cannibalism ]]-Tabela13633[[#This Row],[Objetive value Cannibalism/GATeS]])/Tabela13633[[#This Row],[Objetive value Cannibalism ]])*100</f>
        <v>4.9410385490655813</v>
      </c>
      <c r="O101" s="131">
        <v>25217</v>
      </c>
      <c r="P101" s="131">
        <v>0.57999999999999996</v>
      </c>
      <c r="Q101" s="131">
        <v>0</v>
      </c>
      <c r="R101" s="141">
        <f>(((Tabela13633[[#This Row],[Objetive value Cannibalism ]]-Tabela13633[[#This Row],[Objetive value Cannibalism/H-R1]])/Tabela13633[[#This Row],[Objetive value Cannibalism ]]))*100</f>
        <v>13.050824081097856</v>
      </c>
      <c r="S101" s="113">
        <v>24733</v>
      </c>
      <c r="T101" s="113">
        <v>0.55000000000000004</v>
      </c>
      <c r="U101" s="113">
        <v>0</v>
      </c>
      <c r="V101" s="143">
        <f>(((Tabela13633[[#This Row],[Objetive value Cannibalism ]]-Tabela13633[[#This Row],[Objetive value Cannibalism/H-R2]])/Tabela13633[[#This Row],[Objetive value Cannibalism ]]))*100</f>
        <v>14.719674505206537</v>
      </c>
    </row>
    <row r="102" spans="1:22" x14ac:dyDescent="0.25">
      <c r="A102" s="3" t="s">
        <v>224</v>
      </c>
      <c r="B102" s="39" t="s">
        <v>586</v>
      </c>
      <c r="C102" s="3">
        <v>1000</v>
      </c>
      <c r="D102" s="3">
        <v>0.05</v>
      </c>
      <c r="E102" s="3">
        <v>15</v>
      </c>
      <c r="F102" s="39" t="s">
        <v>18</v>
      </c>
      <c r="G102" s="39" t="s">
        <v>16</v>
      </c>
      <c r="H102" s="128">
        <v>17450</v>
      </c>
      <c r="I102" s="128">
        <v>69.202999999979497</v>
      </c>
      <c r="J102" s="129">
        <v>2.09</v>
      </c>
      <c r="K102" s="139">
        <v>16844</v>
      </c>
      <c r="L102" s="139">
        <v>208</v>
      </c>
      <c r="M102" s="139">
        <v>199</v>
      </c>
      <c r="N102" s="130">
        <f>((Tabela13633[[#This Row],[Objetive value Cannibalism ]]-Tabela13633[[#This Row],[Objetive value Cannibalism/GATeS]])/Tabela13633[[#This Row],[Objetive value Cannibalism ]])*100</f>
        <v>3.4727793696275073</v>
      </c>
      <c r="O102" s="131">
        <v>17267</v>
      </c>
      <c r="P102" s="131">
        <v>0.78</v>
      </c>
      <c r="Q102" s="131">
        <v>0</v>
      </c>
      <c r="R102" s="141">
        <f>(((Tabela13633[[#This Row],[Objetive value Cannibalism ]]-Tabela13633[[#This Row],[Objetive value Cannibalism/H-R1]])/Tabela13633[[#This Row],[Objetive value Cannibalism ]]))*100</f>
        <v>1.0487106017191976</v>
      </c>
      <c r="S102" s="113">
        <v>17352</v>
      </c>
      <c r="T102" s="113">
        <v>1</v>
      </c>
      <c r="U102" s="113">
        <v>0</v>
      </c>
      <c r="V102" s="143">
        <f>(((Tabela13633[[#This Row],[Objetive value Cannibalism ]]-Tabela13633[[#This Row],[Objetive value Cannibalism/H-R2]])/Tabela13633[[#This Row],[Objetive value Cannibalism ]]))*100</f>
        <v>0.56160458452722062</v>
      </c>
    </row>
    <row r="103" spans="1:22" x14ac:dyDescent="0.25">
      <c r="A103" s="3" t="s">
        <v>224</v>
      </c>
      <c r="B103" s="39" t="s">
        <v>587</v>
      </c>
      <c r="C103" s="3">
        <v>1000</v>
      </c>
      <c r="D103" s="3">
        <v>0.05</v>
      </c>
      <c r="E103" s="3">
        <v>15</v>
      </c>
      <c r="F103" s="39" t="s">
        <v>21</v>
      </c>
      <c r="G103" s="39" t="s">
        <v>14</v>
      </c>
      <c r="H103" s="128">
        <v>16731</v>
      </c>
      <c r="I103" s="128">
        <v>2.5629999999655402</v>
      </c>
      <c r="J103" s="129">
        <v>0</v>
      </c>
      <c r="K103" s="139">
        <v>16456</v>
      </c>
      <c r="L103" s="139">
        <v>61</v>
      </c>
      <c r="M103" s="139">
        <v>48</v>
      </c>
      <c r="N103" s="130">
        <f>((Tabela13633[[#This Row],[Objetive value Cannibalism ]]-Tabela13633[[#This Row],[Objetive value Cannibalism/GATeS]])/Tabela13633[[#This Row],[Objetive value Cannibalism ]])*100</f>
        <v>1.6436554898093358</v>
      </c>
      <c r="O103" s="131">
        <v>1954</v>
      </c>
      <c r="P103" s="131">
        <v>2.74</v>
      </c>
      <c r="Q103" s="131">
        <v>0</v>
      </c>
      <c r="R103" s="141">
        <f>(((Tabela13633[[#This Row],[Objetive value Cannibalism ]]-Tabela13633[[#This Row],[Objetive value Cannibalism/H-R1]])/Tabela13633[[#This Row],[Objetive value Cannibalism ]]))*100</f>
        <v>88.321080628772947</v>
      </c>
      <c r="S103" s="113">
        <v>16477</v>
      </c>
      <c r="T103" s="113">
        <v>1</v>
      </c>
      <c r="U103" s="113">
        <v>0</v>
      </c>
      <c r="V103" s="143">
        <f>(((Tabela13633[[#This Row],[Objetive value Cannibalism ]]-Tabela13633[[#This Row],[Objetive value Cannibalism/H-R2]])/Tabela13633[[#This Row],[Objetive value Cannibalism ]]))*100</f>
        <v>1.5181399796784412</v>
      </c>
    </row>
    <row r="104" spans="1:22" x14ac:dyDescent="0.25">
      <c r="A104" s="3" t="s">
        <v>224</v>
      </c>
      <c r="B104" s="39" t="s">
        <v>588</v>
      </c>
      <c r="C104" s="3">
        <v>1000</v>
      </c>
      <c r="D104" s="3">
        <v>0.05</v>
      </c>
      <c r="E104" s="3">
        <v>15</v>
      </c>
      <c r="F104" s="39" t="s">
        <v>21</v>
      </c>
      <c r="G104" s="39" t="s">
        <v>16</v>
      </c>
      <c r="H104" s="128">
        <v>16384</v>
      </c>
      <c r="I104" s="128">
        <v>47.484999999986002</v>
      </c>
      <c r="J104" s="129">
        <v>0</v>
      </c>
      <c r="K104" s="139">
        <v>16252</v>
      </c>
      <c r="L104" s="139">
        <v>112</v>
      </c>
      <c r="M104" s="139">
        <v>104</v>
      </c>
      <c r="N104" s="130">
        <f>((Tabela13633[[#This Row],[Objetive value Cannibalism ]]-Tabela13633[[#This Row],[Objetive value Cannibalism/GATeS]])/Tabela13633[[#This Row],[Objetive value Cannibalism ]])*100</f>
        <v>0.8056640625</v>
      </c>
      <c r="O104" s="131">
        <v>16384</v>
      </c>
      <c r="P104" s="131">
        <v>0.72</v>
      </c>
      <c r="Q104" s="131">
        <v>0</v>
      </c>
      <c r="R104" s="141">
        <f>(((Tabela13633[[#This Row],[Objetive value Cannibalism ]]-Tabela13633[[#This Row],[Objetive value Cannibalism/H-R1]])/Tabela13633[[#This Row],[Objetive value Cannibalism ]]))*100</f>
        <v>0</v>
      </c>
      <c r="S104" s="113">
        <v>16246</v>
      </c>
      <c r="T104" s="113">
        <v>1.1000000000000001</v>
      </c>
      <c r="U104" s="113">
        <v>0</v>
      </c>
      <c r="V104" s="143">
        <f>(((Tabela13633[[#This Row],[Objetive value Cannibalism ]]-Tabela13633[[#This Row],[Objetive value Cannibalism/H-R2]])/Tabela13633[[#This Row],[Objetive value Cannibalism ]]))*100</f>
        <v>0.84228515625</v>
      </c>
    </row>
    <row r="105" spans="1:22" x14ac:dyDescent="0.25">
      <c r="A105" s="34" t="s">
        <v>186</v>
      </c>
      <c r="B105" s="39" t="s">
        <v>547</v>
      </c>
      <c r="C105" s="3">
        <v>1000</v>
      </c>
      <c r="D105" s="3">
        <v>0.05</v>
      </c>
      <c r="E105" s="3">
        <v>5</v>
      </c>
      <c r="F105" s="39" t="s">
        <v>13</v>
      </c>
      <c r="G105" s="39" t="s">
        <v>14</v>
      </c>
      <c r="H105" s="128">
        <v>10549</v>
      </c>
      <c r="I105" s="128">
        <v>0.5</v>
      </c>
      <c r="J105" s="129">
        <v>0</v>
      </c>
      <c r="K105" s="139">
        <v>10395</v>
      </c>
      <c r="L105" s="139">
        <v>38</v>
      </c>
      <c r="M105" s="139">
        <v>9</v>
      </c>
      <c r="N105" s="130">
        <f>((Tabela13633[[#This Row],[Objetive value Cannibalism ]]-Tabela13633[[#This Row],[Objetive value Cannibalism/GATeS]])/Tabela13633[[#This Row],[Objetive value Cannibalism ]])*100</f>
        <v>1.4598540145985401</v>
      </c>
      <c r="O105" s="131">
        <v>10425</v>
      </c>
      <c r="P105" s="131">
        <v>0.46</v>
      </c>
      <c r="Q105" s="131">
        <v>0</v>
      </c>
      <c r="R105" s="141">
        <f>(((Tabela13633[[#This Row],[Objetive value Cannibalism ]]-Tabela13633[[#This Row],[Objetive value Cannibalism/H-R1]])/Tabela13633[[#This Row],[Objetive value Cannibalism ]]))*100</f>
        <v>1.1754668688975258</v>
      </c>
      <c r="S105" s="113">
        <v>10549</v>
      </c>
      <c r="T105" s="113">
        <v>0.56999999999999995</v>
      </c>
      <c r="U105" s="113">
        <v>0</v>
      </c>
      <c r="V105" s="143">
        <f>(((Tabela13633[[#This Row],[Objetive value Cannibalism ]]-Tabela13633[[#This Row],[Objetive value Cannibalism/H-R2]])/Tabela13633[[#This Row],[Objetive value Cannibalism ]]))*100</f>
        <v>0</v>
      </c>
    </row>
    <row r="106" spans="1:22" x14ac:dyDescent="0.25">
      <c r="A106" s="3" t="s">
        <v>186</v>
      </c>
      <c r="B106" s="39" t="s">
        <v>548</v>
      </c>
      <c r="C106" s="3">
        <v>1000</v>
      </c>
      <c r="D106" s="3">
        <v>0.05</v>
      </c>
      <c r="E106" s="3">
        <v>5</v>
      </c>
      <c r="F106" s="39" t="s">
        <v>13</v>
      </c>
      <c r="G106" s="39" t="s">
        <v>16</v>
      </c>
      <c r="H106" s="128">
        <v>7321</v>
      </c>
      <c r="I106" s="128">
        <v>0.84400000004097797</v>
      </c>
      <c r="J106" s="129">
        <v>0</v>
      </c>
      <c r="K106" s="139">
        <v>7297</v>
      </c>
      <c r="L106" s="139">
        <v>34</v>
      </c>
      <c r="M106" s="139">
        <v>5</v>
      </c>
      <c r="N106" s="130">
        <f>((Tabela13633[[#This Row],[Objetive value Cannibalism ]]-Tabela13633[[#This Row],[Objetive value Cannibalism/GATeS]])/Tabela13633[[#This Row],[Objetive value Cannibalism ]])*100</f>
        <v>0.32782406775030731</v>
      </c>
      <c r="O106" s="131">
        <v>7152</v>
      </c>
      <c r="P106" s="131">
        <v>0.52</v>
      </c>
      <c r="Q106" s="131">
        <v>0</v>
      </c>
      <c r="R106" s="141">
        <f>(((Tabela13633[[#This Row],[Objetive value Cannibalism ]]-Tabela13633[[#This Row],[Objetive value Cannibalism/H-R1]])/Tabela13633[[#This Row],[Objetive value Cannibalism ]]))*100</f>
        <v>2.3084278104084142</v>
      </c>
      <c r="S106" s="113">
        <v>7321</v>
      </c>
      <c r="T106" s="113">
        <v>0.53</v>
      </c>
      <c r="U106" s="113">
        <v>0</v>
      </c>
      <c r="V106" s="143">
        <f>(((Tabela13633[[#This Row],[Objetive value Cannibalism ]]-Tabela13633[[#This Row],[Objetive value Cannibalism/H-R2]])/Tabela13633[[#This Row],[Objetive value Cannibalism ]]))*100</f>
        <v>0</v>
      </c>
    </row>
    <row r="107" spans="1:22" x14ac:dyDescent="0.25">
      <c r="A107" s="3" t="s">
        <v>186</v>
      </c>
      <c r="B107" s="39" t="s">
        <v>549</v>
      </c>
      <c r="C107" s="3">
        <v>1000</v>
      </c>
      <c r="D107" s="3">
        <v>0.05</v>
      </c>
      <c r="E107" s="3">
        <v>5</v>
      </c>
      <c r="F107" s="39" t="s">
        <v>18</v>
      </c>
      <c r="G107" s="39" t="s">
        <v>14</v>
      </c>
      <c r="H107" s="128">
        <v>10309</v>
      </c>
      <c r="I107" s="128">
        <v>0.53100000007543702</v>
      </c>
      <c r="J107" s="129">
        <v>0</v>
      </c>
      <c r="K107" s="139">
        <v>10288</v>
      </c>
      <c r="L107" s="139">
        <v>27</v>
      </c>
      <c r="M107" s="139">
        <v>8</v>
      </c>
      <c r="N107" s="130">
        <f>((Tabela13633[[#This Row],[Objetive value Cannibalism ]]-Tabela13633[[#This Row],[Objetive value Cannibalism/GATeS]])/Tabela13633[[#This Row],[Objetive value Cannibalism ]])*100</f>
        <v>0.2037055000485013</v>
      </c>
      <c r="O107" s="131">
        <v>10309</v>
      </c>
      <c r="P107" s="131">
        <v>0.37</v>
      </c>
      <c r="Q107" s="131">
        <v>0</v>
      </c>
      <c r="R107" s="141">
        <f>(((Tabela13633[[#This Row],[Objetive value Cannibalism ]]-Tabela13633[[#This Row],[Objetive value Cannibalism/H-R1]])/Tabela13633[[#This Row],[Objetive value Cannibalism ]]))*100</f>
        <v>0</v>
      </c>
      <c r="S107" s="113">
        <v>10309</v>
      </c>
      <c r="T107" s="113">
        <v>0.46</v>
      </c>
      <c r="U107" s="113">
        <v>0</v>
      </c>
      <c r="V107" s="143">
        <f>(((Tabela13633[[#This Row],[Objetive value Cannibalism ]]-Tabela13633[[#This Row],[Objetive value Cannibalism/H-R2]])/Tabela13633[[#This Row],[Objetive value Cannibalism ]]))*100</f>
        <v>0</v>
      </c>
    </row>
    <row r="108" spans="1:22" x14ac:dyDescent="0.25">
      <c r="A108" s="3" t="s">
        <v>186</v>
      </c>
      <c r="B108" s="39" t="s">
        <v>550</v>
      </c>
      <c r="C108" s="3">
        <v>1000</v>
      </c>
      <c r="D108" s="3">
        <v>0.05</v>
      </c>
      <c r="E108" s="3">
        <v>5</v>
      </c>
      <c r="F108" s="39" t="s">
        <v>18</v>
      </c>
      <c r="G108" s="39" t="s">
        <v>16</v>
      </c>
      <c r="H108" s="128">
        <v>7597</v>
      </c>
      <c r="I108" s="128">
        <v>0.34399999992456198</v>
      </c>
      <c r="J108" s="129">
        <v>0</v>
      </c>
      <c r="K108" s="139">
        <v>7596</v>
      </c>
      <c r="L108" s="139">
        <v>40</v>
      </c>
      <c r="M108" s="139">
        <v>12</v>
      </c>
      <c r="N108" s="130">
        <f>((Tabela13633[[#This Row],[Objetive value Cannibalism ]]-Tabela13633[[#This Row],[Objetive value Cannibalism/GATeS]])/Tabela13633[[#This Row],[Objetive value Cannibalism ]])*100</f>
        <v>1.3163090693694878E-2</v>
      </c>
      <c r="O108" s="131">
        <v>7597</v>
      </c>
      <c r="P108" s="131">
        <v>0.43</v>
      </c>
      <c r="Q108" s="131">
        <v>0</v>
      </c>
      <c r="R108" s="141">
        <f>(((Tabela13633[[#This Row],[Objetive value Cannibalism ]]-Tabela13633[[#This Row],[Objetive value Cannibalism/H-R1]])/Tabela13633[[#This Row],[Objetive value Cannibalism ]]))*100</f>
        <v>0</v>
      </c>
      <c r="S108" s="113">
        <v>7597</v>
      </c>
      <c r="T108" s="113">
        <v>0.45</v>
      </c>
      <c r="U108" s="113">
        <v>0</v>
      </c>
      <c r="V108" s="143">
        <f>(((Tabela13633[[#This Row],[Objetive value Cannibalism ]]-Tabela13633[[#This Row],[Objetive value Cannibalism/H-R2]])/Tabela13633[[#This Row],[Objetive value Cannibalism ]]))*100</f>
        <v>0</v>
      </c>
    </row>
    <row r="109" spans="1:22" x14ac:dyDescent="0.25">
      <c r="A109" s="3" t="s">
        <v>186</v>
      </c>
      <c r="B109" s="39" t="s">
        <v>551</v>
      </c>
      <c r="C109" s="3">
        <v>1000</v>
      </c>
      <c r="D109" s="3">
        <v>0.05</v>
      </c>
      <c r="E109" s="3">
        <v>5</v>
      </c>
      <c r="F109" s="39" t="s">
        <v>21</v>
      </c>
      <c r="G109" s="39" t="s">
        <v>14</v>
      </c>
      <c r="H109" s="128">
        <v>6861</v>
      </c>
      <c r="I109" s="128">
        <v>0.51500000001396895</v>
      </c>
      <c r="J109" s="129">
        <v>0</v>
      </c>
      <c r="K109" s="139">
        <v>6836</v>
      </c>
      <c r="L109" s="139">
        <v>30</v>
      </c>
      <c r="M109" s="139">
        <v>24</v>
      </c>
      <c r="N109" s="130">
        <f>((Tabela13633[[#This Row],[Objetive value Cannibalism ]]-Tabela13633[[#This Row],[Objetive value Cannibalism/GATeS]])/Tabela13633[[#This Row],[Objetive value Cannibalism ]])*100</f>
        <v>0.36437837049992711</v>
      </c>
      <c r="O109" s="131">
        <v>6861</v>
      </c>
      <c r="P109" s="131">
        <v>0.62</v>
      </c>
      <c r="Q109" s="131">
        <v>0</v>
      </c>
      <c r="R109" s="141">
        <f>(((Tabela13633[[#This Row],[Objetive value Cannibalism ]]-Tabela13633[[#This Row],[Objetive value Cannibalism/H-R1]])/Tabela13633[[#This Row],[Objetive value Cannibalism ]]))*100</f>
        <v>0</v>
      </c>
      <c r="S109" s="113">
        <v>6861</v>
      </c>
      <c r="T109" s="113">
        <v>0.46</v>
      </c>
      <c r="U109" s="113">
        <v>0</v>
      </c>
      <c r="V109" s="143">
        <f>(((Tabela13633[[#This Row],[Objetive value Cannibalism ]]-Tabela13633[[#This Row],[Objetive value Cannibalism/H-R2]])/Tabela13633[[#This Row],[Objetive value Cannibalism ]]))*100</f>
        <v>0</v>
      </c>
    </row>
    <row r="110" spans="1:22" x14ac:dyDescent="0.25">
      <c r="A110" s="3" t="s">
        <v>186</v>
      </c>
      <c r="B110" s="39" t="s">
        <v>552</v>
      </c>
      <c r="C110" s="3">
        <v>1000</v>
      </c>
      <c r="D110" s="3">
        <v>0.05</v>
      </c>
      <c r="E110" s="3">
        <v>5</v>
      </c>
      <c r="F110" s="39" t="s">
        <v>21</v>
      </c>
      <c r="G110" s="39" t="s">
        <v>16</v>
      </c>
      <c r="H110" s="128">
        <v>7619</v>
      </c>
      <c r="I110" s="128">
        <v>0.5</v>
      </c>
      <c r="J110" s="129">
        <v>0</v>
      </c>
      <c r="K110" s="139">
        <v>7614</v>
      </c>
      <c r="L110" s="139">
        <v>31</v>
      </c>
      <c r="M110" s="139">
        <v>0</v>
      </c>
      <c r="N110" s="130">
        <f>((Tabela13633[[#This Row],[Objetive value Cannibalism ]]-Tabela13633[[#This Row],[Objetive value Cannibalism/GATeS]])/Tabela13633[[#This Row],[Objetive value Cannibalism ]])*100</f>
        <v>6.5625410158813499E-2</v>
      </c>
      <c r="O110" s="131">
        <v>7619</v>
      </c>
      <c r="P110" s="131">
        <v>0.51</v>
      </c>
      <c r="Q110" s="131">
        <v>0</v>
      </c>
      <c r="R110" s="141">
        <f>(((Tabela13633[[#This Row],[Objetive value Cannibalism ]]-Tabela13633[[#This Row],[Objetive value Cannibalism/H-R1]])/Tabela13633[[#This Row],[Objetive value Cannibalism ]]))*100</f>
        <v>0</v>
      </c>
      <c r="S110" s="113">
        <v>7000</v>
      </c>
      <c r="T110" s="113">
        <v>0.48</v>
      </c>
      <c r="U110" s="113">
        <v>0</v>
      </c>
      <c r="V110" s="143">
        <f>(((Tabela13633[[#This Row],[Objetive value Cannibalism ]]-Tabela13633[[#This Row],[Objetive value Cannibalism/H-R2]])/Tabela13633[[#This Row],[Objetive value Cannibalism ]]))*100</f>
        <v>8.1244257776611111</v>
      </c>
    </row>
    <row r="111" spans="1:22" x14ac:dyDescent="0.25">
      <c r="A111" s="3" t="s">
        <v>262</v>
      </c>
      <c r="B111" s="37" t="s">
        <v>625</v>
      </c>
      <c r="C111" s="3">
        <v>2000</v>
      </c>
      <c r="D111" s="95">
        <v>0.1</v>
      </c>
      <c r="E111" s="3">
        <v>10</v>
      </c>
      <c r="F111" s="39" t="s">
        <v>13</v>
      </c>
      <c r="G111" s="39" t="s">
        <v>14</v>
      </c>
      <c r="H111" s="128">
        <v>31871</v>
      </c>
      <c r="I111" s="128">
        <v>11.109999999986</v>
      </c>
      <c r="J111" s="129">
        <v>0</v>
      </c>
      <c r="K111" s="139">
        <v>31783</v>
      </c>
      <c r="L111" s="139">
        <v>293</v>
      </c>
      <c r="M111" s="139">
        <v>69</v>
      </c>
      <c r="N111" s="130">
        <f>((Tabela13633[[#This Row],[Objetive value Cannibalism ]]-Tabela13633[[#This Row],[Objetive value Cannibalism/GATeS]])/Tabela13633[[#This Row],[Objetive value Cannibalism ]])*100</f>
        <v>0.2761130808572056</v>
      </c>
      <c r="O111" s="131">
        <v>31359</v>
      </c>
      <c r="P111" s="131">
        <v>1.1399999999999999</v>
      </c>
      <c r="Q111" s="131">
        <v>0</v>
      </c>
      <c r="R111" s="141">
        <f>(((Tabela13633[[#This Row],[Objetive value Cannibalism ]]-Tabela13633[[#This Row],[Objetive value Cannibalism/H-R1]])/Tabela13633[[#This Row],[Objetive value Cannibalism ]]))*100</f>
        <v>1.60647610680556</v>
      </c>
      <c r="S111" s="113">
        <v>23055</v>
      </c>
      <c r="T111" s="113">
        <v>0.87</v>
      </c>
      <c r="U111" s="113">
        <v>0</v>
      </c>
      <c r="V111" s="143">
        <f>(((Tabela13633[[#This Row],[Objetive value Cannibalism ]]-Tabela13633[[#This Row],[Objetive value Cannibalism/H-R2]])/Tabela13633[[#This Row],[Objetive value Cannibalism ]]))*100</f>
        <v>27.661510464058235</v>
      </c>
    </row>
    <row r="112" spans="1:22" x14ac:dyDescent="0.25">
      <c r="A112" s="3" t="s">
        <v>262</v>
      </c>
      <c r="B112" s="39" t="s">
        <v>626</v>
      </c>
      <c r="C112" s="3">
        <v>2000</v>
      </c>
      <c r="D112" s="95">
        <v>0.1</v>
      </c>
      <c r="E112" s="3">
        <v>10</v>
      </c>
      <c r="F112" s="39" t="s">
        <v>13</v>
      </c>
      <c r="G112" s="39" t="s">
        <v>16</v>
      </c>
      <c r="H112" s="128">
        <v>23995</v>
      </c>
      <c r="I112" s="128">
        <v>16.204000000027001</v>
      </c>
      <c r="J112" s="129">
        <v>0</v>
      </c>
      <c r="K112" s="139">
        <v>23737</v>
      </c>
      <c r="L112" s="139">
        <v>280</v>
      </c>
      <c r="M112" s="139">
        <v>261</v>
      </c>
      <c r="N112" s="130">
        <f>((Tabela13633[[#This Row],[Objetive value Cannibalism ]]-Tabela13633[[#This Row],[Objetive value Cannibalism/GATeS]])/Tabela13633[[#This Row],[Objetive value Cannibalism ]])*100</f>
        <v>1.075224005001042</v>
      </c>
      <c r="O112" s="131">
        <v>21103</v>
      </c>
      <c r="P112" s="131">
        <v>0.71</v>
      </c>
      <c r="Q112" s="131">
        <v>0</v>
      </c>
      <c r="R112" s="141">
        <f>(((Tabela13633[[#This Row],[Objetive value Cannibalism ]]-Tabela13633[[#This Row],[Objetive value Cannibalism/H-R1]])/Tabela13633[[#This Row],[Objetive value Cannibalism ]]))*100</f>
        <v>12.05251093977912</v>
      </c>
      <c r="S112" s="113">
        <v>22257</v>
      </c>
      <c r="T112" s="113">
        <v>0.76</v>
      </c>
      <c r="U112" s="113">
        <v>0</v>
      </c>
      <c r="V112" s="143">
        <f>(((Tabela13633[[#This Row],[Objetive value Cannibalism ]]-Tabela13633[[#This Row],[Objetive value Cannibalism/H-R2]])/Tabela13633[[#This Row],[Objetive value Cannibalism ]]))*100</f>
        <v>7.2431756615961653</v>
      </c>
    </row>
    <row r="113" spans="1:22" x14ac:dyDescent="0.25">
      <c r="A113" s="3" t="s">
        <v>262</v>
      </c>
      <c r="B113" s="39" t="s">
        <v>627</v>
      </c>
      <c r="C113" s="3">
        <v>2000</v>
      </c>
      <c r="D113" s="114">
        <v>0.1</v>
      </c>
      <c r="E113" s="3">
        <v>10</v>
      </c>
      <c r="F113" s="39" t="s">
        <v>18</v>
      </c>
      <c r="G113" s="39" t="s">
        <v>14</v>
      </c>
      <c r="H113" s="128">
        <v>44387</v>
      </c>
      <c r="I113" s="128">
        <v>12.609999999986</v>
      </c>
      <c r="J113" s="129">
        <v>0</v>
      </c>
      <c r="K113" s="139">
        <v>41810</v>
      </c>
      <c r="L113" s="139">
        <v>252</v>
      </c>
      <c r="M113" s="139">
        <v>4</v>
      </c>
      <c r="N113" s="130">
        <f>((Tabela13633[[#This Row],[Objetive value Cannibalism ]]-Tabela13633[[#This Row],[Objetive value Cannibalism/GATeS]])/Tabela13633[[#This Row],[Objetive value Cannibalism ]])*100</f>
        <v>5.8057539369635247</v>
      </c>
      <c r="O113" s="131">
        <v>38945</v>
      </c>
      <c r="P113" s="131">
        <v>1.36</v>
      </c>
      <c r="Q113" s="131">
        <v>0</v>
      </c>
      <c r="R113" s="141">
        <f>(((Tabela13633[[#This Row],[Objetive value Cannibalism ]]-Tabela13633[[#This Row],[Objetive value Cannibalism/H-R1]])/Tabela13633[[#This Row],[Objetive value Cannibalism ]]))*100</f>
        <v>12.260346497848468</v>
      </c>
      <c r="S113" s="113">
        <v>40305</v>
      </c>
      <c r="T113" s="113">
        <v>1.36</v>
      </c>
      <c r="U113" s="113">
        <v>0</v>
      </c>
      <c r="V113" s="143">
        <f>(((Tabela13633[[#This Row],[Objetive value Cannibalism ]]-Tabela13633[[#This Row],[Objetive value Cannibalism/H-R2]])/Tabela13633[[#This Row],[Objetive value Cannibalism ]]))*100</f>
        <v>9.1963863293306591</v>
      </c>
    </row>
    <row r="114" spans="1:22" x14ac:dyDescent="0.25">
      <c r="A114" s="3" t="s">
        <v>262</v>
      </c>
      <c r="B114" s="39" t="s">
        <v>628</v>
      </c>
      <c r="C114" s="3">
        <v>2000</v>
      </c>
      <c r="D114" s="114">
        <v>0.1</v>
      </c>
      <c r="E114" s="3">
        <v>10</v>
      </c>
      <c r="F114" s="39" t="s">
        <v>18</v>
      </c>
      <c r="G114" s="39" t="s">
        <v>16</v>
      </c>
      <c r="H114" s="128">
        <v>23414</v>
      </c>
      <c r="I114" s="128">
        <v>19.390999999944999</v>
      </c>
      <c r="J114" s="129">
        <v>0</v>
      </c>
      <c r="K114" s="139">
        <v>22839</v>
      </c>
      <c r="L114" s="139">
        <v>363</v>
      </c>
      <c r="M114" s="139">
        <v>341</v>
      </c>
      <c r="N114" s="130">
        <f>((Tabela13633[[#This Row],[Objetive value Cannibalism ]]-Tabela13633[[#This Row],[Objetive value Cannibalism/GATeS]])/Tabela13633[[#This Row],[Objetive value Cannibalism ]])*100</f>
        <v>2.4557956777996068</v>
      </c>
      <c r="O114" s="131">
        <v>23413</v>
      </c>
      <c r="P114" s="131">
        <v>1.26</v>
      </c>
      <c r="Q114" s="131">
        <v>0</v>
      </c>
      <c r="R114" s="141">
        <f>(((Tabela13633[[#This Row],[Objetive value Cannibalism ]]-Tabela13633[[#This Row],[Objetive value Cannibalism/H-R1]])/Tabela13633[[#This Row],[Objetive value Cannibalism ]]))*100</f>
        <v>4.2709490048688818E-3</v>
      </c>
      <c r="S114" s="113">
        <v>23324</v>
      </c>
      <c r="T114" s="113">
        <v>1.25</v>
      </c>
      <c r="U114" s="113">
        <v>0</v>
      </c>
      <c r="V114" s="143">
        <f>(((Tabela13633[[#This Row],[Objetive value Cannibalism ]]-Tabela13633[[#This Row],[Objetive value Cannibalism/H-R2]])/Tabela13633[[#This Row],[Objetive value Cannibalism ]]))*100</f>
        <v>0.3843854104381994</v>
      </c>
    </row>
    <row r="115" spans="1:22" x14ac:dyDescent="0.25">
      <c r="A115" s="3" t="s">
        <v>262</v>
      </c>
      <c r="B115" s="39" t="s">
        <v>629</v>
      </c>
      <c r="C115" s="3">
        <v>2000</v>
      </c>
      <c r="D115" s="95">
        <v>0.1</v>
      </c>
      <c r="E115" s="3">
        <v>10</v>
      </c>
      <c r="F115" s="39" t="s">
        <v>21</v>
      </c>
      <c r="G115" s="39" t="s">
        <v>14</v>
      </c>
      <c r="H115" s="128">
        <v>37848</v>
      </c>
      <c r="I115" s="128">
        <v>6.3439999999245602</v>
      </c>
      <c r="J115" s="129">
        <v>0</v>
      </c>
      <c r="K115" s="139">
        <v>33488</v>
      </c>
      <c r="L115" s="139">
        <v>221</v>
      </c>
      <c r="M115" s="139">
        <v>23</v>
      </c>
      <c r="N115" s="130">
        <f>((Tabela13633[[#This Row],[Objetive value Cannibalism ]]-Tabela13633[[#This Row],[Objetive value Cannibalism/GATeS]])/Tabela13633[[#This Row],[Objetive value Cannibalism ]])*100</f>
        <v>11.519763263580639</v>
      </c>
      <c r="O115" s="131">
        <v>27908</v>
      </c>
      <c r="P115" s="131">
        <v>1.89</v>
      </c>
      <c r="Q115" s="131">
        <v>0</v>
      </c>
      <c r="R115" s="141">
        <f>(((Tabela13633[[#This Row],[Objetive value Cannibalism ]]-Tabela13633[[#This Row],[Objetive value Cannibalism/H-R1]])/Tabela13633[[#This Row],[Objetive value Cannibalism ]]))*100</f>
        <v>26.262946522933838</v>
      </c>
      <c r="S115" s="113">
        <v>36363</v>
      </c>
      <c r="T115" s="113">
        <v>0.81</v>
      </c>
      <c r="U115" s="113">
        <v>0</v>
      </c>
      <c r="V115" s="143">
        <f>(((Tabela13633[[#This Row],[Objetive value Cannibalism ]]-Tabela13633[[#This Row],[Objetive value Cannibalism/H-R2]])/Tabela13633[[#This Row],[Objetive value Cannibalism ]]))*100</f>
        <v>3.9235890932149653</v>
      </c>
    </row>
    <row r="116" spans="1:22" x14ac:dyDescent="0.25">
      <c r="A116" s="3" t="s">
        <v>262</v>
      </c>
      <c r="B116" s="39" t="s">
        <v>630</v>
      </c>
      <c r="C116" s="3">
        <v>2000</v>
      </c>
      <c r="D116" s="95">
        <v>0.1</v>
      </c>
      <c r="E116" s="3">
        <v>10</v>
      </c>
      <c r="F116" s="39" t="s">
        <v>21</v>
      </c>
      <c r="G116" s="39" t="s">
        <v>16</v>
      </c>
      <c r="H116" s="128">
        <v>25839</v>
      </c>
      <c r="I116" s="128">
        <v>8.3910000000614602</v>
      </c>
      <c r="J116" s="129">
        <v>0</v>
      </c>
      <c r="K116" s="139">
        <v>25107</v>
      </c>
      <c r="L116" s="139">
        <v>288</v>
      </c>
      <c r="M116" s="139">
        <v>44</v>
      </c>
      <c r="N116" s="130">
        <f>((Tabela13633[[#This Row],[Objetive value Cannibalism ]]-Tabela13633[[#This Row],[Objetive value Cannibalism/GATeS]])/Tabela13633[[#This Row],[Objetive value Cannibalism ]])*100</f>
        <v>2.8329269708580052</v>
      </c>
      <c r="O116" s="131">
        <v>24309</v>
      </c>
      <c r="P116" s="131">
        <v>0.96</v>
      </c>
      <c r="Q116" s="131">
        <v>0</v>
      </c>
      <c r="R116" s="141">
        <f>(((Tabela13633[[#This Row],[Objetive value Cannibalism ]]-Tabela13633[[#This Row],[Objetive value Cannibalism/H-R1]])/Tabela13633[[#This Row],[Objetive value Cannibalism ]]))*100</f>
        <v>5.9212817833507483</v>
      </c>
      <c r="S116" s="113">
        <v>25168</v>
      </c>
      <c r="T116" s="113">
        <v>1.1100000000000001</v>
      </c>
      <c r="U116" s="113">
        <v>0</v>
      </c>
      <c r="V116" s="143">
        <f>(((Tabela13633[[#This Row],[Objetive value Cannibalism ]]-Tabela13633[[#This Row],[Objetive value Cannibalism/H-R2]])/Tabela13633[[#This Row],[Objetive value Cannibalism ]]))*100</f>
        <v>2.5968497232865051</v>
      </c>
    </row>
    <row r="117" spans="1:22" x14ac:dyDescent="0.25">
      <c r="A117" s="3" t="s">
        <v>281</v>
      </c>
      <c r="B117" s="37" t="s">
        <v>643</v>
      </c>
      <c r="C117" s="3">
        <v>2000</v>
      </c>
      <c r="D117" s="114">
        <v>0.1</v>
      </c>
      <c r="E117" s="3">
        <v>15</v>
      </c>
      <c r="F117" s="39" t="s">
        <v>13</v>
      </c>
      <c r="G117" s="39" t="s">
        <v>14</v>
      </c>
      <c r="H117" s="128">
        <v>64289</v>
      </c>
      <c r="I117" s="128">
        <v>37.984999999986002</v>
      </c>
      <c r="J117" s="129">
        <v>2.23</v>
      </c>
      <c r="K117" s="139">
        <v>60360</v>
      </c>
      <c r="L117" s="139">
        <v>395</v>
      </c>
      <c r="M117" s="139">
        <v>295</v>
      </c>
      <c r="N117" s="130">
        <f>((Tabela13633[[#This Row],[Objetive value Cannibalism ]]-Tabela13633[[#This Row],[Objetive value Cannibalism/GATeS]])/Tabela13633[[#This Row],[Objetive value Cannibalism ]])*100</f>
        <v>6.1114654139899516</v>
      </c>
      <c r="O117" s="131">
        <v>60167</v>
      </c>
      <c r="P117" s="131">
        <v>2.0299999999999998</v>
      </c>
      <c r="Q117" s="131">
        <v>0</v>
      </c>
      <c r="R117" s="141">
        <f>(((Tabela13633[[#This Row],[Objetive value Cannibalism ]]-Tabela13633[[#This Row],[Objetive value Cannibalism/H-R1]])/Tabela13633[[#This Row],[Objetive value Cannibalism ]]))*100</f>
        <v>6.4116722923050595</v>
      </c>
      <c r="S117" s="113">
        <v>55753</v>
      </c>
      <c r="T117" s="113">
        <v>1.39</v>
      </c>
      <c r="U117" s="113">
        <v>0</v>
      </c>
      <c r="V117" s="143">
        <f>(((Tabela13633[[#This Row],[Objetive value Cannibalism ]]-Tabela13633[[#This Row],[Objetive value Cannibalism/H-R2]])/Tabela13633[[#This Row],[Objetive value Cannibalism ]]))*100</f>
        <v>13.277543592216398</v>
      </c>
    </row>
    <row r="118" spans="1:22" x14ac:dyDescent="0.25">
      <c r="A118" s="3" t="s">
        <v>281</v>
      </c>
      <c r="B118" s="39" t="s">
        <v>644</v>
      </c>
      <c r="C118" s="3">
        <v>2000</v>
      </c>
      <c r="D118" s="114">
        <v>0.1</v>
      </c>
      <c r="E118" s="3">
        <v>15</v>
      </c>
      <c r="F118" s="39" t="s">
        <v>13</v>
      </c>
      <c r="G118" s="39" t="s">
        <v>16</v>
      </c>
      <c r="H118" s="128">
        <v>34275</v>
      </c>
      <c r="I118" s="128">
        <v>240.56300000008099</v>
      </c>
      <c r="J118" s="129">
        <v>0.53</v>
      </c>
      <c r="K118" s="139">
        <v>33899</v>
      </c>
      <c r="L118" s="139">
        <v>653</v>
      </c>
      <c r="M118" s="139">
        <v>54</v>
      </c>
      <c r="N118" s="130">
        <f>((Tabela13633[[#This Row],[Objetive value Cannibalism ]]-Tabela13633[[#This Row],[Objetive value Cannibalism/GATeS]])/Tabela13633[[#This Row],[Objetive value Cannibalism ]])*100</f>
        <v>1.0970094821298322</v>
      </c>
      <c r="O118" s="131">
        <v>32573</v>
      </c>
      <c r="P118" s="131">
        <v>1.82</v>
      </c>
      <c r="Q118" s="131">
        <v>0</v>
      </c>
      <c r="R118" s="141">
        <f>(((Tabela13633[[#This Row],[Objetive value Cannibalism ]]-Tabela13633[[#This Row],[Objetive value Cannibalism/H-R1]])/Tabela13633[[#This Row],[Objetive value Cannibalism ]]))*100</f>
        <v>4.9657184536834427</v>
      </c>
      <c r="S118" s="113">
        <v>33161</v>
      </c>
      <c r="T118" s="113">
        <v>1.53</v>
      </c>
      <c r="U118" s="113">
        <v>0</v>
      </c>
      <c r="V118" s="143">
        <f>(((Tabela13633[[#This Row],[Objetive value Cannibalism ]]-Tabela13633[[#This Row],[Objetive value Cannibalism/H-R2]])/Tabela13633[[#This Row],[Objetive value Cannibalism ]]))*100</f>
        <v>3.2501823486506201</v>
      </c>
    </row>
    <row r="119" spans="1:22" x14ac:dyDescent="0.25">
      <c r="A119" s="3" t="s">
        <v>281</v>
      </c>
      <c r="B119" s="39" t="s">
        <v>645</v>
      </c>
      <c r="C119" s="3">
        <v>2000</v>
      </c>
      <c r="D119" s="114">
        <v>0.1</v>
      </c>
      <c r="E119" s="3">
        <v>15</v>
      </c>
      <c r="F119" s="3" t="s">
        <v>18</v>
      </c>
      <c r="G119" s="39" t="s">
        <v>14</v>
      </c>
      <c r="H119" s="128">
        <v>70681</v>
      </c>
      <c r="I119" s="128">
        <v>20.937999999965498</v>
      </c>
      <c r="J119" s="129">
        <v>11.36</v>
      </c>
      <c r="K119" s="139">
        <v>68777</v>
      </c>
      <c r="L119" s="139">
        <v>367</v>
      </c>
      <c r="M119" s="139">
        <v>268</v>
      </c>
      <c r="N119" s="130">
        <f>((Tabela13633[[#This Row],[Objetive value Cannibalism ]]-Tabela13633[[#This Row],[Objetive value Cannibalism/GATeS]])/Tabela13633[[#This Row],[Objetive value Cannibalism ]])*100</f>
        <v>2.6937932400503675</v>
      </c>
      <c r="O119" s="131">
        <v>65858</v>
      </c>
      <c r="P119" s="131">
        <v>1.83</v>
      </c>
      <c r="Q119" s="131">
        <v>0</v>
      </c>
      <c r="R119" s="141">
        <f>(((Tabela13633[[#This Row],[Objetive value Cannibalism ]]-Tabela13633[[#This Row],[Objetive value Cannibalism/H-R1]])/Tabela13633[[#This Row],[Objetive value Cannibalism ]]))*100</f>
        <v>6.8236159646864083</v>
      </c>
      <c r="S119" s="113">
        <v>65403</v>
      </c>
      <c r="T119" s="113">
        <v>1.47</v>
      </c>
      <c r="U119" s="113">
        <v>0</v>
      </c>
      <c r="V119" s="143">
        <f>(((Tabela13633[[#This Row],[Objetive value Cannibalism ]]-Tabela13633[[#This Row],[Objetive value Cannibalism/H-R2]])/Tabela13633[[#This Row],[Objetive value Cannibalism ]]))*100</f>
        <v>7.4673533198455031</v>
      </c>
    </row>
    <row r="120" spans="1:22" x14ac:dyDescent="0.25">
      <c r="A120" s="3" t="s">
        <v>281</v>
      </c>
      <c r="B120" s="39" t="s">
        <v>646</v>
      </c>
      <c r="C120" s="3">
        <v>2000</v>
      </c>
      <c r="D120" s="114">
        <v>0.1</v>
      </c>
      <c r="E120" s="3">
        <v>15</v>
      </c>
      <c r="F120" s="3" t="s">
        <v>18</v>
      </c>
      <c r="G120" s="39" t="s">
        <v>16</v>
      </c>
      <c r="H120" s="128">
        <v>34257</v>
      </c>
      <c r="I120" s="128">
        <v>192.717999999993</v>
      </c>
      <c r="J120" s="129">
        <v>0</v>
      </c>
      <c r="K120" s="139">
        <v>34144</v>
      </c>
      <c r="L120" s="139">
        <v>781</v>
      </c>
      <c r="M120" s="139">
        <v>432</v>
      </c>
      <c r="N120" s="130">
        <f>((Tabela13633[[#This Row],[Objetive value Cannibalism ]]-Tabela13633[[#This Row],[Objetive value Cannibalism/GATeS]])/Tabela13633[[#This Row],[Objetive value Cannibalism ]])*100</f>
        <v>0.32985959074057858</v>
      </c>
      <c r="O120" s="131">
        <v>33318</v>
      </c>
      <c r="P120" s="131">
        <v>1.77</v>
      </c>
      <c r="Q120" s="131">
        <v>0</v>
      </c>
      <c r="R120" s="141">
        <f>(((Tabela13633[[#This Row],[Objetive value Cannibalism ]]-Tabela13633[[#This Row],[Objetive value Cannibalism/H-R1]])/Tabela13633[[#This Row],[Objetive value Cannibalism ]]))*100</f>
        <v>2.7410456257115334</v>
      </c>
      <c r="S120" s="113">
        <v>33383</v>
      </c>
      <c r="T120" s="113">
        <v>1.56</v>
      </c>
      <c r="U120" s="113">
        <v>0</v>
      </c>
      <c r="V120" s="143">
        <f>(((Tabela13633[[#This Row],[Objetive value Cannibalism ]]-Tabela13633[[#This Row],[Objetive value Cannibalism/H-R2]])/Tabela13633[[#This Row],[Objetive value Cannibalism ]]))*100</f>
        <v>2.5513033832501386</v>
      </c>
    </row>
    <row r="121" spans="1:22" x14ac:dyDescent="0.25">
      <c r="A121" s="3" t="s">
        <v>281</v>
      </c>
      <c r="B121" s="39" t="s">
        <v>647</v>
      </c>
      <c r="C121" s="3">
        <v>2000</v>
      </c>
      <c r="D121" s="114">
        <v>0.1</v>
      </c>
      <c r="E121" s="3">
        <v>15</v>
      </c>
      <c r="F121" s="39" t="s">
        <v>21</v>
      </c>
      <c r="G121" s="39" t="s">
        <v>14</v>
      </c>
      <c r="H121" s="128">
        <v>50405</v>
      </c>
      <c r="I121" s="128">
        <v>8.3900000000139698</v>
      </c>
      <c r="J121" s="129">
        <v>0</v>
      </c>
      <c r="K121" s="139">
        <v>50372</v>
      </c>
      <c r="L121" s="139">
        <v>381</v>
      </c>
      <c r="M121" s="139">
        <v>138</v>
      </c>
      <c r="N121" s="130">
        <f>((Tabela13633[[#This Row],[Objetive value Cannibalism ]]-Tabela13633[[#This Row],[Objetive value Cannibalism/GATeS]])/Tabela13633[[#This Row],[Objetive value Cannibalism ]])*100</f>
        <v>6.5469695466719574E-2</v>
      </c>
      <c r="O121" s="131">
        <v>13537</v>
      </c>
      <c r="P121" s="131">
        <v>8.26</v>
      </c>
      <c r="Q121" s="131">
        <v>0</v>
      </c>
      <c r="R121" s="141">
        <f>(((Tabela13633[[#This Row],[Objetive value Cannibalism ]]-Tabela13633[[#This Row],[Objetive value Cannibalism/H-R1]])/Tabela13633[[#This Row],[Objetive value Cannibalism ]]))*100</f>
        <v>73.143537347485363</v>
      </c>
      <c r="S121" s="113">
        <v>41157</v>
      </c>
      <c r="T121" s="113">
        <v>3.82</v>
      </c>
      <c r="U121" s="113">
        <v>0</v>
      </c>
      <c r="V121" s="143">
        <f>(((Tabela13633[[#This Row],[Objetive value Cannibalism ]]-Tabela13633[[#This Row],[Objetive value Cannibalism/H-R2]])/Tabela13633[[#This Row],[Objetive value Cannibalism ]]))*100</f>
        <v>18.347386172006747</v>
      </c>
    </row>
    <row r="122" spans="1:22" x14ac:dyDescent="0.25">
      <c r="A122" s="3" t="s">
        <v>281</v>
      </c>
      <c r="B122" s="39" t="s">
        <v>648</v>
      </c>
      <c r="C122" s="3">
        <v>2000</v>
      </c>
      <c r="D122" s="114">
        <v>0.1</v>
      </c>
      <c r="E122" s="3">
        <v>15</v>
      </c>
      <c r="F122" s="39" t="s">
        <v>21</v>
      </c>
      <c r="G122" s="39" t="s">
        <v>16</v>
      </c>
      <c r="H122" s="128">
        <v>34598</v>
      </c>
      <c r="I122" s="128">
        <v>213.937000000034</v>
      </c>
      <c r="J122" s="129">
        <v>0.37</v>
      </c>
      <c r="K122" s="139">
        <v>34081</v>
      </c>
      <c r="L122" s="139">
        <v>215</v>
      </c>
      <c r="M122" s="139">
        <v>97</v>
      </c>
      <c r="N122" s="130">
        <f>((Tabela13633[[#This Row],[Objetive value Cannibalism ]]-Tabela13633[[#This Row],[Objetive value Cannibalism/GATeS]])/Tabela13633[[#This Row],[Objetive value Cannibalism ]])*100</f>
        <v>1.4943060292502457</v>
      </c>
      <c r="O122" s="131">
        <v>33631</v>
      </c>
      <c r="P122" s="131">
        <v>2.11</v>
      </c>
      <c r="Q122" s="131">
        <v>0</v>
      </c>
      <c r="R122" s="141">
        <f>(((Tabela13633[[#This Row],[Objetive value Cannibalism ]]-Tabela13633[[#This Row],[Objetive value Cannibalism/H-R1]])/Tabela13633[[#This Row],[Objetive value Cannibalism ]]))*100</f>
        <v>2.7949592461992023</v>
      </c>
      <c r="S122" s="113">
        <v>34325</v>
      </c>
      <c r="T122" s="113">
        <v>1.86</v>
      </c>
      <c r="U122" s="113">
        <v>0</v>
      </c>
      <c r="V122" s="143">
        <f>(((Tabela13633[[#This Row],[Objetive value Cannibalism ]]-Tabela13633[[#This Row],[Objetive value Cannibalism/H-R2]])/Tabela13633[[#This Row],[Objetive value Cannibalism ]]))*100</f>
        <v>0.78906295161570039</v>
      </c>
    </row>
    <row r="123" spans="1:22" x14ac:dyDescent="0.25">
      <c r="A123" s="3" t="s">
        <v>243</v>
      </c>
      <c r="B123" s="37" t="s">
        <v>607</v>
      </c>
      <c r="C123" s="3">
        <v>2000</v>
      </c>
      <c r="D123" s="114">
        <v>0.1</v>
      </c>
      <c r="E123" s="3">
        <v>5</v>
      </c>
      <c r="F123" s="39" t="s">
        <v>13</v>
      </c>
      <c r="G123" s="39" t="s">
        <v>14</v>
      </c>
      <c r="H123" s="128">
        <v>20466</v>
      </c>
      <c r="I123" s="128">
        <v>2.125</v>
      </c>
      <c r="J123" s="129">
        <v>0</v>
      </c>
      <c r="K123" s="139">
        <v>20392</v>
      </c>
      <c r="L123" s="139">
        <v>157</v>
      </c>
      <c r="M123" s="139">
        <v>77</v>
      </c>
      <c r="N123" s="130">
        <f>((Tabela13633[[#This Row],[Objetive value Cannibalism ]]-Tabela13633[[#This Row],[Objetive value Cannibalism/GATeS]])/Tabela13633[[#This Row],[Objetive value Cannibalism ]])*100</f>
        <v>0.36157529561223489</v>
      </c>
      <c r="O123" s="131">
        <v>20466</v>
      </c>
      <c r="P123" s="131">
        <v>1.19</v>
      </c>
      <c r="Q123" s="131">
        <v>0</v>
      </c>
      <c r="R123" s="141">
        <f>(((Tabela13633[[#This Row],[Objetive value Cannibalism ]]-Tabela13633[[#This Row],[Objetive value Cannibalism/H-R1]])/Tabela13633[[#This Row],[Objetive value Cannibalism ]]))*100</f>
        <v>0</v>
      </c>
      <c r="S123" s="113">
        <v>17797</v>
      </c>
      <c r="T123" s="113">
        <v>1.02</v>
      </c>
      <c r="U123" s="113">
        <v>0</v>
      </c>
      <c r="V123" s="143">
        <f>(((Tabela13633[[#This Row],[Objetive value Cannibalism ]]-Tabela13633[[#This Row],[Objetive value Cannibalism/H-R2]])/Tabela13633[[#This Row],[Objetive value Cannibalism ]]))*100</f>
        <v>13.0411414052575</v>
      </c>
    </row>
    <row r="124" spans="1:22" x14ac:dyDescent="0.25">
      <c r="A124" s="3" t="s">
        <v>243</v>
      </c>
      <c r="B124" s="39" t="s">
        <v>608</v>
      </c>
      <c r="C124" s="3">
        <v>2000</v>
      </c>
      <c r="D124" s="114">
        <v>0.1</v>
      </c>
      <c r="E124" s="3">
        <v>5</v>
      </c>
      <c r="F124" s="39" t="s">
        <v>13</v>
      </c>
      <c r="G124" s="39" t="s">
        <v>16</v>
      </c>
      <c r="H124" s="128">
        <v>14337</v>
      </c>
      <c r="I124" s="128">
        <v>2.5929999999934799</v>
      </c>
      <c r="J124" s="129">
        <v>0</v>
      </c>
      <c r="K124" s="139">
        <v>14301</v>
      </c>
      <c r="L124" s="139">
        <v>122</v>
      </c>
      <c r="M124" s="139">
        <v>8</v>
      </c>
      <c r="N124" s="130">
        <f>((Tabela13633[[#This Row],[Objetive value Cannibalism ]]-Tabela13633[[#This Row],[Objetive value Cannibalism/GATeS]])/Tabela13633[[#This Row],[Objetive value Cannibalism ]])*100</f>
        <v>0.25109855618330196</v>
      </c>
      <c r="O124" s="131">
        <v>14113</v>
      </c>
      <c r="P124" s="131">
        <v>1.1000000000000001</v>
      </c>
      <c r="Q124" s="131">
        <v>0</v>
      </c>
      <c r="R124" s="141">
        <f>(((Tabela13633[[#This Row],[Objetive value Cannibalism ]]-Tabela13633[[#This Row],[Objetive value Cannibalism/H-R1]])/Tabela13633[[#This Row],[Objetive value Cannibalism ]]))*100</f>
        <v>1.5623910162516566</v>
      </c>
      <c r="S124" s="113">
        <v>14280</v>
      </c>
      <c r="T124" s="113">
        <v>1.05</v>
      </c>
      <c r="U124" s="113">
        <v>0</v>
      </c>
      <c r="V124" s="143">
        <f>(((Tabela13633[[#This Row],[Objetive value Cannibalism ]]-Tabela13633[[#This Row],[Objetive value Cannibalism/H-R2]])/Tabela13633[[#This Row],[Objetive value Cannibalism ]]))*100</f>
        <v>0.39757271395689475</v>
      </c>
    </row>
    <row r="125" spans="1:22" x14ac:dyDescent="0.25">
      <c r="A125" s="3" t="s">
        <v>243</v>
      </c>
      <c r="B125" s="39" t="s">
        <v>609</v>
      </c>
      <c r="C125" s="3">
        <v>2000</v>
      </c>
      <c r="D125" s="114">
        <v>0.1</v>
      </c>
      <c r="E125" s="3">
        <v>5</v>
      </c>
      <c r="F125" s="3" t="s">
        <v>18</v>
      </c>
      <c r="G125" s="39" t="s">
        <v>14</v>
      </c>
      <c r="H125" s="128">
        <v>19211</v>
      </c>
      <c r="I125" s="128">
        <v>2.32799999997951</v>
      </c>
      <c r="J125" s="129">
        <v>0</v>
      </c>
      <c r="K125" s="139">
        <v>19202</v>
      </c>
      <c r="L125" s="139">
        <v>135</v>
      </c>
      <c r="M125" s="139">
        <v>13</v>
      </c>
      <c r="N125" s="130">
        <f>((Tabela13633[[#This Row],[Objetive value Cannibalism ]]-Tabela13633[[#This Row],[Objetive value Cannibalism/GATeS]])/Tabela13633[[#This Row],[Objetive value Cannibalism ]])*100</f>
        <v>4.6848159908385818E-2</v>
      </c>
      <c r="O125" s="131">
        <v>19211</v>
      </c>
      <c r="P125" s="131">
        <v>0.81</v>
      </c>
      <c r="Q125" s="131">
        <v>0</v>
      </c>
      <c r="R125" s="141">
        <f>(((Tabela13633[[#This Row],[Objetive value Cannibalism ]]-Tabela13633[[#This Row],[Objetive value Cannibalism/H-R1]])/Tabela13633[[#This Row],[Objetive value Cannibalism ]]))*100</f>
        <v>0</v>
      </c>
      <c r="S125" s="113">
        <v>18990</v>
      </c>
      <c r="T125" s="113">
        <v>1.33</v>
      </c>
      <c r="U125" s="113">
        <v>0</v>
      </c>
      <c r="V125" s="143">
        <f>(((Tabela13633[[#This Row],[Objetive value Cannibalism ]]-Tabela13633[[#This Row],[Objetive value Cannibalism/H-R2]])/Tabela13633[[#This Row],[Objetive value Cannibalism ]]))*100</f>
        <v>1.1503825933059184</v>
      </c>
    </row>
    <row r="126" spans="1:22" x14ac:dyDescent="0.25">
      <c r="A126" s="3" t="s">
        <v>243</v>
      </c>
      <c r="B126" s="39" t="s">
        <v>610</v>
      </c>
      <c r="C126" s="3">
        <v>2000</v>
      </c>
      <c r="D126" s="114">
        <v>0.1</v>
      </c>
      <c r="E126" s="3">
        <v>5</v>
      </c>
      <c r="F126" s="3" t="s">
        <v>18</v>
      </c>
      <c r="G126" s="39" t="s">
        <v>16</v>
      </c>
      <c r="H126" s="128">
        <v>15195</v>
      </c>
      <c r="I126" s="128">
        <v>1.45299999997951</v>
      </c>
      <c r="J126" s="129">
        <v>0</v>
      </c>
      <c r="K126" s="139">
        <v>15186</v>
      </c>
      <c r="L126" s="139">
        <v>84</v>
      </c>
      <c r="M126" s="139">
        <v>25</v>
      </c>
      <c r="N126" s="130">
        <f>((Tabela13633[[#This Row],[Objetive value Cannibalism ]]-Tabela13633[[#This Row],[Objetive value Cannibalism/GATeS]])/Tabela13633[[#This Row],[Objetive value Cannibalism ]])*100</f>
        <v>5.9230009871668307E-2</v>
      </c>
      <c r="O126" s="131">
        <v>15195</v>
      </c>
      <c r="P126" s="131">
        <v>0.81</v>
      </c>
      <c r="Q126" s="131">
        <v>0</v>
      </c>
      <c r="R126" s="141">
        <f>(((Tabela13633[[#This Row],[Objetive value Cannibalism ]]-Tabela13633[[#This Row],[Objetive value Cannibalism/H-R1]])/Tabela13633[[#This Row],[Objetive value Cannibalism ]]))*100</f>
        <v>0</v>
      </c>
      <c r="S126" s="113">
        <v>14732</v>
      </c>
      <c r="T126" s="113">
        <v>0.87</v>
      </c>
      <c r="U126" s="113">
        <v>0</v>
      </c>
      <c r="V126" s="143">
        <f>(((Tabela13633[[#This Row],[Objetive value Cannibalism ]]-Tabela13633[[#This Row],[Objetive value Cannibalism/H-R2]])/Tabela13633[[#This Row],[Objetive value Cannibalism ]]))*100</f>
        <v>3.0470549522869366</v>
      </c>
    </row>
    <row r="127" spans="1:22" x14ac:dyDescent="0.25">
      <c r="A127" s="3" t="s">
        <v>243</v>
      </c>
      <c r="B127" s="39" t="s">
        <v>611</v>
      </c>
      <c r="C127" s="3">
        <v>2000</v>
      </c>
      <c r="D127" s="114">
        <v>0.1</v>
      </c>
      <c r="E127" s="3">
        <v>5</v>
      </c>
      <c r="F127" s="39" t="s">
        <v>21</v>
      </c>
      <c r="G127" s="39" t="s">
        <v>14</v>
      </c>
      <c r="H127" s="128">
        <v>14618</v>
      </c>
      <c r="I127" s="128">
        <v>1.84400000004097</v>
      </c>
      <c r="J127" s="129">
        <v>0</v>
      </c>
      <c r="K127" s="139">
        <v>14527</v>
      </c>
      <c r="L127" s="139">
        <v>65</v>
      </c>
      <c r="M127" s="139">
        <v>28</v>
      </c>
      <c r="N127" s="130">
        <f>((Tabela13633[[#This Row],[Objetive value Cannibalism ]]-Tabela13633[[#This Row],[Objetive value Cannibalism/GATeS]])/Tabela13633[[#This Row],[Objetive value Cannibalism ]])*100</f>
        <v>0.62252018059926117</v>
      </c>
      <c r="O127" s="131">
        <v>13057</v>
      </c>
      <c r="P127" s="131">
        <v>1.39</v>
      </c>
      <c r="Q127" s="131">
        <v>0</v>
      </c>
      <c r="R127" s="141">
        <f>(((Tabela13633[[#This Row],[Objetive value Cannibalism ]]-Tabela13633[[#This Row],[Objetive value Cannibalism/H-R1]])/Tabela13633[[#This Row],[Objetive value Cannibalism ]]))*100</f>
        <v>10.678615405664249</v>
      </c>
      <c r="S127" s="113">
        <v>14618</v>
      </c>
      <c r="T127" s="113">
        <v>1</v>
      </c>
      <c r="U127" s="113">
        <v>0</v>
      </c>
      <c r="V127" s="143">
        <f>(((Tabela13633[[#This Row],[Objetive value Cannibalism ]]-Tabela13633[[#This Row],[Objetive value Cannibalism/H-R2]])/Tabela13633[[#This Row],[Objetive value Cannibalism ]]))*100</f>
        <v>0</v>
      </c>
    </row>
    <row r="128" spans="1:22" x14ac:dyDescent="0.25">
      <c r="A128" s="3" t="s">
        <v>243</v>
      </c>
      <c r="B128" s="39" t="s">
        <v>612</v>
      </c>
      <c r="C128" s="3">
        <v>2000</v>
      </c>
      <c r="D128" s="114">
        <v>0.1</v>
      </c>
      <c r="E128" s="3">
        <v>5</v>
      </c>
      <c r="F128" s="39" t="s">
        <v>21</v>
      </c>
      <c r="G128" s="39" t="s">
        <v>16</v>
      </c>
      <c r="H128" s="128">
        <v>13266</v>
      </c>
      <c r="I128" s="128">
        <v>2.25</v>
      </c>
      <c r="J128" s="129">
        <v>0</v>
      </c>
      <c r="K128" s="139">
        <v>13256</v>
      </c>
      <c r="L128" s="139">
        <v>125</v>
      </c>
      <c r="M128" s="139">
        <v>27</v>
      </c>
      <c r="N128" s="130">
        <f>((Tabela13633[[#This Row],[Objetive value Cannibalism ]]-Tabela13633[[#This Row],[Objetive value Cannibalism/GATeS]])/Tabela13633[[#This Row],[Objetive value Cannibalism ]])*100</f>
        <v>7.5380672395597773E-2</v>
      </c>
      <c r="O128" s="131">
        <v>13266</v>
      </c>
      <c r="P128" s="131">
        <v>2.57</v>
      </c>
      <c r="Q128" s="131">
        <v>0</v>
      </c>
      <c r="R128" s="141">
        <f>(((Tabela13633[[#This Row],[Objetive value Cannibalism ]]-Tabela13633[[#This Row],[Objetive value Cannibalism/H-R1]])/Tabela13633[[#This Row],[Objetive value Cannibalism ]]))*100</f>
        <v>0</v>
      </c>
      <c r="S128" s="113">
        <v>13266</v>
      </c>
      <c r="T128" s="113">
        <v>0.83</v>
      </c>
      <c r="U128" s="113">
        <v>0</v>
      </c>
      <c r="V128" s="143">
        <f>(((Tabela13633[[#This Row],[Objetive value Cannibalism ]]-Tabela13633[[#This Row],[Objetive value Cannibalism/H-R2]])/Tabela13633[[#This Row],[Objetive value Cannibalism ]]))*100</f>
        <v>0</v>
      </c>
    </row>
    <row r="129" spans="1:22" x14ac:dyDescent="0.25">
      <c r="A129" s="3" t="s">
        <v>262</v>
      </c>
      <c r="B129" s="37" t="s">
        <v>631</v>
      </c>
      <c r="C129" s="3">
        <v>2000</v>
      </c>
      <c r="D129" s="3">
        <v>0.15</v>
      </c>
      <c r="E129" s="3">
        <v>10</v>
      </c>
      <c r="F129" s="39" t="s">
        <v>13</v>
      </c>
      <c r="G129" s="39" t="s">
        <v>14</v>
      </c>
      <c r="H129" s="128">
        <v>35667</v>
      </c>
      <c r="I129" s="128">
        <v>11.515999999945</v>
      </c>
      <c r="J129" s="129">
        <v>0</v>
      </c>
      <c r="K129" s="139">
        <v>34982</v>
      </c>
      <c r="L129" s="139">
        <v>191</v>
      </c>
      <c r="M129" s="139">
        <v>87</v>
      </c>
      <c r="N129" s="130">
        <f>((Tabela13633[[#This Row],[Objetive value Cannibalism ]]-Tabela13633[[#This Row],[Objetive value Cannibalism/GATeS]])/Tabela13633[[#This Row],[Objetive value Cannibalism ]])*100</f>
        <v>1.9205427986654331</v>
      </c>
      <c r="O129" s="131">
        <v>35042</v>
      </c>
      <c r="P129" s="131">
        <v>0.83</v>
      </c>
      <c r="Q129" s="131">
        <v>0</v>
      </c>
      <c r="R129" s="141">
        <f>(((Tabela13633[[#This Row],[Objetive value Cannibalism ]]-Tabela13633[[#This Row],[Objetive value Cannibalism/H-R1]])/Tabela13633[[#This Row],[Objetive value Cannibalism ]]))*100</f>
        <v>1.7523200717750302</v>
      </c>
      <c r="S129" s="113">
        <v>33096</v>
      </c>
      <c r="T129" s="113">
        <v>1.1399999999999999</v>
      </c>
      <c r="U129" s="113">
        <v>0</v>
      </c>
      <c r="V129" s="143">
        <f>(((Tabela13633[[#This Row],[Objetive value Cannibalism ]]-Tabela13633[[#This Row],[Objetive value Cannibalism/H-R2]])/Tabela13633[[#This Row],[Objetive value Cannibalism ]]))*100</f>
        <v>7.2083438472537633</v>
      </c>
    </row>
    <row r="130" spans="1:22" x14ac:dyDescent="0.25">
      <c r="A130" s="3" t="s">
        <v>262</v>
      </c>
      <c r="B130" s="39" t="s">
        <v>632</v>
      </c>
      <c r="C130" s="3">
        <v>2000</v>
      </c>
      <c r="D130" s="3">
        <v>0.15</v>
      </c>
      <c r="E130" s="3">
        <v>10</v>
      </c>
      <c r="F130" s="39" t="s">
        <v>13</v>
      </c>
      <c r="G130" s="39" t="s">
        <v>16</v>
      </c>
      <c r="H130" s="128">
        <v>23822</v>
      </c>
      <c r="I130" s="128">
        <v>20.2190000000409</v>
      </c>
      <c r="J130" s="129">
        <v>0</v>
      </c>
      <c r="K130" s="139">
        <v>23775</v>
      </c>
      <c r="L130" s="139">
        <v>294</v>
      </c>
      <c r="M130" s="139">
        <v>31</v>
      </c>
      <c r="N130" s="130">
        <f>((Tabela13633[[#This Row],[Objetive value Cannibalism ]]-Tabela13633[[#This Row],[Objetive value Cannibalism/GATeS]])/Tabela13633[[#This Row],[Objetive value Cannibalism ]])*100</f>
        <v>0.19729661657291578</v>
      </c>
      <c r="O130" s="131">
        <v>22731</v>
      </c>
      <c r="P130" s="131">
        <v>0.89</v>
      </c>
      <c r="Q130" s="131">
        <v>0</v>
      </c>
      <c r="R130" s="141">
        <f>(((Tabela13633[[#This Row],[Objetive value Cannibalism ]]-Tabela13633[[#This Row],[Objetive value Cannibalism/H-R1]])/Tabela13633[[#This Row],[Objetive value Cannibalism ]]))*100</f>
        <v>4.5798001847032159</v>
      </c>
      <c r="S130" s="113">
        <v>23049</v>
      </c>
      <c r="T130" s="113">
        <v>1.17</v>
      </c>
      <c r="U130" s="113">
        <v>0</v>
      </c>
      <c r="V130" s="143">
        <f>(((Tabela13633[[#This Row],[Objetive value Cannibalism ]]-Tabela13633[[#This Row],[Objetive value Cannibalism/H-R2]])/Tabela13633[[#This Row],[Objetive value Cannibalism ]]))*100</f>
        <v>3.2448996725715724</v>
      </c>
    </row>
    <row r="131" spans="1:22" x14ac:dyDescent="0.25">
      <c r="A131" s="3" t="s">
        <v>262</v>
      </c>
      <c r="B131" s="39" t="s">
        <v>633</v>
      </c>
      <c r="C131" s="3">
        <v>2000</v>
      </c>
      <c r="D131" s="3">
        <v>0.15</v>
      </c>
      <c r="E131" s="3">
        <v>10</v>
      </c>
      <c r="F131" s="39" t="s">
        <v>18</v>
      </c>
      <c r="G131" s="39" t="s">
        <v>14</v>
      </c>
      <c r="H131" s="128">
        <v>48012</v>
      </c>
      <c r="I131" s="128">
        <v>6.2189999999245602</v>
      </c>
      <c r="J131" s="129">
        <v>0</v>
      </c>
      <c r="K131" s="139">
        <v>47960</v>
      </c>
      <c r="L131" s="139">
        <v>265</v>
      </c>
      <c r="M131" s="139">
        <v>103</v>
      </c>
      <c r="N131" s="130">
        <f>((Tabela13633[[#This Row],[Objetive value Cannibalism ]]-Tabela13633[[#This Row],[Objetive value Cannibalism/GATeS]])/Tabela13633[[#This Row],[Objetive value Cannibalism ]])*100</f>
        <v>0.10830625676914105</v>
      </c>
      <c r="O131" s="131">
        <v>44560</v>
      </c>
      <c r="P131" s="131">
        <v>1</v>
      </c>
      <c r="Q131" s="131">
        <v>0</v>
      </c>
      <c r="R131" s="141">
        <f>(((Tabela13633[[#This Row],[Objetive value Cannibalism ]]-Tabela13633[[#This Row],[Objetive value Cannibalism/H-R1]])/Tabela13633[[#This Row],[Objetive value Cannibalism ]]))*100</f>
        <v>7.1898691993668242</v>
      </c>
      <c r="S131" s="113">
        <v>43085</v>
      </c>
      <c r="T131" s="113">
        <v>0.88</v>
      </c>
      <c r="U131" s="113">
        <v>0</v>
      </c>
      <c r="V131" s="143">
        <f>(((Tabela13633[[#This Row],[Objetive value Cannibalism ]]-Tabela13633[[#This Row],[Objetive value Cannibalism/H-R2]])/Tabela13633[[#This Row],[Objetive value Cannibalism ]]))*100</f>
        <v>10.262017828876115</v>
      </c>
    </row>
    <row r="132" spans="1:22" x14ac:dyDescent="0.25">
      <c r="A132" s="3" t="s">
        <v>262</v>
      </c>
      <c r="B132" s="39" t="s">
        <v>634</v>
      </c>
      <c r="C132" s="3">
        <v>2000</v>
      </c>
      <c r="D132" s="3">
        <v>0.15</v>
      </c>
      <c r="E132" s="3">
        <v>10</v>
      </c>
      <c r="F132" s="39" t="s">
        <v>18</v>
      </c>
      <c r="G132" s="39" t="s">
        <v>16</v>
      </c>
      <c r="H132" s="128">
        <v>24645</v>
      </c>
      <c r="I132" s="128">
        <v>15.921999999903999</v>
      </c>
      <c r="J132" s="129">
        <v>0</v>
      </c>
      <c r="K132" s="139">
        <v>24276</v>
      </c>
      <c r="L132" s="139">
        <v>312</v>
      </c>
      <c r="M132" s="139">
        <v>121</v>
      </c>
      <c r="N132" s="130">
        <f>((Tabela13633[[#This Row],[Objetive value Cannibalism ]]-Tabela13633[[#This Row],[Objetive value Cannibalism/GATeS]])/Tabela13633[[#This Row],[Objetive value Cannibalism ]])*100</f>
        <v>1.4972611077297626</v>
      </c>
      <c r="O132" s="131">
        <v>24644</v>
      </c>
      <c r="P132" s="131">
        <v>1</v>
      </c>
      <c r="Q132" s="131">
        <v>0</v>
      </c>
      <c r="R132" s="141">
        <f>(((Tabela13633[[#This Row],[Objetive value Cannibalism ]]-Tabela13633[[#This Row],[Objetive value Cannibalism/H-R1]])/Tabela13633[[#This Row],[Objetive value Cannibalism ]]))*100</f>
        <v>4.0576181781294381E-3</v>
      </c>
      <c r="S132" s="113">
        <v>24644</v>
      </c>
      <c r="T132" s="113">
        <v>1.34</v>
      </c>
      <c r="U132" s="113">
        <v>0</v>
      </c>
      <c r="V132" s="143">
        <f>(((Tabela13633[[#This Row],[Objetive value Cannibalism ]]-Tabela13633[[#This Row],[Objetive value Cannibalism/H-R2]])/Tabela13633[[#This Row],[Objetive value Cannibalism ]]))*100</f>
        <v>4.0576181781294381E-3</v>
      </c>
    </row>
    <row r="133" spans="1:22" x14ac:dyDescent="0.25">
      <c r="A133" s="3" t="s">
        <v>262</v>
      </c>
      <c r="B133" s="39" t="s">
        <v>635</v>
      </c>
      <c r="C133" s="3">
        <v>2000</v>
      </c>
      <c r="D133" s="3">
        <v>0.15</v>
      </c>
      <c r="E133" s="3">
        <v>10</v>
      </c>
      <c r="F133" s="39" t="s">
        <v>21</v>
      </c>
      <c r="G133" s="39" t="s">
        <v>14</v>
      </c>
      <c r="H133" s="128">
        <v>30105</v>
      </c>
      <c r="I133" s="128">
        <v>5.4220000000204802</v>
      </c>
      <c r="J133" s="129">
        <v>0</v>
      </c>
      <c r="K133" s="139">
        <v>30081</v>
      </c>
      <c r="L133" s="139">
        <v>145</v>
      </c>
      <c r="M133" s="139">
        <v>65</v>
      </c>
      <c r="N133" s="130">
        <f>((Tabela13633[[#This Row],[Objetive value Cannibalism ]]-Tabela13633[[#This Row],[Objetive value Cannibalism/GATeS]])/Tabela13633[[#This Row],[Objetive value Cannibalism ]])*100</f>
        <v>7.9720976581963129E-2</v>
      </c>
      <c r="O133" s="148"/>
      <c r="P133" s="148"/>
      <c r="Q133" s="148"/>
      <c r="R133" s="142">
        <v>100</v>
      </c>
      <c r="S133" s="113">
        <v>30105</v>
      </c>
      <c r="T133" s="113">
        <v>0.78</v>
      </c>
      <c r="U133" s="113">
        <v>0</v>
      </c>
      <c r="V133" s="143">
        <f>(((Tabela13633[[#This Row],[Objetive value Cannibalism ]]-Tabela13633[[#This Row],[Objetive value Cannibalism/H-R2]])/Tabela13633[[#This Row],[Objetive value Cannibalism ]]))*100</f>
        <v>0</v>
      </c>
    </row>
    <row r="134" spans="1:22" x14ac:dyDescent="0.25">
      <c r="A134" s="3" t="s">
        <v>262</v>
      </c>
      <c r="B134" s="39" t="s">
        <v>636</v>
      </c>
      <c r="C134" s="3">
        <v>2000</v>
      </c>
      <c r="D134" s="3">
        <v>0.15</v>
      </c>
      <c r="E134" s="3">
        <v>10</v>
      </c>
      <c r="F134" s="39" t="s">
        <v>21</v>
      </c>
      <c r="G134" s="39" t="s">
        <v>16</v>
      </c>
      <c r="H134" s="128">
        <v>25572</v>
      </c>
      <c r="I134" s="128">
        <v>19.0160000000614</v>
      </c>
      <c r="J134" s="129">
        <v>0</v>
      </c>
      <c r="K134" s="139">
        <v>24790</v>
      </c>
      <c r="L134" s="139">
        <v>286</v>
      </c>
      <c r="M134" s="139">
        <v>269</v>
      </c>
      <c r="N134" s="130">
        <f>((Tabela13633[[#This Row],[Objetive value Cannibalism ]]-Tabela13633[[#This Row],[Objetive value Cannibalism/GATeS]])/Tabela13633[[#This Row],[Objetive value Cannibalism ]])*100</f>
        <v>3.0580322227436256</v>
      </c>
      <c r="O134" s="131">
        <v>25304</v>
      </c>
      <c r="P134" s="131">
        <v>1.92</v>
      </c>
      <c r="Q134" s="131">
        <v>0</v>
      </c>
      <c r="R134" s="141">
        <f>(((Tabela13633[[#This Row],[Objetive value Cannibalism ]]-Tabela13633[[#This Row],[Objetive value Cannibalism/H-R1]])/Tabela13633[[#This Row],[Objetive value Cannibalism ]]))*100</f>
        <v>1.0480212732676364</v>
      </c>
      <c r="S134" s="113">
        <v>25081</v>
      </c>
      <c r="T134" s="113">
        <v>1.62</v>
      </c>
      <c r="U134" s="113">
        <v>0</v>
      </c>
      <c r="V134" s="143">
        <f>(((Tabela13633[[#This Row],[Objetive value Cannibalism ]]-Tabela13633[[#This Row],[Objetive value Cannibalism/H-R2]])/Tabela13633[[#This Row],[Objetive value Cannibalism ]]))*100</f>
        <v>1.9200688252776474</v>
      </c>
    </row>
    <row r="135" spans="1:22" x14ac:dyDescent="0.25">
      <c r="A135" s="3" t="s">
        <v>281</v>
      </c>
      <c r="B135" s="39" t="s">
        <v>649</v>
      </c>
      <c r="C135" s="3">
        <v>2000</v>
      </c>
      <c r="D135" s="3">
        <v>0.15</v>
      </c>
      <c r="E135" s="3">
        <v>15</v>
      </c>
      <c r="F135" s="39" t="s">
        <v>13</v>
      </c>
      <c r="G135" s="39" t="s">
        <v>14</v>
      </c>
      <c r="H135" s="128">
        <v>60580</v>
      </c>
      <c r="I135" s="128">
        <v>36.5</v>
      </c>
      <c r="J135" s="129">
        <v>9.8699999999999992</v>
      </c>
      <c r="K135" s="139">
        <v>58107</v>
      </c>
      <c r="L135" s="139">
        <v>357</v>
      </c>
      <c r="M135" s="139">
        <v>316</v>
      </c>
      <c r="N135" s="130">
        <f>((Tabela13633[[#This Row],[Objetive value Cannibalism ]]-Tabela13633[[#This Row],[Objetive value Cannibalism/GATeS]])/Tabela13633[[#This Row],[Objetive value Cannibalism ]])*100</f>
        <v>4.0822053482997687</v>
      </c>
      <c r="O135" s="131">
        <v>54630</v>
      </c>
      <c r="P135" s="131">
        <v>1.71</v>
      </c>
      <c r="Q135" s="131">
        <v>0</v>
      </c>
      <c r="R135" s="141">
        <f>(((Tabela13633[[#This Row],[Objetive value Cannibalism ]]-Tabela13633[[#This Row],[Objetive value Cannibalism/H-R1]])/Tabela13633[[#This Row],[Objetive value Cannibalism ]]))*100</f>
        <v>9.8217233410366465</v>
      </c>
      <c r="S135" s="113">
        <v>53916</v>
      </c>
      <c r="T135" s="113">
        <v>1.29</v>
      </c>
      <c r="U135" s="113">
        <v>0</v>
      </c>
      <c r="V135" s="143">
        <f>(((Tabela13633[[#This Row],[Objetive value Cannibalism ]]-Tabela13633[[#This Row],[Objetive value Cannibalism/H-R2]])/Tabela13633[[#This Row],[Objetive value Cannibalism ]]))*100</f>
        <v>11.000330141961042</v>
      </c>
    </row>
    <row r="136" spans="1:22" x14ac:dyDescent="0.25">
      <c r="A136" s="3" t="s">
        <v>281</v>
      </c>
      <c r="B136" s="39" t="s">
        <v>650</v>
      </c>
      <c r="C136" s="3">
        <v>2000</v>
      </c>
      <c r="D136" s="3">
        <v>0.15</v>
      </c>
      <c r="E136" s="3">
        <v>15</v>
      </c>
      <c r="F136" s="39" t="s">
        <v>13</v>
      </c>
      <c r="G136" s="39" t="s">
        <v>16</v>
      </c>
      <c r="H136" s="128">
        <v>34797.999999999898</v>
      </c>
      <c r="I136" s="128">
        <v>121.625</v>
      </c>
      <c r="J136" s="129">
        <v>0.15</v>
      </c>
      <c r="K136" s="139">
        <v>33904</v>
      </c>
      <c r="L136" s="139">
        <v>720</v>
      </c>
      <c r="M136" s="139">
        <v>144</v>
      </c>
      <c r="N136" s="130">
        <f>((Tabela13633[[#This Row],[Objetive value Cannibalism ]]-Tabela13633[[#This Row],[Objetive value Cannibalism/GATeS]])/Tabela13633[[#This Row],[Objetive value Cannibalism ]])*100</f>
        <v>2.5691131674231298</v>
      </c>
      <c r="O136" s="131">
        <v>32320</v>
      </c>
      <c r="P136" s="131">
        <v>1.65</v>
      </c>
      <c r="Q136" s="131">
        <v>0</v>
      </c>
      <c r="R136" s="141">
        <f>(((Tabela13633[[#This Row],[Objetive value Cannibalism ]]-Tabela13633[[#This Row],[Objetive value Cannibalism/H-R1]])/Tabela13633[[#This Row],[Objetive value Cannibalism ]]))*100</f>
        <v>7.1210989137304015</v>
      </c>
      <c r="S136" s="113">
        <v>30926</v>
      </c>
      <c r="T136" s="113">
        <v>1.17</v>
      </c>
      <c r="U136" s="113">
        <v>0</v>
      </c>
      <c r="V136" s="143">
        <f>(((Tabela13633[[#This Row],[Objetive value Cannibalism ]]-Tabela13633[[#This Row],[Objetive value Cannibalism/H-R2]])/Tabela13633[[#This Row],[Objetive value Cannibalism ]]))*100</f>
        <v>11.127076268750818</v>
      </c>
    </row>
    <row r="137" spans="1:22" x14ac:dyDescent="0.25">
      <c r="A137" s="3" t="s">
        <v>281</v>
      </c>
      <c r="B137" s="39" t="s">
        <v>651</v>
      </c>
      <c r="C137" s="3">
        <v>2000</v>
      </c>
      <c r="D137" s="3">
        <v>0.15</v>
      </c>
      <c r="E137" s="3">
        <v>15</v>
      </c>
      <c r="F137" s="39" t="s">
        <v>18</v>
      </c>
      <c r="G137" s="39" t="s">
        <v>14</v>
      </c>
      <c r="H137" s="128">
        <v>56664</v>
      </c>
      <c r="I137" s="128">
        <v>35.266000000061403</v>
      </c>
      <c r="J137" s="129">
        <v>10.37</v>
      </c>
      <c r="K137" s="139">
        <v>54959</v>
      </c>
      <c r="L137" s="139">
        <v>351</v>
      </c>
      <c r="M137" s="139">
        <v>134</v>
      </c>
      <c r="N137" s="130">
        <f>((Tabela13633[[#This Row],[Objetive value Cannibalism ]]-Tabela13633[[#This Row],[Objetive value Cannibalism/GATeS]])/Tabela13633[[#This Row],[Objetive value Cannibalism ]])*100</f>
        <v>3.0089651277707183</v>
      </c>
      <c r="O137" s="131">
        <v>54638</v>
      </c>
      <c r="P137" s="131">
        <v>1.58</v>
      </c>
      <c r="Q137" s="131">
        <v>0</v>
      </c>
      <c r="R137" s="141">
        <f>(((Tabela13633[[#This Row],[Objetive value Cannibalism ]]-Tabela13633[[#This Row],[Objetive value Cannibalism/H-R1]])/Tabela13633[[#This Row],[Objetive value Cannibalism ]]))*100</f>
        <v>3.5754623746999856</v>
      </c>
      <c r="S137" s="113">
        <v>53047</v>
      </c>
      <c r="T137" s="113">
        <v>1.17</v>
      </c>
      <c r="U137" s="113">
        <v>0</v>
      </c>
      <c r="V137" s="143">
        <f>(((Tabela13633[[#This Row],[Objetive value Cannibalism ]]-Tabela13633[[#This Row],[Objetive value Cannibalism/H-R2]])/Tabela13633[[#This Row],[Objetive value Cannibalism ]]))*100</f>
        <v>6.3832415643089089</v>
      </c>
    </row>
    <row r="138" spans="1:22" x14ac:dyDescent="0.25">
      <c r="A138" s="3" t="s">
        <v>281</v>
      </c>
      <c r="B138" s="39" t="s">
        <v>652</v>
      </c>
      <c r="C138" s="3">
        <v>2000</v>
      </c>
      <c r="D138" s="3">
        <v>0.15</v>
      </c>
      <c r="E138" s="3">
        <v>15</v>
      </c>
      <c r="F138" s="39" t="s">
        <v>18</v>
      </c>
      <c r="G138" s="39" t="s">
        <v>16</v>
      </c>
      <c r="H138" s="128">
        <v>34546</v>
      </c>
      <c r="I138" s="128">
        <v>369.84400000004098</v>
      </c>
      <c r="J138" s="129">
        <v>0.44</v>
      </c>
      <c r="K138" s="139">
        <v>33965</v>
      </c>
      <c r="L138" s="139">
        <v>687</v>
      </c>
      <c r="M138" s="139">
        <v>149</v>
      </c>
      <c r="N138" s="130">
        <f>((Tabela13633[[#This Row],[Objetive value Cannibalism ]]-Tabela13633[[#This Row],[Objetive value Cannibalism/GATeS]])/Tabela13633[[#This Row],[Objetive value Cannibalism ]])*100</f>
        <v>1.6818155502807848</v>
      </c>
      <c r="O138" s="131">
        <v>32827</v>
      </c>
      <c r="P138" s="131">
        <v>1.1000000000000001</v>
      </c>
      <c r="Q138" s="131">
        <v>0</v>
      </c>
      <c r="R138" s="141">
        <f>(((Tabela13633[[#This Row],[Objetive value Cannibalism ]]-Tabela13633[[#This Row],[Objetive value Cannibalism/H-R1]])/Tabela13633[[#This Row],[Objetive value Cannibalism ]]))*100</f>
        <v>4.9759740635674179</v>
      </c>
      <c r="S138" s="113">
        <v>34416</v>
      </c>
      <c r="T138" s="113">
        <v>1.58</v>
      </c>
      <c r="U138" s="113">
        <v>0</v>
      </c>
      <c r="V138" s="143">
        <f>(((Tabela13633[[#This Row],[Objetive value Cannibalism ]]-Tabela13633[[#This Row],[Objetive value Cannibalism/H-R2]])/Tabela13633[[#This Row],[Objetive value Cannibalism ]]))*100</f>
        <v>0.37630984773924625</v>
      </c>
    </row>
    <row r="139" spans="1:22" x14ac:dyDescent="0.25">
      <c r="A139" s="3" t="s">
        <v>281</v>
      </c>
      <c r="B139" s="39" t="s">
        <v>653</v>
      </c>
      <c r="C139" s="3">
        <v>2000</v>
      </c>
      <c r="D139" s="3">
        <v>0.15</v>
      </c>
      <c r="E139" s="3">
        <v>15</v>
      </c>
      <c r="F139" s="39" t="s">
        <v>21</v>
      </c>
      <c r="G139" s="39" t="s">
        <v>14</v>
      </c>
      <c r="H139" s="128">
        <v>65421</v>
      </c>
      <c r="I139" s="128">
        <v>8.0159999999450502</v>
      </c>
      <c r="J139" s="129">
        <v>66.010000000000005</v>
      </c>
      <c r="K139" s="139">
        <v>59965</v>
      </c>
      <c r="L139" s="139">
        <v>525</v>
      </c>
      <c r="M139" s="139">
        <v>382</v>
      </c>
      <c r="N139" s="130">
        <f>((Tabela13633[[#This Row],[Objetive value Cannibalism ]]-Tabela13633[[#This Row],[Objetive value Cannibalism/GATeS]])/Tabela13633[[#This Row],[Objetive value Cannibalism ]])*100</f>
        <v>8.3398297182861771</v>
      </c>
      <c r="O139" s="131">
        <v>65421</v>
      </c>
      <c r="P139" s="131">
        <v>1.37</v>
      </c>
      <c r="Q139" s="131">
        <v>0</v>
      </c>
      <c r="R139" s="141">
        <f>(((Tabela13633[[#This Row],[Objetive value Cannibalism ]]-Tabela13633[[#This Row],[Objetive value Cannibalism/H-R1]])/Tabela13633[[#This Row],[Objetive value Cannibalism ]]))*100</f>
        <v>0</v>
      </c>
      <c r="S139" s="113">
        <v>65421</v>
      </c>
      <c r="T139" s="113">
        <v>1.28</v>
      </c>
      <c r="U139" s="113">
        <v>0</v>
      </c>
      <c r="V139" s="143">
        <f>(((Tabela13633[[#This Row],[Objetive value Cannibalism ]]-Tabela13633[[#This Row],[Objetive value Cannibalism/H-R2]])/Tabela13633[[#This Row],[Objetive value Cannibalism ]]))*100</f>
        <v>0</v>
      </c>
    </row>
    <row r="140" spans="1:22" x14ac:dyDescent="0.25">
      <c r="A140" s="3" t="s">
        <v>281</v>
      </c>
      <c r="B140" s="39" t="s">
        <v>654</v>
      </c>
      <c r="C140" s="3">
        <v>2000</v>
      </c>
      <c r="D140" s="3">
        <v>0.15</v>
      </c>
      <c r="E140" s="3">
        <v>15</v>
      </c>
      <c r="F140" s="39" t="s">
        <v>21</v>
      </c>
      <c r="G140" s="39" t="s">
        <v>16</v>
      </c>
      <c r="H140" s="128">
        <v>35165</v>
      </c>
      <c r="I140" s="128">
        <v>85.796999999904003</v>
      </c>
      <c r="J140" s="129">
        <v>0</v>
      </c>
      <c r="K140" s="139">
        <v>34979</v>
      </c>
      <c r="L140" s="139">
        <v>768</v>
      </c>
      <c r="M140" s="139">
        <v>79</v>
      </c>
      <c r="N140" s="130">
        <f>((Tabela13633[[#This Row],[Objetive value Cannibalism ]]-Tabela13633[[#This Row],[Objetive value Cannibalism/GATeS]])/Tabela13633[[#This Row],[Objetive value Cannibalism ]])*100</f>
        <v>0.52893502061709086</v>
      </c>
      <c r="O140" s="131">
        <v>33682</v>
      </c>
      <c r="P140" s="131">
        <v>1.78</v>
      </c>
      <c r="Q140" s="131">
        <v>0</v>
      </c>
      <c r="R140" s="141">
        <f>(((Tabela13633[[#This Row],[Objetive value Cannibalism ]]-Tabela13633[[#This Row],[Objetive value Cannibalism/H-R1]])/Tabela13633[[#This Row],[Objetive value Cannibalism ]]))*100</f>
        <v>4.2172614815868048</v>
      </c>
      <c r="S140" s="113">
        <v>33453</v>
      </c>
      <c r="T140" s="113">
        <v>1.57</v>
      </c>
      <c r="U140" s="113">
        <v>0</v>
      </c>
      <c r="V140" s="143">
        <f>(((Tabela13633[[#This Row],[Objetive value Cannibalism ]]-Tabela13633[[#This Row],[Objetive value Cannibalism/H-R2]])/Tabela13633[[#This Row],[Objetive value Cannibalism ]]))*100</f>
        <v>4.8684771790132233</v>
      </c>
    </row>
    <row r="141" spans="1:22" x14ac:dyDescent="0.25">
      <c r="A141" s="3" t="s">
        <v>243</v>
      </c>
      <c r="B141" s="37" t="s">
        <v>613</v>
      </c>
      <c r="C141" s="3">
        <v>2000</v>
      </c>
      <c r="D141" s="3">
        <v>0.15</v>
      </c>
      <c r="E141" s="3">
        <v>5</v>
      </c>
      <c r="F141" s="39" t="s">
        <v>13</v>
      </c>
      <c r="G141" s="39" t="s">
        <v>14</v>
      </c>
      <c r="H141" s="128">
        <v>20068</v>
      </c>
      <c r="I141" s="128">
        <v>2.03100000007543</v>
      </c>
      <c r="J141" s="129">
        <v>0</v>
      </c>
      <c r="K141" s="139">
        <v>20025</v>
      </c>
      <c r="L141" s="139">
        <v>131</v>
      </c>
      <c r="M141" s="139">
        <v>39</v>
      </c>
      <c r="N141" s="130">
        <f>((Tabela13633[[#This Row],[Objetive value Cannibalism ]]-Tabela13633[[#This Row],[Objetive value Cannibalism/GATeS]])/Tabela13633[[#This Row],[Objetive value Cannibalism ]])*100</f>
        <v>0.21427147697827389</v>
      </c>
      <c r="O141" s="131">
        <v>20068</v>
      </c>
      <c r="P141" s="131">
        <v>0.85</v>
      </c>
      <c r="Q141" s="131">
        <v>0</v>
      </c>
      <c r="R141" s="141">
        <f>(((Tabela13633[[#This Row],[Objetive value Cannibalism ]]-Tabela13633[[#This Row],[Objetive value Cannibalism/H-R1]])/Tabela13633[[#This Row],[Objetive value Cannibalism ]]))*100</f>
        <v>0</v>
      </c>
      <c r="S141" s="113">
        <v>18858</v>
      </c>
      <c r="T141" s="113">
        <v>1</v>
      </c>
      <c r="U141" s="113">
        <v>0</v>
      </c>
      <c r="V141" s="143">
        <f>(((Tabela13633[[#This Row],[Objetive value Cannibalism ]]-Tabela13633[[#This Row],[Objetive value Cannibalism/H-R2]])/Tabela13633[[#This Row],[Objetive value Cannibalism ]]))*100</f>
        <v>6.0294997010165439</v>
      </c>
    </row>
    <row r="142" spans="1:22" x14ac:dyDescent="0.25">
      <c r="A142" s="3" t="s">
        <v>243</v>
      </c>
      <c r="B142" s="39" t="s">
        <v>614</v>
      </c>
      <c r="C142" s="3">
        <v>2000</v>
      </c>
      <c r="D142" s="3">
        <v>0.15</v>
      </c>
      <c r="E142" s="3">
        <v>5</v>
      </c>
      <c r="F142" s="39" t="s">
        <v>13</v>
      </c>
      <c r="G142" s="39" t="s">
        <v>16</v>
      </c>
      <c r="H142" s="128">
        <v>13796</v>
      </c>
      <c r="I142" s="128">
        <v>2.53100000007543</v>
      </c>
      <c r="J142" s="129">
        <v>0</v>
      </c>
      <c r="K142" s="139">
        <v>13547</v>
      </c>
      <c r="L142" s="139">
        <v>142</v>
      </c>
      <c r="M142" s="139">
        <v>53</v>
      </c>
      <c r="N142" s="130">
        <f>((Tabela13633[[#This Row],[Objetive value Cannibalism ]]-Tabela13633[[#This Row],[Objetive value Cannibalism/GATeS]])/Tabela13633[[#This Row],[Objetive value Cannibalism ]])*100</f>
        <v>1.8048709770948099</v>
      </c>
      <c r="O142" s="131">
        <v>13795</v>
      </c>
      <c r="P142" s="131">
        <v>0.71</v>
      </c>
      <c r="Q142" s="131">
        <v>0</v>
      </c>
      <c r="R142" s="141">
        <f>(((Tabela13633[[#This Row],[Objetive value Cannibalism ]]-Tabela13633[[#This Row],[Objetive value Cannibalism/H-R1]])/Tabela13633[[#This Row],[Objetive value Cannibalism ]]))*100</f>
        <v>7.2484778196578717E-3</v>
      </c>
      <c r="S142" s="113">
        <v>13661</v>
      </c>
      <c r="T142" s="113">
        <v>0.81</v>
      </c>
      <c r="U142" s="113">
        <v>0</v>
      </c>
      <c r="V142" s="143">
        <f>(((Tabela13633[[#This Row],[Objetive value Cannibalism ]]-Tabela13633[[#This Row],[Objetive value Cannibalism/H-R2]])/Tabela13633[[#This Row],[Objetive value Cannibalism ]]))*100</f>
        <v>0.97854450565381268</v>
      </c>
    </row>
    <row r="143" spans="1:22" x14ac:dyDescent="0.25">
      <c r="A143" s="3" t="s">
        <v>243</v>
      </c>
      <c r="B143" s="39" t="s">
        <v>615</v>
      </c>
      <c r="C143" s="3">
        <v>2000</v>
      </c>
      <c r="D143" s="3">
        <v>0.15</v>
      </c>
      <c r="E143" s="3">
        <v>5</v>
      </c>
      <c r="F143" s="39" t="s">
        <v>18</v>
      </c>
      <c r="G143" s="39" t="s">
        <v>14</v>
      </c>
      <c r="H143" s="128">
        <v>20281</v>
      </c>
      <c r="I143" s="128">
        <v>1.4849999999860299</v>
      </c>
      <c r="J143" s="129">
        <v>60.6</v>
      </c>
      <c r="K143" s="139">
        <v>20262</v>
      </c>
      <c r="L143" s="139">
        <v>113</v>
      </c>
      <c r="M143" s="139">
        <v>86</v>
      </c>
      <c r="N143" s="130">
        <f>((Tabela13633[[#This Row],[Objetive value Cannibalism ]]-Tabela13633[[#This Row],[Objetive value Cannibalism/GATeS]])/Tabela13633[[#This Row],[Objetive value Cannibalism ]])*100</f>
        <v>9.3683743405157532E-2</v>
      </c>
      <c r="O143" s="131">
        <v>20282</v>
      </c>
      <c r="P143" s="131">
        <v>0.76</v>
      </c>
      <c r="Q143" s="131">
        <v>0</v>
      </c>
      <c r="R143" s="141">
        <f>(((Tabela13633[[#This Row],[Objetive value Cannibalism ]]-Tabela13633[[#This Row],[Objetive value Cannibalism/H-R1]])/Tabela13633[[#This Row],[Objetive value Cannibalism ]]))*100</f>
        <v>-4.9307233371135547E-3</v>
      </c>
      <c r="S143" s="113">
        <v>20282</v>
      </c>
      <c r="T143" s="113">
        <v>0.6</v>
      </c>
      <c r="U143" s="113">
        <v>0</v>
      </c>
      <c r="V143" s="143">
        <f>(((Tabela13633[[#This Row],[Objetive value Cannibalism ]]-Tabela13633[[#This Row],[Objetive value Cannibalism/H-R2]])/Tabela13633[[#This Row],[Objetive value Cannibalism ]]))*100</f>
        <v>-4.9307233371135547E-3</v>
      </c>
    </row>
    <row r="144" spans="1:22" x14ac:dyDescent="0.25">
      <c r="A144" s="3" t="s">
        <v>243</v>
      </c>
      <c r="B144" s="39" t="s">
        <v>616</v>
      </c>
      <c r="C144" s="3">
        <v>2000</v>
      </c>
      <c r="D144" s="3">
        <v>0.15</v>
      </c>
      <c r="E144" s="3">
        <v>5</v>
      </c>
      <c r="F144" s="39" t="s">
        <v>18</v>
      </c>
      <c r="G144" s="39" t="s">
        <v>16</v>
      </c>
      <c r="H144" s="128">
        <v>14584</v>
      </c>
      <c r="I144" s="128">
        <v>1.57799999997951</v>
      </c>
      <c r="J144" s="129">
        <v>0</v>
      </c>
      <c r="K144" s="139">
        <v>14575</v>
      </c>
      <c r="L144" s="139">
        <v>154</v>
      </c>
      <c r="M144" s="139">
        <v>11</v>
      </c>
      <c r="N144" s="130">
        <f>((Tabela13633[[#This Row],[Objetive value Cannibalism ]]-Tabela13633[[#This Row],[Objetive value Cannibalism/GATeS]])/Tabela13633[[#This Row],[Objetive value Cannibalism ]])*100</f>
        <v>6.1711464618760287E-2</v>
      </c>
      <c r="O144" s="131">
        <v>14584</v>
      </c>
      <c r="P144" s="131">
        <v>0.63</v>
      </c>
      <c r="Q144" s="131">
        <v>0</v>
      </c>
      <c r="R144" s="141">
        <f>(((Tabela13633[[#This Row],[Objetive value Cannibalism ]]-Tabela13633[[#This Row],[Objetive value Cannibalism/H-R1]])/Tabela13633[[#This Row],[Objetive value Cannibalism ]]))*100</f>
        <v>0</v>
      </c>
      <c r="S144" s="113">
        <v>14584</v>
      </c>
      <c r="T144" s="113">
        <v>0.6</v>
      </c>
      <c r="U144" s="113">
        <v>0</v>
      </c>
      <c r="V144" s="143">
        <f>(((Tabela13633[[#This Row],[Objetive value Cannibalism ]]-Tabela13633[[#This Row],[Objetive value Cannibalism/H-R2]])/Tabela13633[[#This Row],[Objetive value Cannibalism ]]))*100</f>
        <v>0</v>
      </c>
    </row>
    <row r="145" spans="1:22" x14ac:dyDescent="0.25">
      <c r="A145" s="3" t="s">
        <v>243</v>
      </c>
      <c r="B145" s="39" t="s">
        <v>617</v>
      </c>
      <c r="C145" s="3">
        <v>2000</v>
      </c>
      <c r="D145" s="3">
        <v>0.15</v>
      </c>
      <c r="E145" s="3">
        <v>5</v>
      </c>
      <c r="F145" s="39" t="s">
        <v>21</v>
      </c>
      <c r="G145" s="39" t="s">
        <v>14</v>
      </c>
      <c r="H145" s="128">
        <v>20298</v>
      </c>
      <c r="I145" s="128">
        <v>1.6880000000819499</v>
      </c>
      <c r="J145" s="129">
        <v>0</v>
      </c>
      <c r="K145" s="139">
        <v>20227</v>
      </c>
      <c r="L145" s="139">
        <v>88</v>
      </c>
      <c r="M145" s="139">
        <v>39</v>
      </c>
      <c r="N145" s="130">
        <f>((Tabela13633[[#This Row],[Objetive value Cannibalism ]]-Tabela13633[[#This Row],[Objetive value Cannibalism/GATeS]])/Tabela13633[[#This Row],[Objetive value Cannibalism ]])*100</f>
        <v>0.34978815646861761</v>
      </c>
      <c r="O145" s="131">
        <v>20239</v>
      </c>
      <c r="P145" s="131">
        <v>0.56999999999999995</v>
      </c>
      <c r="Q145" s="131">
        <v>0</v>
      </c>
      <c r="R145" s="141">
        <f>(((Tabela13633[[#This Row],[Objetive value Cannibalism ]]-Tabela13633[[#This Row],[Objetive value Cannibalism/H-R1]])/Tabela13633[[#This Row],[Objetive value Cannibalism ]]))*100</f>
        <v>0.29066903143166817</v>
      </c>
      <c r="S145" s="113">
        <v>20298</v>
      </c>
      <c r="T145" s="113">
        <v>0.53</v>
      </c>
      <c r="U145" s="113">
        <v>0</v>
      </c>
      <c r="V145" s="143">
        <f>(((Tabela13633[[#This Row],[Objetive value Cannibalism ]]-Tabela13633[[#This Row],[Objetive value Cannibalism/H-R2]])/Tabela13633[[#This Row],[Objetive value Cannibalism ]]))*100</f>
        <v>0</v>
      </c>
    </row>
    <row r="146" spans="1:22" x14ac:dyDescent="0.25">
      <c r="A146" s="3" t="s">
        <v>243</v>
      </c>
      <c r="B146" s="39" t="s">
        <v>618</v>
      </c>
      <c r="C146" s="3">
        <v>2000</v>
      </c>
      <c r="D146" s="3">
        <v>0.15</v>
      </c>
      <c r="E146" s="3">
        <v>5</v>
      </c>
      <c r="F146" s="39" t="s">
        <v>21</v>
      </c>
      <c r="G146" s="39" t="s">
        <v>16</v>
      </c>
      <c r="H146" s="128">
        <v>14569</v>
      </c>
      <c r="I146" s="128">
        <v>1.15599999995902</v>
      </c>
      <c r="J146" s="129">
        <v>0</v>
      </c>
      <c r="K146" s="139">
        <v>14569</v>
      </c>
      <c r="L146" s="139">
        <v>88</v>
      </c>
      <c r="M146" s="139">
        <v>48</v>
      </c>
      <c r="N146" s="130">
        <f>((Tabela13633[[#This Row],[Objetive value Cannibalism ]]-Tabela13633[[#This Row],[Objetive value Cannibalism/GATeS]])/Tabela13633[[#This Row],[Objetive value Cannibalism ]])*100</f>
        <v>0</v>
      </c>
      <c r="O146" s="131">
        <v>14569</v>
      </c>
      <c r="P146" s="131">
        <v>0.65</v>
      </c>
      <c r="Q146" s="131">
        <v>0</v>
      </c>
      <c r="R146" s="141">
        <f>(((Tabela13633[[#This Row],[Objetive value Cannibalism ]]-Tabela13633[[#This Row],[Objetive value Cannibalism/H-R1]])/Tabela13633[[#This Row],[Objetive value Cannibalism ]]))*100</f>
        <v>0</v>
      </c>
      <c r="S146" s="113">
        <v>14569</v>
      </c>
      <c r="T146" s="113">
        <v>0.74</v>
      </c>
      <c r="U146" s="113">
        <v>0</v>
      </c>
      <c r="V146" s="143">
        <f>(((Tabela13633[[#This Row],[Objetive value Cannibalism ]]-Tabela13633[[#This Row],[Objetive value Cannibalism/H-R2]])/Tabela13633[[#This Row],[Objetive value Cannibalism ]]))*100</f>
        <v>0</v>
      </c>
    </row>
    <row r="147" spans="1:22" x14ac:dyDescent="0.25">
      <c r="A147" s="3" t="s">
        <v>262</v>
      </c>
      <c r="B147" s="37" t="s">
        <v>619</v>
      </c>
      <c r="C147" s="3">
        <v>2000</v>
      </c>
      <c r="D147" s="3">
        <v>0.05</v>
      </c>
      <c r="E147" s="3">
        <v>10</v>
      </c>
      <c r="F147" s="39" t="s">
        <v>13</v>
      </c>
      <c r="G147" s="39" t="s">
        <v>14</v>
      </c>
      <c r="H147" s="128">
        <v>37364</v>
      </c>
      <c r="I147" s="128">
        <v>6.82799999997951</v>
      </c>
      <c r="J147" s="129">
        <v>79</v>
      </c>
      <c r="K147" s="139">
        <v>36900</v>
      </c>
      <c r="L147" s="139">
        <v>211</v>
      </c>
      <c r="M147" s="139">
        <v>58</v>
      </c>
      <c r="N147" s="130">
        <f>((Tabela13633[[#This Row],[Objetive value Cannibalism ]]-Tabela13633[[#This Row],[Objetive value Cannibalism/GATeS]])/Tabela13633[[#This Row],[Objetive value Cannibalism ]])*100</f>
        <v>1.2418370624130179</v>
      </c>
      <c r="O147" s="131">
        <v>36968</v>
      </c>
      <c r="P147" s="131">
        <v>0.76</v>
      </c>
      <c r="Q147" s="131">
        <v>0</v>
      </c>
      <c r="R147" s="141">
        <f>(((Tabela13633[[#This Row],[Objetive value Cannibalism ]]-Tabela13633[[#This Row],[Objetive value Cannibalism/H-R1]])/Tabela13633[[#This Row],[Objetive value Cannibalism ]]))*100</f>
        <v>1.0598436998180065</v>
      </c>
      <c r="S147" s="113">
        <v>32870</v>
      </c>
      <c r="T147" s="113">
        <v>0.99</v>
      </c>
      <c r="U147" s="113">
        <v>0</v>
      </c>
      <c r="V147" s="143">
        <f>(((Tabela13633[[#This Row],[Objetive value Cannibalism ]]-Tabela13633[[#This Row],[Objetive value Cannibalism/H-R2]])/Tabela13633[[#This Row],[Objetive value Cannibalism ]]))*100</f>
        <v>12.027620169146774</v>
      </c>
    </row>
    <row r="148" spans="1:22" x14ac:dyDescent="0.25">
      <c r="A148" s="3" t="s">
        <v>262</v>
      </c>
      <c r="B148" s="39" t="s">
        <v>620</v>
      </c>
      <c r="C148" s="3">
        <v>2000</v>
      </c>
      <c r="D148" s="3">
        <v>0.05</v>
      </c>
      <c r="E148" s="3">
        <v>10</v>
      </c>
      <c r="F148" s="39" t="s">
        <v>13</v>
      </c>
      <c r="G148" s="39" t="s">
        <v>16</v>
      </c>
      <c r="H148" s="128">
        <v>23754</v>
      </c>
      <c r="I148" s="128">
        <v>26.329000000027001</v>
      </c>
      <c r="J148" s="129">
        <v>0</v>
      </c>
      <c r="K148" s="139">
        <v>23383</v>
      </c>
      <c r="L148" s="139">
        <v>220</v>
      </c>
      <c r="M148" s="139">
        <v>23</v>
      </c>
      <c r="N148" s="130">
        <f>((Tabela13633[[#This Row],[Objetive value Cannibalism ]]-Tabela13633[[#This Row],[Objetive value Cannibalism/GATeS]])/Tabela13633[[#This Row],[Objetive value Cannibalism ]])*100</f>
        <v>1.5618422160478236</v>
      </c>
      <c r="O148" s="131">
        <v>23243</v>
      </c>
      <c r="P148" s="131">
        <v>1.05</v>
      </c>
      <c r="Q148" s="131">
        <v>0</v>
      </c>
      <c r="R148" s="141">
        <f>(((Tabela13633[[#This Row],[Objetive value Cannibalism ]]-Tabela13633[[#This Row],[Objetive value Cannibalism/H-R1]])/Tabela13633[[#This Row],[Objetive value Cannibalism ]]))*100</f>
        <v>2.1512166371979458</v>
      </c>
      <c r="S148" s="113">
        <v>23846</v>
      </c>
      <c r="T148" s="113">
        <v>1</v>
      </c>
      <c r="U148" s="113">
        <v>0</v>
      </c>
      <c r="V148" s="143">
        <f>(((Tabela13633[[#This Row],[Objetive value Cannibalism ]]-Tabela13633[[#This Row],[Objetive value Cannibalism/H-R2]])/Tabela13633[[#This Row],[Objetive value Cannibalism ]]))*100</f>
        <v>-0.38730319104150879</v>
      </c>
    </row>
    <row r="149" spans="1:22" x14ac:dyDescent="0.25">
      <c r="A149" s="3" t="s">
        <v>262</v>
      </c>
      <c r="B149" s="39" t="s">
        <v>621</v>
      </c>
      <c r="C149" s="3">
        <v>2000</v>
      </c>
      <c r="D149" s="3">
        <v>0.05</v>
      </c>
      <c r="E149" s="3">
        <v>10</v>
      </c>
      <c r="F149" s="39" t="s">
        <v>18</v>
      </c>
      <c r="G149" s="39" t="s">
        <v>14</v>
      </c>
      <c r="H149" s="128">
        <v>38012</v>
      </c>
      <c r="I149" s="128">
        <v>14.155999999959</v>
      </c>
      <c r="J149" s="129">
        <v>0</v>
      </c>
      <c r="K149" s="139">
        <v>37112</v>
      </c>
      <c r="L149" s="139">
        <v>153</v>
      </c>
      <c r="M149" s="139">
        <v>53</v>
      </c>
      <c r="N149" s="130">
        <f>((Tabela13633[[#This Row],[Objetive value Cannibalism ]]-Tabela13633[[#This Row],[Objetive value Cannibalism/GATeS]])/Tabela13633[[#This Row],[Objetive value Cannibalism ]])*100</f>
        <v>2.3676733663053775</v>
      </c>
      <c r="O149" s="131">
        <v>34030</v>
      </c>
      <c r="P149" s="131">
        <v>0.97</v>
      </c>
      <c r="Q149" s="131">
        <v>0</v>
      </c>
      <c r="R149" s="141">
        <f>(((Tabela13633[[#This Row],[Objetive value Cannibalism ]]-Tabela13633[[#This Row],[Objetive value Cannibalism/H-R1]])/Tabela13633[[#This Row],[Objetive value Cannibalism ]]))*100</f>
        <v>10.475639271808902</v>
      </c>
      <c r="S149" s="113">
        <v>33981</v>
      </c>
      <c r="T149" s="113">
        <v>0.74</v>
      </c>
      <c r="U149" s="113">
        <v>0</v>
      </c>
      <c r="V149" s="143">
        <f>(((Tabela13633[[#This Row],[Objetive value Cannibalism ]]-Tabela13633[[#This Row],[Objetive value Cannibalism/H-R2]])/Tabela13633[[#This Row],[Objetive value Cannibalism ]]))*100</f>
        <v>10.604545932863306</v>
      </c>
    </row>
    <row r="150" spans="1:22" x14ac:dyDescent="0.25">
      <c r="A150" s="3" t="s">
        <v>262</v>
      </c>
      <c r="B150" s="39" t="s">
        <v>622</v>
      </c>
      <c r="C150" s="3">
        <v>2000</v>
      </c>
      <c r="D150" s="3">
        <v>0.05</v>
      </c>
      <c r="E150" s="3">
        <v>10</v>
      </c>
      <c r="F150" s="39" t="s">
        <v>18</v>
      </c>
      <c r="G150" s="39" t="s">
        <v>16</v>
      </c>
      <c r="H150" s="128">
        <v>23095</v>
      </c>
      <c r="I150" s="128">
        <v>26.125</v>
      </c>
      <c r="J150" s="129">
        <v>0</v>
      </c>
      <c r="K150" s="139">
        <v>22725</v>
      </c>
      <c r="L150" s="139">
        <v>359</v>
      </c>
      <c r="M150" s="139">
        <v>342</v>
      </c>
      <c r="N150" s="130">
        <f>((Tabela13633[[#This Row],[Objetive value Cannibalism ]]-Tabela13633[[#This Row],[Objetive value Cannibalism/GATeS]])/Tabela13633[[#This Row],[Objetive value Cannibalism ]])*100</f>
        <v>1.6020783719419789</v>
      </c>
      <c r="O150" s="131">
        <v>22768</v>
      </c>
      <c r="P150" s="131">
        <v>1.03</v>
      </c>
      <c r="Q150" s="131">
        <v>0</v>
      </c>
      <c r="R150" s="141">
        <f>(((Tabela13633[[#This Row],[Objetive value Cannibalism ]]-Tabela13633[[#This Row],[Objetive value Cannibalism/H-R1]])/Tabela13633[[#This Row],[Objetive value Cannibalism ]]))*100</f>
        <v>1.4158908854730461</v>
      </c>
      <c r="S150" s="113">
        <v>22757</v>
      </c>
      <c r="T150" s="113">
        <v>1.1299999999999999</v>
      </c>
      <c r="U150" s="113">
        <v>0</v>
      </c>
      <c r="V150" s="143">
        <f>(((Tabela13633[[#This Row],[Objetive value Cannibalism ]]-Tabela13633[[#This Row],[Objetive value Cannibalism/H-R2]])/Tabela13633[[#This Row],[Objetive value Cannibalism ]]))*100</f>
        <v>1.4635202424767266</v>
      </c>
    </row>
    <row r="151" spans="1:22" x14ac:dyDescent="0.25">
      <c r="A151" s="3" t="s">
        <v>262</v>
      </c>
      <c r="B151" s="39" t="s">
        <v>623</v>
      </c>
      <c r="C151" s="3">
        <v>2000</v>
      </c>
      <c r="D151" s="3">
        <v>0.05</v>
      </c>
      <c r="E151" s="3">
        <v>10</v>
      </c>
      <c r="F151" s="39" t="s">
        <v>21</v>
      </c>
      <c r="G151" s="39" t="s">
        <v>14</v>
      </c>
      <c r="H151" s="128">
        <v>32680</v>
      </c>
      <c r="I151" s="128">
        <v>6.1410000000614602</v>
      </c>
      <c r="J151" s="129">
        <v>100.24</v>
      </c>
      <c r="K151" s="139">
        <v>32588</v>
      </c>
      <c r="L151" s="139">
        <v>204</v>
      </c>
      <c r="M151" s="139">
        <v>95</v>
      </c>
      <c r="N151" s="130">
        <f>((Tabela13633[[#This Row],[Objetive value Cannibalism ]]-Tabela13633[[#This Row],[Objetive value Cannibalism/GATeS]])/Tabela13633[[#This Row],[Objetive value Cannibalism ]])*100</f>
        <v>0.28151774785801714</v>
      </c>
      <c r="O151" s="131">
        <v>32681</v>
      </c>
      <c r="P151" s="131">
        <v>1.48</v>
      </c>
      <c r="Q151" s="131">
        <v>0</v>
      </c>
      <c r="R151" s="141">
        <f>(((Tabela13633[[#This Row],[Objetive value Cannibalism ]]-Tabela13633[[#This Row],[Objetive value Cannibalism/H-R1]])/Tabela13633[[#This Row],[Objetive value Cannibalism ]]))*100</f>
        <v>-3.0599755201958386E-3</v>
      </c>
      <c r="S151" s="113">
        <v>32681</v>
      </c>
      <c r="T151" s="113">
        <v>0.76</v>
      </c>
      <c r="U151" s="113">
        <v>0</v>
      </c>
      <c r="V151" s="143">
        <f>(((Tabela13633[[#This Row],[Objetive value Cannibalism ]]-Tabela13633[[#This Row],[Objetive value Cannibalism/H-R2]])/Tabela13633[[#This Row],[Objetive value Cannibalism ]]))*100</f>
        <v>-3.0599755201958386E-3</v>
      </c>
    </row>
    <row r="152" spans="1:22" x14ac:dyDescent="0.25">
      <c r="A152" s="3" t="s">
        <v>262</v>
      </c>
      <c r="B152" s="39" t="s">
        <v>624</v>
      </c>
      <c r="C152" s="3">
        <v>2000</v>
      </c>
      <c r="D152" s="3">
        <v>0.05</v>
      </c>
      <c r="E152" s="3">
        <v>10</v>
      </c>
      <c r="F152" s="39" t="s">
        <v>21</v>
      </c>
      <c r="G152" s="39" t="s">
        <v>16</v>
      </c>
      <c r="H152" s="128">
        <v>25080</v>
      </c>
      <c r="I152" s="128">
        <v>10.655999999959</v>
      </c>
      <c r="J152" s="129">
        <v>0</v>
      </c>
      <c r="K152" s="139">
        <v>24893</v>
      </c>
      <c r="L152" s="139">
        <v>341</v>
      </c>
      <c r="M152" s="139">
        <v>323</v>
      </c>
      <c r="N152" s="130">
        <f>((Tabela13633[[#This Row],[Objetive value Cannibalism ]]-Tabela13633[[#This Row],[Objetive value Cannibalism/GATeS]])/Tabela13633[[#This Row],[Objetive value Cannibalism ]])*100</f>
        <v>0.74561403508771928</v>
      </c>
      <c r="O152" s="131">
        <v>25079</v>
      </c>
      <c r="P152" s="131">
        <v>1.1100000000000001</v>
      </c>
      <c r="Q152" s="131">
        <v>0</v>
      </c>
      <c r="R152" s="141">
        <f>(((Tabela13633[[#This Row],[Objetive value Cannibalism ]]-Tabela13633[[#This Row],[Objetive value Cannibalism/H-R1]])/Tabela13633[[#This Row],[Objetive value Cannibalism ]]))*100</f>
        <v>3.9872408293460922E-3</v>
      </c>
      <c r="S152" s="113">
        <v>24307</v>
      </c>
      <c r="T152" s="113">
        <v>1.27</v>
      </c>
      <c r="U152" s="113">
        <v>0</v>
      </c>
      <c r="V152" s="143">
        <f>(((Tabela13633[[#This Row],[Objetive value Cannibalism ]]-Tabela13633[[#This Row],[Objetive value Cannibalism/H-R2]])/Tabela13633[[#This Row],[Objetive value Cannibalism ]]))*100</f>
        <v>3.0821371610845296</v>
      </c>
    </row>
    <row r="153" spans="1:22" x14ac:dyDescent="0.25">
      <c r="A153" s="3" t="s">
        <v>281</v>
      </c>
      <c r="B153" s="37" t="s">
        <v>637</v>
      </c>
      <c r="C153" s="3">
        <v>2000</v>
      </c>
      <c r="D153" s="3">
        <v>0.05</v>
      </c>
      <c r="E153" s="3">
        <v>15</v>
      </c>
      <c r="F153" s="39" t="s">
        <v>13</v>
      </c>
      <c r="G153" s="39" t="s">
        <v>14</v>
      </c>
      <c r="H153" s="128">
        <v>46120</v>
      </c>
      <c r="I153" s="128">
        <v>37.390999999945002</v>
      </c>
      <c r="J153" s="129">
        <v>3.76</v>
      </c>
      <c r="K153" s="139">
        <v>44694</v>
      </c>
      <c r="L153" s="139">
        <v>326</v>
      </c>
      <c r="M153" s="139">
        <v>285</v>
      </c>
      <c r="N153" s="130">
        <f>((Tabela13633[[#This Row],[Objetive value Cannibalism ]]-Tabela13633[[#This Row],[Objetive value Cannibalism/GATeS]])/Tabela13633[[#This Row],[Objetive value Cannibalism ]])*100</f>
        <v>3.0919340849956636</v>
      </c>
      <c r="O153" s="131">
        <v>44873</v>
      </c>
      <c r="P153" s="131">
        <v>1.77</v>
      </c>
      <c r="Q153" s="131">
        <v>0</v>
      </c>
      <c r="R153" s="141">
        <f>(((Tabela13633[[#This Row],[Objetive value Cannibalism ]]-Tabela13633[[#This Row],[Objetive value Cannibalism/H-R1]])/Tabela13633[[#This Row],[Objetive value Cannibalism ]]))*100</f>
        <v>2.7038161318300085</v>
      </c>
      <c r="S153" s="113">
        <v>43262</v>
      </c>
      <c r="T153" s="113">
        <v>1.23</v>
      </c>
      <c r="U153" s="113">
        <v>0</v>
      </c>
      <c r="V153" s="143">
        <f>(((Tabela13633[[#This Row],[Objetive value Cannibalism ]]-Tabela13633[[#This Row],[Objetive value Cannibalism/H-R2]])/Tabela13633[[#This Row],[Objetive value Cannibalism ]]))*100</f>
        <v>6.1968777103209023</v>
      </c>
    </row>
    <row r="154" spans="1:22" x14ac:dyDescent="0.25">
      <c r="A154" s="3" t="s">
        <v>281</v>
      </c>
      <c r="B154" s="39" t="s">
        <v>638</v>
      </c>
      <c r="C154" s="3">
        <v>2000</v>
      </c>
      <c r="D154" s="3">
        <v>0.05</v>
      </c>
      <c r="E154" s="3">
        <v>15</v>
      </c>
      <c r="F154" s="39" t="s">
        <v>13</v>
      </c>
      <c r="G154" s="39" t="s">
        <v>16</v>
      </c>
      <c r="H154" s="128">
        <v>32882</v>
      </c>
      <c r="I154" s="128">
        <v>237.35899999993799</v>
      </c>
      <c r="J154" s="129">
        <v>1.33</v>
      </c>
      <c r="K154" s="139">
        <v>32771</v>
      </c>
      <c r="L154" s="139">
        <v>751</v>
      </c>
      <c r="M154" s="139">
        <v>321</v>
      </c>
      <c r="N154" s="130">
        <f>((Tabela13633[[#This Row],[Objetive value Cannibalism ]]-Tabela13633[[#This Row],[Objetive value Cannibalism/GATeS]])/Tabela13633[[#This Row],[Objetive value Cannibalism ]])*100</f>
        <v>0.33757070737789674</v>
      </c>
      <c r="O154" s="131">
        <v>29814</v>
      </c>
      <c r="P154" s="131">
        <v>1.53</v>
      </c>
      <c r="Q154" s="131">
        <v>0</v>
      </c>
      <c r="R154" s="141">
        <f>(((Tabela13633[[#This Row],[Objetive value Cannibalism ]]-Tabela13633[[#This Row],[Objetive value Cannibalism/H-R1]])/Tabela13633[[#This Row],[Objetive value Cannibalism ]]))*100</f>
        <v>9.3303327048233076</v>
      </c>
      <c r="S154" s="113">
        <v>30012</v>
      </c>
      <c r="T154" s="113">
        <v>1.71</v>
      </c>
      <c r="U154" s="113">
        <v>0</v>
      </c>
      <c r="V154" s="143">
        <f>(((Tabela13633[[#This Row],[Objetive value Cannibalism ]]-Tabela13633[[#This Row],[Objetive value Cannibalism/H-R2]])/Tabela13633[[#This Row],[Objetive value Cannibalism ]]))*100</f>
        <v>8.7281795511221958</v>
      </c>
    </row>
    <row r="155" spans="1:22" x14ac:dyDescent="0.25">
      <c r="A155" s="3" t="s">
        <v>281</v>
      </c>
      <c r="B155" s="39" t="s">
        <v>639</v>
      </c>
      <c r="C155" s="3">
        <v>2000</v>
      </c>
      <c r="D155" s="3">
        <v>0.05</v>
      </c>
      <c r="E155" s="3">
        <v>15</v>
      </c>
      <c r="F155" s="39" t="s">
        <v>18</v>
      </c>
      <c r="G155" s="39" t="s">
        <v>14</v>
      </c>
      <c r="H155" s="128">
        <v>62562</v>
      </c>
      <c r="I155" s="128">
        <v>22.905999999959</v>
      </c>
      <c r="J155" s="129">
        <v>4.1500000000000004</v>
      </c>
      <c r="K155" s="139">
        <v>62374</v>
      </c>
      <c r="L155" s="139">
        <v>463</v>
      </c>
      <c r="M155" s="139">
        <v>307</v>
      </c>
      <c r="N155" s="130">
        <f>((Tabela13633[[#This Row],[Objetive value Cannibalism ]]-Tabela13633[[#This Row],[Objetive value Cannibalism/GATeS]])/Tabela13633[[#This Row],[Objetive value Cannibalism ]])*100</f>
        <v>0.30050190211310379</v>
      </c>
      <c r="O155" s="131">
        <v>60053</v>
      </c>
      <c r="P155" s="131">
        <v>1.89</v>
      </c>
      <c r="Q155" s="131">
        <v>0</v>
      </c>
      <c r="R155" s="141">
        <f>(((Tabela13633[[#This Row],[Objetive value Cannibalism ]]-Tabela13633[[#This Row],[Objetive value Cannibalism/H-R1]])/Tabela13633[[#This Row],[Objetive value Cannibalism ]]))*100</f>
        <v>4.0104216617115824</v>
      </c>
      <c r="S155" s="113">
        <v>56411</v>
      </c>
      <c r="T155" s="113">
        <v>1.03</v>
      </c>
      <c r="U155" s="113">
        <v>0</v>
      </c>
      <c r="V155" s="143">
        <f>(((Tabela13633[[#This Row],[Objetive value Cannibalism ]]-Tabela13633[[#This Row],[Objetive value Cannibalism/H-R2]])/Tabela13633[[#This Row],[Objetive value Cannibalism ]]))*100</f>
        <v>9.8318468079664978</v>
      </c>
    </row>
    <row r="156" spans="1:22" x14ac:dyDescent="0.25">
      <c r="A156" s="3" t="s">
        <v>281</v>
      </c>
      <c r="B156" s="39" t="s">
        <v>640</v>
      </c>
      <c r="C156" s="3">
        <v>2000</v>
      </c>
      <c r="D156" s="3">
        <v>0.05</v>
      </c>
      <c r="E156" s="3">
        <v>15</v>
      </c>
      <c r="F156" s="39" t="s">
        <v>18</v>
      </c>
      <c r="G156" s="39" t="s">
        <v>16</v>
      </c>
      <c r="H156" s="128">
        <v>35287</v>
      </c>
      <c r="I156" s="128">
        <v>83.609999999986002</v>
      </c>
      <c r="J156" s="129">
        <v>0</v>
      </c>
      <c r="K156" s="139">
        <v>34783</v>
      </c>
      <c r="L156" s="139">
        <v>758</v>
      </c>
      <c r="M156" s="139">
        <v>756</v>
      </c>
      <c r="N156" s="130">
        <f>((Tabela13633[[#This Row],[Objetive value Cannibalism ]]-Tabela13633[[#This Row],[Objetive value Cannibalism/GATeS]])/Tabela13633[[#This Row],[Objetive value Cannibalism ]])*100</f>
        <v>1.428288038087681</v>
      </c>
      <c r="O156" s="131">
        <v>34684</v>
      </c>
      <c r="P156" s="131">
        <v>1.7</v>
      </c>
      <c r="Q156" s="131">
        <v>0</v>
      </c>
      <c r="R156" s="141">
        <f>(((Tabela13633[[#This Row],[Objetive value Cannibalism ]]-Tabela13633[[#This Row],[Objetive value Cannibalism/H-R1]])/Tabela13633[[#This Row],[Objetive value Cannibalism ]]))*100</f>
        <v>1.7088446169977611</v>
      </c>
      <c r="S156" s="113">
        <v>34684</v>
      </c>
      <c r="T156" s="113">
        <v>2.16</v>
      </c>
      <c r="U156" s="113">
        <v>0</v>
      </c>
      <c r="V156" s="143">
        <f>(((Tabela13633[[#This Row],[Objetive value Cannibalism ]]-Tabela13633[[#This Row],[Objetive value Cannibalism/H-R2]])/Tabela13633[[#This Row],[Objetive value Cannibalism ]]))*100</f>
        <v>1.7088446169977611</v>
      </c>
    </row>
    <row r="157" spans="1:22" x14ac:dyDescent="0.25">
      <c r="A157" s="3" t="s">
        <v>281</v>
      </c>
      <c r="B157" s="39" t="s">
        <v>641</v>
      </c>
      <c r="C157" s="3">
        <v>2000</v>
      </c>
      <c r="D157" s="3">
        <v>0.05</v>
      </c>
      <c r="E157" s="3">
        <v>15</v>
      </c>
      <c r="F157" s="39" t="s">
        <v>21</v>
      </c>
      <c r="G157" s="39" t="s">
        <v>14</v>
      </c>
      <c r="H157" s="128">
        <v>55018</v>
      </c>
      <c r="I157" s="128">
        <v>8.3440000000409693</v>
      </c>
      <c r="J157" s="129">
        <v>0</v>
      </c>
      <c r="K157" s="139">
        <v>45637</v>
      </c>
      <c r="L157" s="139">
        <v>243</v>
      </c>
      <c r="M157" s="139">
        <v>109</v>
      </c>
      <c r="N157" s="130">
        <f>((Tabela13633[[#This Row],[Objetive value Cannibalism ]]-Tabela13633[[#This Row],[Objetive value Cannibalism/GATeS]])/Tabela13633[[#This Row],[Objetive value Cannibalism ]])*100</f>
        <v>17.050783379984733</v>
      </c>
      <c r="O157" s="131">
        <v>55018</v>
      </c>
      <c r="P157" s="131">
        <v>2.1</v>
      </c>
      <c r="Q157" s="131">
        <v>0</v>
      </c>
      <c r="R157" s="141">
        <f>(((Tabela13633[[#This Row],[Objetive value Cannibalism ]]-Tabela13633[[#This Row],[Objetive value Cannibalism/H-R1]])/Tabela13633[[#This Row],[Objetive value Cannibalism ]]))*100</f>
        <v>0</v>
      </c>
      <c r="S157" s="113">
        <v>51205</v>
      </c>
      <c r="T157" s="113">
        <v>1.35</v>
      </c>
      <c r="U157" s="113">
        <v>0</v>
      </c>
      <c r="V157" s="143">
        <f>(((Tabela13633[[#This Row],[Objetive value Cannibalism ]]-Tabela13633[[#This Row],[Objetive value Cannibalism/H-R2]])/Tabela13633[[#This Row],[Objetive value Cannibalism ]]))*100</f>
        <v>6.93045912246901</v>
      </c>
    </row>
    <row r="158" spans="1:22" x14ac:dyDescent="0.25">
      <c r="A158" s="3" t="s">
        <v>281</v>
      </c>
      <c r="B158" s="39" t="s">
        <v>642</v>
      </c>
      <c r="C158" s="3">
        <v>2000</v>
      </c>
      <c r="D158" s="3">
        <v>0.05</v>
      </c>
      <c r="E158" s="3">
        <v>15</v>
      </c>
      <c r="F158" s="39" t="s">
        <v>21</v>
      </c>
      <c r="G158" s="39" t="s">
        <v>16</v>
      </c>
      <c r="H158" s="128">
        <v>30868</v>
      </c>
      <c r="I158" s="128">
        <v>107.42200000002001</v>
      </c>
      <c r="J158" s="129">
        <v>0.28000000000000003</v>
      </c>
      <c r="K158" s="139">
        <v>30507</v>
      </c>
      <c r="L158" s="139">
        <v>454</v>
      </c>
      <c r="M158" s="139">
        <v>426</v>
      </c>
      <c r="N158" s="130">
        <f>((Tabela13633[[#This Row],[Objetive value Cannibalism ]]-Tabela13633[[#This Row],[Objetive value Cannibalism/GATeS]])/Tabela13633[[#This Row],[Objetive value Cannibalism ]])*100</f>
        <v>1.1694959181028899</v>
      </c>
      <c r="O158" s="131">
        <v>29357</v>
      </c>
      <c r="P158" s="131">
        <v>1.45</v>
      </c>
      <c r="Q158" s="131">
        <v>0</v>
      </c>
      <c r="R158" s="141">
        <f>(((Tabela13633[[#This Row],[Objetive value Cannibalism ]]-Tabela13633[[#This Row],[Objetive value Cannibalism/H-R1]])/Tabela13633[[#This Row],[Objetive value Cannibalism ]]))*100</f>
        <v>4.8950369314500453</v>
      </c>
      <c r="S158" s="113">
        <v>29691</v>
      </c>
      <c r="T158" s="113">
        <v>1.77</v>
      </c>
      <c r="U158" s="113">
        <v>0</v>
      </c>
      <c r="V158" s="143">
        <f>(((Tabela13633[[#This Row],[Objetive value Cannibalism ]]-Tabela13633[[#This Row],[Objetive value Cannibalism/H-R2]])/Tabela13633[[#This Row],[Objetive value Cannibalism ]]))*100</f>
        <v>3.8130102371387844</v>
      </c>
    </row>
    <row r="159" spans="1:22" x14ac:dyDescent="0.25">
      <c r="A159" s="3" t="s">
        <v>243</v>
      </c>
      <c r="B159" s="37" t="s">
        <v>601</v>
      </c>
      <c r="C159" s="3">
        <v>2000</v>
      </c>
      <c r="D159" s="3">
        <v>0.05</v>
      </c>
      <c r="E159" s="3">
        <v>5</v>
      </c>
      <c r="F159" s="39" t="s">
        <v>13</v>
      </c>
      <c r="G159" s="39" t="s">
        <v>14</v>
      </c>
      <c r="H159" s="128">
        <v>19983</v>
      </c>
      <c r="I159" s="128">
        <v>2.0939999999245602</v>
      </c>
      <c r="J159" s="129">
        <v>0</v>
      </c>
      <c r="K159" s="139">
        <v>19919</v>
      </c>
      <c r="L159" s="139">
        <v>113</v>
      </c>
      <c r="M159" s="139">
        <v>1</v>
      </c>
      <c r="N159" s="130">
        <f>((Tabela13633[[#This Row],[Objetive value Cannibalism ]]-Tabela13633[[#This Row],[Objetive value Cannibalism/GATeS]])/Tabela13633[[#This Row],[Objetive value Cannibalism ]])*100</f>
        <v>0.3202722313966872</v>
      </c>
      <c r="O159" s="131">
        <v>19624</v>
      </c>
      <c r="P159" s="131">
        <v>0.52</v>
      </c>
      <c r="Q159" s="131">
        <v>0</v>
      </c>
      <c r="R159" s="141">
        <f>(((Tabela13633[[#This Row],[Objetive value Cannibalism ]]-Tabela13633[[#This Row],[Objetive value Cannibalism/H-R1]])/Tabela13633[[#This Row],[Objetive value Cannibalism ]]))*100</f>
        <v>1.796527047990792</v>
      </c>
      <c r="S159" s="113">
        <v>19983</v>
      </c>
      <c r="T159" s="113">
        <v>0.53</v>
      </c>
      <c r="U159" s="113">
        <v>0</v>
      </c>
      <c r="V159" s="143">
        <f>(((Tabela13633[[#This Row],[Objetive value Cannibalism ]]-Tabela13633[[#This Row],[Objetive value Cannibalism/H-R2]])/Tabela13633[[#This Row],[Objetive value Cannibalism ]]))*100</f>
        <v>0</v>
      </c>
    </row>
    <row r="160" spans="1:22" x14ac:dyDescent="0.25">
      <c r="A160" s="3" t="s">
        <v>243</v>
      </c>
      <c r="B160" s="39" t="s">
        <v>602</v>
      </c>
      <c r="C160" s="3">
        <v>2000</v>
      </c>
      <c r="D160" s="3">
        <v>0.05</v>
      </c>
      <c r="E160" s="3">
        <v>5</v>
      </c>
      <c r="F160" s="39" t="s">
        <v>13</v>
      </c>
      <c r="G160" s="39" t="s">
        <v>16</v>
      </c>
      <c r="H160" s="128">
        <v>14571</v>
      </c>
      <c r="I160" s="128">
        <v>1.4679999999934801</v>
      </c>
      <c r="J160" s="129">
        <v>0</v>
      </c>
      <c r="K160" s="139">
        <v>14278</v>
      </c>
      <c r="L160" s="139">
        <v>87</v>
      </c>
      <c r="M160" s="139">
        <v>54</v>
      </c>
      <c r="N160" s="130">
        <f>((Tabela13633[[#This Row],[Objetive value Cannibalism ]]-Tabela13633[[#This Row],[Objetive value Cannibalism/GATeS]])/Tabela13633[[#This Row],[Objetive value Cannibalism ]])*100</f>
        <v>2.0108434561800834</v>
      </c>
      <c r="O160" s="131">
        <v>14570</v>
      </c>
      <c r="P160" s="131">
        <v>1.46</v>
      </c>
      <c r="Q160" s="131">
        <v>0</v>
      </c>
      <c r="R160" s="141">
        <f>(((Tabela13633[[#This Row],[Objetive value Cannibalism ]]-Tabela13633[[#This Row],[Objetive value Cannibalism/H-R1]])/Tabela13633[[#This Row],[Objetive value Cannibalism ]]))*100</f>
        <v>6.8629469494200807E-3</v>
      </c>
      <c r="S160" s="113">
        <v>14570</v>
      </c>
      <c r="T160" s="113">
        <v>0.9</v>
      </c>
      <c r="U160" s="113">
        <v>0</v>
      </c>
      <c r="V160" s="143">
        <f>(((Tabela13633[[#This Row],[Objetive value Cannibalism ]]-Tabela13633[[#This Row],[Objetive value Cannibalism/H-R2]])/Tabela13633[[#This Row],[Objetive value Cannibalism ]]))*100</f>
        <v>6.8629469494200807E-3</v>
      </c>
    </row>
    <row r="161" spans="1:22" x14ac:dyDescent="0.25">
      <c r="A161" s="3" t="s">
        <v>243</v>
      </c>
      <c r="B161" s="39" t="s">
        <v>603</v>
      </c>
      <c r="C161" s="3">
        <v>2000</v>
      </c>
      <c r="D161" s="3">
        <v>0.05</v>
      </c>
      <c r="E161" s="3">
        <v>5</v>
      </c>
      <c r="F161" s="39" t="s">
        <v>18</v>
      </c>
      <c r="G161" s="39" t="s">
        <v>14</v>
      </c>
      <c r="H161" s="128">
        <v>18965</v>
      </c>
      <c r="I161" s="128">
        <v>2.03100000007543</v>
      </c>
      <c r="J161" s="129">
        <v>0</v>
      </c>
      <c r="K161" s="139">
        <v>18949</v>
      </c>
      <c r="L161" s="139">
        <v>113</v>
      </c>
      <c r="M161" s="139">
        <v>16</v>
      </c>
      <c r="N161" s="130">
        <f>((Tabela13633[[#This Row],[Objetive value Cannibalism ]]-Tabela13633[[#This Row],[Objetive value Cannibalism/GATeS]])/Tabela13633[[#This Row],[Objetive value Cannibalism ]])*100</f>
        <v>8.4365937252834172E-2</v>
      </c>
      <c r="O161" s="131">
        <v>18965</v>
      </c>
      <c r="P161" s="131">
        <v>0.8</v>
      </c>
      <c r="Q161" s="131">
        <v>0</v>
      </c>
      <c r="R161" s="141">
        <f>(((Tabela13633[[#This Row],[Objetive value Cannibalism ]]-Tabela13633[[#This Row],[Objetive value Cannibalism/H-R1]])/Tabela13633[[#This Row],[Objetive value Cannibalism ]]))*100</f>
        <v>0</v>
      </c>
      <c r="S161" s="113">
        <v>18737</v>
      </c>
      <c r="T161" s="113">
        <v>1.25</v>
      </c>
      <c r="U161" s="113">
        <v>0</v>
      </c>
      <c r="V161" s="143">
        <f>(((Tabela13633[[#This Row],[Objetive value Cannibalism ]]-Tabela13633[[#This Row],[Objetive value Cannibalism/H-R2]])/Tabela13633[[#This Row],[Objetive value Cannibalism ]]))*100</f>
        <v>1.2022146058528869</v>
      </c>
    </row>
    <row r="162" spans="1:22" x14ac:dyDescent="0.25">
      <c r="A162" s="3" t="s">
        <v>243</v>
      </c>
      <c r="B162" s="39" t="s">
        <v>604</v>
      </c>
      <c r="C162" s="3">
        <v>2000</v>
      </c>
      <c r="D162" s="3">
        <v>0.05</v>
      </c>
      <c r="E162" s="3">
        <v>5</v>
      </c>
      <c r="F162" s="39" t="s">
        <v>18</v>
      </c>
      <c r="G162" s="39" t="s">
        <v>16</v>
      </c>
      <c r="H162" s="128">
        <v>14248</v>
      </c>
      <c r="I162" s="128">
        <v>1</v>
      </c>
      <c r="J162" s="129">
        <v>0</v>
      </c>
      <c r="K162" s="139">
        <v>14244</v>
      </c>
      <c r="L162" s="139">
        <v>133</v>
      </c>
      <c r="M162" s="139">
        <v>103</v>
      </c>
      <c r="N162" s="130">
        <f>((Tabela13633[[#This Row],[Objetive value Cannibalism ]]-Tabela13633[[#This Row],[Objetive value Cannibalism/GATeS]])/Tabela13633[[#This Row],[Objetive value Cannibalism ]])*100</f>
        <v>2.8074115665356544E-2</v>
      </c>
      <c r="O162" s="131">
        <v>14248</v>
      </c>
      <c r="P162" s="131">
        <v>1.44</v>
      </c>
      <c r="Q162" s="131">
        <v>0</v>
      </c>
      <c r="R162" s="141">
        <f>(((Tabela13633[[#This Row],[Objetive value Cannibalism ]]-Tabela13633[[#This Row],[Objetive value Cannibalism/H-R1]])/Tabela13633[[#This Row],[Objetive value Cannibalism ]]))*100</f>
        <v>0</v>
      </c>
      <c r="S162" s="113">
        <v>14248</v>
      </c>
      <c r="T162" s="113">
        <v>1.42</v>
      </c>
      <c r="U162" s="113">
        <v>0</v>
      </c>
      <c r="V162" s="143">
        <f>(((Tabela13633[[#This Row],[Objetive value Cannibalism ]]-Tabela13633[[#This Row],[Objetive value Cannibalism/H-R2]])/Tabela13633[[#This Row],[Objetive value Cannibalism ]]))*100</f>
        <v>0</v>
      </c>
    </row>
    <row r="163" spans="1:22" x14ac:dyDescent="0.25">
      <c r="A163" s="3" t="s">
        <v>243</v>
      </c>
      <c r="B163" s="39" t="s">
        <v>605</v>
      </c>
      <c r="C163" s="3">
        <v>2000</v>
      </c>
      <c r="D163" s="3">
        <v>0.05</v>
      </c>
      <c r="E163" s="3">
        <v>5</v>
      </c>
      <c r="F163" s="39" t="s">
        <v>21</v>
      </c>
      <c r="G163" s="39" t="s">
        <v>14</v>
      </c>
      <c r="H163" s="128">
        <v>10279</v>
      </c>
      <c r="I163" s="128">
        <v>1.60899999993853</v>
      </c>
      <c r="J163" s="129">
        <v>0</v>
      </c>
      <c r="K163" s="139">
        <v>10279</v>
      </c>
      <c r="L163" s="139">
        <v>68</v>
      </c>
      <c r="M163" s="139">
        <v>0</v>
      </c>
      <c r="N163" s="130">
        <f>((Tabela13633[[#This Row],[Objetive value Cannibalism ]]-Tabela13633[[#This Row],[Objetive value Cannibalism/GATeS]])/Tabela13633[[#This Row],[Objetive value Cannibalism ]])*100</f>
        <v>0</v>
      </c>
      <c r="O163" s="131">
        <v>5063</v>
      </c>
      <c r="P163" s="131">
        <v>1.93</v>
      </c>
      <c r="Q163" s="131">
        <v>0</v>
      </c>
      <c r="R163" s="141">
        <f>(((Tabela13633[[#This Row],[Objetive value Cannibalism ]]-Tabela13633[[#This Row],[Objetive value Cannibalism/H-R1]])/Tabela13633[[#This Row],[Objetive value Cannibalism ]]))*100</f>
        <v>50.74423582060512</v>
      </c>
      <c r="S163" s="113">
        <v>10279</v>
      </c>
      <c r="T163" s="113">
        <v>1.54</v>
      </c>
      <c r="U163" s="113">
        <v>0</v>
      </c>
      <c r="V163" s="143">
        <f>(((Tabela13633[[#This Row],[Objetive value Cannibalism ]]-Tabela13633[[#This Row],[Objetive value Cannibalism/H-R2]])/Tabela13633[[#This Row],[Objetive value Cannibalism ]]))*100</f>
        <v>0</v>
      </c>
    </row>
    <row r="164" spans="1:22" x14ac:dyDescent="0.25">
      <c r="A164" s="3" t="s">
        <v>243</v>
      </c>
      <c r="B164" s="39" t="s">
        <v>606</v>
      </c>
      <c r="C164" s="3">
        <v>2000</v>
      </c>
      <c r="D164" s="3">
        <v>0.05</v>
      </c>
      <c r="E164" s="3">
        <v>5</v>
      </c>
      <c r="F164" s="39" t="s">
        <v>21</v>
      </c>
      <c r="G164" s="39" t="s">
        <v>16</v>
      </c>
      <c r="H164" s="128">
        <v>13347</v>
      </c>
      <c r="I164" s="128">
        <v>1.21900000004097</v>
      </c>
      <c r="J164" s="129">
        <v>0</v>
      </c>
      <c r="K164" s="139">
        <v>13304</v>
      </c>
      <c r="L164" s="139">
        <v>62</v>
      </c>
      <c r="M164" s="139">
        <v>0</v>
      </c>
      <c r="N164" s="130">
        <f>((Tabela13633[[#This Row],[Objetive value Cannibalism ]]-Tabela13633[[#This Row],[Objetive value Cannibalism/GATeS]])/Tabela13633[[#This Row],[Objetive value Cannibalism ]])*100</f>
        <v>0.32216977597962088</v>
      </c>
      <c r="O164" s="131">
        <v>13346</v>
      </c>
      <c r="P164" s="131">
        <v>1.68</v>
      </c>
      <c r="Q164" s="131">
        <v>0</v>
      </c>
      <c r="R164" s="141">
        <f>(((Tabela13633[[#This Row],[Objetive value Cannibalism ]]-Tabela13633[[#This Row],[Objetive value Cannibalism/H-R1]])/Tabela13633[[#This Row],[Objetive value Cannibalism ]]))*100</f>
        <v>7.4923203716190899E-3</v>
      </c>
      <c r="S164" s="113">
        <v>13346</v>
      </c>
      <c r="T164" s="113">
        <v>1.38</v>
      </c>
      <c r="U164" s="113">
        <v>0</v>
      </c>
      <c r="V164" s="143">
        <f>(((Tabela13633[[#This Row],[Objetive value Cannibalism ]]-Tabela13633[[#This Row],[Objetive value Cannibalism/H-R2]])/Tabela13633[[#This Row],[Objetive value Cannibalism ]]))*100</f>
        <v>7.4923203716190899E-3</v>
      </c>
    </row>
    <row r="165" spans="1:22" x14ac:dyDescent="0.25">
      <c r="A165" s="3" t="s">
        <v>35</v>
      </c>
      <c r="B165" s="39" t="s">
        <v>410</v>
      </c>
      <c r="C165" s="3">
        <v>100</v>
      </c>
      <c r="D165" s="114">
        <v>0.1</v>
      </c>
      <c r="E165" s="3">
        <v>10</v>
      </c>
      <c r="F165" s="39" t="s">
        <v>13</v>
      </c>
      <c r="G165" s="39" t="s">
        <v>14</v>
      </c>
      <c r="H165" s="128">
        <v>2150</v>
      </c>
      <c r="I165" s="128">
        <v>0.14000000001396901</v>
      </c>
      <c r="J165" s="129">
        <v>0</v>
      </c>
      <c r="K165" s="139">
        <v>2021</v>
      </c>
      <c r="L165" s="139">
        <v>45</v>
      </c>
      <c r="M165" s="139">
        <v>33</v>
      </c>
      <c r="N165" s="130">
        <f>((Tabela13633[[#This Row],[Objetive value Cannibalism ]]-Tabela13633[[#This Row],[Objetive value Cannibalism/GATeS]])/Tabela13633[[#This Row],[Objetive value Cannibalism ]])*100</f>
        <v>6</v>
      </c>
      <c r="O165" s="131">
        <v>1691</v>
      </c>
      <c r="P165" s="131">
        <v>0.41</v>
      </c>
      <c r="Q165" s="131">
        <v>0</v>
      </c>
      <c r="R165" s="141">
        <f>(((Tabela13633[[#This Row],[Objetive value Cannibalism ]]-Tabela13633[[#This Row],[Objetive value Cannibalism/H-R1]])/Tabela13633[[#This Row],[Objetive value Cannibalism ]]))*100</f>
        <v>21.348837209302328</v>
      </c>
      <c r="S165" s="113">
        <v>2037</v>
      </c>
      <c r="T165" s="113">
        <v>0.9</v>
      </c>
      <c r="U165" s="113">
        <v>0</v>
      </c>
      <c r="V165" s="143">
        <f>(((Tabela13633[[#This Row],[Objetive value Cannibalism ]]-Tabela13633[[#This Row],[Objetive value Cannibalism/H-R2]])/Tabela13633[[#This Row],[Objetive value Cannibalism ]]))*100</f>
        <v>5.2558139534883725</v>
      </c>
    </row>
    <row r="166" spans="1:22" x14ac:dyDescent="0.25">
      <c r="A166" s="3" t="s">
        <v>35</v>
      </c>
      <c r="B166" s="39" t="s">
        <v>411</v>
      </c>
      <c r="C166" s="3">
        <v>100</v>
      </c>
      <c r="D166" s="114">
        <v>0.1</v>
      </c>
      <c r="E166" s="3">
        <v>10</v>
      </c>
      <c r="F166" s="39" t="s">
        <v>13</v>
      </c>
      <c r="G166" s="39" t="s">
        <v>16</v>
      </c>
      <c r="H166" s="128">
        <v>1134</v>
      </c>
      <c r="I166" s="128">
        <v>0.56300000008195605</v>
      </c>
      <c r="J166" s="129">
        <v>0</v>
      </c>
      <c r="K166" s="139">
        <v>1108</v>
      </c>
      <c r="L166" s="139">
        <v>3</v>
      </c>
      <c r="M166" s="139">
        <v>0</v>
      </c>
      <c r="N166" s="130">
        <f>((Tabela13633[[#This Row],[Objetive value Cannibalism ]]-Tabela13633[[#This Row],[Objetive value Cannibalism/GATeS]])/Tabela13633[[#This Row],[Objetive value Cannibalism ]])*100</f>
        <v>2.2927689594356258</v>
      </c>
      <c r="O166" s="131">
        <v>1098</v>
      </c>
      <c r="P166" s="131">
        <v>0.45</v>
      </c>
      <c r="Q166" s="131">
        <v>0</v>
      </c>
      <c r="R166" s="141">
        <f>(((Tabela13633[[#This Row],[Objetive value Cannibalism ]]-Tabela13633[[#This Row],[Objetive value Cannibalism/H-R1]])/Tabela13633[[#This Row],[Objetive value Cannibalism ]]))*100</f>
        <v>3.1746031746031744</v>
      </c>
      <c r="S166" s="113">
        <v>1125</v>
      </c>
      <c r="T166" s="113">
        <v>0.8</v>
      </c>
      <c r="U166" s="113">
        <v>0</v>
      </c>
      <c r="V166" s="143">
        <f>(((Tabela13633[[#This Row],[Objetive value Cannibalism ]]-Tabela13633[[#This Row],[Objetive value Cannibalism/H-R2]])/Tabela13633[[#This Row],[Objetive value Cannibalism ]]))*100</f>
        <v>0.79365079365079361</v>
      </c>
    </row>
    <row r="167" spans="1:22" x14ac:dyDescent="0.25">
      <c r="A167" s="34" t="s">
        <v>35</v>
      </c>
      <c r="B167" s="37" t="s">
        <v>412</v>
      </c>
      <c r="C167" s="34">
        <v>100</v>
      </c>
      <c r="D167" s="116">
        <v>0.1</v>
      </c>
      <c r="E167" s="34">
        <v>10</v>
      </c>
      <c r="F167" s="37" t="s">
        <v>18</v>
      </c>
      <c r="G167" s="37" t="s">
        <v>14</v>
      </c>
      <c r="H167" s="128">
        <v>2269</v>
      </c>
      <c r="I167" s="128">
        <v>0.125</v>
      </c>
      <c r="J167" s="129">
        <v>0</v>
      </c>
      <c r="K167" s="139">
        <v>2155</v>
      </c>
      <c r="L167" s="139">
        <v>3</v>
      </c>
      <c r="M167" s="139">
        <v>0</v>
      </c>
      <c r="N167" s="130">
        <f>((Tabela13633[[#This Row],[Objetive value Cannibalism ]]-Tabela13633[[#This Row],[Objetive value Cannibalism/GATeS]])/Tabela13633[[#This Row],[Objetive value Cannibalism ]])*100</f>
        <v>5.0242397531952401</v>
      </c>
      <c r="O167" s="131">
        <v>2163</v>
      </c>
      <c r="P167" s="131">
        <v>0.35</v>
      </c>
      <c r="Q167" s="131">
        <v>0</v>
      </c>
      <c r="R167" s="141">
        <f>(((Tabela13633[[#This Row],[Objetive value Cannibalism ]]-Tabela13633[[#This Row],[Objetive value Cannibalism/H-R1]])/Tabela13633[[#This Row],[Objetive value Cannibalism ]]))*100</f>
        <v>4.6716615249008369</v>
      </c>
      <c r="S167" s="113">
        <v>2163</v>
      </c>
      <c r="T167" s="113">
        <v>0.52</v>
      </c>
      <c r="U167" s="113">
        <v>0</v>
      </c>
      <c r="V167" s="143">
        <f>(((Tabela13633[[#This Row],[Objetive value Cannibalism ]]-Tabela13633[[#This Row],[Objetive value Cannibalism/H-R2]])/Tabela13633[[#This Row],[Objetive value Cannibalism ]]))*100</f>
        <v>4.6716615249008369</v>
      </c>
    </row>
    <row r="168" spans="1:22" x14ac:dyDescent="0.25">
      <c r="A168" s="3" t="s">
        <v>35</v>
      </c>
      <c r="B168" s="39" t="s">
        <v>413</v>
      </c>
      <c r="C168" s="3">
        <v>100</v>
      </c>
      <c r="D168" s="114">
        <v>0.1</v>
      </c>
      <c r="E168" s="3">
        <v>10</v>
      </c>
      <c r="F168" s="39" t="s">
        <v>18</v>
      </c>
      <c r="G168" s="39" t="s">
        <v>16</v>
      </c>
      <c r="H168" s="128">
        <v>1369</v>
      </c>
      <c r="I168" s="128">
        <v>0.39000000001396901</v>
      </c>
      <c r="J168" s="129">
        <v>0</v>
      </c>
      <c r="K168" s="139">
        <v>1339</v>
      </c>
      <c r="L168" s="139">
        <v>5</v>
      </c>
      <c r="M168" s="139">
        <v>1</v>
      </c>
      <c r="N168" s="130">
        <f>((Tabela13633[[#This Row],[Objetive value Cannibalism ]]-Tabela13633[[#This Row],[Objetive value Cannibalism/GATeS]])/Tabela13633[[#This Row],[Objetive value Cannibalism ]])*100</f>
        <v>2.1913805697589481</v>
      </c>
      <c r="O168" s="131">
        <v>1353</v>
      </c>
      <c r="P168" s="131">
        <v>0.4</v>
      </c>
      <c r="Q168" s="131">
        <v>0</v>
      </c>
      <c r="R168" s="141">
        <f>(((Tabela13633[[#This Row],[Objetive value Cannibalism ]]-Tabela13633[[#This Row],[Objetive value Cannibalism/H-R1]])/Tabela13633[[#This Row],[Objetive value Cannibalism ]]))*100</f>
        <v>1.1687363038714391</v>
      </c>
      <c r="S168" s="113">
        <v>1353</v>
      </c>
      <c r="T168" s="113">
        <v>0.53</v>
      </c>
      <c r="U168" s="113">
        <v>0</v>
      </c>
      <c r="V168" s="143">
        <f>(((Tabela13633[[#This Row],[Objetive value Cannibalism ]]-Tabela13633[[#This Row],[Objetive value Cannibalism/H-R2]])/Tabela13633[[#This Row],[Objetive value Cannibalism ]]))*100</f>
        <v>1.1687363038714391</v>
      </c>
    </row>
    <row r="169" spans="1:22" x14ac:dyDescent="0.25">
      <c r="A169" s="3" t="s">
        <v>35</v>
      </c>
      <c r="B169" s="39" t="s">
        <v>414</v>
      </c>
      <c r="C169" s="3">
        <v>100</v>
      </c>
      <c r="D169" s="114">
        <v>0.1</v>
      </c>
      <c r="E169" s="3">
        <v>10</v>
      </c>
      <c r="F169" s="117" t="s">
        <v>21</v>
      </c>
      <c r="G169" s="117" t="s">
        <v>14</v>
      </c>
      <c r="H169" s="128">
        <v>1954</v>
      </c>
      <c r="I169" s="128">
        <v>0.125</v>
      </c>
      <c r="J169" s="129">
        <v>0</v>
      </c>
      <c r="K169" s="139">
        <v>1683</v>
      </c>
      <c r="L169" s="139">
        <v>3</v>
      </c>
      <c r="M169" s="139">
        <v>2</v>
      </c>
      <c r="N169" s="130">
        <f>((Tabela13633[[#This Row],[Objetive value Cannibalism ]]-Tabela13633[[#This Row],[Objetive value Cannibalism/GATeS]])/Tabela13633[[#This Row],[Objetive value Cannibalism ]])*100</f>
        <v>13.868986693961105</v>
      </c>
      <c r="O169" s="131">
        <v>657</v>
      </c>
      <c r="P169" s="131">
        <v>1.46</v>
      </c>
      <c r="Q169" s="131">
        <v>0</v>
      </c>
      <c r="R169" s="141">
        <f>(((Tabela13633[[#This Row],[Objetive value Cannibalism ]]-Tabela13633[[#This Row],[Objetive value Cannibalism/H-R1]])/Tabela13633[[#This Row],[Objetive value Cannibalism ]]))*100</f>
        <v>66.376663254861825</v>
      </c>
      <c r="S169" s="113">
        <v>1765</v>
      </c>
      <c r="T169" s="113">
        <v>0.49</v>
      </c>
      <c r="U169" s="113">
        <v>0</v>
      </c>
      <c r="V169" s="143">
        <f>(((Tabela13633[[#This Row],[Objetive value Cannibalism ]]-Tabela13633[[#This Row],[Objetive value Cannibalism/H-R2]])/Tabela13633[[#This Row],[Objetive value Cannibalism ]]))*100</f>
        <v>9.6724667349027644</v>
      </c>
    </row>
    <row r="170" spans="1:22" x14ac:dyDescent="0.25">
      <c r="A170" s="3" t="s">
        <v>35</v>
      </c>
      <c r="B170" s="39" t="s">
        <v>415</v>
      </c>
      <c r="C170" s="3">
        <v>100</v>
      </c>
      <c r="D170" s="114">
        <v>0.1</v>
      </c>
      <c r="E170" s="3">
        <v>10</v>
      </c>
      <c r="F170" s="117" t="s">
        <v>21</v>
      </c>
      <c r="G170" s="117" t="s">
        <v>16</v>
      </c>
      <c r="H170" s="128">
        <v>1272</v>
      </c>
      <c r="I170" s="128">
        <v>0.39100000006146701</v>
      </c>
      <c r="J170" s="129">
        <v>0</v>
      </c>
      <c r="K170" s="139">
        <v>1261</v>
      </c>
      <c r="L170" s="139">
        <v>5</v>
      </c>
      <c r="M170" s="139">
        <v>4</v>
      </c>
      <c r="N170" s="130">
        <f>((Tabela13633[[#This Row],[Objetive value Cannibalism ]]-Tabela13633[[#This Row],[Objetive value Cannibalism/GATeS]])/Tabela13633[[#This Row],[Objetive value Cannibalism ]])*100</f>
        <v>0.86477987421383651</v>
      </c>
      <c r="O170" s="131">
        <v>1193</v>
      </c>
      <c r="P170" s="131">
        <v>0.45</v>
      </c>
      <c r="Q170" s="131">
        <v>0</v>
      </c>
      <c r="R170" s="141">
        <f>(((Tabela13633[[#This Row],[Objetive value Cannibalism ]]-Tabela13633[[#This Row],[Objetive value Cannibalism/H-R1]])/Tabela13633[[#This Row],[Objetive value Cannibalism ]]))*100</f>
        <v>6.2106918238993707</v>
      </c>
      <c r="S170" s="113">
        <v>1241</v>
      </c>
      <c r="T170" s="113">
        <v>0.52</v>
      </c>
      <c r="U170" s="113">
        <v>0</v>
      </c>
      <c r="V170" s="143">
        <f>(((Tabela13633[[#This Row],[Objetive value Cannibalism ]]-Tabela13633[[#This Row],[Objetive value Cannibalism/H-R2]])/Tabela13633[[#This Row],[Objetive value Cannibalism ]]))*100</f>
        <v>2.4371069182389937</v>
      </c>
    </row>
    <row r="171" spans="1:22" x14ac:dyDescent="0.25">
      <c r="A171" s="3" t="s">
        <v>54</v>
      </c>
      <c r="B171" s="37" t="s">
        <v>428</v>
      </c>
      <c r="C171" s="3">
        <v>100</v>
      </c>
      <c r="D171" s="114">
        <v>0.1</v>
      </c>
      <c r="E171" s="3">
        <v>15</v>
      </c>
      <c r="F171" s="39" t="s">
        <v>13</v>
      </c>
      <c r="G171" s="39" t="s">
        <v>14</v>
      </c>
      <c r="H171" s="128">
        <v>3202</v>
      </c>
      <c r="I171" s="128">
        <v>0.54600000000000004</v>
      </c>
      <c r="J171" s="129">
        <v>0</v>
      </c>
      <c r="K171" s="139">
        <v>3115</v>
      </c>
      <c r="L171" s="139">
        <v>40</v>
      </c>
      <c r="M171" s="139">
        <v>12</v>
      </c>
      <c r="N171" s="130">
        <f>((Tabela13633[[#This Row],[Objetive value Cannibalism ]]-Tabela13633[[#This Row],[Objetive value Cannibalism/GATeS]])/Tabela13633[[#This Row],[Objetive value Cannibalism ]])*100</f>
        <v>2.7170518425983761</v>
      </c>
      <c r="O171" s="131">
        <v>3097</v>
      </c>
      <c r="P171" s="131">
        <v>0.48</v>
      </c>
      <c r="Q171" s="131">
        <v>0</v>
      </c>
      <c r="R171" s="141">
        <f>(((Tabela13633[[#This Row],[Objetive value Cannibalism ]]-Tabela13633[[#This Row],[Objetive value Cannibalism/H-R1]])/Tabela13633[[#This Row],[Objetive value Cannibalism ]]))*100</f>
        <v>3.2792004996876947</v>
      </c>
      <c r="S171" s="113">
        <v>2539</v>
      </c>
      <c r="T171" s="113">
        <v>0.43</v>
      </c>
      <c r="U171" s="113">
        <v>0</v>
      </c>
      <c r="V171" s="143">
        <f>(((Tabela13633[[#This Row],[Objetive value Cannibalism ]]-Tabela13633[[#This Row],[Objetive value Cannibalism/H-R2]])/Tabela13633[[#This Row],[Objetive value Cannibalism ]]))*100</f>
        <v>20.70580886945659</v>
      </c>
    </row>
    <row r="172" spans="1:22" x14ac:dyDescent="0.25">
      <c r="A172" s="3" t="s">
        <v>54</v>
      </c>
      <c r="B172" s="39" t="s">
        <v>429</v>
      </c>
      <c r="C172" s="3">
        <v>100</v>
      </c>
      <c r="D172" s="114">
        <v>0.1</v>
      </c>
      <c r="E172" s="3">
        <v>15</v>
      </c>
      <c r="F172" s="39" t="s">
        <v>13</v>
      </c>
      <c r="G172" s="39" t="s">
        <v>16</v>
      </c>
      <c r="H172" s="128">
        <v>1825</v>
      </c>
      <c r="I172" s="128">
        <v>0.53200000000000003</v>
      </c>
      <c r="J172" s="129">
        <v>0.06</v>
      </c>
      <c r="K172" s="139">
        <v>1760</v>
      </c>
      <c r="L172" s="139">
        <v>9</v>
      </c>
      <c r="M172" s="139">
        <v>0</v>
      </c>
      <c r="N172" s="130">
        <f>((Tabela13633[[#This Row],[Objetive value Cannibalism ]]-Tabela13633[[#This Row],[Objetive value Cannibalism/GATeS]])/Tabela13633[[#This Row],[Objetive value Cannibalism ]])*100</f>
        <v>3.5616438356164384</v>
      </c>
      <c r="O172" s="131">
        <v>1751</v>
      </c>
      <c r="P172" s="131">
        <v>0.74</v>
      </c>
      <c r="Q172" s="131">
        <v>0</v>
      </c>
      <c r="R172" s="141">
        <f>(((Tabela13633[[#This Row],[Objetive value Cannibalism ]]-Tabela13633[[#This Row],[Objetive value Cannibalism/H-R1]])/Tabela13633[[#This Row],[Objetive value Cannibalism ]]))*100</f>
        <v>4.0547945205479454</v>
      </c>
      <c r="S172" s="113">
        <v>1691</v>
      </c>
      <c r="T172" s="113">
        <v>0.9</v>
      </c>
      <c r="U172" s="113">
        <v>0</v>
      </c>
      <c r="V172" s="143">
        <f>(((Tabela13633[[#This Row],[Objetive value Cannibalism ]]-Tabela13633[[#This Row],[Objetive value Cannibalism/H-R2]])/Tabela13633[[#This Row],[Objetive value Cannibalism ]]))*100</f>
        <v>7.3424657534246585</v>
      </c>
    </row>
    <row r="173" spans="1:22" x14ac:dyDescent="0.25">
      <c r="A173" s="3" t="s">
        <v>54</v>
      </c>
      <c r="B173" s="39" t="s">
        <v>430</v>
      </c>
      <c r="C173" s="3">
        <v>100</v>
      </c>
      <c r="D173" s="114">
        <v>0.1</v>
      </c>
      <c r="E173" s="3">
        <v>15</v>
      </c>
      <c r="F173" s="39" t="s">
        <v>18</v>
      </c>
      <c r="G173" s="39" t="s">
        <v>14</v>
      </c>
      <c r="H173" s="128">
        <v>3221</v>
      </c>
      <c r="I173" s="128">
        <v>0.73499999999999999</v>
      </c>
      <c r="J173" s="129">
        <v>0</v>
      </c>
      <c r="K173" s="139">
        <v>3146</v>
      </c>
      <c r="L173" s="139">
        <v>5</v>
      </c>
      <c r="M173" s="139">
        <v>0</v>
      </c>
      <c r="N173" s="130">
        <f>((Tabela13633[[#This Row],[Objetive value Cannibalism ]]-Tabela13633[[#This Row],[Objetive value Cannibalism/GATeS]])/Tabela13633[[#This Row],[Objetive value Cannibalism ]])*100</f>
        <v>2.328469419434958</v>
      </c>
      <c r="O173" s="131">
        <v>2960</v>
      </c>
      <c r="P173" s="131">
        <v>0.37</v>
      </c>
      <c r="Q173" s="131">
        <v>0</v>
      </c>
      <c r="R173" s="141">
        <f>(((Tabela13633[[#This Row],[Objetive value Cannibalism ]]-Tabela13633[[#This Row],[Objetive value Cannibalism/H-R1]])/Tabela13633[[#This Row],[Objetive value Cannibalism ]]))*100</f>
        <v>8.103073579633655</v>
      </c>
      <c r="S173" s="113">
        <v>3062</v>
      </c>
      <c r="T173" s="113">
        <v>0.36</v>
      </c>
      <c r="U173" s="113">
        <v>0</v>
      </c>
      <c r="V173" s="143">
        <f>(((Tabela13633[[#This Row],[Objetive value Cannibalism ]]-Tabela13633[[#This Row],[Objetive value Cannibalism/H-R2]])/Tabela13633[[#This Row],[Objetive value Cannibalism ]]))*100</f>
        <v>4.9363551692021108</v>
      </c>
    </row>
    <row r="174" spans="1:22" x14ac:dyDescent="0.25">
      <c r="A174" s="3" t="s">
        <v>54</v>
      </c>
      <c r="B174" s="39" t="s">
        <v>431</v>
      </c>
      <c r="C174" s="3">
        <v>100</v>
      </c>
      <c r="D174" s="114">
        <v>0.1</v>
      </c>
      <c r="E174" s="3">
        <v>15</v>
      </c>
      <c r="F174" s="39" t="s">
        <v>18</v>
      </c>
      <c r="G174" s="39" t="s">
        <v>16</v>
      </c>
      <c r="H174" s="128">
        <v>1776</v>
      </c>
      <c r="I174" s="128">
        <v>0.29699999999999999</v>
      </c>
      <c r="J174" s="129">
        <v>0</v>
      </c>
      <c r="K174" s="139">
        <v>1763</v>
      </c>
      <c r="L174" s="139">
        <v>9</v>
      </c>
      <c r="M174" s="139">
        <v>2</v>
      </c>
      <c r="N174" s="130">
        <f>((Tabela13633[[#This Row],[Objetive value Cannibalism ]]-Tabela13633[[#This Row],[Objetive value Cannibalism/GATeS]])/Tabela13633[[#This Row],[Objetive value Cannibalism ]])*100</f>
        <v>0.73198198198198194</v>
      </c>
      <c r="O174" s="131">
        <v>1758</v>
      </c>
      <c r="P174" s="131">
        <v>0.53</v>
      </c>
      <c r="Q174" s="131">
        <v>0</v>
      </c>
      <c r="R174" s="141">
        <f>(((Tabela13633[[#This Row],[Objetive value Cannibalism ]]-Tabela13633[[#This Row],[Objetive value Cannibalism/H-R1]])/Tabela13633[[#This Row],[Objetive value Cannibalism ]]))*100</f>
        <v>1.0135135135135136</v>
      </c>
      <c r="S174" s="113">
        <v>1643</v>
      </c>
      <c r="T174" s="113">
        <v>0.56000000000000005</v>
      </c>
      <c r="U174" s="113">
        <v>0</v>
      </c>
      <c r="V174" s="143">
        <f>(((Tabela13633[[#This Row],[Objetive value Cannibalism ]]-Tabela13633[[#This Row],[Objetive value Cannibalism/H-R2]])/Tabela13633[[#This Row],[Objetive value Cannibalism ]]))*100</f>
        <v>7.4887387387387383</v>
      </c>
    </row>
    <row r="175" spans="1:22" x14ac:dyDescent="0.25">
      <c r="A175" s="3" t="s">
        <v>54</v>
      </c>
      <c r="B175" s="39" t="s">
        <v>432</v>
      </c>
      <c r="C175" s="3">
        <v>100</v>
      </c>
      <c r="D175" s="114">
        <v>0.1</v>
      </c>
      <c r="E175" s="3">
        <v>15</v>
      </c>
      <c r="F175" s="39" t="s">
        <v>21</v>
      </c>
      <c r="G175" s="39" t="s">
        <v>14</v>
      </c>
      <c r="H175" s="128">
        <v>2743</v>
      </c>
      <c r="I175" s="128">
        <v>0.188</v>
      </c>
      <c r="J175" s="129">
        <v>0</v>
      </c>
      <c r="K175" s="139">
        <v>2422</v>
      </c>
      <c r="L175" s="139">
        <v>5</v>
      </c>
      <c r="M175" s="139">
        <v>4</v>
      </c>
      <c r="N175" s="130">
        <f>((Tabela13633[[#This Row],[Objetive value Cannibalism ]]-Tabela13633[[#This Row],[Objetive value Cannibalism/GATeS]])/Tabela13633[[#This Row],[Objetive value Cannibalism ]])*100</f>
        <v>11.702515493984688</v>
      </c>
      <c r="O175" s="131">
        <v>2279</v>
      </c>
      <c r="P175" s="131">
        <v>1.1100000000000001</v>
      </c>
      <c r="Q175" s="131">
        <v>0</v>
      </c>
      <c r="R175" s="141">
        <f>(((Tabela13633[[#This Row],[Objetive value Cannibalism ]]-Tabela13633[[#This Row],[Objetive value Cannibalism/H-R1]])/Tabela13633[[#This Row],[Objetive value Cannibalism ]]))*100</f>
        <v>16.915785636164781</v>
      </c>
      <c r="S175" s="113">
        <v>2204</v>
      </c>
      <c r="T175" s="113">
        <v>0.84</v>
      </c>
      <c r="U175" s="113">
        <v>0</v>
      </c>
      <c r="V175" s="143">
        <f>(((Tabela13633[[#This Row],[Objetive value Cannibalism ]]-Tabela13633[[#This Row],[Objetive value Cannibalism/H-R2]])/Tabela13633[[#This Row],[Objetive value Cannibalism ]]))*100</f>
        <v>19.650018228217281</v>
      </c>
    </row>
    <row r="176" spans="1:22" x14ac:dyDescent="0.25">
      <c r="A176" s="3" t="s">
        <v>54</v>
      </c>
      <c r="B176" s="39" t="s">
        <v>433</v>
      </c>
      <c r="C176" s="3">
        <v>100</v>
      </c>
      <c r="D176" s="114">
        <v>0.1</v>
      </c>
      <c r="E176" s="3">
        <v>15</v>
      </c>
      <c r="F176" s="39" t="s">
        <v>21</v>
      </c>
      <c r="G176" s="39" t="s">
        <v>16</v>
      </c>
      <c r="H176" s="128">
        <v>1577</v>
      </c>
      <c r="I176" s="128">
        <v>0.59399999999999997</v>
      </c>
      <c r="J176" s="129">
        <v>0</v>
      </c>
      <c r="K176" s="139">
        <v>1549</v>
      </c>
      <c r="L176" s="139">
        <v>7</v>
      </c>
      <c r="M176" s="139">
        <v>2</v>
      </c>
      <c r="N176" s="130">
        <f>((Tabela13633[[#This Row],[Objetive value Cannibalism ]]-Tabela13633[[#This Row],[Objetive value Cannibalism/GATeS]])/Tabela13633[[#This Row],[Objetive value Cannibalism ]])*100</f>
        <v>1.7755231452124285</v>
      </c>
      <c r="O176" s="131">
        <v>1576</v>
      </c>
      <c r="P176" s="131">
        <v>0.5</v>
      </c>
      <c r="Q176" s="131">
        <v>0</v>
      </c>
      <c r="R176" s="141">
        <f>(((Tabela13633[[#This Row],[Objetive value Cannibalism ]]-Tabela13633[[#This Row],[Objetive value Cannibalism/H-R1]])/Tabela13633[[#This Row],[Objetive value Cannibalism ]]))*100</f>
        <v>6.3411540900443875E-2</v>
      </c>
      <c r="S176" s="113">
        <v>1556</v>
      </c>
      <c r="T176" s="113">
        <v>0.51</v>
      </c>
      <c r="U176" s="113">
        <v>0</v>
      </c>
      <c r="V176" s="143">
        <f>(((Tabela13633[[#This Row],[Objetive value Cannibalism ]]-Tabela13633[[#This Row],[Objetive value Cannibalism/H-R2]])/Tabela13633[[#This Row],[Objetive value Cannibalism ]]))*100</f>
        <v>1.3316423589093214</v>
      </c>
    </row>
    <row r="177" spans="1:22" x14ac:dyDescent="0.25">
      <c r="A177" s="3" t="s">
        <v>11</v>
      </c>
      <c r="B177" s="39" t="s">
        <v>392</v>
      </c>
      <c r="C177" s="3">
        <v>100</v>
      </c>
      <c r="D177" s="114">
        <v>0.1</v>
      </c>
      <c r="E177" s="3">
        <v>5</v>
      </c>
      <c r="F177" s="39" t="s">
        <v>13</v>
      </c>
      <c r="G177" s="39" t="s">
        <v>14</v>
      </c>
      <c r="H177" s="128">
        <v>648</v>
      </c>
      <c r="I177" s="128">
        <v>9.3999999924562802E-2</v>
      </c>
      <c r="J177" s="129">
        <v>0</v>
      </c>
      <c r="K177" s="139">
        <v>636</v>
      </c>
      <c r="L177" s="139">
        <v>2</v>
      </c>
      <c r="M177" s="139">
        <v>2</v>
      </c>
      <c r="N177" s="130">
        <f>((Tabela13633[[#This Row],[Objetive value Cannibalism ]]-Tabela13633[[#This Row],[Objetive value Cannibalism/GATeS]])/Tabela13633[[#This Row],[Objetive value Cannibalism ]])*100</f>
        <v>1.8518518518518516</v>
      </c>
      <c r="O177" s="131">
        <v>601</v>
      </c>
      <c r="P177" s="131">
        <v>0.33</v>
      </c>
      <c r="Q177" s="131">
        <v>0</v>
      </c>
      <c r="R177" s="141">
        <f>(((Tabela13633[[#This Row],[Objetive value Cannibalism ]]-Tabela13633[[#This Row],[Objetive value Cannibalism/H-R1]])/Tabela13633[[#This Row],[Objetive value Cannibalism ]]))*100</f>
        <v>7.2530864197530871</v>
      </c>
      <c r="S177" s="113">
        <v>499</v>
      </c>
      <c r="T177" s="113">
        <v>0.68</v>
      </c>
      <c r="U177" s="113">
        <v>0</v>
      </c>
      <c r="V177" s="143">
        <f>(((Tabela13633[[#This Row],[Objetive value Cannibalism ]]-Tabela13633[[#This Row],[Objetive value Cannibalism/H-R2]])/Tabela13633[[#This Row],[Objetive value Cannibalism ]]))*100</f>
        <v>22.993827160493826</v>
      </c>
    </row>
    <row r="178" spans="1:22" x14ac:dyDescent="0.25">
      <c r="A178" s="3" t="s">
        <v>11</v>
      </c>
      <c r="B178" s="39" t="s">
        <v>393</v>
      </c>
      <c r="C178" s="3">
        <v>100</v>
      </c>
      <c r="D178" s="114">
        <v>0.1</v>
      </c>
      <c r="E178" s="3">
        <v>5</v>
      </c>
      <c r="F178" s="39" t="s">
        <v>13</v>
      </c>
      <c r="G178" s="39" t="s">
        <v>16</v>
      </c>
      <c r="H178" s="128">
        <v>711</v>
      </c>
      <c r="I178" s="128">
        <v>0.155999999959021</v>
      </c>
      <c r="J178" s="129">
        <v>0</v>
      </c>
      <c r="K178" s="139">
        <v>708</v>
      </c>
      <c r="L178" s="139">
        <v>3</v>
      </c>
      <c r="M178" s="139">
        <v>2</v>
      </c>
      <c r="N178" s="130">
        <f>((Tabela13633[[#This Row],[Objetive value Cannibalism ]]-Tabela13633[[#This Row],[Objetive value Cannibalism/GATeS]])/Tabela13633[[#This Row],[Objetive value Cannibalism ]])*100</f>
        <v>0.42194092827004215</v>
      </c>
      <c r="O178" s="131">
        <v>711</v>
      </c>
      <c r="P178" s="131">
        <v>0.34</v>
      </c>
      <c r="Q178" s="131">
        <v>0</v>
      </c>
      <c r="R178" s="141">
        <f>(((Tabela13633[[#This Row],[Objetive value Cannibalism ]]-Tabela13633[[#This Row],[Objetive value Cannibalism/H-R1]])/Tabela13633[[#This Row],[Objetive value Cannibalism ]]))*100</f>
        <v>0</v>
      </c>
      <c r="S178" s="113">
        <v>689</v>
      </c>
      <c r="T178" s="113">
        <v>0.73</v>
      </c>
      <c r="U178" s="113">
        <v>0</v>
      </c>
      <c r="V178" s="143">
        <f>(((Tabela13633[[#This Row],[Objetive value Cannibalism ]]-Tabela13633[[#This Row],[Objetive value Cannibalism/H-R2]])/Tabela13633[[#This Row],[Objetive value Cannibalism ]]))*100</f>
        <v>3.0942334739803097</v>
      </c>
    </row>
    <row r="179" spans="1:22" x14ac:dyDescent="0.25">
      <c r="A179" s="3" t="s">
        <v>11</v>
      </c>
      <c r="B179" s="118" t="s">
        <v>394</v>
      </c>
      <c r="C179" s="119">
        <v>100</v>
      </c>
      <c r="D179" s="120">
        <v>0.1</v>
      </c>
      <c r="E179" s="119">
        <v>5</v>
      </c>
      <c r="F179" s="121" t="s">
        <v>18</v>
      </c>
      <c r="G179" s="121" t="s">
        <v>14</v>
      </c>
      <c r="H179" s="128">
        <v>1038</v>
      </c>
      <c r="I179" s="128">
        <v>7.9000000027008299E-2</v>
      </c>
      <c r="J179" s="129">
        <v>0</v>
      </c>
      <c r="K179" s="139">
        <v>1036</v>
      </c>
      <c r="L179" s="139">
        <v>2</v>
      </c>
      <c r="M179" s="139">
        <v>0</v>
      </c>
      <c r="N179" s="130">
        <f>((Tabela13633[[#This Row],[Objetive value Cannibalism ]]-Tabela13633[[#This Row],[Objetive value Cannibalism/GATeS]])/Tabela13633[[#This Row],[Objetive value Cannibalism ]])*100</f>
        <v>0.19267822736030829</v>
      </c>
      <c r="O179" s="131">
        <v>1038</v>
      </c>
      <c r="P179" s="131">
        <v>0.35</v>
      </c>
      <c r="Q179" s="131">
        <v>0</v>
      </c>
      <c r="R179" s="141">
        <f>(((Tabela13633[[#This Row],[Objetive value Cannibalism ]]-Tabela13633[[#This Row],[Objetive value Cannibalism/H-R1]])/Tabela13633[[#This Row],[Objetive value Cannibalism ]]))*100</f>
        <v>0</v>
      </c>
      <c r="S179" s="113">
        <v>1038</v>
      </c>
      <c r="T179" s="113">
        <v>0.4</v>
      </c>
      <c r="U179" s="113">
        <v>0</v>
      </c>
      <c r="V179" s="143">
        <f>(((Tabela13633[[#This Row],[Objetive value Cannibalism ]]-Tabela13633[[#This Row],[Objetive value Cannibalism/H-R2]])/Tabela13633[[#This Row],[Objetive value Cannibalism ]]))*100</f>
        <v>0</v>
      </c>
    </row>
    <row r="180" spans="1:22" x14ac:dyDescent="0.25">
      <c r="A180" s="3" t="s">
        <v>11</v>
      </c>
      <c r="B180" s="118" t="s">
        <v>395</v>
      </c>
      <c r="C180" s="3">
        <v>100</v>
      </c>
      <c r="D180" s="114">
        <v>0.1</v>
      </c>
      <c r="E180" s="3">
        <v>5</v>
      </c>
      <c r="F180" s="39" t="s">
        <v>18</v>
      </c>
      <c r="G180" s="39" t="s">
        <v>16</v>
      </c>
      <c r="H180" s="128">
        <v>769</v>
      </c>
      <c r="I180" s="128">
        <v>0.155999999959021</v>
      </c>
      <c r="J180" s="129">
        <v>0</v>
      </c>
      <c r="K180" s="139">
        <v>769</v>
      </c>
      <c r="L180" s="139">
        <v>3</v>
      </c>
      <c r="M180" s="139">
        <v>0</v>
      </c>
      <c r="N180" s="130">
        <f>((Tabela13633[[#This Row],[Objetive value Cannibalism ]]-Tabela13633[[#This Row],[Objetive value Cannibalism/GATeS]])/Tabela13633[[#This Row],[Objetive value Cannibalism ]])*100</f>
        <v>0</v>
      </c>
      <c r="O180" s="131">
        <v>753</v>
      </c>
      <c r="P180" s="131">
        <v>0.25</v>
      </c>
      <c r="Q180" s="131">
        <v>0</v>
      </c>
      <c r="R180" s="141">
        <f>(((Tabela13633[[#This Row],[Objetive value Cannibalism ]]-Tabela13633[[#This Row],[Objetive value Cannibalism/H-R1]])/Tabela13633[[#This Row],[Objetive value Cannibalism ]]))*100</f>
        <v>2.080624187256177</v>
      </c>
      <c r="S180" s="113">
        <v>769</v>
      </c>
      <c r="T180" s="113">
        <v>0.51</v>
      </c>
      <c r="U180" s="113">
        <v>0</v>
      </c>
      <c r="V180" s="143">
        <f>(((Tabela13633[[#This Row],[Objetive value Cannibalism ]]-Tabela13633[[#This Row],[Objetive value Cannibalism/H-R2]])/Tabela13633[[#This Row],[Objetive value Cannibalism ]]))*100</f>
        <v>0</v>
      </c>
    </row>
    <row r="181" spans="1:22" x14ac:dyDescent="0.25">
      <c r="A181" s="3" t="s">
        <v>11</v>
      </c>
      <c r="B181" s="118" t="s">
        <v>396</v>
      </c>
      <c r="C181" s="3">
        <v>100</v>
      </c>
      <c r="D181" s="114">
        <v>0.1</v>
      </c>
      <c r="E181" s="3">
        <v>5</v>
      </c>
      <c r="F181" s="39" t="s">
        <v>21</v>
      </c>
      <c r="G181" s="39" t="s">
        <v>14</v>
      </c>
      <c r="H181" s="128">
        <v>775</v>
      </c>
      <c r="I181" s="128">
        <v>0.125</v>
      </c>
      <c r="J181" s="129">
        <v>0</v>
      </c>
      <c r="K181" s="139">
        <v>603</v>
      </c>
      <c r="L181" s="139">
        <v>2</v>
      </c>
      <c r="M181" s="139">
        <v>0</v>
      </c>
      <c r="N181" s="130">
        <f>((Tabela13633[[#This Row],[Objetive value Cannibalism ]]-Tabela13633[[#This Row],[Objetive value Cannibalism/GATeS]])/Tabela13633[[#This Row],[Objetive value Cannibalism ]])*100</f>
        <v>22.193548387096772</v>
      </c>
      <c r="O181" s="131">
        <v>775</v>
      </c>
      <c r="P181" s="131">
        <v>0.36</v>
      </c>
      <c r="Q181" s="131">
        <v>0</v>
      </c>
      <c r="R181" s="141">
        <f>(((Tabela13633[[#This Row],[Objetive value Cannibalism ]]-Tabela13633[[#This Row],[Objetive value Cannibalism/H-R1]])/Tabela13633[[#This Row],[Objetive value Cannibalism ]]))*100</f>
        <v>0</v>
      </c>
      <c r="S181" s="113">
        <v>775</v>
      </c>
      <c r="T181" s="113">
        <v>0.7</v>
      </c>
      <c r="U181" s="113">
        <v>0</v>
      </c>
      <c r="V181" s="143">
        <f>(((Tabela13633[[#This Row],[Objetive value Cannibalism ]]-Tabela13633[[#This Row],[Objetive value Cannibalism/H-R2]])/Tabela13633[[#This Row],[Objetive value Cannibalism ]]))*100</f>
        <v>0</v>
      </c>
    </row>
    <row r="182" spans="1:22" x14ac:dyDescent="0.25">
      <c r="A182" s="3" t="s">
        <v>11</v>
      </c>
      <c r="B182" s="118" t="s">
        <v>397</v>
      </c>
      <c r="C182" s="3">
        <v>100</v>
      </c>
      <c r="D182" s="114">
        <v>0.1</v>
      </c>
      <c r="E182" s="3">
        <v>5</v>
      </c>
      <c r="F182" s="39" t="s">
        <v>21</v>
      </c>
      <c r="G182" s="39" t="s">
        <v>16</v>
      </c>
      <c r="H182" s="128">
        <v>786</v>
      </c>
      <c r="I182" s="128">
        <v>0.125</v>
      </c>
      <c r="J182" s="129">
        <v>0</v>
      </c>
      <c r="K182" s="139">
        <v>783</v>
      </c>
      <c r="L182" s="139">
        <v>3</v>
      </c>
      <c r="M182" s="139">
        <v>1</v>
      </c>
      <c r="N182" s="130">
        <f>((Tabela13633[[#This Row],[Objetive value Cannibalism ]]-Tabela13633[[#This Row],[Objetive value Cannibalism/GATeS]])/Tabela13633[[#This Row],[Objetive value Cannibalism ]])*100</f>
        <v>0.38167938931297707</v>
      </c>
      <c r="O182" s="131">
        <v>782</v>
      </c>
      <c r="P182" s="131">
        <v>0.4</v>
      </c>
      <c r="Q182" s="131">
        <v>0</v>
      </c>
      <c r="R182" s="141">
        <f>(((Tabela13633[[#This Row],[Objetive value Cannibalism ]]-Tabela13633[[#This Row],[Objetive value Cannibalism/H-R1]])/Tabela13633[[#This Row],[Objetive value Cannibalism ]]))*100</f>
        <v>0.5089058524173028</v>
      </c>
      <c r="S182" s="113">
        <v>782</v>
      </c>
      <c r="T182" s="113">
        <v>0.33</v>
      </c>
      <c r="U182" s="113">
        <v>0</v>
      </c>
      <c r="V182" s="143">
        <f>(((Tabela13633[[#This Row],[Objetive value Cannibalism ]]-Tabela13633[[#This Row],[Objetive value Cannibalism/H-R2]])/Tabela13633[[#This Row],[Objetive value Cannibalism ]]))*100</f>
        <v>0.5089058524173028</v>
      </c>
    </row>
    <row r="183" spans="1:22" x14ac:dyDescent="0.25">
      <c r="A183" s="3" t="s">
        <v>35</v>
      </c>
      <c r="B183" s="39" t="s">
        <v>416</v>
      </c>
      <c r="C183" s="3">
        <v>100</v>
      </c>
      <c r="D183" s="3">
        <v>0.15</v>
      </c>
      <c r="E183" s="3">
        <v>10</v>
      </c>
      <c r="F183" s="117" t="s">
        <v>13</v>
      </c>
      <c r="G183" s="117" t="s">
        <v>14</v>
      </c>
      <c r="H183" s="128">
        <v>1818</v>
      </c>
      <c r="I183" s="128">
        <v>0.15700000000651901</v>
      </c>
      <c r="J183" s="129">
        <v>0</v>
      </c>
      <c r="K183" s="139">
        <v>1773</v>
      </c>
      <c r="L183" s="139">
        <v>25</v>
      </c>
      <c r="M183" s="139">
        <v>1</v>
      </c>
      <c r="N183" s="130">
        <f>((Tabela13633[[#This Row],[Objetive value Cannibalism ]]-Tabela13633[[#This Row],[Objetive value Cannibalism/GATeS]])/Tabela13633[[#This Row],[Objetive value Cannibalism ]])*100</f>
        <v>2.4752475247524752</v>
      </c>
      <c r="O183" s="131">
        <v>1661</v>
      </c>
      <c r="P183" s="131">
        <v>0.51</v>
      </c>
      <c r="Q183" s="131">
        <v>0</v>
      </c>
      <c r="R183" s="141">
        <f>(((Tabela13633[[#This Row],[Objetive value Cannibalism ]]-Tabela13633[[#This Row],[Objetive value Cannibalism/H-R1]])/Tabela13633[[#This Row],[Objetive value Cannibalism ]]))*100</f>
        <v>8.635863586358635</v>
      </c>
      <c r="S183" s="113">
        <v>1807</v>
      </c>
      <c r="T183" s="113">
        <v>0.49</v>
      </c>
      <c r="U183" s="113">
        <v>0</v>
      </c>
      <c r="V183" s="143">
        <f>(((Tabela13633[[#This Row],[Objetive value Cannibalism ]]-Tabela13633[[#This Row],[Objetive value Cannibalism/H-R2]])/Tabela13633[[#This Row],[Objetive value Cannibalism ]]))*100</f>
        <v>0.60506050605060502</v>
      </c>
    </row>
    <row r="184" spans="1:22" x14ac:dyDescent="0.25">
      <c r="A184" s="3" t="s">
        <v>35</v>
      </c>
      <c r="B184" s="39" t="s">
        <v>417</v>
      </c>
      <c r="C184" s="3">
        <v>100</v>
      </c>
      <c r="D184" s="3">
        <v>0.15</v>
      </c>
      <c r="E184" s="3">
        <v>10</v>
      </c>
      <c r="F184" s="117" t="s">
        <v>13</v>
      </c>
      <c r="G184" s="117" t="s">
        <v>16</v>
      </c>
      <c r="H184" s="128">
        <v>1313</v>
      </c>
      <c r="I184" s="128">
        <v>0.40599999995902097</v>
      </c>
      <c r="J184" s="129">
        <v>0</v>
      </c>
      <c r="K184" s="139">
        <v>1298</v>
      </c>
      <c r="L184" s="139">
        <v>6</v>
      </c>
      <c r="M184" s="139">
        <v>5</v>
      </c>
      <c r="N184" s="130">
        <f>((Tabela13633[[#This Row],[Objetive value Cannibalism ]]-Tabela13633[[#This Row],[Objetive value Cannibalism/GATeS]])/Tabela13633[[#This Row],[Objetive value Cannibalism ]])*100</f>
        <v>1.1424219345011426</v>
      </c>
      <c r="O184" s="131">
        <v>1233</v>
      </c>
      <c r="P184" s="131">
        <v>0.62</v>
      </c>
      <c r="Q184" s="131">
        <v>0</v>
      </c>
      <c r="R184" s="141">
        <f>(((Tabela13633[[#This Row],[Objetive value Cannibalism ]]-Tabela13633[[#This Row],[Objetive value Cannibalism/H-R1]])/Tabela13633[[#This Row],[Objetive value Cannibalism ]]))*100</f>
        <v>6.0929169840060933</v>
      </c>
      <c r="S184" s="113">
        <v>1250</v>
      </c>
      <c r="T184" s="113">
        <v>0.66</v>
      </c>
      <c r="U184" s="113">
        <v>0</v>
      </c>
      <c r="V184" s="143">
        <f>(((Tabela13633[[#This Row],[Objetive value Cannibalism ]]-Tabela13633[[#This Row],[Objetive value Cannibalism/H-R2]])/Tabela13633[[#This Row],[Objetive value Cannibalism ]]))*100</f>
        <v>4.7981721249047986</v>
      </c>
    </row>
    <row r="185" spans="1:22" x14ac:dyDescent="0.25">
      <c r="A185" s="3" t="s">
        <v>35</v>
      </c>
      <c r="B185" s="39" t="s">
        <v>418</v>
      </c>
      <c r="C185" s="3">
        <v>100</v>
      </c>
      <c r="D185" s="3">
        <v>0.15</v>
      </c>
      <c r="E185" s="3">
        <v>10</v>
      </c>
      <c r="F185" s="117" t="s">
        <v>18</v>
      </c>
      <c r="G185" s="117" t="s">
        <v>14</v>
      </c>
      <c r="H185" s="128">
        <v>2033</v>
      </c>
      <c r="I185" s="128">
        <v>0.14100000006146701</v>
      </c>
      <c r="J185" s="129">
        <v>0</v>
      </c>
      <c r="K185" s="139">
        <v>1965</v>
      </c>
      <c r="L185" s="139">
        <v>3</v>
      </c>
      <c r="M185" s="139">
        <v>3</v>
      </c>
      <c r="N185" s="130">
        <f>((Tabela13633[[#This Row],[Objetive value Cannibalism ]]-Tabela13633[[#This Row],[Objetive value Cannibalism/GATeS]])/Tabela13633[[#This Row],[Objetive value Cannibalism ]])*100</f>
        <v>3.3448106246925726</v>
      </c>
      <c r="O185" s="131">
        <v>1977</v>
      </c>
      <c r="P185" s="131">
        <v>0.44</v>
      </c>
      <c r="Q185" s="131">
        <v>0</v>
      </c>
      <c r="R185" s="141">
        <f>(((Tabela13633[[#This Row],[Objetive value Cannibalism ]]-Tabela13633[[#This Row],[Objetive value Cannibalism/H-R1]])/Tabela13633[[#This Row],[Objetive value Cannibalism ]]))*100</f>
        <v>2.7545499262174129</v>
      </c>
      <c r="S185" s="113">
        <v>1807</v>
      </c>
      <c r="T185" s="113">
        <v>0.59</v>
      </c>
      <c r="U185" s="113">
        <v>0</v>
      </c>
      <c r="V185" s="143">
        <f>(((Tabela13633[[#This Row],[Objetive value Cannibalism ]]-Tabela13633[[#This Row],[Objetive value Cannibalism/H-R2]])/Tabela13633[[#This Row],[Objetive value Cannibalism ]]))*100</f>
        <v>11.116576487948844</v>
      </c>
    </row>
    <row r="186" spans="1:22" x14ac:dyDescent="0.25">
      <c r="A186" s="3" t="s">
        <v>35</v>
      </c>
      <c r="B186" s="39" t="s">
        <v>419</v>
      </c>
      <c r="C186" s="3">
        <v>100</v>
      </c>
      <c r="D186" s="3">
        <v>0.15</v>
      </c>
      <c r="E186" s="3">
        <v>10</v>
      </c>
      <c r="F186" s="117" t="s">
        <v>18</v>
      </c>
      <c r="G186" s="117" t="s">
        <v>16</v>
      </c>
      <c r="H186" s="128">
        <v>1342</v>
      </c>
      <c r="I186" s="128">
        <v>0.18799999996554101</v>
      </c>
      <c r="J186" s="129">
        <v>0</v>
      </c>
      <c r="K186" s="139">
        <v>1341</v>
      </c>
      <c r="L186" s="139">
        <v>5</v>
      </c>
      <c r="M186" s="139">
        <v>1</v>
      </c>
      <c r="N186" s="130">
        <f>((Tabela13633[[#This Row],[Objetive value Cannibalism ]]-Tabela13633[[#This Row],[Objetive value Cannibalism/GATeS]])/Tabela13633[[#This Row],[Objetive value Cannibalism ]])*100</f>
        <v>7.4515648286140088E-2</v>
      </c>
      <c r="O186" s="131">
        <v>1317</v>
      </c>
      <c r="P186" s="131">
        <v>0.47</v>
      </c>
      <c r="Q186" s="131">
        <v>0</v>
      </c>
      <c r="R186" s="141">
        <f>(((Tabela13633[[#This Row],[Objetive value Cannibalism ]]-Tabela13633[[#This Row],[Objetive value Cannibalism/H-R1]])/Tabela13633[[#This Row],[Objetive value Cannibalism ]]))*100</f>
        <v>1.8628912071535022</v>
      </c>
      <c r="S186" s="113">
        <v>1317</v>
      </c>
      <c r="T186" s="113">
        <v>0.52</v>
      </c>
      <c r="U186" s="113">
        <v>0</v>
      </c>
      <c r="V186" s="143">
        <f>(((Tabela13633[[#This Row],[Objetive value Cannibalism ]]-Tabela13633[[#This Row],[Objetive value Cannibalism/H-R2]])/Tabela13633[[#This Row],[Objetive value Cannibalism ]]))*100</f>
        <v>1.8628912071535022</v>
      </c>
    </row>
    <row r="187" spans="1:22" x14ac:dyDescent="0.25">
      <c r="A187" s="3" t="s">
        <v>35</v>
      </c>
      <c r="B187" s="39" t="s">
        <v>420</v>
      </c>
      <c r="C187" s="3">
        <v>100</v>
      </c>
      <c r="D187" s="3">
        <v>0.15</v>
      </c>
      <c r="E187" s="3">
        <v>10</v>
      </c>
      <c r="F187" s="117" t="s">
        <v>21</v>
      </c>
      <c r="G187" s="117" t="s">
        <v>14</v>
      </c>
      <c r="H187" s="128">
        <v>1986</v>
      </c>
      <c r="I187" s="128">
        <v>0.125</v>
      </c>
      <c r="J187" s="129">
        <v>0</v>
      </c>
      <c r="K187" s="139">
        <v>1914</v>
      </c>
      <c r="L187" s="139">
        <v>4</v>
      </c>
      <c r="M187" s="139">
        <v>1</v>
      </c>
      <c r="N187" s="130">
        <f>((Tabela13633[[#This Row],[Objetive value Cannibalism ]]-Tabela13633[[#This Row],[Objetive value Cannibalism/GATeS]])/Tabela13633[[#This Row],[Objetive value Cannibalism ]])*100</f>
        <v>3.6253776435045322</v>
      </c>
      <c r="O187" s="131">
        <v>1909</v>
      </c>
      <c r="P187" s="131">
        <v>0.32</v>
      </c>
      <c r="Q187" s="131">
        <v>0</v>
      </c>
      <c r="R187" s="141">
        <f>(((Tabela13633[[#This Row],[Objetive value Cannibalism ]]-Tabela13633[[#This Row],[Objetive value Cannibalism/H-R1]])/Tabela13633[[#This Row],[Objetive value Cannibalism ]]))*100</f>
        <v>3.8771399798590132</v>
      </c>
      <c r="S187" s="113">
        <v>1784</v>
      </c>
      <c r="T187" s="113">
        <v>0.59</v>
      </c>
      <c r="U187" s="113">
        <v>0</v>
      </c>
      <c r="V187" s="143">
        <f>(((Tabela13633[[#This Row],[Objetive value Cannibalism ]]-Tabela13633[[#This Row],[Objetive value Cannibalism/H-R2]])/Tabela13633[[#This Row],[Objetive value Cannibalism ]]))*100</f>
        <v>10.171198388721049</v>
      </c>
    </row>
    <row r="188" spans="1:22" x14ac:dyDescent="0.25">
      <c r="A188" s="3" t="s">
        <v>35</v>
      </c>
      <c r="B188" s="39" t="s">
        <v>421</v>
      </c>
      <c r="C188" s="3">
        <v>100</v>
      </c>
      <c r="D188" s="3">
        <v>0.15</v>
      </c>
      <c r="E188" s="3">
        <v>10</v>
      </c>
      <c r="F188" s="117" t="s">
        <v>21</v>
      </c>
      <c r="G188" s="117" t="s">
        <v>16</v>
      </c>
      <c r="H188" s="128">
        <v>1137</v>
      </c>
      <c r="I188" s="128">
        <v>0.40600000007543702</v>
      </c>
      <c r="J188" s="129">
        <v>0</v>
      </c>
      <c r="K188" s="139">
        <v>1117</v>
      </c>
      <c r="L188" s="139">
        <v>5</v>
      </c>
      <c r="M188" s="139">
        <v>0</v>
      </c>
      <c r="N188" s="130">
        <f>((Tabela13633[[#This Row],[Objetive value Cannibalism ]]-Tabela13633[[#This Row],[Objetive value Cannibalism/GATeS]])/Tabela13633[[#This Row],[Objetive value Cannibalism ]])*100</f>
        <v>1.759014951627089</v>
      </c>
      <c r="O188" s="131">
        <v>1128</v>
      </c>
      <c r="P188" s="131">
        <v>0.54</v>
      </c>
      <c r="Q188" s="131">
        <v>0</v>
      </c>
      <c r="R188" s="141">
        <f>(((Tabela13633[[#This Row],[Objetive value Cannibalism ]]-Tabela13633[[#This Row],[Objetive value Cannibalism/H-R1]])/Tabela13633[[#This Row],[Objetive value Cannibalism ]]))*100</f>
        <v>0.79155672823219003</v>
      </c>
      <c r="S188" s="113">
        <v>1119</v>
      </c>
      <c r="T188" s="113">
        <v>0.34</v>
      </c>
      <c r="U188" s="113">
        <v>0</v>
      </c>
      <c r="V188" s="143">
        <f>(((Tabela13633[[#This Row],[Objetive value Cannibalism ]]-Tabela13633[[#This Row],[Objetive value Cannibalism/H-R2]])/Tabela13633[[#This Row],[Objetive value Cannibalism ]]))*100</f>
        <v>1.5831134564643801</v>
      </c>
    </row>
    <row r="189" spans="1:22" x14ac:dyDescent="0.25">
      <c r="A189" s="3" t="s">
        <v>54</v>
      </c>
      <c r="B189" s="37" t="s">
        <v>434</v>
      </c>
      <c r="C189" s="3">
        <v>100</v>
      </c>
      <c r="D189" s="3">
        <v>0.15</v>
      </c>
      <c r="E189" s="3">
        <v>15</v>
      </c>
      <c r="F189" s="39" t="s">
        <v>13</v>
      </c>
      <c r="G189" s="39" t="s">
        <v>14</v>
      </c>
      <c r="H189" s="128">
        <v>3387</v>
      </c>
      <c r="I189" s="128">
        <v>0.67100000000000004</v>
      </c>
      <c r="J189" s="129">
        <v>0</v>
      </c>
      <c r="K189" s="139">
        <v>3237</v>
      </c>
      <c r="L189" s="139">
        <v>36</v>
      </c>
      <c r="M189" s="139">
        <v>25</v>
      </c>
      <c r="N189" s="130">
        <f>((Tabela13633[[#This Row],[Objetive value Cannibalism ]]-Tabela13633[[#This Row],[Objetive value Cannibalism/GATeS]])/Tabela13633[[#This Row],[Objetive value Cannibalism ]])*100</f>
        <v>4.4286979627989371</v>
      </c>
      <c r="O189" s="131">
        <v>3014</v>
      </c>
      <c r="P189" s="131">
        <v>0.48</v>
      </c>
      <c r="Q189" s="131">
        <v>0</v>
      </c>
      <c r="R189" s="141">
        <f>(((Tabela13633[[#This Row],[Objetive value Cannibalism ]]-Tabela13633[[#This Row],[Objetive value Cannibalism/H-R1]])/Tabela13633[[#This Row],[Objetive value Cannibalism ]]))*100</f>
        <v>11.012695600826691</v>
      </c>
      <c r="S189" s="113">
        <v>2988</v>
      </c>
      <c r="T189" s="113">
        <v>0.8</v>
      </c>
      <c r="U189" s="113">
        <v>0</v>
      </c>
      <c r="V189" s="143">
        <f>(((Tabela13633[[#This Row],[Objetive value Cannibalism ]]-Tabela13633[[#This Row],[Objetive value Cannibalism/H-R2]])/Tabela13633[[#This Row],[Objetive value Cannibalism ]]))*100</f>
        <v>11.780336581045173</v>
      </c>
    </row>
    <row r="190" spans="1:22" x14ac:dyDescent="0.25">
      <c r="A190" s="3" t="s">
        <v>54</v>
      </c>
      <c r="B190" s="39" t="s">
        <v>435</v>
      </c>
      <c r="C190" s="3">
        <v>100</v>
      </c>
      <c r="D190" s="3">
        <v>0.15</v>
      </c>
      <c r="E190" s="3">
        <v>15</v>
      </c>
      <c r="F190" s="39" t="s">
        <v>13</v>
      </c>
      <c r="G190" s="39" t="s">
        <v>16</v>
      </c>
      <c r="H190" s="128">
        <v>1776</v>
      </c>
      <c r="I190" s="128">
        <v>1.89</v>
      </c>
      <c r="J190" s="129">
        <v>0.38</v>
      </c>
      <c r="K190" s="139">
        <v>1749</v>
      </c>
      <c r="L190" s="139">
        <v>11</v>
      </c>
      <c r="M190" s="139">
        <v>4</v>
      </c>
      <c r="N190" s="130">
        <f>((Tabela13633[[#This Row],[Objetive value Cannibalism ]]-Tabela13633[[#This Row],[Objetive value Cannibalism/GATeS]])/Tabela13633[[#This Row],[Objetive value Cannibalism ]])*100</f>
        <v>1.5202702702702704</v>
      </c>
      <c r="O190" s="131">
        <v>1660</v>
      </c>
      <c r="P190" s="131">
        <v>0.69</v>
      </c>
      <c r="Q190" s="131">
        <v>0</v>
      </c>
      <c r="R190" s="141">
        <f>(((Tabela13633[[#This Row],[Objetive value Cannibalism ]]-Tabela13633[[#This Row],[Objetive value Cannibalism/H-R1]])/Tabela13633[[#This Row],[Objetive value Cannibalism ]]))*100</f>
        <v>6.531531531531531</v>
      </c>
      <c r="S190" s="113">
        <v>1672</v>
      </c>
      <c r="T190" s="113">
        <v>0.66</v>
      </c>
      <c r="U190" s="113">
        <v>0</v>
      </c>
      <c r="V190" s="143">
        <f>(((Tabela13633[[#This Row],[Objetive value Cannibalism ]]-Tabela13633[[#This Row],[Objetive value Cannibalism/H-R2]])/Tabela13633[[#This Row],[Objetive value Cannibalism ]]))*100</f>
        <v>5.8558558558558556</v>
      </c>
    </row>
    <row r="191" spans="1:22" s="95" customFormat="1" x14ac:dyDescent="0.25">
      <c r="A191" s="3" t="s">
        <v>54</v>
      </c>
      <c r="B191" s="39" t="s">
        <v>436</v>
      </c>
      <c r="C191" s="3">
        <v>100</v>
      </c>
      <c r="D191" s="3">
        <v>0.15</v>
      </c>
      <c r="E191" s="3">
        <v>15</v>
      </c>
      <c r="F191" s="39" t="s">
        <v>18</v>
      </c>
      <c r="G191" s="39" t="s">
        <v>14</v>
      </c>
      <c r="H191" s="128">
        <v>3330</v>
      </c>
      <c r="I191" s="128">
        <v>0.64100000000000001</v>
      </c>
      <c r="J191" s="129">
        <v>0</v>
      </c>
      <c r="K191" s="139">
        <v>3201</v>
      </c>
      <c r="L191" s="139">
        <v>6</v>
      </c>
      <c r="M191" s="139">
        <v>1</v>
      </c>
      <c r="N191" s="130">
        <f>((Tabela13633[[#This Row],[Objetive value Cannibalism ]]-Tabela13633[[#This Row],[Objetive value Cannibalism/GATeS]])/Tabela13633[[#This Row],[Objetive value Cannibalism ]])*100</f>
        <v>3.8738738738738738</v>
      </c>
      <c r="O191" s="131">
        <v>3221</v>
      </c>
      <c r="P191" s="131">
        <v>0.6</v>
      </c>
      <c r="Q191" s="131">
        <v>0</v>
      </c>
      <c r="R191" s="141">
        <f>(((Tabela13633[[#This Row],[Objetive value Cannibalism ]]-Tabela13633[[#This Row],[Objetive value Cannibalism/H-R1]])/Tabela13633[[#This Row],[Objetive value Cannibalism ]]))*100</f>
        <v>3.2732732732732734</v>
      </c>
      <c r="S191" s="113">
        <v>3236</v>
      </c>
      <c r="T191" s="113">
        <v>0.39</v>
      </c>
      <c r="U191" s="113">
        <v>0</v>
      </c>
      <c r="V191" s="143">
        <f>(((Tabela13633[[#This Row],[Objetive value Cannibalism ]]-Tabela13633[[#This Row],[Objetive value Cannibalism/H-R2]])/Tabela13633[[#This Row],[Objetive value Cannibalism ]]))*100</f>
        <v>2.8228228228228227</v>
      </c>
    </row>
    <row r="192" spans="1:22" s="34" customFormat="1" x14ac:dyDescent="0.25">
      <c r="A192" s="3" t="s">
        <v>54</v>
      </c>
      <c r="B192" s="39" t="s">
        <v>437</v>
      </c>
      <c r="C192" s="3">
        <v>100</v>
      </c>
      <c r="D192" s="3">
        <v>0.15</v>
      </c>
      <c r="E192" s="3">
        <v>15</v>
      </c>
      <c r="F192" s="39" t="s">
        <v>18</v>
      </c>
      <c r="G192" s="39" t="s">
        <v>16</v>
      </c>
      <c r="H192" s="128">
        <v>1957</v>
      </c>
      <c r="I192" s="128">
        <v>1.2030000000000001</v>
      </c>
      <c r="J192" s="129">
        <v>0.1</v>
      </c>
      <c r="K192" s="139">
        <v>1925</v>
      </c>
      <c r="L192" s="139">
        <v>9</v>
      </c>
      <c r="M192" s="139">
        <v>7</v>
      </c>
      <c r="N192" s="130">
        <f>((Tabela13633[[#This Row],[Objetive value Cannibalism ]]-Tabela13633[[#This Row],[Objetive value Cannibalism/GATeS]])/Tabela13633[[#This Row],[Objetive value Cannibalism ]])*100</f>
        <v>1.6351558507920287</v>
      </c>
      <c r="O192" s="131">
        <v>1927</v>
      </c>
      <c r="P192" s="131">
        <v>0.6</v>
      </c>
      <c r="Q192" s="131">
        <v>0</v>
      </c>
      <c r="R192" s="141">
        <f>(((Tabela13633[[#This Row],[Objetive value Cannibalism ]]-Tabela13633[[#This Row],[Objetive value Cannibalism/H-R1]])/Tabela13633[[#This Row],[Objetive value Cannibalism ]]))*100</f>
        <v>1.532958610117527</v>
      </c>
      <c r="S192" s="113">
        <v>1938</v>
      </c>
      <c r="T192" s="113">
        <v>0.53</v>
      </c>
      <c r="U192" s="113">
        <v>0</v>
      </c>
      <c r="V192" s="143">
        <f>(((Tabela13633[[#This Row],[Objetive value Cannibalism ]]-Tabela13633[[#This Row],[Objetive value Cannibalism/H-R2]])/Tabela13633[[#This Row],[Objetive value Cannibalism ]]))*100</f>
        <v>0.97087378640776689</v>
      </c>
    </row>
    <row r="193" spans="1:22" s="34" customFormat="1" x14ac:dyDescent="0.25">
      <c r="A193" s="3" t="s">
        <v>54</v>
      </c>
      <c r="B193" s="39" t="s">
        <v>438</v>
      </c>
      <c r="C193" s="3">
        <v>100</v>
      </c>
      <c r="D193" s="3">
        <v>0.15</v>
      </c>
      <c r="E193" s="3">
        <v>15</v>
      </c>
      <c r="F193" s="39" t="s">
        <v>21</v>
      </c>
      <c r="G193" s="39" t="s">
        <v>14</v>
      </c>
      <c r="H193" s="128">
        <v>3019</v>
      </c>
      <c r="I193" s="128">
        <v>0.375</v>
      </c>
      <c r="J193" s="129">
        <v>0</v>
      </c>
      <c r="K193" s="139">
        <v>2732</v>
      </c>
      <c r="L193" s="139">
        <v>6</v>
      </c>
      <c r="M193" s="139">
        <v>2</v>
      </c>
      <c r="N193" s="130">
        <f>((Tabela13633[[#This Row],[Objetive value Cannibalism ]]-Tabela13633[[#This Row],[Objetive value Cannibalism/GATeS]])/Tabela13633[[#This Row],[Objetive value Cannibalism ]])*100</f>
        <v>9.5064590924147065</v>
      </c>
      <c r="O193" s="131">
        <v>2892</v>
      </c>
      <c r="P193" s="131">
        <v>0.33</v>
      </c>
      <c r="Q193" s="131">
        <v>0</v>
      </c>
      <c r="R193" s="141">
        <f>(((Tabela13633[[#This Row],[Objetive value Cannibalism ]]-Tabela13633[[#This Row],[Objetive value Cannibalism/H-R1]])/Tabela13633[[#This Row],[Objetive value Cannibalism ]]))*100</f>
        <v>4.2066909572706193</v>
      </c>
      <c r="S193" s="113">
        <v>2932</v>
      </c>
      <c r="T193" s="113">
        <v>0.63</v>
      </c>
      <c r="U193" s="113">
        <v>0</v>
      </c>
      <c r="V193" s="143">
        <f>(((Tabela13633[[#This Row],[Objetive value Cannibalism ]]-Tabela13633[[#This Row],[Objetive value Cannibalism/H-R2]])/Tabela13633[[#This Row],[Objetive value Cannibalism ]]))*100</f>
        <v>2.8817489234845972</v>
      </c>
    </row>
    <row r="194" spans="1:22" s="34" customFormat="1" x14ac:dyDescent="0.25">
      <c r="A194" s="3" t="s">
        <v>54</v>
      </c>
      <c r="B194" s="39" t="s">
        <v>439</v>
      </c>
      <c r="C194" s="3">
        <v>100</v>
      </c>
      <c r="D194" s="3">
        <v>0.15</v>
      </c>
      <c r="E194" s="3">
        <v>15</v>
      </c>
      <c r="F194" s="39" t="s">
        <v>21</v>
      </c>
      <c r="G194" s="39" t="s">
        <v>16</v>
      </c>
      <c r="H194" s="128">
        <v>1745</v>
      </c>
      <c r="I194" s="128">
        <v>1.5469999999999999</v>
      </c>
      <c r="J194" s="129">
        <v>0</v>
      </c>
      <c r="K194" s="139">
        <v>1731</v>
      </c>
      <c r="L194" s="139">
        <v>10</v>
      </c>
      <c r="M194" s="139">
        <v>3</v>
      </c>
      <c r="N194" s="130">
        <f>((Tabela13633[[#This Row],[Objetive value Cannibalism ]]-Tabela13633[[#This Row],[Objetive value Cannibalism/GATeS]])/Tabela13633[[#This Row],[Objetive value Cannibalism ]])*100</f>
        <v>0.80229226361031514</v>
      </c>
      <c r="O194" s="131">
        <v>1673</v>
      </c>
      <c r="P194" s="131">
        <v>0.59</v>
      </c>
      <c r="Q194" s="131">
        <v>0</v>
      </c>
      <c r="R194" s="141">
        <f>(((Tabela13633[[#This Row],[Objetive value Cannibalism ]]-Tabela13633[[#This Row],[Objetive value Cannibalism/H-R1]])/Tabela13633[[#This Row],[Objetive value Cannibalism ]]))*100</f>
        <v>4.126074498567335</v>
      </c>
      <c r="S194" s="113">
        <v>1691</v>
      </c>
      <c r="T194" s="113">
        <v>0.53</v>
      </c>
      <c r="U194" s="113">
        <v>0</v>
      </c>
      <c r="V194" s="143">
        <f>(((Tabela13633[[#This Row],[Objetive value Cannibalism ]]-Tabela13633[[#This Row],[Objetive value Cannibalism/H-R2]])/Tabela13633[[#This Row],[Objetive value Cannibalism ]]))*100</f>
        <v>3.0945558739255015</v>
      </c>
    </row>
    <row r="195" spans="1:22" s="34" customFormat="1" x14ac:dyDescent="0.25">
      <c r="A195" s="3" t="s">
        <v>11</v>
      </c>
      <c r="B195" s="118" t="s">
        <v>398</v>
      </c>
      <c r="C195" s="3">
        <v>100</v>
      </c>
      <c r="D195" s="3">
        <v>0.15</v>
      </c>
      <c r="E195" s="3">
        <v>5</v>
      </c>
      <c r="F195" s="39" t="s">
        <v>13</v>
      </c>
      <c r="G195" s="39" t="s">
        <v>14</v>
      </c>
      <c r="H195" s="128">
        <v>983</v>
      </c>
      <c r="I195" s="128">
        <v>0.125</v>
      </c>
      <c r="J195" s="129">
        <v>0</v>
      </c>
      <c r="K195" s="139">
        <v>954</v>
      </c>
      <c r="L195" s="139">
        <v>13</v>
      </c>
      <c r="M195" s="139">
        <v>2</v>
      </c>
      <c r="N195" s="130">
        <f>((Tabela13633[[#This Row],[Objetive value Cannibalism ]]-Tabela13633[[#This Row],[Objetive value Cannibalism/GATeS]])/Tabela13633[[#This Row],[Objetive value Cannibalism ]])*100</f>
        <v>2.9501525940996949</v>
      </c>
      <c r="O195" s="131">
        <v>983</v>
      </c>
      <c r="P195" s="131">
        <v>0.46</v>
      </c>
      <c r="Q195" s="131">
        <v>0</v>
      </c>
      <c r="R195" s="141">
        <f>(((Tabela13633[[#This Row],[Objetive value Cannibalism ]]-Tabela13633[[#This Row],[Objetive value Cannibalism/H-R1]])/Tabela13633[[#This Row],[Objetive value Cannibalism ]]))*100</f>
        <v>0</v>
      </c>
      <c r="S195" s="113">
        <v>904</v>
      </c>
      <c r="T195" s="113">
        <v>0.7</v>
      </c>
      <c r="U195" s="113">
        <v>0</v>
      </c>
      <c r="V195" s="143">
        <f>(((Tabela13633[[#This Row],[Objetive value Cannibalism ]]-Tabela13633[[#This Row],[Objetive value Cannibalism/H-R2]])/Tabela13633[[#This Row],[Objetive value Cannibalism ]]))*100</f>
        <v>8.0366225839267535</v>
      </c>
    </row>
    <row r="196" spans="1:22" s="34" customFormat="1" x14ac:dyDescent="0.25">
      <c r="A196" s="3" t="s">
        <v>11</v>
      </c>
      <c r="B196" s="118" t="s">
        <v>399</v>
      </c>
      <c r="C196" s="3">
        <v>100</v>
      </c>
      <c r="D196" s="3">
        <v>0.15</v>
      </c>
      <c r="E196" s="3">
        <v>5</v>
      </c>
      <c r="F196" s="39" t="s">
        <v>13</v>
      </c>
      <c r="G196" s="39" t="s">
        <v>16</v>
      </c>
      <c r="H196" s="128">
        <v>711</v>
      </c>
      <c r="I196" s="128">
        <v>0.125</v>
      </c>
      <c r="J196" s="129">
        <v>0</v>
      </c>
      <c r="K196" s="139">
        <v>691</v>
      </c>
      <c r="L196" s="139">
        <v>13</v>
      </c>
      <c r="M196" s="139">
        <v>2</v>
      </c>
      <c r="N196" s="130">
        <f>((Tabela13633[[#This Row],[Objetive value Cannibalism ]]-Tabela13633[[#This Row],[Objetive value Cannibalism/GATeS]])/Tabela13633[[#This Row],[Objetive value Cannibalism ]])*100</f>
        <v>2.8129395218002813</v>
      </c>
      <c r="O196" s="131">
        <v>711</v>
      </c>
      <c r="P196" s="131">
        <v>0.66</v>
      </c>
      <c r="Q196" s="131">
        <v>0</v>
      </c>
      <c r="R196" s="141">
        <f>(((Tabela13633[[#This Row],[Objetive value Cannibalism ]]-Tabela13633[[#This Row],[Objetive value Cannibalism/H-R1]])/Tabela13633[[#This Row],[Objetive value Cannibalism ]]))*100</f>
        <v>0</v>
      </c>
      <c r="S196" s="113">
        <v>701</v>
      </c>
      <c r="T196" s="113">
        <v>0.5</v>
      </c>
      <c r="U196" s="113">
        <v>0</v>
      </c>
      <c r="V196" s="143">
        <f>(((Tabela13633[[#This Row],[Objetive value Cannibalism ]]-Tabela13633[[#This Row],[Objetive value Cannibalism/H-R2]])/Tabela13633[[#This Row],[Objetive value Cannibalism ]]))*100</f>
        <v>1.4064697609001406</v>
      </c>
    </row>
    <row r="197" spans="1:22" s="34" customFormat="1" x14ac:dyDescent="0.25">
      <c r="A197" s="3" t="s">
        <v>11</v>
      </c>
      <c r="B197" s="39" t="s">
        <v>400</v>
      </c>
      <c r="C197" s="3">
        <v>100</v>
      </c>
      <c r="D197" s="3">
        <v>0.15</v>
      </c>
      <c r="E197" s="3">
        <v>5</v>
      </c>
      <c r="F197" s="39" t="s">
        <v>18</v>
      </c>
      <c r="G197" s="39" t="s">
        <v>14</v>
      </c>
      <c r="H197" s="128">
        <v>849</v>
      </c>
      <c r="I197" s="128">
        <v>7.7999999979510903E-2</v>
      </c>
      <c r="J197" s="129">
        <v>0</v>
      </c>
      <c r="K197" s="139">
        <v>830</v>
      </c>
      <c r="L197" s="139">
        <v>2</v>
      </c>
      <c r="M197" s="139">
        <v>2</v>
      </c>
      <c r="N197" s="130">
        <f>((Tabela13633[[#This Row],[Objetive value Cannibalism ]]-Tabela13633[[#This Row],[Objetive value Cannibalism/GATeS]])/Tabela13633[[#This Row],[Objetive value Cannibalism ]])*100</f>
        <v>2.237926972909305</v>
      </c>
      <c r="O197" s="131">
        <v>822</v>
      </c>
      <c r="P197" s="131">
        <v>0.35</v>
      </c>
      <c r="Q197" s="131">
        <v>0</v>
      </c>
      <c r="R197" s="141">
        <f>(((Tabela13633[[#This Row],[Objetive value Cannibalism ]]-Tabela13633[[#This Row],[Objetive value Cannibalism/H-R1]])/Tabela13633[[#This Row],[Objetive value Cannibalism ]]))*100</f>
        <v>3.1802120141342751</v>
      </c>
      <c r="S197" s="113">
        <v>849</v>
      </c>
      <c r="T197" s="113">
        <v>0.32</v>
      </c>
      <c r="U197" s="113">
        <v>0</v>
      </c>
      <c r="V197" s="143">
        <f>(((Tabela13633[[#This Row],[Objetive value Cannibalism ]]-Tabela13633[[#This Row],[Objetive value Cannibalism/H-R2]])/Tabela13633[[#This Row],[Objetive value Cannibalism ]]))*100</f>
        <v>0</v>
      </c>
    </row>
    <row r="198" spans="1:22" s="34" customFormat="1" x14ac:dyDescent="0.25">
      <c r="A198" s="3" t="s">
        <v>11</v>
      </c>
      <c r="B198" s="39" t="s">
        <v>401</v>
      </c>
      <c r="C198" s="3">
        <v>100</v>
      </c>
      <c r="D198" s="3">
        <v>0.15</v>
      </c>
      <c r="E198" s="3">
        <v>5</v>
      </c>
      <c r="F198" s="39" t="s">
        <v>18</v>
      </c>
      <c r="G198" s="39" t="s">
        <v>16</v>
      </c>
      <c r="H198" s="128">
        <v>747</v>
      </c>
      <c r="I198" s="128">
        <v>0.17200000002048901</v>
      </c>
      <c r="J198" s="129">
        <v>0</v>
      </c>
      <c r="K198" s="139">
        <v>745</v>
      </c>
      <c r="L198" s="139">
        <v>3</v>
      </c>
      <c r="M198" s="139">
        <v>0</v>
      </c>
      <c r="N198" s="130">
        <f>((Tabela13633[[#This Row],[Objetive value Cannibalism ]]-Tabela13633[[#This Row],[Objetive value Cannibalism/GATeS]])/Tabela13633[[#This Row],[Objetive value Cannibalism ]])*100</f>
        <v>0.2677376171352075</v>
      </c>
      <c r="O198" s="131">
        <v>736</v>
      </c>
      <c r="P198" s="131">
        <v>0.33</v>
      </c>
      <c r="Q198" s="131">
        <v>0</v>
      </c>
      <c r="R198" s="141">
        <f>(((Tabela13633[[#This Row],[Objetive value Cannibalism ]]-Tabela13633[[#This Row],[Objetive value Cannibalism/H-R1]])/Tabela13633[[#This Row],[Objetive value Cannibalism ]]))*100</f>
        <v>1.4725568942436411</v>
      </c>
      <c r="S198" s="113">
        <v>736</v>
      </c>
      <c r="T198" s="113">
        <v>0.61</v>
      </c>
      <c r="U198" s="113">
        <v>0</v>
      </c>
      <c r="V198" s="143">
        <f>(((Tabela13633[[#This Row],[Objetive value Cannibalism ]]-Tabela13633[[#This Row],[Objetive value Cannibalism/H-R2]])/Tabela13633[[#This Row],[Objetive value Cannibalism ]]))*100</f>
        <v>1.4725568942436411</v>
      </c>
    </row>
    <row r="199" spans="1:22" s="34" customFormat="1" x14ac:dyDescent="0.25">
      <c r="A199" s="3" t="s">
        <v>11</v>
      </c>
      <c r="B199" s="39" t="s">
        <v>402</v>
      </c>
      <c r="C199" s="3">
        <v>100</v>
      </c>
      <c r="D199" s="3">
        <v>0.15</v>
      </c>
      <c r="E199" s="3">
        <v>5</v>
      </c>
      <c r="F199" s="39" t="s">
        <v>21</v>
      </c>
      <c r="G199" s="39" t="s">
        <v>14</v>
      </c>
      <c r="H199" s="128">
        <v>902</v>
      </c>
      <c r="I199" s="128">
        <v>7.7999999979510903E-2</v>
      </c>
      <c r="J199" s="129">
        <v>0</v>
      </c>
      <c r="K199" s="139">
        <v>902</v>
      </c>
      <c r="L199" s="139">
        <v>1</v>
      </c>
      <c r="M199" s="139">
        <v>0</v>
      </c>
      <c r="N199" s="130">
        <f>((Tabela13633[[#This Row],[Objetive value Cannibalism ]]-Tabela13633[[#This Row],[Objetive value Cannibalism/GATeS]])/Tabela13633[[#This Row],[Objetive value Cannibalism ]])*100</f>
        <v>0</v>
      </c>
      <c r="O199" s="131">
        <v>902</v>
      </c>
      <c r="P199" s="131">
        <v>0.75</v>
      </c>
      <c r="Q199" s="131">
        <v>0</v>
      </c>
      <c r="R199" s="141">
        <f>(((Tabela13633[[#This Row],[Objetive value Cannibalism ]]-Tabela13633[[#This Row],[Objetive value Cannibalism/H-R1]])/Tabela13633[[#This Row],[Objetive value Cannibalism ]]))*100</f>
        <v>0</v>
      </c>
      <c r="S199" s="113">
        <v>902</v>
      </c>
      <c r="T199" s="113">
        <v>1.05</v>
      </c>
      <c r="U199" s="113">
        <v>0</v>
      </c>
      <c r="V199" s="143">
        <f>(((Tabela13633[[#This Row],[Objetive value Cannibalism ]]-Tabela13633[[#This Row],[Objetive value Cannibalism/H-R2]])/Tabela13633[[#This Row],[Objetive value Cannibalism ]]))*100</f>
        <v>0</v>
      </c>
    </row>
    <row r="200" spans="1:22" s="34" customFormat="1" x14ac:dyDescent="0.25">
      <c r="A200" s="3" t="s">
        <v>11</v>
      </c>
      <c r="B200" s="39" t="s">
        <v>403</v>
      </c>
      <c r="C200" s="3">
        <v>100</v>
      </c>
      <c r="D200" s="3">
        <v>0.15</v>
      </c>
      <c r="E200" s="3">
        <v>5</v>
      </c>
      <c r="F200" s="39" t="s">
        <v>21</v>
      </c>
      <c r="G200" s="39" t="s">
        <v>16</v>
      </c>
      <c r="H200" s="128">
        <v>787</v>
      </c>
      <c r="I200" s="128">
        <v>4.6999999904073698E-2</v>
      </c>
      <c r="J200" s="129">
        <v>0</v>
      </c>
      <c r="K200" s="139">
        <v>785</v>
      </c>
      <c r="L200" s="139">
        <v>13</v>
      </c>
      <c r="M200" s="139">
        <v>0</v>
      </c>
      <c r="N200" s="130">
        <f>((Tabela13633[[#This Row],[Objetive value Cannibalism ]]-Tabela13633[[#This Row],[Objetive value Cannibalism/GATeS]])/Tabela13633[[#This Row],[Objetive value Cannibalism ]])*100</f>
        <v>0.25412960609911056</v>
      </c>
      <c r="O200" s="131">
        <v>787</v>
      </c>
      <c r="P200" s="131">
        <v>0.55000000000000004</v>
      </c>
      <c r="Q200" s="131">
        <v>0</v>
      </c>
      <c r="R200" s="141">
        <f>(((Tabela13633[[#This Row],[Objetive value Cannibalism ]]-Tabela13633[[#This Row],[Objetive value Cannibalism/H-R1]])/Tabela13633[[#This Row],[Objetive value Cannibalism ]]))*100</f>
        <v>0</v>
      </c>
      <c r="S200" s="113">
        <v>787</v>
      </c>
      <c r="T200" s="113">
        <v>0.41</v>
      </c>
      <c r="U200" s="113">
        <v>0</v>
      </c>
      <c r="V200" s="143">
        <f>(((Tabela13633[[#This Row],[Objetive value Cannibalism ]]-Tabela13633[[#This Row],[Objetive value Cannibalism/H-R2]])/Tabela13633[[#This Row],[Objetive value Cannibalism ]]))*100</f>
        <v>0</v>
      </c>
    </row>
    <row r="201" spans="1:22" s="34" customFormat="1" x14ac:dyDescent="0.25">
      <c r="A201" s="3" t="s">
        <v>35</v>
      </c>
      <c r="B201" s="39" t="s">
        <v>404</v>
      </c>
      <c r="C201" s="3">
        <v>100</v>
      </c>
      <c r="D201" s="3">
        <v>0.05</v>
      </c>
      <c r="E201" s="3">
        <v>10</v>
      </c>
      <c r="F201" s="39" t="s">
        <v>13</v>
      </c>
      <c r="G201" s="39" t="s">
        <v>14</v>
      </c>
      <c r="H201" s="128">
        <v>2015</v>
      </c>
      <c r="I201" s="128">
        <v>0.155999999959021</v>
      </c>
      <c r="J201" s="129">
        <v>0</v>
      </c>
      <c r="K201" s="139">
        <v>1996</v>
      </c>
      <c r="L201" s="139">
        <v>45</v>
      </c>
      <c r="M201" s="139">
        <v>23</v>
      </c>
      <c r="N201" s="130">
        <f>((Tabela13633[[#This Row],[Objetive value Cannibalism ]]-Tabela13633[[#This Row],[Objetive value Cannibalism/GATeS]])/Tabela13633[[#This Row],[Objetive value Cannibalism ]])*100</f>
        <v>0.94292803970223338</v>
      </c>
      <c r="O201" s="131">
        <v>2000</v>
      </c>
      <c r="P201" s="131">
        <v>0.38</v>
      </c>
      <c r="Q201" s="131">
        <v>0</v>
      </c>
      <c r="R201" s="141">
        <f>(((Tabela13633[[#This Row],[Objetive value Cannibalism ]]-Tabela13633[[#This Row],[Objetive value Cannibalism/H-R1]])/Tabela13633[[#This Row],[Objetive value Cannibalism ]]))*100</f>
        <v>0.74441687344913154</v>
      </c>
      <c r="S201" s="113">
        <v>1899</v>
      </c>
      <c r="T201" s="113">
        <v>0.44</v>
      </c>
      <c r="U201" s="113">
        <v>0</v>
      </c>
      <c r="V201" s="143">
        <f>(((Tabela13633[[#This Row],[Objetive value Cannibalism ]]-Tabela13633[[#This Row],[Objetive value Cannibalism/H-R2]])/Tabela13633[[#This Row],[Objetive value Cannibalism ]]))*100</f>
        <v>5.7568238213399505</v>
      </c>
    </row>
    <row r="202" spans="1:22" s="34" customFormat="1" x14ac:dyDescent="0.25">
      <c r="A202" s="3" t="s">
        <v>35</v>
      </c>
      <c r="B202" s="39" t="s">
        <v>405</v>
      </c>
      <c r="C202" s="3">
        <v>100</v>
      </c>
      <c r="D202" s="3">
        <v>0.05</v>
      </c>
      <c r="E202" s="3">
        <v>10</v>
      </c>
      <c r="F202" s="39" t="s">
        <v>13</v>
      </c>
      <c r="G202" s="39" t="s">
        <v>16</v>
      </c>
      <c r="H202" s="128">
        <v>1232</v>
      </c>
      <c r="I202" s="128">
        <v>0.20299999997950999</v>
      </c>
      <c r="J202" s="129">
        <v>0</v>
      </c>
      <c r="K202" s="139">
        <v>1166</v>
      </c>
      <c r="L202" s="139">
        <v>4</v>
      </c>
      <c r="M202" s="139">
        <v>1</v>
      </c>
      <c r="N202" s="130">
        <f>((Tabela13633[[#This Row],[Objetive value Cannibalism ]]-Tabela13633[[#This Row],[Objetive value Cannibalism/GATeS]])/Tabela13633[[#This Row],[Objetive value Cannibalism ]])*100</f>
        <v>5.3571428571428568</v>
      </c>
      <c r="O202" s="131">
        <v>1162</v>
      </c>
      <c r="P202" s="131">
        <v>0.32</v>
      </c>
      <c r="Q202" s="131">
        <v>0</v>
      </c>
      <c r="R202" s="141">
        <f>(((Tabela13633[[#This Row],[Objetive value Cannibalism ]]-Tabela13633[[#This Row],[Objetive value Cannibalism/H-R1]])/Tabela13633[[#This Row],[Objetive value Cannibalism ]]))*100</f>
        <v>5.6818181818181817</v>
      </c>
      <c r="S202" s="113">
        <v>1162</v>
      </c>
      <c r="T202" s="113">
        <v>0.48</v>
      </c>
      <c r="U202" s="113">
        <v>0</v>
      </c>
      <c r="V202" s="143">
        <f>(((Tabela13633[[#This Row],[Objetive value Cannibalism ]]-Tabela13633[[#This Row],[Objetive value Cannibalism/H-R2]])/Tabela13633[[#This Row],[Objetive value Cannibalism ]]))*100</f>
        <v>5.6818181818181817</v>
      </c>
    </row>
    <row r="203" spans="1:22" s="34" customFormat="1" x14ac:dyDescent="0.25">
      <c r="A203" s="34" t="s">
        <v>35</v>
      </c>
      <c r="B203" s="37" t="s">
        <v>406</v>
      </c>
      <c r="C203" s="34">
        <v>100</v>
      </c>
      <c r="D203" s="34">
        <v>0.05</v>
      </c>
      <c r="E203" s="34">
        <v>10</v>
      </c>
      <c r="F203" s="37" t="s">
        <v>18</v>
      </c>
      <c r="G203" s="39" t="s">
        <v>14</v>
      </c>
      <c r="H203" s="128">
        <v>1706</v>
      </c>
      <c r="I203" s="128">
        <v>0.14100000006146701</v>
      </c>
      <c r="J203" s="129">
        <v>0</v>
      </c>
      <c r="K203" s="139">
        <v>1690</v>
      </c>
      <c r="L203" s="139">
        <v>5</v>
      </c>
      <c r="M203" s="139">
        <v>3</v>
      </c>
      <c r="N203" s="130">
        <f>((Tabela13633[[#This Row],[Objetive value Cannibalism ]]-Tabela13633[[#This Row],[Objetive value Cannibalism/GATeS]])/Tabela13633[[#This Row],[Objetive value Cannibalism ]])*100</f>
        <v>0.93786635404454854</v>
      </c>
      <c r="O203" s="131">
        <v>1706</v>
      </c>
      <c r="P203" s="131">
        <v>0.4</v>
      </c>
      <c r="Q203" s="131">
        <v>0</v>
      </c>
      <c r="R203" s="141">
        <f>(((Tabela13633[[#This Row],[Objetive value Cannibalism ]]-Tabela13633[[#This Row],[Objetive value Cannibalism/H-R1]])/Tabela13633[[#This Row],[Objetive value Cannibalism ]]))*100</f>
        <v>0</v>
      </c>
      <c r="S203" s="113">
        <v>1706</v>
      </c>
      <c r="T203" s="113">
        <v>0.33</v>
      </c>
      <c r="U203" s="113">
        <v>0</v>
      </c>
      <c r="V203" s="143">
        <f>(((Tabela13633[[#This Row],[Objetive value Cannibalism ]]-Tabela13633[[#This Row],[Objetive value Cannibalism/H-R2]])/Tabela13633[[#This Row],[Objetive value Cannibalism ]]))*100</f>
        <v>0</v>
      </c>
    </row>
    <row r="204" spans="1:22" s="34" customFormat="1" x14ac:dyDescent="0.25">
      <c r="A204" s="3" t="s">
        <v>35</v>
      </c>
      <c r="B204" s="39" t="s">
        <v>407</v>
      </c>
      <c r="C204" s="3">
        <v>100</v>
      </c>
      <c r="D204" s="3">
        <v>0.05</v>
      </c>
      <c r="E204" s="3">
        <v>10</v>
      </c>
      <c r="F204" s="39" t="s">
        <v>18</v>
      </c>
      <c r="G204" s="39" t="s">
        <v>16</v>
      </c>
      <c r="H204" s="128">
        <v>1384</v>
      </c>
      <c r="I204" s="128">
        <v>0.28200000000651898</v>
      </c>
      <c r="J204" s="129">
        <v>0</v>
      </c>
      <c r="K204" s="139">
        <v>1377</v>
      </c>
      <c r="L204" s="139">
        <v>5</v>
      </c>
      <c r="M204" s="139">
        <v>4</v>
      </c>
      <c r="N204" s="130">
        <f>((Tabela13633[[#This Row],[Objetive value Cannibalism ]]-Tabela13633[[#This Row],[Objetive value Cannibalism/GATeS]])/Tabela13633[[#This Row],[Objetive value Cannibalism ]])*100</f>
        <v>0.5057803468208093</v>
      </c>
      <c r="O204" s="131">
        <v>1372</v>
      </c>
      <c r="P204" s="131">
        <v>0.36</v>
      </c>
      <c r="Q204" s="131">
        <v>0</v>
      </c>
      <c r="R204" s="141">
        <f>(((Tabela13633[[#This Row],[Objetive value Cannibalism ]]-Tabela13633[[#This Row],[Objetive value Cannibalism/H-R1]])/Tabela13633[[#This Row],[Objetive value Cannibalism ]]))*100</f>
        <v>0.86705202312138718</v>
      </c>
      <c r="S204" s="113">
        <v>1325</v>
      </c>
      <c r="T204" s="113">
        <v>0.63</v>
      </c>
      <c r="U204" s="113">
        <v>0</v>
      </c>
      <c r="V204" s="143">
        <f>(((Tabela13633[[#This Row],[Objetive value Cannibalism ]]-Tabela13633[[#This Row],[Objetive value Cannibalism/H-R2]])/Tabela13633[[#This Row],[Objetive value Cannibalism ]]))*100</f>
        <v>4.2630057803468207</v>
      </c>
    </row>
    <row r="205" spans="1:22" s="34" customFormat="1" x14ac:dyDescent="0.25">
      <c r="A205" s="3" t="s">
        <v>35</v>
      </c>
      <c r="B205" s="39" t="s">
        <v>408</v>
      </c>
      <c r="C205" s="3">
        <v>100</v>
      </c>
      <c r="D205" s="3">
        <v>0.05</v>
      </c>
      <c r="E205" s="3">
        <v>10</v>
      </c>
      <c r="F205" s="39" t="s">
        <v>21</v>
      </c>
      <c r="G205" s="39" t="s">
        <v>14</v>
      </c>
      <c r="H205" s="128">
        <v>1552</v>
      </c>
      <c r="I205" s="128">
        <v>0.125</v>
      </c>
      <c r="J205" s="129">
        <v>0</v>
      </c>
      <c r="K205" s="139">
        <v>1341</v>
      </c>
      <c r="L205" s="139">
        <v>4</v>
      </c>
      <c r="M205" s="139">
        <v>2</v>
      </c>
      <c r="N205" s="130">
        <f>((Tabela13633[[#This Row],[Objetive value Cannibalism ]]-Tabela13633[[#This Row],[Objetive value Cannibalism/GATeS]])/Tabela13633[[#This Row],[Objetive value Cannibalism ]])*100</f>
        <v>13.595360824742267</v>
      </c>
      <c r="O205" s="131">
        <v>1550</v>
      </c>
      <c r="P205" s="131">
        <v>0.35</v>
      </c>
      <c r="Q205" s="131">
        <v>0</v>
      </c>
      <c r="R205" s="141">
        <f>(((Tabela13633[[#This Row],[Objetive value Cannibalism ]]-Tabela13633[[#This Row],[Objetive value Cannibalism/H-R1]])/Tabela13633[[#This Row],[Objetive value Cannibalism ]]))*100</f>
        <v>0.12886597938144329</v>
      </c>
      <c r="S205" s="113">
        <v>1541</v>
      </c>
      <c r="T205" s="113">
        <v>0.32</v>
      </c>
      <c r="U205" s="113">
        <v>0</v>
      </c>
      <c r="V205" s="143">
        <f>(((Tabela13633[[#This Row],[Objetive value Cannibalism ]]-Tabela13633[[#This Row],[Objetive value Cannibalism/H-R2]])/Tabela13633[[#This Row],[Objetive value Cannibalism ]]))*100</f>
        <v>0.70876288659793818</v>
      </c>
    </row>
    <row r="206" spans="1:22" s="34" customFormat="1" x14ac:dyDescent="0.25">
      <c r="A206" s="3" t="s">
        <v>35</v>
      </c>
      <c r="B206" s="37" t="s">
        <v>409</v>
      </c>
      <c r="C206" s="3">
        <v>100</v>
      </c>
      <c r="D206" s="3">
        <v>0.05</v>
      </c>
      <c r="E206" s="3">
        <v>10</v>
      </c>
      <c r="F206" s="39" t="s">
        <v>21</v>
      </c>
      <c r="G206" s="39" t="s">
        <v>16</v>
      </c>
      <c r="H206" s="128">
        <v>1115</v>
      </c>
      <c r="I206" s="128">
        <v>0.375</v>
      </c>
      <c r="J206" s="129">
        <v>0</v>
      </c>
      <c r="K206" s="139">
        <v>1108</v>
      </c>
      <c r="L206" s="139">
        <v>4</v>
      </c>
      <c r="M206" s="139">
        <v>3</v>
      </c>
      <c r="N206" s="130">
        <f>((Tabela13633[[#This Row],[Objetive value Cannibalism ]]-Tabela13633[[#This Row],[Objetive value Cannibalism/GATeS]])/Tabela13633[[#This Row],[Objetive value Cannibalism ]])*100</f>
        <v>0.62780269058295957</v>
      </c>
      <c r="O206" s="131">
        <v>1115</v>
      </c>
      <c r="P206" s="131">
        <v>0.38</v>
      </c>
      <c r="Q206" s="131">
        <v>0</v>
      </c>
      <c r="R206" s="141">
        <f>(((Tabela13633[[#This Row],[Objetive value Cannibalism ]]-Tabela13633[[#This Row],[Objetive value Cannibalism/H-R1]])/Tabela13633[[#This Row],[Objetive value Cannibalism ]]))*100</f>
        <v>0</v>
      </c>
      <c r="S206" s="113">
        <v>1060</v>
      </c>
      <c r="T206" s="113">
        <v>0.61</v>
      </c>
      <c r="U206" s="113">
        <v>0</v>
      </c>
      <c r="V206" s="143">
        <f>(((Tabela13633[[#This Row],[Objetive value Cannibalism ]]-Tabela13633[[#This Row],[Objetive value Cannibalism/H-R2]])/Tabela13633[[#This Row],[Objetive value Cannibalism ]]))*100</f>
        <v>4.9327354260089686</v>
      </c>
    </row>
    <row r="207" spans="1:22" s="34" customFormat="1" x14ac:dyDescent="0.25">
      <c r="A207" s="3" t="s">
        <v>54</v>
      </c>
      <c r="B207" s="37" t="s">
        <v>422</v>
      </c>
      <c r="C207" s="3">
        <v>100</v>
      </c>
      <c r="D207" s="3">
        <v>0.05</v>
      </c>
      <c r="E207" s="3">
        <v>15</v>
      </c>
      <c r="F207" s="117" t="s">
        <v>13</v>
      </c>
      <c r="G207" s="117" t="s">
        <v>14</v>
      </c>
      <c r="H207" s="128">
        <v>2778</v>
      </c>
      <c r="I207" s="128">
        <v>1</v>
      </c>
      <c r="J207" s="129">
        <v>0</v>
      </c>
      <c r="K207" s="139">
        <v>2618</v>
      </c>
      <c r="L207" s="139">
        <v>26</v>
      </c>
      <c r="M207" s="139">
        <v>0</v>
      </c>
      <c r="N207" s="130">
        <f>((Tabela13633[[#This Row],[Objetive value Cannibalism ]]-Tabela13633[[#This Row],[Objetive value Cannibalism/GATeS]])/Tabela13633[[#This Row],[Objetive value Cannibalism ]])*100</f>
        <v>5.759539236861051</v>
      </c>
      <c r="O207" s="131">
        <v>2584</v>
      </c>
      <c r="P207" s="131">
        <v>0.42</v>
      </c>
      <c r="Q207" s="131">
        <v>0</v>
      </c>
      <c r="R207" s="141">
        <f>(((Tabela13633[[#This Row],[Objetive value Cannibalism ]]-Tabela13633[[#This Row],[Objetive value Cannibalism/H-R1]])/Tabela13633[[#This Row],[Objetive value Cannibalism ]]))*100</f>
        <v>6.9834413246940246</v>
      </c>
      <c r="S207" s="113">
        <v>2151</v>
      </c>
      <c r="T207" s="113">
        <v>0.63</v>
      </c>
      <c r="U207" s="113">
        <v>0</v>
      </c>
      <c r="V207" s="143">
        <f>(((Tabela13633[[#This Row],[Objetive value Cannibalism ]]-Tabela13633[[#This Row],[Objetive value Cannibalism/H-R2]])/Tabela13633[[#This Row],[Objetive value Cannibalism ]]))*100</f>
        <v>22.570194384449245</v>
      </c>
    </row>
    <row r="208" spans="1:22" s="34" customFormat="1" x14ac:dyDescent="0.25">
      <c r="A208" s="3" t="s">
        <v>54</v>
      </c>
      <c r="B208" s="39" t="s">
        <v>423</v>
      </c>
      <c r="C208" s="3">
        <v>100</v>
      </c>
      <c r="D208" s="3">
        <v>0.05</v>
      </c>
      <c r="E208" s="3">
        <v>15</v>
      </c>
      <c r="F208" s="117" t="s">
        <v>13</v>
      </c>
      <c r="G208" s="117" t="s">
        <v>16</v>
      </c>
      <c r="H208" s="128">
        <v>1755</v>
      </c>
      <c r="I208" s="128">
        <v>1.3129999999999999</v>
      </c>
      <c r="J208" s="129">
        <v>0.62</v>
      </c>
      <c r="K208" s="139">
        <v>1735</v>
      </c>
      <c r="L208" s="139">
        <v>6</v>
      </c>
      <c r="M208" s="139">
        <v>0</v>
      </c>
      <c r="N208" s="130">
        <f>((Tabela13633[[#This Row],[Objetive value Cannibalism ]]-Tabela13633[[#This Row],[Objetive value Cannibalism/GATeS]])/Tabela13633[[#This Row],[Objetive value Cannibalism ]])*100</f>
        <v>1.1396011396011396</v>
      </c>
      <c r="O208" s="131">
        <v>1733</v>
      </c>
      <c r="P208" s="131">
        <v>1.18</v>
      </c>
      <c r="Q208" s="131">
        <v>0</v>
      </c>
      <c r="R208" s="141">
        <f>(((Tabela13633[[#This Row],[Objetive value Cannibalism ]]-Tabela13633[[#This Row],[Objetive value Cannibalism/H-R1]])/Tabela13633[[#This Row],[Objetive value Cannibalism ]]))*100</f>
        <v>1.2535612535612535</v>
      </c>
      <c r="S208" s="113">
        <v>1693</v>
      </c>
      <c r="T208" s="113">
        <v>0.78</v>
      </c>
      <c r="U208" s="113">
        <v>0</v>
      </c>
      <c r="V208" s="143">
        <f>(((Tabela13633[[#This Row],[Objetive value Cannibalism ]]-Tabela13633[[#This Row],[Objetive value Cannibalism/H-R2]])/Tabela13633[[#This Row],[Objetive value Cannibalism ]]))*100</f>
        <v>3.5327635327635325</v>
      </c>
    </row>
    <row r="209" spans="1:22" s="34" customFormat="1" x14ac:dyDescent="0.25">
      <c r="A209" s="3" t="s">
        <v>54</v>
      </c>
      <c r="B209" s="39" t="s">
        <v>424</v>
      </c>
      <c r="C209" s="3">
        <v>100</v>
      </c>
      <c r="D209" s="3">
        <v>0.05</v>
      </c>
      <c r="E209" s="3">
        <v>15</v>
      </c>
      <c r="F209" s="117" t="s">
        <v>18</v>
      </c>
      <c r="G209" s="117" t="s">
        <v>14</v>
      </c>
      <c r="H209" s="128">
        <v>2527</v>
      </c>
      <c r="I209" s="128">
        <v>0.70299999999999996</v>
      </c>
      <c r="J209" s="129">
        <v>0.09</v>
      </c>
      <c r="K209" s="139">
        <v>2452</v>
      </c>
      <c r="L209" s="139">
        <v>6</v>
      </c>
      <c r="M209" s="139">
        <v>3</v>
      </c>
      <c r="N209" s="130">
        <f>((Tabela13633[[#This Row],[Objetive value Cannibalism ]]-Tabela13633[[#This Row],[Objetive value Cannibalism/GATeS]])/Tabela13633[[#This Row],[Objetive value Cannibalism ]])*100</f>
        <v>2.96794618124258</v>
      </c>
      <c r="O209" s="131">
        <v>2288</v>
      </c>
      <c r="P209" s="131">
        <v>0.44</v>
      </c>
      <c r="Q209" s="131">
        <v>0</v>
      </c>
      <c r="R209" s="141">
        <f>(((Tabela13633[[#This Row],[Objetive value Cannibalism ]]-Tabela13633[[#This Row],[Objetive value Cannibalism/H-R1]])/Tabela13633[[#This Row],[Objetive value Cannibalism ]]))*100</f>
        <v>9.4578551642263555</v>
      </c>
      <c r="S209" s="113">
        <v>2135</v>
      </c>
      <c r="T209" s="113">
        <v>0.38</v>
      </c>
      <c r="U209" s="113">
        <v>0</v>
      </c>
      <c r="V209" s="143">
        <f>(((Tabela13633[[#This Row],[Objetive value Cannibalism ]]-Tabela13633[[#This Row],[Objetive value Cannibalism/H-R2]])/Tabela13633[[#This Row],[Objetive value Cannibalism ]]))*100</f>
        <v>15.512465373961218</v>
      </c>
    </row>
    <row r="210" spans="1:22" s="34" customFormat="1" x14ac:dyDescent="0.25">
      <c r="A210" s="3" t="s">
        <v>54</v>
      </c>
      <c r="B210" s="39" t="s">
        <v>425</v>
      </c>
      <c r="C210" s="3">
        <v>100</v>
      </c>
      <c r="D210" s="3">
        <v>0.05</v>
      </c>
      <c r="E210" s="3">
        <v>15</v>
      </c>
      <c r="F210" s="117" t="s">
        <v>18</v>
      </c>
      <c r="G210" s="117" t="s">
        <v>16</v>
      </c>
      <c r="H210" s="128">
        <v>1860</v>
      </c>
      <c r="I210" s="128">
        <v>1.516</v>
      </c>
      <c r="J210" s="129">
        <v>0</v>
      </c>
      <c r="K210" s="139">
        <v>1812</v>
      </c>
      <c r="L210" s="139">
        <v>9</v>
      </c>
      <c r="M210" s="139">
        <v>3</v>
      </c>
      <c r="N210" s="130">
        <f>((Tabela13633[[#This Row],[Objetive value Cannibalism ]]-Tabela13633[[#This Row],[Objetive value Cannibalism/GATeS]])/Tabela13633[[#This Row],[Objetive value Cannibalism ]])*100</f>
        <v>2.5806451612903225</v>
      </c>
      <c r="O210" s="131">
        <v>1820</v>
      </c>
      <c r="P210" s="131">
        <v>0.41</v>
      </c>
      <c r="Q210" s="131">
        <v>0</v>
      </c>
      <c r="R210" s="141">
        <f>(((Tabela13633[[#This Row],[Objetive value Cannibalism ]]-Tabela13633[[#This Row],[Objetive value Cannibalism/H-R1]])/Tabela13633[[#This Row],[Objetive value Cannibalism ]]))*100</f>
        <v>2.1505376344086025</v>
      </c>
      <c r="S210" s="113">
        <v>1838</v>
      </c>
      <c r="T210" s="113">
        <v>0.76</v>
      </c>
      <c r="U210" s="113">
        <v>0</v>
      </c>
      <c r="V210" s="143">
        <f>(((Tabela13633[[#This Row],[Objetive value Cannibalism ]]-Tabela13633[[#This Row],[Objetive value Cannibalism/H-R2]])/Tabela13633[[#This Row],[Objetive value Cannibalism ]]))*100</f>
        <v>1.1827956989247312</v>
      </c>
    </row>
    <row r="211" spans="1:22" s="34" customFormat="1" x14ac:dyDescent="0.25">
      <c r="A211" s="3" t="s">
        <v>54</v>
      </c>
      <c r="B211" s="39" t="s">
        <v>426</v>
      </c>
      <c r="C211" s="3">
        <v>100</v>
      </c>
      <c r="D211" s="3">
        <v>0.05</v>
      </c>
      <c r="E211" s="3">
        <v>15</v>
      </c>
      <c r="F211" s="117" t="s">
        <v>21</v>
      </c>
      <c r="G211" s="117" t="s">
        <v>14</v>
      </c>
      <c r="H211" s="128">
        <v>2505</v>
      </c>
      <c r="I211" s="128">
        <v>0.17199999999999999</v>
      </c>
      <c r="J211" s="129">
        <v>0</v>
      </c>
      <c r="K211" s="139">
        <v>2450</v>
      </c>
      <c r="L211" s="139">
        <v>15</v>
      </c>
      <c r="M211" s="139">
        <v>4</v>
      </c>
      <c r="N211" s="130">
        <f>((Tabela13633[[#This Row],[Objetive value Cannibalism ]]-Tabela13633[[#This Row],[Objetive value Cannibalism/GATeS]])/Tabela13633[[#This Row],[Objetive value Cannibalism ]])*100</f>
        <v>2.19560878243513</v>
      </c>
      <c r="O211" s="131">
        <v>420</v>
      </c>
      <c r="P211" s="131">
        <v>2.5</v>
      </c>
      <c r="Q211" s="131">
        <v>0</v>
      </c>
      <c r="R211" s="141">
        <f>(((Tabela13633[[#This Row],[Objetive value Cannibalism ]]-Tabela13633[[#This Row],[Objetive value Cannibalism/H-R1]])/Tabela13633[[#This Row],[Objetive value Cannibalism ]]))*100</f>
        <v>83.233532934131745</v>
      </c>
      <c r="S211" s="113">
        <v>2350</v>
      </c>
      <c r="T211" s="113">
        <v>0.32</v>
      </c>
      <c r="U211" s="113">
        <v>0</v>
      </c>
      <c r="V211" s="143">
        <f>(((Tabela13633[[#This Row],[Objetive value Cannibalism ]]-Tabela13633[[#This Row],[Objetive value Cannibalism/H-R2]])/Tabela13633[[#This Row],[Objetive value Cannibalism ]]))*100</f>
        <v>6.1876247504990021</v>
      </c>
    </row>
    <row r="212" spans="1:22" s="34" customFormat="1" x14ac:dyDescent="0.25">
      <c r="A212" s="3" t="s">
        <v>54</v>
      </c>
      <c r="B212" s="39" t="s">
        <v>427</v>
      </c>
      <c r="C212" s="3">
        <v>100</v>
      </c>
      <c r="D212" s="3">
        <v>0.05</v>
      </c>
      <c r="E212" s="3">
        <v>15</v>
      </c>
      <c r="F212" s="117" t="s">
        <v>21</v>
      </c>
      <c r="G212" s="117" t="s">
        <v>16</v>
      </c>
      <c r="H212" s="128">
        <v>1824</v>
      </c>
      <c r="I212" s="128">
        <v>1.4530000000000001</v>
      </c>
      <c r="J212" s="129">
        <v>0</v>
      </c>
      <c r="K212" s="139">
        <v>1795</v>
      </c>
      <c r="L212" s="139">
        <v>15</v>
      </c>
      <c r="M212" s="139">
        <v>5</v>
      </c>
      <c r="N212" s="130">
        <f>((Tabela13633[[#This Row],[Objetive value Cannibalism ]]-Tabela13633[[#This Row],[Objetive value Cannibalism/GATeS]])/Tabela13633[[#This Row],[Objetive value Cannibalism ]])*100</f>
        <v>1.5899122807017545</v>
      </c>
      <c r="O212" s="131">
        <v>1791</v>
      </c>
      <c r="P212" s="131">
        <v>0.38</v>
      </c>
      <c r="Q212" s="131">
        <v>0</v>
      </c>
      <c r="R212" s="141">
        <f>(((Tabela13633[[#This Row],[Objetive value Cannibalism ]]-Tabela13633[[#This Row],[Objetive value Cannibalism/H-R1]])/Tabela13633[[#This Row],[Objetive value Cannibalism ]]))*100</f>
        <v>1.8092105263157896</v>
      </c>
      <c r="S212" s="113">
        <v>1745</v>
      </c>
      <c r="T212" s="113">
        <v>0.55000000000000004</v>
      </c>
      <c r="U212" s="113">
        <v>0</v>
      </c>
      <c r="V212" s="143">
        <f>(((Tabela13633[[#This Row],[Objetive value Cannibalism ]]-Tabela13633[[#This Row],[Objetive value Cannibalism/H-R2]])/Tabela13633[[#This Row],[Objetive value Cannibalism ]]))*100</f>
        <v>4.3311403508771935</v>
      </c>
    </row>
    <row r="213" spans="1:22" s="34" customFormat="1" x14ac:dyDescent="0.25">
      <c r="A213" s="3" t="s">
        <v>11</v>
      </c>
      <c r="B213" s="39" t="s">
        <v>386</v>
      </c>
      <c r="C213" s="3">
        <v>100</v>
      </c>
      <c r="D213" s="3">
        <v>0.05</v>
      </c>
      <c r="E213" s="3">
        <v>5</v>
      </c>
      <c r="F213" s="39" t="s">
        <v>13</v>
      </c>
      <c r="G213" s="39" t="s">
        <v>14</v>
      </c>
      <c r="H213" s="128">
        <v>795</v>
      </c>
      <c r="I213" s="128">
        <v>0.10999999998602999</v>
      </c>
      <c r="J213" s="129">
        <v>0</v>
      </c>
      <c r="K213" s="139">
        <v>790</v>
      </c>
      <c r="L213" s="139">
        <v>5</v>
      </c>
      <c r="M213" s="139">
        <v>3</v>
      </c>
      <c r="N213" s="130">
        <f>((Tabela13633[[#This Row],[Objetive value Cannibalism ]]-Tabela13633[[#This Row],[Objetive value Cannibalism/GATeS]])/Tabela13633[[#This Row],[Objetive value Cannibalism ]])*100</f>
        <v>0.62893081761006298</v>
      </c>
      <c r="O213" s="131">
        <v>794</v>
      </c>
      <c r="P213" s="131">
        <v>1.77</v>
      </c>
      <c r="Q213" s="131">
        <v>0</v>
      </c>
      <c r="R213" s="141">
        <f>(((Tabela13633[[#This Row],[Objetive value Cannibalism ]]-Tabela13633[[#This Row],[Objetive value Cannibalism/H-R1]])/Tabela13633[[#This Row],[Objetive value Cannibalism ]]))*100</f>
        <v>0.12578616352201258</v>
      </c>
      <c r="S213" s="113">
        <v>795</v>
      </c>
      <c r="T213" s="113">
        <v>0.28000000000000003</v>
      </c>
      <c r="U213" s="113">
        <v>0</v>
      </c>
      <c r="V213" s="143">
        <f>(((Tabela13633[[#This Row],[Objetive value Cannibalism ]]-Tabela13633[[#This Row],[Objetive value Cannibalism/H-R2]])/Tabela13633[[#This Row],[Objetive value Cannibalism ]]))*100</f>
        <v>0</v>
      </c>
    </row>
    <row r="214" spans="1:22" s="34" customFormat="1" x14ac:dyDescent="0.25">
      <c r="A214" s="3" t="s">
        <v>11</v>
      </c>
      <c r="B214" s="39" t="s">
        <v>387</v>
      </c>
      <c r="C214" s="3">
        <v>100</v>
      </c>
      <c r="D214" s="3">
        <v>0.05</v>
      </c>
      <c r="E214" s="3">
        <v>5</v>
      </c>
      <c r="F214" s="39" t="s">
        <v>13</v>
      </c>
      <c r="G214" s="39" t="s">
        <v>16</v>
      </c>
      <c r="H214" s="128">
        <v>739</v>
      </c>
      <c r="I214" s="128">
        <v>6.2000000034458901E-2</v>
      </c>
      <c r="J214" s="129">
        <v>0</v>
      </c>
      <c r="K214" s="139">
        <v>738</v>
      </c>
      <c r="L214" s="139">
        <v>3</v>
      </c>
      <c r="M214" s="139">
        <v>1</v>
      </c>
      <c r="N214" s="130">
        <f>((Tabela13633[[#This Row],[Objetive value Cannibalism ]]-Tabela13633[[#This Row],[Objetive value Cannibalism/GATeS]])/Tabela13633[[#This Row],[Objetive value Cannibalism ]])*100</f>
        <v>0.13531799729364005</v>
      </c>
      <c r="O214" s="131">
        <v>739</v>
      </c>
      <c r="P214" s="131">
        <v>0.57999999999999996</v>
      </c>
      <c r="Q214" s="131">
        <v>0</v>
      </c>
      <c r="R214" s="141">
        <f>(((Tabela13633[[#This Row],[Objetive value Cannibalism ]]-Tabela13633[[#This Row],[Objetive value Cannibalism/H-R1]])/Tabela13633[[#This Row],[Objetive value Cannibalism ]]))*100</f>
        <v>0</v>
      </c>
      <c r="S214" s="113">
        <v>739</v>
      </c>
      <c r="T214" s="113">
        <v>0.45</v>
      </c>
      <c r="U214" s="113">
        <v>0</v>
      </c>
      <c r="V214" s="143">
        <f>(((Tabela13633[[#This Row],[Objetive value Cannibalism ]]-Tabela13633[[#This Row],[Objetive value Cannibalism/H-R2]])/Tabela13633[[#This Row],[Objetive value Cannibalism ]]))*100</f>
        <v>0</v>
      </c>
    </row>
    <row r="215" spans="1:22" s="34" customFormat="1" x14ac:dyDescent="0.25">
      <c r="A215" s="3" t="s">
        <v>11</v>
      </c>
      <c r="B215" s="39" t="s">
        <v>388</v>
      </c>
      <c r="C215" s="3">
        <v>100</v>
      </c>
      <c r="D215" s="3">
        <v>0.05</v>
      </c>
      <c r="E215" s="3">
        <v>5</v>
      </c>
      <c r="F215" s="39" t="s">
        <v>18</v>
      </c>
      <c r="G215" s="39" t="s">
        <v>14</v>
      </c>
      <c r="H215" s="128">
        <v>878</v>
      </c>
      <c r="I215" s="128">
        <v>7.7999999979510903E-2</v>
      </c>
      <c r="J215" s="129">
        <v>0</v>
      </c>
      <c r="K215" s="139">
        <v>877</v>
      </c>
      <c r="L215" s="139">
        <v>2</v>
      </c>
      <c r="M215" s="139">
        <v>1</v>
      </c>
      <c r="N215" s="130">
        <f>((Tabela13633[[#This Row],[Objetive value Cannibalism ]]-Tabela13633[[#This Row],[Objetive value Cannibalism/GATeS]])/Tabela13633[[#This Row],[Objetive value Cannibalism ]])*100</f>
        <v>0.11389521640091116</v>
      </c>
      <c r="O215" s="131">
        <v>878</v>
      </c>
      <c r="P215" s="131">
        <v>0.45</v>
      </c>
      <c r="Q215" s="131">
        <v>0</v>
      </c>
      <c r="R215" s="141">
        <f>(((Tabela13633[[#This Row],[Objetive value Cannibalism ]]-Tabela13633[[#This Row],[Objetive value Cannibalism/H-R1]])/Tabela13633[[#This Row],[Objetive value Cannibalism ]]))*100</f>
        <v>0</v>
      </c>
      <c r="S215" s="113">
        <v>838</v>
      </c>
      <c r="T215" s="113">
        <v>0.44</v>
      </c>
      <c r="U215" s="113">
        <v>0</v>
      </c>
      <c r="V215" s="143">
        <f>(((Tabela13633[[#This Row],[Objetive value Cannibalism ]]-Tabela13633[[#This Row],[Objetive value Cannibalism/H-R2]])/Tabela13633[[#This Row],[Objetive value Cannibalism ]]))*100</f>
        <v>4.5558086560364464</v>
      </c>
    </row>
    <row r="216" spans="1:22" s="34" customFormat="1" x14ac:dyDescent="0.25">
      <c r="A216" s="3" t="s">
        <v>11</v>
      </c>
      <c r="B216" s="39" t="s">
        <v>389</v>
      </c>
      <c r="C216" s="3">
        <v>100</v>
      </c>
      <c r="D216" s="3">
        <v>0.05</v>
      </c>
      <c r="E216" s="3">
        <v>5</v>
      </c>
      <c r="F216" s="39" t="s">
        <v>18</v>
      </c>
      <c r="G216" s="39" t="s">
        <v>16</v>
      </c>
      <c r="H216" s="128">
        <v>659</v>
      </c>
      <c r="I216" s="128">
        <v>0.140999999945051</v>
      </c>
      <c r="J216" s="129">
        <v>0</v>
      </c>
      <c r="K216" s="139">
        <v>659</v>
      </c>
      <c r="L216" s="139">
        <v>3</v>
      </c>
      <c r="M216" s="139">
        <v>0</v>
      </c>
      <c r="N216" s="130">
        <f>((Tabela13633[[#This Row],[Objetive value Cannibalism ]]-Tabela13633[[#This Row],[Objetive value Cannibalism/GATeS]])/Tabela13633[[#This Row],[Objetive value Cannibalism ]])*100</f>
        <v>0</v>
      </c>
      <c r="O216" s="131">
        <v>652</v>
      </c>
      <c r="P216" s="131">
        <v>0.38</v>
      </c>
      <c r="Q216" s="131">
        <v>0</v>
      </c>
      <c r="R216" s="141">
        <f>(((Tabela13633[[#This Row],[Objetive value Cannibalism ]]-Tabela13633[[#This Row],[Objetive value Cannibalism/H-R1]])/Tabela13633[[#This Row],[Objetive value Cannibalism ]]))*100</f>
        <v>1.062215477996965</v>
      </c>
      <c r="S216" s="113">
        <v>652</v>
      </c>
      <c r="T216" s="113">
        <v>0.41</v>
      </c>
      <c r="U216" s="113">
        <v>0</v>
      </c>
      <c r="V216" s="143">
        <f>(((Tabela13633[[#This Row],[Objetive value Cannibalism ]]-Tabela13633[[#This Row],[Objetive value Cannibalism/H-R2]])/Tabela13633[[#This Row],[Objetive value Cannibalism ]]))*100</f>
        <v>1.062215477996965</v>
      </c>
    </row>
    <row r="217" spans="1:22" s="34" customFormat="1" x14ac:dyDescent="0.25">
      <c r="A217" s="3" t="s">
        <v>11</v>
      </c>
      <c r="B217" s="39" t="s">
        <v>390</v>
      </c>
      <c r="C217" s="3">
        <v>100</v>
      </c>
      <c r="D217" s="3">
        <v>0.05</v>
      </c>
      <c r="E217" s="3">
        <v>5</v>
      </c>
      <c r="F217" s="39" t="s">
        <v>21</v>
      </c>
      <c r="G217" s="39" t="s">
        <v>14</v>
      </c>
      <c r="H217" s="128">
        <v>796</v>
      </c>
      <c r="I217" s="128">
        <v>0.10999999998602999</v>
      </c>
      <c r="J217" s="129">
        <v>0</v>
      </c>
      <c r="K217" s="139">
        <v>794</v>
      </c>
      <c r="L217" s="139">
        <v>2</v>
      </c>
      <c r="M217" s="139">
        <v>0</v>
      </c>
      <c r="N217" s="130">
        <f>((Tabela13633[[#This Row],[Objetive value Cannibalism ]]-Tabela13633[[#This Row],[Objetive value Cannibalism/GATeS]])/Tabela13633[[#This Row],[Objetive value Cannibalism ]])*100</f>
        <v>0.25125628140703515</v>
      </c>
      <c r="O217" s="131">
        <v>350</v>
      </c>
      <c r="P217" s="131">
        <v>1</v>
      </c>
      <c r="Q217" s="131">
        <v>0</v>
      </c>
      <c r="R217" s="141">
        <f>(((Tabela13633[[#This Row],[Objetive value Cannibalism ]]-Tabela13633[[#This Row],[Objetive value Cannibalism/H-R1]])/Tabela13633[[#This Row],[Objetive value Cannibalism ]]))*100</f>
        <v>56.030150753768851</v>
      </c>
      <c r="S217" s="113">
        <v>796</v>
      </c>
      <c r="T217" s="113">
        <v>0.8</v>
      </c>
      <c r="U217" s="113">
        <v>0</v>
      </c>
      <c r="V217" s="143">
        <f>(((Tabela13633[[#This Row],[Objetive value Cannibalism ]]-Tabela13633[[#This Row],[Objetive value Cannibalism/H-R2]])/Tabela13633[[#This Row],[Objetive value Cannibalism ]]))*100</f>
        <v>0</v>
      </c>
    </row>
    <row r="218" spans="1:22" s="34" customFormat="1" x14ac:dyDescent="0.25">
      <c r="A218" s="3" t="s">
        <v>11</v>
      </c>
      <c r="B218" s="39" t="s">
        <v>391</v>
      </c>
      <c r="C218" s="3">
        <v>100</v>
      </c>
      <c r="D218" s="3">
        <v>0.05</v>
      </c>
      <c r="E218" s="3">
        <v>5</v>
      </c>
      <c r="F218" s="39" t="s">
        <v>21</v>
      </c>
      <c r="G218" s="39" t="s">
        <v>16</v>
      </c>
      <c r="H218" s="128">
        <v>703</v>
      </c>
      <c r="I218" s="128">
        <v>7.9000000027008299E-2</v>
      </c>
      <c r="J218" s="129">
        <v>0</v>
      </c>
      <c r="K218" s="139">
        <v>698</v>
      </c>
      <c r="L218" s="139">
        <v>2</v>
      </c>
      <c r="M218" s="139">
        <v>0</v>
      </c>
      <c r="N218" s="130">
        <f>((Tabela13633[[#This Row],[Objetive value Cannibalism ]]-Tabela13633[[#This Row],[Objetive value Cannibalism/GATeS]])/Tabela13633[[#This Row],[Objetive value Cannibalism ]])*100</f>
        <v>0.71123755334281646</v>
      </c>
      <c r="O218" s="131">
        <v>703</v>
      </c>
      <c r="P218" s="131">
        <v>0.38</v>
      </c>
      <c r="Q218" s="131">
        <v>0</v>
      </c>
      <c r="R218" s="141">
        <f>(((Tabela13633[[#This Row],[Objetive value Cannibalism ]]-Tabela13633[[#This Row],[Objetive value Cannibalism/H-R1]])/Tabela13633[[#This Row],[Objetive value Cannibalism ]]))*100</f>
        <v>0</v>
      </c>
      <c r="S218" s="113">
        <v>697</v>
      </c>
      <c r="T218" s="113">
        <v>0.51</v>
      </c>
      <c r="U218" s="113">
        <v>0</v>
      </c>
      <c r="V218" s="143">
        <f>(((Tabela13633[[#This Row],[Objetive value Cannibalism ]]-Tabela13633[[#This Row],[Objetive value Cannibalism/H-R2]])/Tabela13633[[#This Row],[Objetive value Cannibalism ]]))*100</f>
        <v>0.85348506401137991</v>
      </c>
    </row>
    <row r="219" spans="1:22" s="34" customFormat="1" x14ac:dyDescent="0.25">
      <c r="A219" s="3" t="s">
        <v>91</v>
      </c>
      <c r="B219" s="37" t="s">
        <v>464</v>
      </c>
      <c r="C219" s="3">
        <v>200</v>
      </c>
      <c r="D219" s="114">
        <v>0.1</v>
      </c>
      <c r="E219" s="3">
        <v>10</v>
      </c>
      <c r="F219" s="39" t="s">
        <v>13</v>
      </c>
      <c r="G219" s="39" t="s">
        <v>14</v>
      </c>
      <c r="H219" s="128">
        <v>4472</v>
      </c>
      <c r="I219" s="128">
        <v>0.34400000004097803</v>
      </c>
      <c r="J219" s="129">
        <v>0</v>
      </c>
      <c r="K219" s="139">
        <v>4443</v>
      </c>
      <c r="L219" s="139">
        <v>6</v>
      </c>
      <c r="M219" s="139">
        <v>0</v>
      </c>
      <c r="N219" s="130">
        <f>((Tabela13633[[#This Row],[Objetive value Cannibalism ]]-Tabela13633[[#This Row],[Objetive value Cannibalism/GATeS]])/Tabela13633[[#This Row],[Objetive value Cannibalism ]])*100</f>
        <v>0.64847942754919496</v>
      </c>
      <c r="O219" s="131">
        <v>3847</v>
      </c>
      <c r="P219" s="131">
        <v>0.36</v>
      </c>
      <c r="Q219" s="131">
        <v>0</v>
      </c>
      <c r="R219" s="141">
        <f>(((Tabela13633[[#This Row],[Objetive value Cannibalism ]]-Tabela13633[[#This Row],[Objetive value Cannibalism/H-R1]])/Tabela13633[[#This Row],[Objetive value Cannibalism ]]))*100</f>
        <v>13.975849731663686</v>
      </c>
      <c r="S219" s="113">
        <v>3892</v>
      </c>
      <c r="T219" s="113">
        <v>0.46</v>
      </c>
      <c r="U219" s="113">
        <v>0</v>
      </c>
      <c r="V219" s="143">
        <f>(((Tabela13633[[#This Row],[Objetive value Cannibalism ]]-Tabela13633[[#This Row],[Objetive value Cannibalism/H-R2]])/Tabela13633[[#This Row],[Objetive value Cannibalism ]]))*100</f>
        <v>12.969588550983898</v>
      </c>
    </row>
    <row r="220" spans="1:22" s="34" customFormat="1" x14ac:dyDescent="0.25">
      <c r="A220" s="3" t="s">
        <v>91</v>
      </c>
      <c r="B220" s="39" t="s">
        <v>465</v>
      </c>
      <c r="C220" s="3">
        <v>200</v>
      </c>
      <c r="D220" s="114">
        <v>0.1</v>
      </c>
      <c r="E220" s="3">
        <v>10</v>
      </c>
      <c r="F220" s="39" t="s">
        <v>13</v>
      </c>
      <c r="G220" s="39" t="s">
        <v>16</v>
      </c>
      <c r="H220" s="128">
        <v>2595</v>
      </c>
      <c r="I220" s="128">
        <v>0.59400000004097797</v>
      </c>
      <c r="J220" s="129">
        <v>0</v>
      </c>
      <c r="K220" s="139">
        <v>2555</v>
      </c>
      <c r="L220" s="139">
        <v>8</v>
      </c>
      <c r="M220" s="139">
        <v>5</v>
      </c>
      <c r="N220" s="130">
        <f>((Tabela13633[[#This Row],[Objetive value Cannibalism ]]-Tabela13633[[#This Row],[Objetive value Cannibalism/GATeS]])/Tabela13633[[#This Row],[Objetive value Cannibalism ]])*100</f>
        <v>1.5414258188824663</v>
      </c>
      <c r="O220" s="131">
        <v>2595</v>
      </c>
      <c r="P220" s="131">
        <v>0.55000000000000004</v>
      </c>
      <c r="Q220" s="131">
        <v>0</v>
      </c>
      <c r="R220" s="141">
        <f>(((Tabela13633[[#This Row],[Objetive value Cannibalism ]]-Tabela13633[[#This Row],[Objetive value Cannibalism/H-R1]])/Tabela13633[[#This Row],[Objetive value Cannibalism ]]))*100</f>
        <v>0</v>
      </c>
      <c r="S220" s="113">
        <v>2595</v>
      </c>
      <c r="T220" s="113">
        <v>0.51</v>
      </c>
      <c r="U220" s="113">
        <v>0</v>
      </c>
      <c r="V220" s="143">
        <f>(((Tabela13633[[#This Row],[Objetive value Cannibalism ]]-Tabela13633[[#This Row],[Objetive value Cannibalism/H-R2]])/Tabela13633[[#This Row],[Objetive value Cannibalism ]]))*100</f>
        <v>0</v>
      </c>
    </row>
    <row r="221" spans="1:22" s="34" customFormat="1" x14ac:dyDescent="0.25">
      <c r="A221" s="3" t="s">
        <v>91</v>
      </c>
      <c r="B221" s="39" t="s">
        <v>466</v>
      </c>
      <c r="C221" s="3">
        <v>200</v>
      </c>
      <c r="D221" s="114">
        <v>0.1</v>
      </c>
      <c r="E221" s="3">
        <v>10</v>
      </c>
      <c r="F221" s="3" t="s">
        <v>18</v>
      </c>
      <c r="G221" s="39" t="s">
        <v>14</v>
      </c>
      <c r="H221" s="128">
        <v>3618</v>
      </c>
      <c r="I221" s="128">
        <v>0.20299999997950999</v>
      </c>
      <c r="J221" s="129">
        <v>0</v>
      </c>
      <c r="K221" s="139">
        <v>3546</v>
      </c>
      <c r="L221" s="139">
        <v>7</v>
      </c>
      <c r="M221" s="139">
        <v>4</v>
      </c>
      <c r="N221" s="130">
        <f>((Tabela13633[[#This Row],[Objetive value Cannibalism ]]-Tabela13633[[#This Row],[Objetive value Cannibalism/GATeS]])/Tabela13633[[#This Row],[Objetive value Cannibalism ]])*100</f>
        <v>1.9900497512437811</v>
      </c>
      <c r="O221" s="131">
        <v>3557</v>
      </c>
      <c r="P221" s="131">
        <v>0.28999999999999998</v>
      </c>
      <c r="Q221" s="131">
        <v>0</v>
      </c>
      <c r="R221" s="141">
        <f>(((Tabela13633[[#This Row],[Objetive value Cannibalism ]]-Tabela13633[[#This Row],[Objetive value Cannibalism/H-R1]])/Tabela13633[[#This Row],[Objetive value Cannibalism ]]))*100</f>
        <v>1.6860143725815366</v>
      </c>
      <c r="S221" s="113">
        <v>2855</v>
      </c>
      <c r="T221" s="113">
        <v>0.33</v>
      </c>
      <c r="U221" s="113">
        <v>0</v>
      </c>
      <c r="V221" s="143">
        <f>(((Tabela13633[[#This Row],[Objetive value Cannibalism ]]-Tabela13633[[#This Row],[Objetive value Cannibalism/H-R2]])/Tabela13633[[#This Row],[Objetive value Cannibalism ]]))*100</f>
        <v>21.088999447208405</v>
      </c>
    </row>
    <row r="222" spans="1:22" s="34" customFormat="1" x14ac:dyDescent="0.25">
      <c r="A222" s="3" t="s">
        <v>91</v>
      </c>
      <c r="B222" s="39" t="s">
        <v>467</v>
      </c>
      <c r="C222" s="3">
        <v>200</v>
      </c>
      <c r="D222" s="114">
        <v>0.1</v>
      </c>
      <c r="E222" s="3">
        <v>10</v>
      </c>
      <c r="F222" s="3" t="s">
        <v>18</v>
      </c>
      <c r="G222" s="39" t="s">
        <v>16</v>
      </c>
      <c r="H222" s="128">
        <v>2423</v>
      </c>
      <c r="I222" s="128">
        <v>0.73499999998603005</v>
      </c>
      <c r="J222" s="129">
        <v>0</v>
      </c>
      <c r="K222" s="139">
        <v>2380</v>
      </c>
      <c r="L222" s="139">
        <v>10</v>
      </c>
      <c r="M222" s="139">
        <v>9</v>
      </c>
      <c r="N222" s="130">
        <f>((Tabela13633[[#This Row],[Objetive value Cannibalism ]]-Tabela13633[[#This Row],[Objetive value Cannibalism/GATeS]])/Tabela13633[[#This Row],[Objetive value Cannibalism ]])*100</f>
        <v>1.7746595130004126</v>
      </c>
      <c r="O222" s="131">
        <v>2380</v>
      </c>
      <c r="P222" s="131">
        <v>0.41</v>
      </c>
      <c r="Q222" s="131">
        <v>0</v>
      </c>
      <c r="R222" s="141">
        <f>(((Tabela13633[[#This Row],[Objetive value Cannibalism ]]-Tabela13633[[#This Row],[Objetive value Cannibalism/H-R1]])/Tabela13633[[#This Row],[Objetive value Cannibalism ]]))*100</f>
        <v>1.7746595130004126</v>
      </c>
      <c r="S222" s="113">
        <v>2338</v>
      </c>
      <c r="T222" s="113">
        <v>0.43</v>
      </c>
      <c r="U222" s="113">
        <v>0</v>
      </c>
      <c r="V222" s="143">
        <f>(((Tabela13633[[#This Row],[Objetive value Cannibalism ]]-Tabela13633[[#This Row],[Objetive value Cannibalism/H-R2]])/Tabela13633[[#This Row],[Objetive value Cannibalism ]]))*100</f>
        <v>3.5080478745356998</v>
      </c>
    </row>
    <row r="223" spans="1:22" s="34" customFormat="1" x14ac:dyDescent="0.25">
      <c r="A223" s="3" t="s">
        <v>91</v>
      </c>
      <c r="B223" s="39" t="s">
        <v>468</v>
      </c>
      <c r="C223" s="3">
        <v>200</v>
      </c>
      <c r="D223" s="114">
        <v>0.1</v>
      </c>
      <c r="E223" s="3">
        <v>10</v>
      </c>
      <c r="F223" s="39" t="s">
        <v>21</v>
      </c>
      <c r="G223" s="39" t="s">
        <v>14</v>
      </c>
      <c r="H223" s="128">
        <v>3663</v>
      </c>
      <c r="I223" s="128">
        <v>0.15700000000651901</v>
      </c>
      <c r="J223" s="129">
        <v>0</v>
      </c>
      <c r="K223" s="139">
        <v>3642</v>
      </c>
      <c r="L223" s="139">
        <v>5</v>
      </c>
      <c r="M223" s="139">
        <v>3</v>
      </c>
      <c r="N223" s="130">
        <f>((Tabela13633[[#This Row],[Objetive value Cannibalism ]]-Tabela13633[[#This Row],[Objetive value Cannibalism/GATeS]])/Tabela13633[[#This Row],[Objetive value Cannibalism ]])*100</f>
        <v>0.57330057330057327</v>
      </c>
      <c r="O223" s="131">
        <v>3330</v>
      </c>
      <c r="P223" s="131">
        <v>0.52</v>
      </c>
      <c r="Q223" s="131">
        <v>0</v>
      </c>
      <c r="R223" s="141">
        <f>(((Tabela13633[[#This Row],[Objetive value Cannibalism ]]-Tabela13633[[#This Row],[Objetive value Cannibalism/H-R1]])/Tabela13633[[#This Row],[Objetive value Cannibalism ]]))*100</f>
        <v>9.0909090909090917</v>
      </c>
      <c r="S223" s="113">
        <v>3663</v>
      </c>
      <c r="T223" s="113">
        <v>0.39</v>
      </c>
      <c r="U223" s="113">
        <v>0</v>
      </c>
      <c r="V223" s="143">
        <f>(((Tabela13633[[#This Row],[Objetive value Cannibalism ]]-Tabela13633[[#This Row],[Objetive value Cannibalism/H-R2]])/Tabela13633[[#This Row],[Objetive value Cannibalism ]]))*100</f>
        <v>0</v>
      </c>
    </row>
    <row r="224" spans="1:22" s="34" customFormat="1" x14ac:dyDescent="0.25">
      <c r="A224" s="3" t="s">
        <v>91</v>
      </c>
      <c r="B224" s="39" t="s">
        <v>469</v>
      </c>
      <c r="C224" s="3">
        <v>200</v>
      </c>
      <c r="D224" s="114">
        <v>0.1</v>
      </c>
      <c r="E224" s="3">
        <v>10</v>
      </c>
      <c r="F224" s="39" t="s">
        <v>21</v>
      </c>
      <c r="G224" s="39" t="s">
        <v>16</v>
      </c>
      <c r="H224" s="128">
        <v>2552</v>
      </c>
      <c r="I224" s="128">
        <v>0.51600000006146696</v>
      </c>
      <c r="J224" s="129">
        <v>0</v>
      </c>
      <c r="K224" s="139">
        <v>2548</v>
      </c>
      <c r="L224" s="139">
        <v>9</v>
      </c>
      <c r="M224" s="139">
        <v>5</v>
      </c>
      <c r="N224" s="130">
        <f>((Tabela13633[[#This Row],[Objetive value Cannibalism ]]-Tabela13633[[#This Row],[Objetive value Cannibalism/GATeS]])/Tabela13633[[#This Row],[Objetive value Cannibalism ]])*100</f>
        <v>0.15673981191222569</v>
      </c>
      <c r="O224" s="131">
        <v>2552</v>
      </c>
      <c r="P224" s="131">
        <v>0.33</v>
      </c>
      <c r="Q224" s="131">
        <v>0</v>
      </c>
      <c r="R224" s="141">
        <f>(((Tabela13633[[#This Row],[Objetive value Cannibalism ]]-Tabela13633[[#This Row],[Objetive value Cannibalism/H-R1]])/Tabela13633[[#This Row],[Objetive value Cannibalism ]]))*100</f>
        <v>0</v>
      </c>
      <c r="S224" s="113">
        <v>2490</v>
      </c>
      <c r="T224" s="113">
        <v>0.4</v>
      </c>
      <c r="U224" s="113">
        <v>0</v>
      </c>
      <c r="V224" s="143">
        <f>(((Tabela13633[[#This Row],[Objetive value Cannibalism ]]-Tabela13633[[#This Row],[Objetive value Cannibalism/H-R2]])/Tabela13633[[#This Row],[Objetive value Cannibalism ]]))*100</f>
        <v>2.4294670846394983</v>
      </c>
    </row>
    <row r="225" spans="1:22" s="34" customFormat="1" x14ac:dyDescent="0.25">
      <c r="A225" s="3" t="s">
        <v>110</v>
      </c>
      <c r="B225" s="37" t="s">
        <v>482</v>
      </c>
      <c r="C225" s="3">
        <v>200</v>
      </c>
      <c r="D225" s="114">
        <v>0.1</v>
      </c>
      <c r="E225" s="3">
        <v>15</v>
      </c>
      <c r="F225" s="39" t="s">
        <v>13</v>
      </c>
      <c r="G225" s="39" t="s">
        <v>14</v>
      </c>
      <c r="H225" s="128">
        <v>5710</v>
      </c>
      <c r="I225" s="128">
        <v>1.4059999999999999</v>
      </c>
      <c r="J225" s="129">
        <v>8.0500000000000007</v>
      </c>
      <c r="K225" s="139">
        <v>5442</v>
      </c>
      <c r="L225" s="139">
        <v>120</v>
      </c>
      <c r="M225" s="139">
        <v>119</v>
      </c>
      <c r="N225" s="130">
        <f>((Tabela13633[[#This Row],[Objetive value Cannibalism ]]-Tabela13633[[#This Row],[Objetive value Cannibalism/GATeS]])/Tabela13633[[#This Row],[Objetive value Cannibalism ]])*100</f>
        <v>4.693520140105079</v>
      </c>
      <c r="O225" s="131">
        <v>5462</v>
      </c>
      <c r="P225" s="131">
        <v>0.43</v>
      </c>
      <c r="Q225" s="131">
        <v>0</v>
      </c>
      <c r="R225" s="141">
        <f>(((Tabela13633[[#This Row],[Objetive value Cannibalism ]]-Tabela13633[[#This Row],[Objetive value Cannibalism/H-R1]])/Tabela13633[[#This Row],[Objetive value Cannibalism ]]))*100</f>
        <v>4.3432574430823117</v>
      </c>
      <c r="S225" s="113">
        <v>5481</v>
      </c>
      <c r="T225" s="113">
        <v>0.4</v>
      </c>
      <c r="U225" s="113">
        <v>0</v>
      </c>
      <c r="V225" s="143">
        <f>(((Tabela13633[[#This Row],[Objetive value Cannibalism ]]-Tabela13633[[#This Row],[Objetive value Cannibalism/H-R2]])/Tabela13633[[#This Row],[Objetive value Cannibalism ]]))*100</f>
        <v>4.0105078809106836</v>
      </c>
    </row>
    <row r="226" spans="1:22" s="34" customFormat="1" x14ac:dyDescent="0.25">
      <c r="A226" s="3" t="s">
        <v>110</v>
      </c>
      <c r="B226" s="39" t="s">
        <v>483</v>
      </c>
      <c r="C226" s="3">
        <v>200</v>
      </c>
      <c r="D226" s="114">
        <v>0.1</v>
      </c>
      <c r="E226" s="3">
        <v>15</v>
      </c>
      <c r="F226" s="39" t="s">
        <v>13</v>
      </c>
      <c r="G226" s="39" t="s">
        <v>16</v>
      </c>
      <c r="H226" s="128">
        <v>3368</v>
      </c>
      <c r="I226" s="128">
        <v>5.5</v>
      </c>
      <c r="J226" s="129">
        <v>0.03</v>
      </c>
      <c r="K226" s="139">
        <v>3339</v>
      </c>
      <c r="L226" s="139">
        <v>19</v>
      </c>
      <c r="M226" s="139">
        <v>12</v>
      </c>
      <c r="N226" s="130">
        <f>((Tabela13633[[#This Row],[Objetive value Cannibalism ]]-Tabela13633[[#This Row],[Objetive value Cannibalism/GATeS]])/Tabela13633[[#This Row],[Objetive value Cannibalism ]])*100</f>
        <v>0.86104513064133004</v>
      </c>
      <c r="O226" s="131">
        <v>3316</v>
      </c>
      <c r="P226" s="131">
        <v>1.17</v>
      </c>
      <c r="Q226" s="131">
        <v>0</v>
      </c>
      <c r="R226" s="141">
        <f>(((Tabela13633[[#This Row],[Objetive value Cannibalism ]]-Tabela13633[[#This Row],[Objetive value Cannibalism/H-R1]])/Tabela13633[[#This Row],[Objetive value Cannibalism ]]))*100</f>
        <v>1.5439429928741093</v>
      </c>
      <c r="S226" s="113">
        <v>3259</v>
      </c>
      <c r="T226" s="113">
        <v>0.81</v>
      </c>
      <c r="U226" s="113">
        <v>0</v>
      </c>
      <c r="V226" s="143">
        <f>(((Tabela13633[[#This Row],[Objetive value Cannibalism ]]-Tabela13633[[#This Row],[Objetive value Cannibalism/H-R2]])/Tabela13633[[#This Row],[Objetive value Cannibalism ]]))*100</f>
        <v>3.2363420427553442</v>
      </c>
    </row>
    <row r="227" spans="1:22" s="34" customFormat="1" x14ac:dyDescent="0.25">
      <c r="A227" s="3" t="s">
        <v>110</v>
      </c>
      <c r="B227" s="39" t="s">
        <v>484</v>
      </c>
      <c r="C227" s="3">
        <v>200</v>
      </c>
      <c r="D227" s="114">
        <v>0.1</v>
      </c>
      <c r="E227" s="3">
        <v>15</v>
      </c>
      <c r="F227" s="3" t="s">
        <v>18</v>
      </c>
      <c r="G227" s="39" t="s">
        <v>14</v>
      </c>
      <c r="H227" s="128">
        <v>5388</v>
      </c>
      <c r="I227" s="128">
        <v>1.2649999999999999</v>
      </c>
      <c r="J227" s="129">
        <v>5.82</v>
      </c>
      <c r="K227" s="139">
        <v>5167</v>
      </c>
      <c r="L227" s="139">
        <v>8</v>
      </c>
      <c r="M227" s="139">
        <v>1</v>
      </c>
      <c r="N227" s="130">
        <f>((Tabela13633[[#This Row],[Objetive value Cannibalism ]]-Tabela13633[[#This Row],[Objetive value Cannibalism/GATeS]])/Tabela13633[[#This Row],[Objetive value Cannibalism ]])*100</f>
        <v>4.1017074981440231</v>
      </c>
      <c r="O227" s="131">
        <v>4920</v>
      </c>
      <c r="P227" s="131">
        <v>0.37</v>
      </c>
      <c r="Q227" s="131">
        <v>0</v>
      </c>
      <c r="R227" s="141">
        <f>(((Tabela13633[[#This Row],[Objetive value Cannibalism ]]-Tabela13633[[#This Row],[Objetive value Cannibalism/H-R1]])/Tabela13633[[#This Row],[Objetive value Cannibalism ]]))*100</f>
        <v>8.6859688195991094</v>
      </c>
      <c r="S227" s="113">
        <v>4480</v>
      </c>
      <c r="T227" s="113">
        <v>0.35</v>
      </c>
      <c r="U227" s="113">
        <v>0</v>
      </c>
      <c r="V227" s="143">
        <f>(((Tabela13633[[#This Row],[Objetive value Cannibalism ]]-Tabela13633[[#This Row],[Objetive value Cannibalism/H-R2]])/Tabela13633[[#This Row],[Objetive value Cannibalism ]]))*100</f>
        <v>16.852264291017075</v>
      </c>
    </row>
    <row r="228" spans="1:22" s="34" customFormat="1" x14ac:dyDescent="0.25">
      <c r="A228" s="3" t="s">
        <v>110</v>
      </c>
      <c r="B228" s="39" t="s">
        <v>485</v>
      </c>
      <c r="C228" s="3">
        <v>200</v>
      </c>
      <c r="D228" s="114">
        <v>0.1</v>
      </c>
      <c r="E228" s="3">
        <v>15</v>
      </c>
      <c r="F228" s="3" t="s">
        <v>18</v>
      </c>
      <c r="G228" s="39" t="s">
        <v>16</v>
      </c>
      <c r="H228" s="128">
        <v>3639</v>
      </c>
      <c r="I228" s="128">
        <v>6.0309999999999997</v>
      </c>
      <c r="J228" s="129">
        <v>0.03</v>
      </c>
      <c r="K228" s="139">
        <v>3582</v>
      </c>
      <c r="L228" s="139">
        <v>15</v>
      </c>
      <c r="M228" s="139">
        <v>2</v>
      </c>
      <c r="N228" s="130">
        <f>((Tabela13633[[#This Row],[Objetive value Cannibalism ]]-Tabela13633[[#This Row],[Objetive value Cannibalism/GATeS]])/Tabela13633[[#This Row],[Objetive value Cannibalism ]])*100</f>
        <v>1.5663643858202803</v>
      </c>
      <c r="O228" s="131">
        <v>3619</v>
      </c>
      <c r="P228" s="131">
        <v>0.52</v>
      </c>
      <c r="Q228" s="131">
        <v>0</v>
      </c>
      <c r="R228" s="141">
        <f>(((Tabela13633[[#This Row],[Objetive value Cannibalism ]]-Tabela13633[[#This Row],[Objetive value Cannibalism/H-R1]])/Tabela13633[[#This Row],[Objetive value Cannibalism ]]))*100</f>
        <v>0.54960153888430885</v>
      </c>
      <c r="S228" s="113">
        <v>3450</v>
      </c>
      <c r="T228" s="113">
        <v>0.52</v>
      </c>
      <c r="U228" s="113">
        <v>0</v>
      </c>
      <c r="V228" s="143">
        <f>(((Tabela13633[[#This Row],[Objetive value Cannibalism ]]-Tabela13633[[#This Row],[Objetive value Cannibalism/H-R2]])/Tabela13633[[#This Row],[Objetive value Cannibalism ]]))*100</f>
        <v>5.1937345424567187</v>
      </c>
    </row>
    <row r="229" spans="1:22" s="34" customFormat="1" x14ac:dyDescent="0.25">
      <c r="A229" s="3" t="s">
        <v>110</v>
      </c>
      <c r="B229" s="39" t="s">
        <v>486</v>
      </c>
      <c r="C229" s="3">
        <v>200</v>
      </c>
      <c r="D229" s="114">
        <v>0.1</v>
      </c>
      <c r="E229" s="3">
        <v>15</v>
      </c>
      <c r="F229" s="39" t="s">
        <v>21</v>
      </c>
      <c r="G229" s="39" t="s">
        <v>14</v>
      </c>
      <c r="H229" s="128">
        <v>5737</v>
      </c>
      <c r="I229" s="128">
        <v>0.28100000000000003</v>
      </c>
      <c r="J229" s="129">
        <v>0</v>
      </c>
      <c r="K229" s="139">
        <v>5314</v>
      </c>
      <c r="L229" s="139">
        <v>7</v>
      </c>
      <c r="M229" s="139">
        <v>2</v>
      </c>
      <c r="N229" s="130">
        <f>((Tabela13633[[#This Row],[Objetive value Cannibalism ]]-Tabela13633[[#This Row],[Objetive value Cannibalism/GATeS]])/Tabela13633[[#This Row],[Objetive value Cannibalism ]])*100</f>
        <v>7.3731915635349488</v>
      </c>
      <c r="O229" s="131">
        <v>5434</v>
      </c>
      <c r="P229" s="131">
        <v>0.68</v>
      </c>
      <c r="Q229" s="131">
        <v>0</v>
      </c>
      <c r="R229" s="141">
        <f>(((Tabela13633[[#This Row],[Objetive value Cannibalism ]]-Tabela13633[[#This Row],[Objetive value Cannibalism/H-R1]])/Tabela13633[[#This Row],[Objetive value Cannibalism ]]))*100</f>
        <v>5.2815060135959557</v>
      </c>
      <c r="S229" s="113">
        <v>5437</v>
      </c>
      <c r="T229" s="113">
        <v>0.68</v>
      </c>
      <c r="U229" s="113">
        <v>0</v>
      </c>
      <c r="V229" s="143">
        <f>(((Tabela13633[[#This Row],[Objetive value Cannibalism ]]-Tabela13633[[#This Row],[Objetive value Cannibalism/H-R2]])/Tabela13633[[#This Row],[Objetive value Cannibalism ]]))*100</f>
        <v>5.2292138748474812</v>
      </c>
    </row>
    <row r="230" spans="1:22" s="34" customFormat="1" x14ac:dyDescent="0.25">
      <c r="A230" s="3" t="s">
        <v>110</v>
      </c>
      <c r="B230" s="39" t="s">
        <v>487</v>
      </c>
      <c r="C230" s="3">
        <v>200</v>
      </c>
      <c r="D230" s="114">
        <v>0.1</v>
      </c>
      <c r="E230" s="3">
        <v>15</v>
      </c>
      <c r="F230" s="39" t="s">
        <v>21</v>
      </c>
      <c r="G230" s="39" t="s">
        <v>16</v>
      </c>
      <c r="H230" s="128">
        <v>3364</v>
      </c>
      <c r="I230" s="128">
        <v>1.5</v>
      </c>
      <c r="J230" s="129">
        <v>0</v>
      </c>
      <c r="K230" s="139">
        <v>3333</v>
      </c>
      <c r="L230" s="139">
        <v>16</v>
      </c>
      <c r="M230" s="139">
        <v>12</v>
      </c>
      <c r="N230" s="130">
        <f>((Tabela13633[[#This Row],[Objetive value Cannibalism ]]-Tabela13633[[#This Row],[Objetive value Cannibalism/GATeS]])/Tabela13633[[#This Row],[Objetive value Cannibalism ]])*100</f>
        <v>0.9215219976218787</v>
      </c>
      <c r="O230" s="131">
        <v>3337</v>
      </c>
      <c r="P230" s="131">
        <v>0.43</v>
      </c>
      <c r="Q230" s="131">
        <v>0</v>
      </c>
      <c r="R230" s="141">
        <f>(((Tabela13633[[#This Row],[Objetive value Cannibalism ]]-Tabela13633[[#This Row],[Objetive value Cannibalism/H-R1]])/Tabela13633[[#This Row],[Objetive value Cannibalism ]]))*100</f>
        <v>0.80261593341260407</v>
      </c>
      <c r="S230" s="113">
        <v>3215</v>
      </c>
      <c r="T230" s="113">
        <v>0.53</v>
      </c>
      <c r="U230" s="113">
        <v>0</v>
      </c>
      <c r="V230" s="143">
        <f>(((Tabela13633[[#This Row],[Objetive value Cannibalism ]]-Tabela13633[[#This Row],[Objetive value Cannibalism/H-R2]])/Tabela13633[[#This Row],[Objetive value Cannibalism ]]))*100</f>
        <v>4.4292508917954816</v>
      </c>
    </row>
    <row r="231" spans="1:22" s="34" customFormat="1" x14ac:dyDescent="0.25">
      <c r="A231" s="3" t="s">
        <v>73</v>
      </c>
      <c r="B231" s="37" t="s">
        <v>446</v>
      </c>
      <c r="C231" s="3">
        <v>200</v>
      </c>
      <c r="D231" s="114">
        <v>0.1</v>
      </c>
      <c r="E231" s="3">
        <v>5</v>
      </c>
      <c r="F231" s="39" t="s">
        <v>13</v>
      </c>
      <c r="G231" s="39" t="s">
        <v>14</v>
      </c>
      <c r="H231" s="128">
        <v>1927</v>
      </c>
      <c r="I231" s="128">
        <v>0.125</v>
      </c>
      <c r="J231" s="129">
        <v>0</v>
      </c>
      <c r="K231" s="139">
        <v>1921</v>
      </c>
      <c r="L231" s="139">
        <v>4</v>
      </c>
      <c r="M231" s="139">
        <v>1</v>
      </c>
      <c r="N231" s="130">
        <f>((Tabela13633[[#This Row],[Objetive value Cannibalism ]]-Tabela13633[[#This Row],[Objetive value Cannibalism/GATeS]])/Tabela13633[[#This Row],[Objetive value Cannibalism ]])*100</f>
        <v>0.31136481577581732</v>
      </c>
      <c r="O231" s="131">
        <v>1901</v>
      </c>
      <c r="P231" s="131">
        <v>0.41</v>
      </c>
      <c r="Q231" s="131">
        <v>0</v>
      </c>
      <c r="R231" s="141">
        <f>(((Tabela13633[[#This Row],[Objetive value Cannibalism ]]-Tabela13633[[#This Row],[Objetive value Cannibalism/H-R1]])/Tabela13633[[#This Row],[Objetive value Cannibalism ]]))*100</f>
        <v>1.3492475350285418</v>
      </c>
      <c r="S231" s="113">
        <v>1658</v>
      </c>
      <c r="T231" s="113">
        <v>0.34</v>
      </c>
      <c r="U231" s="113">
        <v>0</v>
      </c>
      <c r="V231" s="143">
        <f>(((Tabela13633[[#This Row],[Objetive value Cannibalism ]]-Tabela13633[[#This Row],[Objetive value Cannibalism/H-R2]])/Tabela13633[[#This Row],[Objetive value Cannibalism ]]))*100</f>
        <v>13.959522573949142</v>
      </c>
    </row>
    <row r="232" spans="1:22" s="34" customFormat="1" x14ac:dyDescent="0.25">
      <c r="A232" s="3" t="s">
        <v>73</v>
      </c>
      <c r="B232" s="37" t="s">
        <v>447</v>
      </c>
      <c r="C232" s="3">
        <v>200</v>
      </c>
      <c r="D232" s="114">
        <v>0.1</v>
      </c>
      <c r="E232" s="3">
        <v>5</v>
      </c>
      <c r="F232" s="39" t="s">
        <v>13</v>
      </c>
      <c r="G232" s="39" t="s">
        <v>16</v>
      </c>
      <c r="H232" s="128">
        <v>1365</v>
      </c>
      <c r="I232" s="128">
        <v>9.29999999934807E-2</v>
      </c>
      <c r="J232" s="129">
        <v>0</v>
      </c>
      <c r="K232" s="139">
        <v>1362</v>
      </c>
      <c r="L232" s="139">
        <v>3</v>
      </c>
      <c r="M232" s="139">
        <v>1</v>
      </c>
      <c r="N232" s="130">
        <f>((Tabela13633[[#This Row],[Objetive value Cannibalism ]]-Tabela13633[[#This Row],[Objetive value Cannibalism/GATeS]])/Tabela13633[[#This Row],[Objetive value Cannibalism ]])*100</f>
        <v>0.21978021978021978</v>
      </c>
      <c r="O232" s="131">
        <v>1365</v>
      </c>
      <c r="P232" s="131">
        <v>0.38</v>
      </c>
      <c r="Q232" s="131">
        <v>0</v>
      </c>
      <c r="R232" s="141">
        <f>(((Tabela13633[[#This Row],[Objetive value Cannibalism ]]-Tabela13633[[#This Row],[Objetive value Cannibalism/H-R1]])/Tabela13633[[#This Row],[Objetive value Cannibalism ]]))*100</f>
        <v>0</v>
      </c>
      <c r="S232" s="113">
        <v>1164</v>
      </c>
      <c r="T232" s="113">
        <v>0.69</v>
      </c>
      <c r="U232" s="113">
        <v>0</v>
      </c>
      <c r="V232" s="143">
        <f>(((Tabela13633[[#This Row],[Objetive value Cannibalism ]]-Tabela13633[[#This Row],[Objetive value Cannibalism/H-R2]])/Tabela13633[[#This Row],[Objetive value Cannibalism ]]))*100</f>
        <v>14.725274725274726</v>
      </c>
    </row>
    <row r="233" spans="1:22" s="34" customFormat="1" x14ac:dyDescent="0.25">
      <c r="A233" s="3" t="s">
        <v>73</v>
      </c>
      <c r="B233" s="37" t="s">
        <v>448</v>
      </c>
      <c r="C233" s="3">
        <v>200</v>
      </c>
      <c r="D233" s="114">
        <v>0.1</v>
      </c>
      <c r="E233" s="3">
        <v>5</v>
      </c>
      <c r="F233" s="3" t="s">
        <v>18</v>
      </c>
      <c r="G233" s="39" t="s">
        <v>14</v>
      </c>
      <c r="H233" s="128">
        <v>2421</v>
      </c>
      <c r="I233" s="128">
        <v>0.10999999998602999</v>
      </c>
      <c r="J233" s="129">
        <v>0</v>
      </c>
      <c r="K233" s="139">
        <v>2421</v>
      </c>
      <c r="L233" s="139">
        <v>3</v>
      </c>
      <c r="M233" s="139">
        <v>0</v>
      </c>
      <c r="N233" s="130">
        <f>((Tabela13633[[#This Row],[Objetive value Cannibalism ]]-Tabela13633[[#This Row],[Objetive value Cannibalism/GATeS]])/Tabela13633[[#This Row],[Objetive value Cannibalism ]])*100</f>
        <v>0</v>
      </c>
      <c r="O233" s="131">
        <v>2421</v>
      </c>
      <c r="P233" s="131">
        <v>0.37</v>
      </c>
      <c r="Q233" s="131">
        <v>0</v>
      </c>
      <c r="R233" s="141">
        <f>(((Tabela13633[[#This Row],[Objetive value Cannibalism ]]-Tabela13633[[#This Row],[Objetive value Cannibalism/H-R1]])/Tabela13633[[#This Row],[Objetive value Cannibalism ]]))*100</f>
        <v>0</v>
      </c>
      <c r="S233" s="113">
        <v>2421</v>
      </c>
      <c r="T233" s="113">
        <v>0.51</v>
      </c>
      <c r="U233" s="113">
        <v>0</v>
      </c>
      <c r="V233" s="143">
        <f>(((Tabela13633[[#This Row],[Objetive value Cannibalism ]]-Tabela13633[[#This Row],[Objetive value Cannibalism/H-R2]])/Tabela13633[[#This Row],[Objetive value Cannibalism ]]))*100</f>
        <v>0</v>
      </c>
    </row>
    <row r="234" spans="1:22" s="34" customFormat="1" x14ac:dyDescent="0.25">
      <c r="A234" s="3" t="s">
        <v>73</v>
      </c>
      <c r="B234" s="37" t="s">
        <v>449</v>
      </c>
      <c r="C234" s="3">
        <v>200</v>
      </c>
      <c r="D234" s="114">
        <v>0.1</v>
      </c>
      <c r="E234" s="3">
        <v>5</v>
      </c>
      <c r="F234" s="3" t="s">
        <v>18</v>
      </c>
      <c r="G234" s="39" t="s">
        <v>16</v>
      </c>
      <c r="H234" s="128">
        <v>1461</v>
      </c>
      <c r="I234" s="128">
        <v>0.125</v>
      </c>
      <c r="J234" s="129">
        <v>0</v>
      </c>
      <c r="K234" s="139">
        <v>1460</v>
      </c>
      <c r="L234" s="139">
        <v>4</v>
      </c>
      <c r="M234" s="139">
        <v>0</v>
      </c>
      <c r="N234" s="130">
        <f>((Tabela13633[[#This Row],[Objetive value Cannibalism ]]-Tabela13633[[#This Row],[Objetive value Cannibalism/GATeS]])/Tabela13633[[#This Row],[Objetive value Cannibalism ]])*100</f>
        <v>6.8446269678302529E-2</v>
      </c>
      <c r="O234" s="131">
        <v>1445</v>
      </c>
      <c r="P234" s="131">
        <v>0.53</v>
      </c>
      <c r="Q234" s="131">
        <v>0</v>
      </c>
      <c r="R234" s="141">
        <f>(((Tabela13633[[#This Row],[Objetive value Cannibalism ]]-Tabela13633[[#This Row],[Objetive value Cannibalism/H-R1]])/Tabela13633[[#This Row],[Objetive value Cannibalism ]]))*100</f>
        <v>1.0951403148528405</v>
      </c>
      <c r="S234" s="113">
        <v>1445</v>
      </c>
      <c r="T234" s="113">
        <v>0.5</v>
      </c>
      <c r="U234" s="113">
        <v>0</v>
      </c>
      <c r="V234" s="143">
        <f>(((Tabela13633[[#This Row],[Objetive value Cannibalism ]]-Tabela13633[[#This Row],[Objetive value Cannibalism/H-R2]])/Tabela13633[[#This Row],[Objetive value Cannibalism ]]))*100</f>
        <v>1.0951403148528405</v>
      </c>
    </row>
    <row r="235" spans="1:22" s="34" customFormat="1" x14ac:dyDescent="0.25">
      <c r="A235" s="3" t="s">
        <v>73</v>
      </c>
      <c r="B235" s="37" t="s">
        <v>450</v>
      </c>
      <c r="C235" s="3">
        <v>200</v>
      </c>
      <c r="D235" s="114">
        <v>0.1</v>
      </c>
      <c r="E235" s="3">
        <v>5</v>
      </c>
      <c r="F235" s="39" t="s">
        <v>21</v>
      </c>
      <c r="G235" s="39" t="s">
        <v>14</v>
      </c>
      <c r="H235" s="128">
        <v>954</v>
      </c>
      <c r="I235" s="128">
        <v>0.10999999998602999</v>
      </c>
      <c r="J235" s="129">
        <v>0</v>
      </c>
      <c r="K235" s="139">
        <v>953</v>
      </c>
      <c r="L235" s="139">
        <v>3</v>
      </c>
      <c r="M235" s="139">
        <v>0</v>
      </c>
      <c r="N235" s="130">
        <f>((Tabela13633[[#This Row],[Objetive value Cannibalism ]]-Tabela13633[[#This Row],[Objetive value Cannibalism/GATeS]])/Tabela13633[[#This Row],[Objetive value Cannibalism ]])*100</f>
        <v>0.10482180293501049</v>
      </c>
      <c r="O235" s="115"/>
      <c r="P235" s="115"/>
      <c r="Q235" s="115"/>
      <c r="R235" s="142">
        <v>100</v>
      </c>
      <c r="S235" s="113">
        <v>954</v>
      </c>
      <c r="T235" s="113">
        <v>0.43</v>
      </c>
      <c r="U235" s="113">
        <v>0</v>
      </c>
      <c r="V235" s="143">
        <f>(((Tabela13633[[#This Row],[Objetive value Cannibalism ]]-Tabela13633[[#This Row],[Objetive value Cannibalism/H-R2]])/Tabela13633[[#This Row],[Objetive value Cannibalism ]]))*100</f>
        <v>0</v>
      </c>
    </row>
    <row r="236" spans="1:22" s="34" customFormat="1" x14ac:dyDescent="0.25">
      <c r="A236" s="3" t="s">
        <v>73</v>
      </c>
      <c r="B236" s="37" t="s">
        <v>451</v>
      </c>
      <c r="C236" s="3">
        <v>200</v>
      </c>
      <c r="D236" s="114">
        <v>0.1</v>
      </c>
      <c r="E236" s="3">
        <v>5</v>
      </c>
      <c r="F236" s="39" t="s">
        <v>21</v>
      </c>
      <c r="G236" s="39" t="s">
        <v>16</v>
      </c>
      <c r="H236" s="128">
        <v>1317</v>
      </c>
      <c r="I236" s="128">
        <v>0.125</v>
      </c>
      <c r="J236" s="129">
        <v>0</v>
      </c>
      <c r="K236" s="139">
        <v>1316</v>
      </c>
      <c r="L236" s="139">
        <v>3</v>
      </c>
      <c r="M236" s="139">
        <v>1</v>
      </c>
      <c r="N236" s="130">
        <f>((Tabela13633[[#This Row],[Objetive value Cannibalism ]]-Tabela13633[[#This Row],[Objetive value Cannibalism/GATeS]])/Tabela13633[[#This Row],[Objetive value Cannibalism ]])*100</f>
        <v>7.5930144267274111E-2</v>
      </c>
      <c r="O236" s="131">
        <v>1317</v>
      </c>
      <c r="P236" s="131">
        <v>0.3</v>
      </c>
      <c r="Q236" s="131">
        <v>0</v>
      </c>
      <c r="R236" s="141">
        <f>(((Tabela13633[[#This Row],[Objetive value Cannibalism ]]-Tabela13633[[#This Row],[Objetive value Cannibalism/H-R1]])/Tabela13633[[#This Row],[Objetive value Cannibalism ]]))*100</f>
        <v>0</v>
      </c>
      <c r="S236" s="113">
        <v>1317</v>
      </c>
      <c r="T236" s="113">
        <v>0.43</v>
      </c>
      <c r="U236" s="113">
        <v>0</v>
      </c>
      <c r="V236" s="143">
        <f>(((Tabela13633[[#This Row],[Objetive value Cannibalism ]]-Tabela13633[[#This Row],[Objetive value Cannibalism/H-R2]])/Tabela13633[[#This Row],[Objetive value Cannibalism ]]))*100</f>
        <v>0</v>
      </c>
    </row>
    <row r="237" spans="1:22" s="34" customFormat="1" x14ac:dyDescent="0.25">
      <c r="A237" s="3" t="s">
        <v>91</v>
      </c>
      <c r="B237" s="37" t="s">
        <v>470</v>
      </c>
      <c r="C237" s="3">
        <v>200</v>
      </c>
      <c r="D237" s="3">
        <v>0.15</v>
      </c>
      <c r="E237" s="3">
        <v>10</v>
      </c>
      <c r="F237" s="39" t="s">
        <v>13</v>
      </c>
      <c r="G237" s="39" t="s">
        <v>14</v>
      </c>
      <c r="H237" s="128">
        <v>4140</v>
      </c>
      <c r="I237" s="128">
        <v>0.34399999992456198</v>
      </c>
      <c r="J237" s="129">
        <v>0</v>
      </c>
      <c r="K237" s="139">
        <v>3915</v>
      </c>
      <c r="L237" s="139">
        <v>7</v>
      </c>
      <c r="M237" s="139">
        <v>1</v>
      </c>
      <c r="N237" s="130">
        <f>((Tabela13633[[#This Row],[Objetive value Cannibalism ]]-Tabela13633[[#This Row],[Objetive value Cannibalism/GATeS]])/Tabela13633[[#This Row],[Objetive value Cannibalism ]])*100</f>
        <v>5.4347826086956523</v>
      </c>
      <c r="O237" s="131">
        <v>3995</v>
      </c>
      <c r="P237" s="131">
        <v>0.3</v>
      </c>
      <c r="Q237" s="131">
        <v>0</v>
      </c>
      <c r="R237" s="141">
        <f>(((Tabela13633[[#This Row],[Objetive value Cannibalism ]]-Tabela13633[[#This Row],[Objetive value Cannibalism/H-R1]])/Tabela13633[[#This Row],[Objetive value Cannibalism ]]))*100</f>
        <v>3.5024154589371985</v>
      </c>
      <c r="S237" s="113">
        <v>3701</v>
      </c>
      <c r="T237" s="113">
        <v>0.47</v>
      </c>
      <c r="U237" s="113">
        <v>0</v>
      </c>
      <c r="V237" s="143">
        <f>(((Tabela13633[[#This Row],[Objetive value Cannibalism ]]-Tabela13633[[#This Row],[Objetive value Cannibalism/H-R2]])/Tabela13633[[#This Row],[Objetive value Cannibalism ]]))*100</f>
        <v>10.603864734299517</v>
      </c>
    </row>
    <row r="238" spans="1:22" s="34" customFormat="1" x14ac:dyDescent="0.25">
      <c r="A238" s="3" t="s">
        <v>91</v>
      </c>
      <c r="B238" s="39" t="s">
        <v>471</v>
      </c>
      <c r="C238" s="3">
        <v>200</v>
      </c>
      <c r="D238" s="3">
        <v>0.15</v>
      </c>
      <c r="E238" s="3">
        <v>10</v>
      </c>
      <c r="F238" s="39" t="s">
        <v>13</v>
      </c>
      <c r="G238" s="39" t="s">
        <v>16</v>
      </c>
      <c r="H238" s="128">
        <v>2511</v>
      </c>
      <c r="I238" s="128">
        <v>0.76599999994505197</v>
      </c>
      <c r="J238" s="129">
        <v>0</v>
      </c>
      <c r="K238" s="139">
        <v>2435</v>
      </c>
      <c r="L238" s="139">
        <v>9</v>
      </c>
      <c r="M238" s="139">
        <v>7</v>
      </c>
      <c r="N238" s="130">
        <f>((Tabela13633[[#This Row],[Objetive value Cannibalism ]]-Tabela13633[[#This Row],[Objetive value Cannibalism/GATeS]])/Tabela13633[[#This Row],[Objetive value Cannibalism ]])*100</f>
        <v>3.0266825965750694</v>
      </c>
      <c r="O238" s="131">
        <v>2503</v>
      </c>
      <c r="P238" s="131">
        <v>0.48</v>
      </c>
      <c r="Q238" s="131">
        <v>0</v>
      </c>
      <c r="R238" s="141">
        <f>(((Tabela13633[[#This Row],[Objetive value Cannibalism ]]-Tabela13633[[#This Row],[Objetive value Cannibalism/H-R1]])/Tabela13633[[#This Row],[Objetive value Cannibalism ]]))*100</f>
        <v>0.31859816806053365</v>
      </c>
      <c r="S238" s="113">
        <v>2503</v>
      </c>
      <c r="T238" s="113">
        <v>0.55000000000000004</v>
      </c>
      <c r="U238" s="113">
        <v>0</v>
      </c>
      <c r="V238" s="143">
        <f>(((Tabela13633[[#This Row],[Objetive value Cannibalism ]]-Tabela13633[[#This Row],[Objetive value Cannibalism/H-R2]])/Tabela13633[[#This Row],[Objetive value Cannibalism ]]))*100</f>
        <v>0.31859816806053365</v>
      </c>
    </row>
    <row r="239" spans="1:22" s="34" customFormat="1" x14ac:dyDescent="0.25">
      <c r="A239" s="3" t="s">
        <v>91</v>
      </c>
      <c r="B239" s="39" t="s">
        <v>472</v>
      </c>
      <c r="C239" s="3">
        <v>200</v>
      </c>
      <c r="D239" s="3">
        <v>0.15</v>
      </c>
      <c r="E239" s="3">
        <v>10</v>
      </c>
      <c r="F239" s="39" t="s">
        <v>18</v>
      </c>
      <c r="G239" s="39" t="s">
        <v>14</v>
      </c>
      <c r="H239" s="128">
        <v>4470</v>
      </c>
      <c r="I239" s="128">
        <v>0.18700000003445799</v>
      </c>
      <c r="J239" s="129">
        <v>0</v>
      </c>
      <c r="K239" s="139">
        <v>4297</v>
      </c>
      <c r="L239" s="139">
        <v>5</v>
      </c>
      <c r="M239" s="139">
        <v>4</v>
      </c>
      <c r="N239" s="130">
        <f>((Tabela13633[[#This Row],[Objetive value Cannibalism ]]-Tabela13633[[#This Row],[Objetive value Cannibalism/GATeS]])/Tabela13633[[#This Row],[Objetive value Cannibalism ]])*100</f>
        <v>3.8702460850111855</v>
      </c>
      <c r="O239" s="131">
        <v>4304</v>
      </c>
      <c r="P239" s="131">
        <v>0.45</v>
      </c>
      <c r="Q239" s="131">
        <v>0</v>
      </c>
      <c r="R239" s="141">
        <f>(((Tabela13633[[#This Row],[Objetive value Cannibalism ]]-Tabela13633[[#This Row],[Objetive value Cannibalism/H-R1]])/Tabela13633[[#This Row],[Objetive value Cannibalism ]]))*100</f>
        <v>3.7136465324384789</v>
      </c>
      <c r="S239" s="113">
        <v>4304</v>
      </c>
      <c r="T239" s="113">
        <v>0.36</v>
      </c>
      <c r="U239" s="113">
        <v>0</v>
      </c>
      <c r="V239" s="143">
        <f>(((Tabela13633[[#This Row],[Objetive value Cannibalism ]]-Tabela13633[[#This Row],[Objetive value Cannibalism/H-R2]])/Tabela13633[[#This Row],[Objetive value Cannibalism ]]))*100</f>
        <v>3.7136465324384789</v>
      </c>
    </row>
    <row r="240" spans="1:22" s="34" customFormat="1" x14ac:dyDescent="0.25">
      <c r="A240" s="3" t="s">
        <v>91</v>
      </c>
      <c r="B240" s="39" t="s">
        <v>473</v>
      </c>
      <c r="C240" s="3">
        <v>200</v>
      </c>
      <c r="D240" s="3">
        <v>0.15</v>
      </c>
      <c r="E240" s="3">
        <v>10</v>
      </c>
      <c r="F240" s="39" t="s">
        <v>18</v>
      </c>
      <c r="G240" s="39" t="s">
        <v>16</v>
      </c>
      <c r="H240" s="128">
        <v>2556</v>
      </c>
      <c r="I240" s="128">
        <v>0.73499999998603005</v>
      </c>
      <c r="J240" s="129">
        <v>0</v>
      </c>
      <c r="K240" s="139">
        <v>2554</v>
      </c>
      <c r="L240" s="139">
        <v>7</v>
      </c>
      <c r="M240" s="139">
        <v>5</v>
      </c>
      <c r="N240" s="130">
        <f>((Tabela13633[[#This Row],[Objetive value Cannibalism ]]-Tabela13633[[#This Row],[Objetive value Cannibalism/GATeS]])/Tabela13633[[#This Row],[Objetive value Cannibalism ]])*100</f>
        <v>7.82472613458529E-2</v>
      </c>
      <c r="O240" s="131">
        <v>2457</v>
      </c>
      <c r="P240" s="131">
        <v>0.45</v>
      </c>
      <c r="Q240" s="131">
        <v>0</v>
      </c>
      <c r="R240" s="141">
        <f>(((Tabela13633[[#This Row],[Objetive value Cannibalism ]]-Tabela13633[[#This Row],[Objetive value Cannibalism/H-R1]])/Tabela13633[[#This Row],[Objetive value Cannibalism ]]))*100</f>
        <v>3.873239436619718</v>
      </c>
      <c r="S240" s="113">
        <v>2466</v>
      </c>
      <c r="T240" s="113">
        <v>0.44</v>
      </c>
      <c r="U240" s="113">
        <v>0</v>
      </c>
      <c r="V240" s="143">
        <f>(((Tabela13633[[#This Row],[Objetive value Cannibalism ]]-Tabela13633[[#This Row],[Objetive value Cannibalism/H-R2]])/Tabela13633[[#This Row],[Objetive value Cannibalism ]]))*100</f>
        <v>3.5211267605633805</v>
      </c>
    </row>
    <row r="241" spans="1:22" s="34" customFormat="1" x14ac:dyDescent="0.25">
      <c r="A241" s="3" t="s">
        <v>91</v>
      </c>
      <c r="B241" s="39" t="s">
        <v>474</v>
      </c>
      <c r="C241" s="3">
        <v>200</v>
      </c>
      <c r="D241" s="3">
        <v>0.15</v>
      </c>
      <c r="E241" s="3">
        <v>10</v>
      </c>
      <c r="F241" s="39" t="s">
        <v>21</v>
      </c>
      <c r="G241" s="39" t="s">
        <v>14</v>
      </c>
      <c r="H241" s="128">
        <v>3934</v>
      </c>
      <c r="I241" s="128">
        <v>0.20299999997950999</v>
      </c>
      <c r="J241" s="129">
        <v>0</v>
      </c>
      <c r="K241" s="139">
        <v>3745</v>
      </c>
      <c r="L241" s="139">
        <v>116</v>
      </c>
      <c r="M241" s="139">
        <v>115</v>
      </c>
      <c r="N241" s="130">
        <f>((Tabela13633[[#This Row],[Objetive value Cannibalism ]]-Tabela13633[[#This Row],[Objetive value Cannibalism/GATeS]])/Tabela13633[[#This Row],[Objetive value Cannibalism ]])*100</f>
        <v>4.8042704626334514</v>
      </c>
      <c r="O241" s="131">
        <v>3792</v>
      </c>
      <c r="P241" s="131">
        <v>0.49</v>
      </c>
      <c r="Q241" s="131">
        <v>0</v>
      </c>
      <c r="R241" s="141">
        <f>(((Tabela13633[[#This Row],[Objetive value Cannibalism ]]-Tabela13633[[#This Row],[Objetive value Cannibalism/H-R1]])/Tabela13633[[#This Row],[Objetive value Cannibalism ]]))*100</f>
        <v>3.609557702084393</v>
      </c>
      <c r="S241" s="113">
        <v>3653</v>
      </c>
      <c r="T241" s="113">
        <v>0.33</v>
      </c>
      <c r="U241" s="113">
        <v>0</v>
      </c>
      <c r="V241" s="143">
        <f>(((Tabela13633[[#This Row],[Objetive value Cannibalism ]]-Tabela13633[[#This Row],[Objetive value Cannibalism/H-R2]])/Tabela13633[[#This Row],[Objetive value Cannibalism ]]))*100</f>
        <v>7.1428571428571423</v>
      </c>
    </row>
    <row r="242" spans="1:22" s="34" customFormat="1" x14ac:dyDescent="0.25">
      <c r="A242" s="3" t="s">
        <v>91</v>
      </c>
      <c r="B242" s="39" t="s">
        <v>475</v>
      </c>
      <c r="C242" s="3">
        <v>200</v>
      </c>
      <c r="D242" s="3">
        <v>0.15</v>
      </c>
      <c r="E242" s="3">
        <v>10</v>
      </c>
      <c r="F242" s="39" t="s">
        <v>21</v>
      </c>
      <c r="G242" s="39" t="s">
        <v>16</v>
      </c>
      <c r="H242" s="128">
        <v>2510</v>
      </c>
      <c r="I242" s="128">
        <v>0.39100000006146701</v>
      </c>
      <c r="J242" s="129">
        <v>0</v>
      </c>
      <c r="K242" s="139">
        <v>2499</v>
      </c>
      <c r="L242" s="139">
        <v>8</v>
      </c>
      <c r="M242" s="139">
        <v>1</v>
      </c>
      <c r="N242" s="130">
        <f>((Tabela13633[[#This Row],[Objetive value Cannibalism ]]-Tabela13633[[#This Row],[Objetive value Cannibalism/GATeS]])/Tabela13633[[#This Row],[Objetive value Cannibalism ]])*100</f>
        <v>0.43824701195219129</v>
      </c>
      <c r="O242" s="131">
        <v>2510</v>
      </c>
      <c r="P242" s="131">
        <v>0.4</v>
      </c>
      <c r="Q242" s="131">
        <v>0</v>
      </c>
      <c r="R242" s="141">
        <f>(((Tabela13633[[#This Row],[Objetive value Cannibalism ]]-Tabela13633[[#This Row],[Objetive value Cannibalism/H-R1]])/Tabela13633[[#This Row],[Objetive value Cannibalism ]]))*100</f>
        <v>0</v>
      </c>
      <c r="S242" s="113">
        <v>2510</v>
      </c>
      <c r="T242" s="113">
        <v>0.41</v>
      </c>
      <c r="U242" s="113">
        <v>0</v>
      </c>
      <c r="V242" s="143">
        <f>(((Tabela13633[[#This Row],[Objetive value Cannibalism ]]-Tabela13633[[#This Row],[Objetive value Cannibalism/H-R2]])/Tabela13633[[#This Row],[Objetive value Cannibalism ]]))*100</f>
        <v>0</v>
      </c>
    </row>
    <row r="243" spans="1:22" s="34" customFormat="1" x14ac:dyDescent="0.25">
      <c r="A243" s="3" t="s">
        <v>110</v>
      </c>
      <c r="B243" s="37" t="s">
        <v>488</v>
      </c>
      <c r="C243" s="3">
        <v>200</v>
      </c>
      <c r="D243" s="3">
        <v>0.15</v>
      </c>
      <c r="E243" s="3">
        <v>15</v>
      </c>
      <c r="F243" s="39" t="s">
        <v>13</v>
      </c>
      <c r="G243" s="39" t="s">
        <v>14</v>
      </c>
      <c r="H243" s="128">
        <v>6398</v>
      </c>
      <c r="I243" s="128">
        <v>1.4690000000000001</v>
      </c>
      <c r="J243" s="129">
        <v>6.47</v>
      </c>
      <c r="K243" s="139">
        <v>6218</v>
      </c>
      <c r="L243" s="139">
        <v>119</v>
      </c>
      <c r="M243" s="139">
        <v>6</v>
      </c>
      <c r="N243" s="130">
        <f>((Tabela13633[[#This Row],[Objetive value Cannibalism ]]-Tabela13633[[#This Row],[Objetive value Cannibalism/GATeS]])/Tabela13633[[#This Row],[Objetive value Cannibalism ]])*100</f>
        <v>2.8133791809940605</v>
      </c>
      <c r="O243" s="131">
        <v>5840</v>
      </c>
      <c r="P243" s="131">
        <v>0.39</v>
      </c>
      <c r="Q243" s="131">
        <v>0</v>
      </c>
      <c r="R243" s="141">
        <f>(((Tabela13633[[#This Row],[Objetive value Cannibalism ]]-Tabela13633[[#This Row],[Objetive value Cannibalism/H-R1]])/Tabela13633[[#This Row],[Objetive value Cannibalism ]]))*100</f>
        <v>8.721475461081587</v>
      </c>
      <c r="S243" s="113">
        <v>5782</v>
      </c>
      <c r="T243" s="113">
        <v>0.36</v>
      </c>
      <c r="U243" s="113">
        <v>0</v>
      </c>
      <c r="V243" s="143">
        <f>(((Tabela13633[[#This Row],[Objetive value Cannibalism ]]-Tabela13633[[#This Row],[Objetive value Cannibalism/H-R2]])/Tabela13633[[#This Row],[Objetive value Cannibalism ]]))*100</f>
        <v>9.62800875273523</v>
      </c>
    </row>
    <row r="244" spans="1:22" s="34" customFormat="1" x14ac:dyDescent="0.25">
      <c r="A244" s="3" t="s">
        <v>110</v>
      </c>
      <c r="B244" s="39" t="s">
        <v>489</v>
      </c>
      <c r="C244" s="3">
        <v>200</v>
      </c>
      <c r="D244" s="3">
        <v>0.15</v>
      </c>
      <c r="E244" s="3">
        <v>15</v>
      </c>
      <c r="F244" s="39" t="s">
        <v>13</v>
      </c>
      <c r="G244" s="39" t="s">
        <v>16</v>
      </c>
      <c r="H244" s="128">
        <v>3636</v>
      </c>
      <c r="I244" s="128">
        <v>5.0629999999999997</v>
      </c>
      <c r="J244" s="129">
        <v>0</v>
      </c>
      <c r="K244" s="139">
        <v>3591</v>
      </c>
      <c r="L244" s="139">
        <v>16</v>
      </c>
      <c r="M244" s="139">
        <v>3</v>
      </c>
      <c r="N244" s="130">
        <f>((Tabela13633[[#This Row],[Objetive value Cannibalism ]]-Tabela13633[[#This Row],[Objetive value Cannibalism/GATeS]])/Tabela13633[[#This Row],[Objetive value Cannibalism ]])*100</f>
        <v>1.2376237623762376</v>
      </c>
      <c r="O244" s="131">
        <v>3596</v>
      </c>
      <c r="P244" s="131">
        <v>0.43</v>
      </c>
      <c r="Q244" s="131">
        <v>0</v>
      </c>
      <c r="R244" s="141">
        <f>(((Tabela13633[[#This Row],[Objetive value Cannibalism ]]-Tabela13633[[#This Row],[Objetive value Cannibalism/H-R1]])/Tabela13633[[#This Row],[Objetive value Cannibalism ]]))*100</f>
        <v>1.1001100110011002</v>
      </c>
      <c r="S244" s="113">
        <v>3480</v>
      </c>
      <c r="T244" s="113">
        <v>0.46</v>
      </c>
      <c r="U244" s="113">
        <v>0</v>
      </c>
      <c r="V244" s="143">
        <f>(((Tabela13633[[#This Row],[Objetive value Cannibalism ]]-Tabela13633[[#This Row],[Objetive value Cannibalism/H-R2]])/Tabela13633[[#This Row],[Objetive value Cannibalism ]]))*100</f>
        <v>4.2904290429042904</v>
      </c>
    </row>
    <row r="245" spans="1:22" s="34" customFormat="1" x14ac:dyDescent="0.25">
      <c r="A245" s="3" t="s">
        <v>110</v>
      </c>
      <c r="B245" s="39" t="s">
        <v>490</v>
      </c>
      <c r="C245" s="3">
        <v>200</v>
      </c>
      <c r="D245" s="3">
        <v>0.15</v>
      </c>
      <c r="E245" s="3">
        <v>15</v>
      </c>
      <c r="F245" s="39" t="s">
        <v>18</v>
      </c>
      <c r="G245" s="39" t="s">
        <v>14</v>
      </c>
      <c r="H245" s="128">
        <v>6313</v>
      </c>
      <c r="I245" s="128">
        <v>1.4059999999999999</v>
      </c>
      <c r="J245" s="129">
        <v>21.29</v>
      </c>
      <c r="K245" s="139">
        <v>6023</v>
      </c>
      <c r="L245" s="139">
        <v>12</v>
      </c>
      <c r="M245" s="139">
        <v>9</v>
      </c>
      <c r="N245" s="130">
        <f>((Tabela13633[[#This Row],[Objetive value Cannibalism ]]-Tabela13633[[#This Row],[Objetive value Cannibalism/GATeS]])/Tabela13633[[#This Row],[Objetive value Cannibalism ]])*100</f>
        <v>4.5936955488674167</v>
      </c>
      <c r="O245" s="131">
        <v>5605</v>
      </c>
      <c r="P245" s="131">
        <v>0.49</v>
      </c>
      <c r="Q245" s="131">
        <v>0</v>
      </c>
      <c r="R245" s="141">
        <f>(((Tabela13633[[#This Row],[Objetive value Cannibalism ]]-Tabela13633[[#This Row],[Objetive value Cannibalism/H-R1]])/Tabela13633[[#This Row],[Objetive value Cannibalism ]]))*100</f>
        <v>11.214953271028037</v>
      </c>
      <c r="S245" s="113">
        <v>5445</v>
      </c>
      <c r="T245" s="113">
        <v>0.71</v>
      </c>
      <c r="U245" s="113">
        <v>0</v>
      </c>
      <c r="V245" s="143">
        <f>(((Tabela13633[[#This Row],[Objetive value Cannibalism ]]-Tabela13633[[#This Row],[Objetive value Cannibalism/H-R2]])/Tabela13633[[#This Row],[Objetive value Cannibalism ]]))*100</f>
        <v>13.749405987644542</v>
      </c>
    </row>
    <row r="246" spans="1:22" s="34" customFormat="1" x14ac:dyDescent="0.25">
      <c r="A246" s="3" t="s">
        <v>110</v>
      </c>
      <c r="B246" s="39" t="s">
        <v>491</v>
      </c>
      <c r="C246" s="3">
        <v>200</v>
      </c>
      <c r="D246" s="3">
        <v>0.15</v>
      </c>
      <c r="E246" s="3">
        <v>15</v>
      </c>
      <c r="F246" s="39" t="s">
        <v>18</v>
      </c>
      <c r="G246" s="39" t="s">
        <v>16</v>
      </c>
      <c r="H246" s="128">
        <v>3408</v>
      </c>
      <c r="I246" s="128">
        <v>1.4379999999999999</v>
      </c>
      <c r="J246" s="129">
        <v>0.05</v>
      </c>
      <c r="K246" s="139">
        <v>3361</v>
      </c>
      <c r="L246" s="139">
        <v>23</v>
      </c>
      <c r="M246" s="139">
        <v>20</v>
      </c>
      <c r="N246" s="130">
        <f>((Tabela13633[[#This Row],[Objetive value Cannibalism ]]-Tabela13633[[#This Row],[Objetive value Cannibalism/GATeS]])/Tabela13633[[#This Row],[Objetive value Cannibalism ]])*100</f>
        <v>1.3791079812206573</v>
      </c>
      <c r="O246" s="131">
        <v>3328</v>
      </c>
      <c r="P246" s="131">
        <v>0.46</v>
      </c>
      <c r="Q246" s="131">
        <v>0</v>
      </c>
      <c r="R246" s="141">
        <f>(((Tabela13633[[#This Row],[Objetive value Cannibalism ]]-Tabela13633[[#This Row],[Objetive value Cannibalism/H-R1]])/Tabela13633[[#This Row],[Objetive value Cannibalism ]]))*100</f>
        <v>2.3474178403755865</v>
      </c>
      <c r="S246" s="113">
        <v>3352</v>
      </c>
      <c r="T246" s="113">
        <v>0.6</v>
      </c>
      <c r="U246" s="113">
        <v>0</v>
      </c>
      <c r="V246" s="143">
        <f>(((Tabela13633[[#This Row],[Objetive value Cannibalism ]]-Tabela13633[[#This Row],[Objetive value Cannibalism/H-R2]])/Tabela13633[[#This Row],[Objetive value Cannibalism ]]))*100</f>
        <v>1.643192488262911</v>
      </c>
    </row>
    <row r="247" spans="1:22" s="34" customFormat="1" x14ac:dyDescent="0.25">
      <c r="A247" s="3" t="s">
        <v>110</v>
      </c>
      <c r="B247" s="39" t="s">
        <v>492</v>
      </c>
      <c r="C247" s="3">
        <v>200</v>
      </c>
      <c r="D247" s="3">
        <v>0.15</v>
      </c>
      <c r="E247" s="3">
        <v>15</v>
      </c>
      <c r="F247" s="39" t="s">
        <v>21</v>
      </c>
      <c r="G247" s="39" t="s">
        <v>14</v>
      </c>
      <c r="H247" s="128">
        <v>4069</v>
      </c>
      <c r="I247" s="128">
        <v>0.25</v>
      </c>
      <c r="J247" s="129">
        <v>0</v>
      </c>
      <c r="K247" s="139">
        <v>4064</v>
      </c>
      <c r="L247" s="139">
        <v>8</v>
      </c>
      <c r="M247" s="139">
        <v>3</v>
      </c>
      <c r="N247" s="130">
        <f>((Tabela13633[[#This Row],[Objetive value Cannibalism ]]-Tabela13633[[#This Row],[Objetive value Cannibalism/GATeS]])/Tabela13633[[#This Row],[Objetive value Cannibalism ]])*100</f>
        <v>0.12288031457360531</v>
      </c>
      <c r="O247" s="131">
        <v>2832</v>
      </c>
      <c r="P247" s="131">
        <v>1.25</v>
      </c>
      <c r="Q247" s="131">
        <v>0</v>
      </c>
      <c r="R247" s="141">
        <f>(((Tabela13633[[#This Row],[Objetive value Cannibalism ]]-Tabela13633[[#This Row],[Objetive value Cannibalism/H-R1]])/Tabela13633[[#This Row],[Objetive value Cannibalism ]]))*100</f>
        <v>30.400589825509954</v>
      </c>
      <c r="S247" s="113">
        <v>4069</v>
      </c>
      <c r="T247" s="113">
        <v>1.06</v>
      </c>
      <c r="U247" s="113">
        <v>0</v>
      </c>
      <c r="V247" s="143">
        <f>(((Tabela13633[[#This Row],[Objetive value Cannibalism ]]-Tabela13633[[#This Row],[Objetive value Cannibalism/H-R2]])/Tabela13633[[#This Row],[Objetive value Cannibalism ]]))*100</f>
        <v>0</v>
      </c>
    </row>
    <row r="248" spans="1:22" s="34" customFormat="1" x14ac:dyDescent="0.25">
      <c r="A248" s="3" t="s">
        <v>110</v>
      </c>
      <c r="B248" s="39" t="s">
        <v>493</v>
      </c>
      <c r="C248" s="3">
        <v>200</v>
      </c>
      <c r="D248" s="3">
        <v>0.15</v>
      </c>
      <c r="E248" s="3">
        <v>15</v>
      </c>
      <c r="F248" s="39" t="s">
        <v>21</v>
      </c>
      <c r="G248" s="39" t="s">
        <v>16</v>
      </c>
      <c r="H248" s="128">
        <v>3587</v>
      </c>
      <c r="I248" s="128">
        <v>4.6559999999999997</v>
      </c>
      <c r="J248" s="129">
        <v>0</v>
      </c>
      <c r="K248" s="139">
        <v>3542</v>
      </c>
      <c r="L248" s="139">
        <v>20</v>
      </c>
      <c r="M248" s="139">
        <v>8</v>
      </c>
      <c r="N248" s="130">
        <f>((Tabela13633[[#This Row],[Objetive value Cannibalism ]]-Tabela13633[[#This Row],[Objetive value Cannibalism/GATeS]])/Tabela13633[[#This Row],[Objetive value Cannibalism ]])*100</f>
        <v>1.2545302481182046</v>
      </c>
      <c r="O248" s="131">
        <v>3587</v>
      </c>
      <c r="P248" s="131">
        <v>0.38</v>
      </c>
      <c r="Q248" s="131">
        <v>0</v>
      </c>
      <c r="R248" s="141">
        <f>(((Tabela13633[[#This Row],[Objetive value Cannibalism ]]-Tabela13633[[#This Row],[Objetive value Cannibalism/H-R1]])/Tabela13633[[#This Row],[Objetive value Cannibalism ]]))*100</f>
        <v>0</v>
      </c>
      <c r="S248" s="113">
        <v>3565</v>
      </c>
      <c r="T248" s="113">
        <v>0.51</v>
      </c>
      <c r="U248" s="113">
        <v>0</v>
      </c>
      <c r="V248" s="143">
        <f>(((Tabela13633[[#This Row],[Objetive value Cannibalism ]]-Tabela13633[[#This Row],[Objetive value Cannibalism/H-R2]])/Tabela13633[[#This Row],[Objetive value Cannibalism ]]))*100</f>
        <v>0.61332589908001112</v>
      </c>
    </row>
    <row r="249" spans="1:22" s="34" customFormat="1" x14ac:dyDescent="0.25">
      <c r="A249" s="3" t="s">
        <v>73</v>
      </c>
      <c r="B249" s="39" t="s">
        <v>452</v>
      </c>
      <c r="C249" s="3">
        <v>200</v>
      </c>
      <c r="D249" s="3">
        <v>0.15</v>
      </c>
      <c r="E249" s="3">
        <v>5</v>
      </c>
      <c r="F249" s="39" t="s">
        <v>13</v>
      </c>
      <c r="G249" s="39" t="s">
        <v>14</v>
      </c>
      <c r="H249" s="128">
        <v>2219</v>
      </c>
      <c r="I249" s="128">
        <v>0.14100000006146701</v>
      </c>
      <c r="J249" s="129">
        <v>0</v>
      </c>
      <c r="K249" s="139">
        <v>2212</v>
      </c>
      <c r="L249" s="139">
        <v>3</v>
      </c>
      <c r="M249" s="139">
        <v>2</v>
      </c>
      <c r="N249" s="130">
        <f>((Tabela13633[[#This Row],[Objetive value Cannibalism ]]-Tabela13633[[#This Row],[Objetive value Cannibalism/GATeS]])/Tabela13633[[#This Row],[Objetive value Cannibalism ]])*100</f>
        <v>0.31545741324921134</v>
      </c>
      <c r="O249" s="131">
        <v>2213</v>
      </c>
      <c r="P249" s="131">
        <v>0.32</v>
      </c>
      <c r="Q249" s="131">
        <v>0</v>
      </c>
      <c r="R249" s="141">
        <f>(((Tabela13633[[#This Row],[Objetive value Cannibalism ]]-Tabela13633[[#This Row],[Objetive value Cannibalism/H-R1]])/Tabela13633[[#This Row],[Objetive value Cannibalism ]]))*100</f>
        <v>0.27039206849932401</v>
      </c>
      <c r="S249" s="113">
        <v>2219</v>
      </c>
      <c r="T249" s="113">
        <v>0.4</v>
      </c>
      <c r="U249" s="113">
        <v>0</v>
      </c>
      <c r="V249" s="143">
        <f>(((Tabela13633[[#This Row],[Objetive value Cannibalism ]]-Tabela13633[[#This Row],[Objetive value Cannibalism/H-R2]])/Tabela13633[[#This Row],[Objetive value Cannibalism ]]))*100</f>
        <v>0</v>
      </c>
    </row>
    <row r="250" spans="1:22" s="34" customFormat="1" x14ac:dyDescent="0.25">
      <c r="A250" s="3" t="s">
        <v>73</v>
      </c>
      <c r="B250" s="39" t="s">
        <v>453</v>
      </c>
      <c r="C250" s="3">
        <v>200</v>
      </c>
      <c r="D250" s="3">
        <v>0.15</v>
      </c>
      <c r="E250" s="3">
        <v>5</v>
      </c>
      <c r="F250" s="39" t="s">
        <v>13</v>
      </c>
      <c r="G250" s="39" t="s">
        <v>16</v>
      </c>
      <c r="H250" s="128">
        <v>1482</v>
      </c>
      <c r="I250" s="128">
        <v>0.20299999997950999</v>
      </c>
      <c r="J250" s="129">
        <v>0</v>
      </c>
      <c r="K250" s="139">
        <v>1415</v>
      </c>
      <c r="L250" s="139">
        <v>4</v>
      </c>
      <c r="M250" s="139">
        <v>1</v>
      </c>
      <c r="N250" s="130">
        <f>((Tabela13633[[#This Row],[Objetive value Cannibalism ]]-Tabela13633[[#This Row],[Objetive value Cannibalism/GATeS]])/Tabela13633[[#This Row],[Objetive value Cannibalism ]])*100</f>
        <v>4.5209176788124159</v>
      </c>
      <c r="O250" s="131">
        <v>1412</v>
      </c>
      <c r="P250" s="131">
        <v>0.36</v>
      </c>
      <c r="Q250" s="131">
        <v>0</v>
      </c>
      <c r="R250" s="141">
        <f>(((Tabela13633[[#This Row],[Objetive value Cannibalism ]]-Tabela13633[[#This Row],[Objetive value Cannibalism/H-R1]])/Tabela13633[[#This Row],[Objetive value Cannibalism ]]))*100</f>
        <v>4.7233468286099871</v>
      </c>
      <c r="S250" s="113">
        <v>1412</v>
      </c>
      <c r="T250" s="113">
        <v>0.38</v>
      </c>
      <c r="U250" s="113">
        <v>0</v>
      </c>
      <c r="V250" s="143">
        <f>(((Tabela13633[[#This Row],[Objetive value Cannibalism ]]-Tabela13633[[#This Row],[Objetive value Cannibalism/H-R2]])/Tabela13633[[#This Row],[Objetive value Cannibalism ]]))*100</f>
        <v>4.7233468286099871</v>
      </c>
    </row>
    <row r="251" spans="1:22" s="34" customFormat="1" x14ac:dyDescent="0.25">
      <c r="A251" s="3" t="s">
        <v>73</v>
      </c>
      <c r="B251" s="39" t="s">
        <v>454</v>
      </c>
      <c r="C251" s="3">
        <v>200</v>
      </c>
      <c r="D251" s="3">
        <v>0.15</v>
      </c>
      <c r="E251" s="3">
        <v>5</v>
      </c>
      <c r="F251" s="39" t="s">
        <v>18</v>
      </c>
      <c r="G251" s="39" t="s">
        <v>14</v>
      </c>
      <c r="H251" s="128">
        <v>1830</v>
      </c>
      <c r="I251" s="128">
        <v>0.20299999997950999</v>
      </c>
      <c r="J251" s="129">
        <v>0</v>
      </c>
      <c r="K251" s="139">
        <v>1588</v>
      </c>
      <c r="L251" s="139">
        <v>2</v>
      </c>
      <c r="M251" s="139">
        <v>0</v>
      </c>
      <c r="N251" s="130">
        <f>((Tabela13633[[#This Row],[Objetive value Cannibalism ]]-Tabela13633[[#This Row],[Objetive value Cannibalism/GATeS]])/Tabela13633[[#This Row],[Objetive value Cannibalism ]])*100</f>
        <v>13.224043715846994</v>
      </c>
      <c r="O251" s="131">
        <v>1830</v>
      </c>
      <c r="P251" s="131">
        <v>0.32</v>
      </c>
      <c r="Q251" s="131">
        <v>0</v>
      </c>
      <c r="R251" s="141">
        <f>(((Tabela13633[[#This Row],[Objetive value Cannibalism ]]-Tabela13633[[#This Row],[Objetive value Cannibalism/H-R1]])/Tabela13633[[#This Row],[Objetive value Cannibalism ]]))*100</f>
        <v>0</v>
      </c>
      <c r="S251" s="113">
        <v>1830</v>
      </c>
      <c r="T251" s="113">
        <v>0.39</v>
      </c>
      <c r="U251" s="113">
        <v>0</v>
      </c>
      <c r="V251" s="143">
        <f>(((Tabela13633[[#This Row],[Objetive value Cannibalism ]]-Tabela13633[[#This Row],[Objetive value Cannibalism/H-R2]])/Tabela13633[[#This Row],[Objetive value Cannibalism ]]))*100</f>
        <v>0</v>
      </c>
    </row>
    <row r="252" spans="1:22" s="34" customFormat="1" x14ac:dyDescent="0.25">
      <c r="A252" s="3" t="s">
        <v>73</v>
      </c>
      <c r="B252" s="39" t="s">
        <v>455</v>
      </c>
      <c r="C252" s="3">
        <v>200</v>
      </c>
      <c r="D252" s="3">
        <v>0.15</v>
      </c>
      <c r="E252" s="3">
        <v>5</v>
      </c>
      <c r="F252" s="39" t="s">
        <v>18</v>
      </c>
      <c r="G252" s="39" t="s">
        <v>16</v>
      </c>
      <c r="H252" s="128">
        <v>1441</v>
      </c>
      <c r="I252" s="128">
        <v>0.14100000006146701</v>
      </c>
      <c r="J252" s="129">
        <v>0</v>
      </c>
      <c r="K252" s="139">
        <v>1441</v>
      </c>
      <c r="L252" s="139">
        <v>3</v>
      </c>
      <c r="M252" s="139">
        <v>1</v>
      </c>
      <c r="N252" s="130">
        <f>((Tabela13633[[#This Row],[Objetive value Cannibalism ]]-Tabela13633[[#This Row],[Objetive value Cannibalism/GATeS]])/Tabela13633[[#This Row],[Objetive value Cannibalism ]])*100</f>
        <v>0</v>
      </c>
      <c r="O252" s="131">
        <v>1441</v>
      </c>
      <c r="P252" s="131">
        <v>0.27</v>
      </c>
      <c r="Q252" s="131">
        <v>0</v>
      </c>
      <c r="R252" s="141">
        <f>(((Tabela13633[[#This Row],[Objetive value Cannibalism ]]-Tabela13633[[#This Row],[Objetive value Cannibalism/H-R1]])/Tabela13633[[#This Row],[Objetive value Cannibalism ]]))*100</f>
        <v>0</v>
      </c>
      <c r="S252" s="113">
        <v>1400</v>
      </c>
      <c r="T252" s="113">
        <v>0.31</v>
      </c>
      <c r="U252" s="113">
        <v>0</v>
      </c>
      <c r="V252" s="143">
        <f>(((Tabela13633[[#This Row],[Objetive value Cannibalism ]]-Tabela13633[[#This Row],[Objetive value Cannibalism/H-R2]])/Tabela13633[[#This Row],[Objetive value Cannibalism ]]))*100</f>
        <v>2.8452463566967383</v>
      </c>
    </row>
    <row r="253" spans="1:22" s="34" customFormat="1" x14ac:dyDescent="0.25">
      <c r="A253" s="3" t="s">
        <v>73</v>
      </c>
      <c r="B253" s="39" t="s">
        <v>456</v>
      </c>
      <c r="C253" s="3">
        <v>200</v>
      </c>
      <c r="D253" s="3">
        <v>0.15</v>
      </c>
      <c r="E253" s="3">
        <v>5</v>
      </c>
      <c r="F253" s="39" t="s">
        <v>21</v>
      </c>
      <c r="G253" s="39" t="s">
        <v>14</v>
      </c>
      <c r="H253" s="128">
        <v>1920</v>
      </c>
      <c r="I253" s="128">
        <v>0.125</v>
      </c>
      <c r="J253" s="129">
        <v>0</v>
      </c>
      <c r="K253" s="139">
        <v>1910</v>
      </c>
      <c r="L253" s="139">
        <v>3</v>
      </c>
      <c r="M253" s="139">
        <v>2</v>
      </c>
      <c r="N253" s="130">
        <f>((Tabela13633[[#This Row],[Objetive value Cannibalism ]]-Tabela13633[[#This Row],[Objetive value Cannibalism/GATeS]])/Tabela13633[[#This Row],[Objetive value Cannibalism ]])*100</f>
        <v>0.52083333333333326</v>
      </c>
      <c r="O253" s="131">
        <v>1920</v>
      </c>
      <c r="P253" s="131">
        <v>0.41</v>
      </c>
      <c r="Q253" s="131">
        <v>0</v>
      </c>
      <c r="R253" s="141">
        <f>(((Tabela13633[[#This Row],[Objetive value Cannibalism ]]-Tabela13633[[#This Row],[Objetive value Cannibalism/H-R1]])/Tabela13633[[#This Row],[Objetive value Cannibalism ]]))*100</f>
        <v>0</v>
      </c>
      <c r="S253" s="113">
        <v>1920</v>
      </c>
      <c r="T253" s="113">
        <v>0.3</v>
      </c>
      <c r="U253" s="113">
        <v>0</v>
      </c>
      <c r="V253" s="143">
        <f>(((Tabela13633[[#This Row],[Objetive value Cannibalism ]]-Tabela13633[[#This Row],[Objetive value Cannibalism/H-R2]])/Tabela13633[[#This Row],[Objetive value Cannibalism ]]))*100</f>
        <v>0</v>
      </c>
    </row>
    <row r="254" spans="1:22" s="34" customFormat="1" x14ac:dyDescent="0.25">
      <c r="A254" s="3" t="s">
        <v>73</v>
      </c>
      <c r="B254" s="39" t="s">
        <v>457</v>
      </c>
      <c r="C254" s="3">
        <v>200</v>
      </c>
      <c r="D254" s="3">
        <v>0.15</v>
      </c>
      <c r="E254" s="3">
        <v>5</v>
      </c>
      <c r="F254" s="39" t="s">
        <v>21</v>
      </c>
      <c r="G254" s="39" t="s">
        <v>16</v>
      </c>
      <c r="H254" s="128">
        <v>1529</v>
      </c>
      <c r="I254" s="128">
        <v>0.125</v>
      </c>
      <c r="J254" s="129">
        <v>0</v>
      </c>
      <c r="K254" s="139">
        <v>1426</v>
      </c>
      <c r="L254" s="139">
        <v>4</v>
      </c>
      <c r="M254" s="139">
        <v>3</v>
      </c>
      <c r="N254" s="130">
        <f>((Tabela13633[[#This Row],[Objetive value Cannibalism ]]-Tabela13633[[#This Row],[Objetive value Cannibalism/GATeS]])/Tabela13633[[#This Row],[Objetive value Cannibalism ]])*100</f>
        <v>6.7364290385873122</v>
      </c>
      <c r="O254" s="131">
        <v>1529</v>
      </c>
      <c r="P254" s="131">
        <v>0.45</v>
      </c>
      <c r="Q254" s="131">
        <v>0</v>
      </c>
      <c r="R254" s="141">
        <f>(((Tabela13633[[#This Row],[Objetive value Cannibalism ]]-Tabela13633[[#This Row],[Objetive value Cannibalism/H-R1]])/Tabela13633[[#This Row],[Objetive value Cannibalism ]]))*100</f>
        <v>0</v>
      </c>
      <c r="S254" s="113">
        <v>1486</v>
      </c>
      <c r="T254" s="113">
        <v>0.38</v>
      </c>
      <c r="U254" s="113">
        <v>0</v>
      </c>
      <c r="V254" s="143">
        <f>(((Tabela13633[[#This Row],[Objetive value Cannibalism ]]-Tabela13633[[#This Row],[Objetive value Cannibalism/H-R2]])/Tabela13633[[#This Row],[Objetive value Cannibalism ]]))*100</f>
        <v>2.8122956180510137</v>
      </c>
    </row>
    <row r="255" spans="1:22" s="34" customFormat="1" x14ac:dyDescent="0.25">
      <c r="A255" s="3" t="s">
        <v>91</v>
      </c>
      <c r="B255" s="39" t="s">
        <v>458</v>
      </c>
      <c r="C255" s="3">
        <v>200</v>
      </c>
      <c r="D255" s="3">
        <v>0.05</v>
      </c>
      <c r="E255" s="3">
        <v>10</v>
      </c>
      <c r="F255" s="39" t="s">
        <v>13</v>
      </c>
      <c r="G255" s="39" t="s">
        <v>14</v>
      </c>
      <c r="H255" s="128">
        <v>3200</v>
      </c>
      <c r="I255" s="128">
        <v>0.35900000005494798</v>
      </c>
      <c r="J255" s="129">
        <v>0</v>
      </c>
      <c r="K255" s="139">
        <v>3151</v>
      </c>
      <c r="L255" s="139">
        <v>114</v>
      </c>
      <c r="M255" s="139">
        <v>2</v>
      </c>
      <c r="N255" s="130">
        <f>((Tabela13633[[#This Row],[Objetive value Cannibalism ]]-Tabela13633[[#This Row],[Objetive value Cannibalism/GATeS]])/Tabela13633[[#This Row],[Objetive value Cannibalism ]])*100</f>
        <v>1.53125</v>
      </c>
      <c r="O255" s="131">
        <v>3195</v>
      </c>
      <c r="P255" s="131">
        <v>0.41</v>
      </c>
      <c r="Q255" s="131">
        <v>0</v>
      </c>
      <c r="R255" s="141">
        <f>(((Tabela13633[[#This Row],[Objetive value Cannibalism ]]-Tabela13633[[#This Row],[Objetive value Cannibalism/H-R1]])/Tabela13633[[#This Row],[Objetive value Cannibalism ]]))*100</f>
        <v>0.15625</v>
      </c>
      <c r="S255" s="113">
        <v>2775</v>
      </c>
      <c r="T255" s="113">
        <v>0.32</v>
      </c>
      <c r="U255" s="113">
        <v>0</v>
      </c>
      <c r="V255" s="143">
        <f>(((Tabela13633[[#This Row],[Objetive value Cannibalism ]]-Tabela13633[[#This Row],[Objetive value Cannibalism/H-R2]])/Tabela13633[[#This Row],[Objetive value Cannibalism ]]))*100</f>
        <v>13.28125</v>
      </c>
    </row>
    <row r="256" spans="1:22" s="34" customFormat="1" x14ac:dyDescent="0.25">
      <c r="A256" s="3" t="s">
        <v>91</v>
      </c>
      <c r="B256" s="39" t="s">
        <v>459</v>
      </c>
      <c r="C256" s="3">
        <v>200</v>
      </c>
      <c r="D256" s="3">
        <v>0.05</v>
      </c>
      <c r="E256" s="3">
        <v>10</v>
      </c>
      <c r="F256" s="39" t="s">
        <v>13</v>
      </c>
      <c r="G256" s="39" t="s">
        <v>16</v>
      </c>
      <c r="H256" s="128">
        <v>2398</v>
      </c>
      <c r="I256" s="128">
        <v>0.45299999997951002</v>
      </c>
      <c r="J256" s="129">
        <v>0</v>
      </c>
      <c r="K256" s="139">
        <v>2365</v>
      </c>
      <c r="L256" s="139">
        <v>6</v>
      </c>
      <c r="M256" s="139">
        <v>4</v>
      </c>
      <c r="N256" s="130">
        <f>((Tabela13633[[#This Row],[Objetive value Cannibalism ]]-Tabela13633[[#This Row],[Objetive value Cannibalism/GATeS]])/Tabela13633[[#This Row],[Objetive value Cannibalism ]])*100</f>
        <v>1.3761467889908259</v>
      </c>
      <c r="O256" s="131">
        <v>2227</v>
      </c>
      <c r="P256" s="131">
        <v>0.45</v>
      </c>
      <c r="Q256" s="131">
        <v>0</v>
      </c>
      <c r="R256" s="141">
        <f>(((Tabela13633[[#This Row],[Objetive value Cannibalism ]]-Tabela13633[[#This Row],[Objetive value Cannibalism/H-R1]])/Tabela13633[[#This Row],[Objetive value Cannibalism ]]))*100</f>
        <v>7.1309424520433691</v>
      </c>
      <c r="S256" s="113">
        <v>2227</v>
      </c>
      <c r="T256" s="113">
        <v>0.38</v>
      </c>
      <c r="U256" s="113">
        <v>0</v>
      </c>
      <c r="V256" s="143">
        <f>(((Tabela13633[[#This Row],[Objetive value Cannibalism ]]-Tabela13633[[#This Row],[Objetive value Cannibalism/H-R2]])/Tabela13633[[#This Row],[Objetive value Cannibalism ]]))*100</f>
        <v>7.1309424520433691</v>
      </c>
    </row>
    <row r="257" spans="1:22" s="34" customFormat="1" x14ac:dyDescent="0.25">
      <c r="A257" s="3" t="s">
        <v>91</v>
      </c>
      <c r="B257" s="39" t="s">
        <v>460</v>
      </c>
      <c r="C257" s="3">
        <v>200</v>
      </c>
      <c r="D257" s="3">
        <v>0.05</v>
      </c>
      <c r="E257" s="3">
        <v>10</v>
      </c>
      <c r="F257" s="39" t="s">
        <v>18</v>
      </c>
      <c r="G257" s="39" t="s">
        <v>14</v>
      </c>
      <c r="H257" s="128">
        <v>3827</v>
      </c>
      <c r="I257" s="128">
        <v>0.18700000003445799</v>
      </c>
      <c r="J257" s="129">
        <v>0</v>
      </c>
      <c r="K257" s="139">
        <v>3684</v>
      </c>
      <c r="L257" s="139">
        <v>7</v>
      </c>
      <c r="M257" s="139">
        <v>2</v>
      </c>
      <c r="N257" s="130">
        <f>((Tabela13633[[#This Row],[Objetive value Cannibalism ]]-Tabela13633[[#This Row],[Objetive value Cannibalism/GATeS]])/Tabela13633[[#This Row],[Objetive value Cannibalism ]])*100</f>
        <v>3.7366083093807156</v>
      </c>
      <c r="O257" s="131">
        <v>3695</v>
      </c>
      <c r="P257" s="131">
        <v>0.35</v>
      </c>
      <c r="Q257" s="131">
        <v>0</v>
      </c>
      <c r="R257" s="141">
        <f>(((Tabela13633[[#This Row],[Objetive value Cannibalism ]]-Tabela13633[[#This Row],[Objetive value Cannibalism/H-R1]])/Tabela13633[[#This Row],[Objetive value Cannibalism ]]))*100</f>
        <v>3.4491769009668145</v>
      </c>
      <c r="S257" s="113">
        <v>3290</v>
      </c>
      <c r="T257" s="113">
        <v>0.43</v>
      </c>
      <c r="U257" s="113">
        <v>0</v>
      </c>
      <c r="V257" s="143">
        <f>(((Tabela13633[[#This Row],[Objetive value Cannibalism ]]-Tabela13633[[#This Row],[Objetive value Cannibalism/H-R2]])/Tabela13633[[#This Row],[Objetive value Cannibalism ]]))*100</f>
        <v>14.031878756205906</v>
      </c>
    </row>
    <row r="258" spans="1:22" s="34" customFormat="1" x14ac:dyDescent="0.25">
      <c r="A258" s="3" t="s">
        <v>91</v>
      </c>
      <c r="B258" s="39" t="s">
        <v>461</v>
      </c>
      <c r="C258" s="3">
        <v>200</v>
      </c>
      <c r="D258" s="3">
        <v>0.05</v>
      </c>
      <c r="E258" s="3">
        <v>10</v>
      </c>
      <c r="F258" s="39" t="s">
        <v>18</v>
      </c>
      <c r="G258" s="39" t="s">
        <v>16</v>
      </c>
      <c r="H258" s="128">
        <v>2430</v>
      </c>
      <c r="I258" s="128">
        <v>0.671999999904073</v>
      </c>
      <c r="J258" s="129">
        <v>0</v>
      </c>
      <c r="K258" s="139">
        <v>2414</v>
      </c>
      <c r="L258" s="139">
        <v>8</v>
      </c>
      <c r="M258" s="139">
        <v>3</v>
      </c>
      <c r="N258" s="130">
        <f>((Tabela13633[[#This Row],[Objetive value Cannibalism ]]-Tabela13633[[#This Row],[Objetive value Cannibalism/GATeS]])/Tabela13633[[#This Row],[Objetive value Cannibalism ]])*100</f>
        <v>0.65843621399176955</v>
      </c>
      <c r="O258" s="131">
        <v>2375</v>
      </c>
      <c r="P258" s="131">
        <v>0.36</v>
      </c>
      <c r="Q258" s="131">
        <v>0</v>
      </c>
      <c r="R258" s="141">
        <f>(((Tabela13633[[#This Row],[Objetive value Cannibalism ]]-Tabela13633[[#This Row],[Objetive value Cannibalism/H-R1]])/Tabela13633[[#This Row],[Objetive value Cannibalism ]]))*100</f>
        <v>2.263374485596708</v>
      </c>
      <c r="S258" s="113">
        <v>2375</v>
      </c>
      <c r="T258" s="113">
        <v>0.43</v>
      </c>
      <c r="U258" s="113">
        <v>0</v>
      </c>
      <c r="V258" s="143">
        <f>(((Tabela13633[[#This Row],[Objetive value Cannibalism ]]-Tabela13633[[#This Row],[Objetive value Cannibalism/H-R2]])/Tabela13633[[#This Row],[Objetive value Cannibalism ]]))*100</f>
        <v>2.263374485596708</v>
      </c>
    </row>
    <row r="259" spans="1:22" s="34" customFormat="1" x14ac:dyDescent="0.25">
      <c r="A259" s="3" t="s">
        <v>91</v>
      </c>
      <c r="B259" s="39" t="s">
        <v>462</v>
      </c>
      <c r="C259" s="3">
        <v>200</v>
      </c>
      <c r="D259" s="3">
        <v>0.05</v>
      </c>
      <c r="E259" s="3">
        <v>10</v>
      </c>
      <c r="F259" s="39" t="s">
        <v>21</v>
      </c>
      <c r="G259" s="39" t="s">
        <v>14</v>
      </c>
      <c r="H259" s="128">
        <v>3840</v>
      </c>
      <c r="I259" s="128">
        <v>0.171999999904073</v>
      </c>
      <c r="J259" s="129">
        <v>0</v>
      </c>
      <c r="K259" s="139">
        <v>3495</v>
      </c>
      <c r="L259" s="139">
        <v>5</v>
      </c>
      <c r="M259" s="139">
        <v>5</v>
      </c>
      <c r="N259" s="130">
        <f>((Tabela13633[[#This Row],[Objetive value Cannibalism ]]-Tabela13633[[#This Row],[Objetive value Cannibalism/GATeS]])/Tabela13633[[#This Row],[Objetive value Cannibalism ]])*100</f>
        <v>8.984375</v>
      </c>
      <c r="O259" s="131">
        <v>3840</v>
      </c>
      <c r="P259" s="131">
        <v>0.48</v>
      </c>
      <c r="Q259" s="131">
        <v>0</v>
      </c>
      <c r="R259" s="141">
        <f>(((Tabela13633[[#This Row],[Objetive value Cannibalism ]]-Tabela13633[[#This Row],[Objetive value Cannibalism/H-R1]])/Tabela13633[[#This Row],[Objetive value Cannibalism ]]))*100</f>
        <v>0</v>
      </c>
      <c r="S259" s="113">
        <v>2310</v>
      </c>
      <c r="T259" s="113">
        <v>1.2</v>
      </c>
      <c r="U259" s="113">
        <v>0</v>
      </c>
      <c r="V259" s="143">
        <f>(((Tabela13633[[#This Row],[Objetive value Cannibalism ]]-Tabela13633[[#This Row],[Objetive value Cannibalism/H-R2]])/Tabela13633[[#This Row],[Objetive value Cannibalism ]]))*100</f>
        <v>39.84375</v>
      </c>
    </row>
    <row r="260" spans="1:22" s="34" customFormat="1" x14ac:dyDescent="0.25">
      <c r="A260" s="3" t="s">
        <v>91</v>
      </c>
      <c r="B260" s="39" t="s">
        <v>463</v>
      </c>
      <c r="C260" s="3">
        <v>200</v>
      </c>
      <c r="D260" s="3">
        <v>0.05</v>
      </c>
      <c r="E260" s="3">
        <v>10</v>
      </c>
      <c r="F260" s="39" t="s">
        <v>21</v>
      </c>
      <c r="G260" s="39" t="s">
        <v>16</v>
      </c>
      <c r="H260" s="128">
        <v>2263</v>
      </c>
      <c r="I260" s="128">
        <v>0.90600000007543702</v>
      </c>
      <c r="J260" s="129">
        <v>0</v>
      </c>
      <c r="K260" s="139">
        <v>2241</v>
      </c>
      <c r="L260" s="139">
        <v>5</v>
      </c>
      <c r="M260" s="139">
        <v>3</v>
      </c>
      <c r="N260" s="130">
        <f>((Tabela13633[[#This Row],[Objetive value Cannibalism ]]-Tabela13633[[#This Row],[Objetive value Cannibalism/GATeS]])/Tabela13633[[#This Row],[Objetive value Cannibalism ]])*100</f>
        <v>0.97216084843128581</v>
      </c>
      <c r="O260" s="131">
        <v>2235</v>
      </c>
      <c r="P260" s="131">
        <v>0.54</v>
      </c>
      <c r="Q260" s="131">
        <v>0</v>
      </c>
      <c r="R260" s="141">
        <f>(((Tabela13633[[#This Row],[Objetive value Cannibalism ]]-Tabela13633[[#This Row],[Objetive value Cannibalism/H-R1]])/Tabela13633[[#This Row],[Objetive value Cannibalism ]]))*100</f>
        <v>1.2372956252761822</v>
      </c>
      <c r="S260" s="113">
        <v>2235</v>
      </c>
      <c r="T260" s="113">
        <v>0.41</v>
      </c>
      <c r="U260" s="113">
        <v>0</v>
      </c>
      <c r="V260" s="143">
        <f>(((Tabela13633[[#This Row],[Objetive value Cannibalism ]]-Tabela13633[[#This Row],[Objetive value Cannibalism/H-R2]])/Tabela13633[[#This Row],[Objetive value Cannibalism ]]))*100</f>
        <v>1.2372956252761822</v>
      </c>
    </row>
    <row r="261" spans="1:22" s="34" customFormat="1" x14ac:dyDescent="0.25">
      <c r="A261" s="3" t="s">
        <v>110</v>
      </c>
      <c r="B261" s="37" t="s">
        <v>476</v>
      </c>
      <c r="C261" s="3">
        <v>200</v>
      </c>
      <c r="D261" s="3">
        <v>0.05</v>
      </c>
      <c r="E261" s="3">
        <v>15</v>
      </c>
      <c r="F261" s="39" t="s">
        <v>13</v>
      </c>
      <c r="G261" s="39" t="s">
        <v>14</v>
      </c>
      <c r="H261" s="128">
        <v>4913</v>
      </c>
      <c r="I261" s="128">
        <v>1.359</v>
      </c>
      <c r="J261" s="129">
        <v>11.13</v>
      </c>
      <c r="K261" s="139">
        <v>4730</v>
      </c>
      <c r="L261" s="139">
        <v>10</v>
      </c>
      <c r="M261" s="139">
        <v>7</v>
      </c>
      <c r="N261" s="130">
        <f>((Tabela13633[[#This Row],[Objetive value Cannibalism ]]-Tabela13633[[#This Row],[Objetive value Cannibalism/GATeS]])/Tabela13633[[#This Row],[Objetive value Cannibalism ]])*100</f>
        <v>3.7248117239975578</v>
      </c>
      <c r="O261" s="131">
        <v>4695</v>
      </c>
      <c r="P261" s="131">
        <v>0.4</v>
      </c>
      <c r="Q261" s="131">
        <v>0</v>
      </c>
      <c r="R261" s="141">
        <f>(((Tabela13633[[#This Row],[Objetive value Cannibalism ]]-Tabela13633[[#This Row],[Objetive value Cannibalism/H-R1]])/Tabela13633[[#This Row],[Objetive value Cannibalism ]]))*100</f>
        <v>4.437207408915123</v>
      </c>
      <c r="S261" s="113">
        <v>4445</v>
      </c>
      <c r="T261" s="113">
        <v>0.43</v>
      </c>
      <c r="U261" s="113">
        <v>0</v>
      </c>
      <c r="V261" s="143">
        <f>(((Tabela13633[[#This Row],[Objetive value Cannibalism ]]-Tabela13633[[#This Row],[Objetive value Cannibalism/H-R2]])/Tabela13633[[#This Row],[Objetive value Cannibalism ]]))*100</f>
        <v>9.5257480154691638</v>
      </c>
    </row>
    <row r="262" spans="1:22" s="34" customFormat="1" x14ac:dyDescent="0.25">
      <c r="A262" s="3" t="s">
        <v>110</v>
      </c>
      <c r="B262" s="39" t="s">
        <v>477</v>
      </c>
      <c r="C262" s="3">
        <v>200</v>
      </c>
      <c r="D262" s="3">
        <v>0.05</v>
      </c>
      <c r="E262" s="3">
        <v>15</v>
      </c>
      <c r="F262" s="39" t="s">
        <v>13</v>
      </c>
      <c r="G262" s="39" t="s">
        <v>16</v>
      </c>
      <c r="H262" s="128">
        <v>3415</v>
      </c>
      <c r="I262" s="128">
        <v>2.8290000000000002</v>
      </c>
      <c r="J262" s="129">
        <v>0</v>
      </c>
      <c r="K262" s="139">
        <v>3387</v>
      </c>
      <c r="L262" s="139">
        <v>17</v>
      </c>
      <c r="M262" s="139">
        <v>12</v>
      </c>
      <c r="N262" s="130">
        <f>((Tabela13633[[#This Row],[Objetive value Cannibalism ]]-Tabela13633[[#This Row],[Objetive value Cannibalism/GATeS]])/Tabela13633[[#This Row],[Objetive value Cannibalism ]])*100</f>
        <v>0.81991215226939973</v>
      </c>
      <c r="O262" s="131">
        <v>3315</v>
      </c>
      <c r="P262" s="131">
        <v>0.56000000000000005</v>
      </c>
      <c r="Q262" s="131">
        <v>0</v>
      </c>
      <c r="R262" s="141">
        <f>(((Tabela13633[[#This Row],[Objetive value Cannibalism ]]-Tabela13633[[#This Row],[Objetive value Cannibalism/H-R1]])/Tabela13633[[#This Row],[Objetive value Cannibalism ]]))*100</f>
        <v>2.9282576866764276</v>
      </c>
      <c r="S262" s="113">
        <v>3206</v>
      </c>
      <c r="T262" s="113">
        <v>0.56000000000000005</v>
      </c>
      <c r="U262" s="113">
        <v>0</v>
      </c>
      <c r="V262" s="143">
        <f>(((Tabela13633[[#This Row],[Objetive value Cannibalism ]]-Tabela13633[[#This Row],[Objetive value Cannibalism/H-R2]])/Tabela13633[[#This Row],[Objetive value Cannibalism ]]))*100</f>
        <v>6.1200585651537329</v>
      </c>
    </row>
    <row r="263" spans="1:22" s="34" customFormat="1" x14ac:dyDescent="0.25">
      <c r="A263" s="3" t="s">
        <v>110</v>
      </c>
      <c r="B263" s="39" t="s">
        <v>478</v>
      </c>
      <c r="C263" s="3">
        <v>200</v>
      </c>
      <c r="D263" s="3">
        <v>0.05</v>
      </c>
      <c r="E263" s="3">
        <v>15</v>
      </c>
      <c r="F263" s="39" t="s">
        <v>18</v>
      </c>
      <c r="G263" s="39" t="s">
        <v>14</v>
      </c>
      <c r="H263" s="128">
        <v>5043</v>
      </c>
      <c r="I263" s="128">
        <v>0.96899999999999997</v>
      </c>
      <c r="J263" s="129">
        <v>18.32</v>
      </c>
      <c r="K263" s="139">
        <v>4844</v>
      </c>
      <c r="L263" s="139">
        <v>9</v>
      </c>
      <c r="M263" s="139">
        <v>6</v>
      </c>
      <c r="N263" s="130">
        <f>((Tabela13633[[#This Row],[Objetive value Cannibalism ]]-Tabela13633[[#This Row],[Objetive value Cannibalism/GATeS]])/Tabela13633[[#This Row],[Objetive value Cannibalism ]])*100</f>
        <v>3.9460638508824113</v>
      </c>
      <c r="O263" s="131">
        <v>4738</v>
      </c>
      <c r="P263" s="131">
        <v>0.34</v>
      </c>
      <c r="Q263" s="131">
        <v>0</v>
      </c>
      <c r="R263" s="141">
        <f>(((Tabela13633[[#This Row],[Objetive value Cannibalism ]]-Tabela13633[[#This Row],[Objetive value Cannibalism/H-R1]])/Tabela13633[[#This Row],[Objetive value Cannibalism ]]))*100</f>
        <v>6.0479873091413836</v>
      </c>
      <c r="S263" s="113">
        <v>4798</v>
      </c>
      <c r="T263" s="113">
        <v>0.5</v>
      </c>
      <c r="U263" s="113">
        <v>0</v>
      </c>
      <c r="V263" s="143">
        <f>(((Tabela13633[[#This Row],[Objetive value Cannibalism ]]-Tabela13633[[#This Row],[Objetive value Cannibalism/H-R2]])/Tabela13633[[#This Row],[Objetive value Cannibalism ]]))*100</f>
        <v>4.8582193139004559</v>
      </c>
    </row>
    <row r="264" spans="1:22" s="34" customFormat="1" x14ac:dyDescent="0.25">
      <c r="A264" s="3" t="s">
        <v>110</v>
      </c>
      <c r="B264" s="39" t="s">
        <v>479</v>
      </c>
      <c r="C264" s="3">
        <v>200</v>
      </c>
      <c r="D264" s="3">
        <v>0.05</v>
      </c>
      <c r="E264" s="3">
        <v>15</v>
      </c>
      <c r="F264" s="39" t="s">
        <v>18</v>
      </c>
      <c r="G264" s="39" t="s">
        <v>16</v>
      </c>
      <c r="H264" s="128">
        <v>3412</v>
      </c>
      <c r="I264" s="128">
        <v>5.61</v>
      </c>
      <c r="J264" s="129">
        <v>0.03</v>
      </c>
      <c r="K264" s="139">
        <v>3358</v>
      </c>
      <c r="L264" s="139">
        <v>15</v>
      </c>
      <c r="M264" s="139">
        <v>14</v>
      </c>
      <c r="N264" s="130">
        <f>((Tabela13633[[#This Row],[Objetive value Cannibalism ]]-Tabela13633[[#This Row],[Objetive value Cannibalism/GATeS]])/Tabela13633[[#This Row],[Objetive value Cannibalism ]])*100</f>
        <v>1.5826494724501756</v>
      </c>
      <c r="O264" s="131">
        <v>3399</v>
      </c>
      <c r="P264" s="131">
        <v>0.39</v>
      </c>
      <c r="Q264" s="131">
        <v>0</v>
      </c>
      <c r="R264" s="141">
        <f>(((Tabela13633[[#This Row],[Objetive value Cannibalism ]]-Tabela13633[[#This Row],[Objetive value Cannibalism/H-R1]])/Tabela13633[[#This Row],[Objetive value Cannibalism ]]))*100</f>
        <v>0.3810082063305979</v>
      </c>
      <c r="S264" s="113">
        <v>3399</v>
      </c>
      <c r="T264" s="113">
        <v>0.41</v>
      </c>
      <c r="U264" s="113">
        <v>0</v>
      </c>
      <c r="V264" s="143">
        <f>(((Tabela13633[[#This Row],[Objetive value Cannibalism ]]-Tabela13633[[#This Row],[Objetive value Cannibalism/H-R2]])/Tabela13633[[#This Row],[Objetive value Cannibalism ]]))*100</f>
        <v>0.3810082063305979</v>
      </c>
    </row>
    <row r="265" spans="1:22" s="34" customFormat="1" x14ac:dyDescent="0.25">
      <c r="A265" s="3" t="s">
        <v>110</v>
      </c>
      <c r="B265" s="39" t="s">
        <v>480</v>
      </c>
      <c r="C265" s="3">
        <v>200</v>
      </c>
      <c r="D265" s="3">
        <v>0.05</v>
      </c>
      <c r="E265" s="3">
        <v>15</v>
      </c>
      <c r="F265" s="39" t="s">
        <v>21</v>
      </c>
      <c r="G265" s="39" t="s">
        <v>14</v>
      </c>
      <c r="H265" s="128">
        <v>4056</v>
      </c>
      <c r="I265" s="128">
        <v>0.23499999999999999</v>
      </c>
      <c r="J265" s="129">
        <v>0</v>
      </c>
      <c r="K265" s="139">
        <v>4048</v>
      </c>
      <c r="L265" s="139">
        <v>7</v>
      </c>
      <c r="M265" s="139">
        <v>3</v>
      </c>
      <c r="N265" s="130">
        <f>((Tabela13633[[#This Row],[Objetive value Cannibalism ]]-Tabela13633[[#This Row],[Objetive value Cannibalism/GATeS]])/Tabela13633[[#This Row],[Objetive value Cannibalism ]])*100</f>
        <v>0.19723865877712032</v>
      </c>
      <c r="O265" s="131">
        <v>3118</v>
      </c>
      <c r="P265" s="131">
        <v>1.05</v>
      </c>
      <c r="Q265" s="131">
        <v>0</v>
      </c>
      <c r="R265" s="141">
        <f>(((Tabela13633[[#This Row],[Objetive value Cannibalism ]]-Tabela13633[[#This Row],[Objetive value Cannibalism/H-R1]])/Tabela13633[[#This Row],[Objetive value Cannibalism ]]))*100</f>
        <v>23.126232741617354</v>
      </c>
      <c r="S265" s="113">
        <v>4056</v>
      </c>
      <c r="T265" s="113">
        <v>0.62</v>
      </c>
      <c r="U265" s="113">
        <v>0</v>
      </c>
      <c r="V265" s="143">
        <f>(((Tabela13633[[#This Row],[Objetive value Cannibalism ]]-Tabela13633[[#This Row],[Objetive value Cannibalism/H-R2]])/Tabela13633[[#This Row],[Objetive value Cannibalism ]]))*100</f>
        <v>0</v>
      </c>
    </row>
    <row r="266" spans="1:22" s="34" customFormat="1" x14ac:dyDescent="0.25">
      <c r="A266" s="3" t="s">
        <v>110</v>
      </c>
      <c r="B266" s="39" t="s">
        <v>481</v>
      </c>
      <c r="C266" s="3">
        <v>200</v>
      </c>
      <c r="D266" s="3">
        <v>0.05</v>
      </c>
      <c r="E266" s="3">
        <v>15</v>
      </c>
      <c r="F266" s="39" t="s">
        <v>21</v>
      </c>
      <c r="G266" s="39" t="s">
        <v>16</v>
      </c>
      <c r="H266" s="128">
        <v>2999</v>
      </c>
      <c r="I266" s="128">
        <v>4.1100000000000003</v>
      </c>
      <c r="J266" s="129">
        <v>0.5</v>
      </c>
      <c r="K266" s="139">
        <v>2949</v>
      </c>
      <c r="L266" s="139">
        <v>9</v>
      </c>
      <c r="M266" s="139">
        <v>5</v>
      </c>
      <c r="N266" s="130">
        <f>((Tabela13633[[#This Row],[Objetive value Cannibalism ]]-Tabela13633[[#This Row],[Objetive value Cannibalism/GATeS]])/Tabela13633[[#This Row],[Objetive value Cannibalism ]])*100</f>
        <v>1.6672224074691564</v>
      </c>
      <c r="O266" s="131">
        <v>2815</v>
      </c>
      <c r="P266" s="131">
        <v>0.71</v>
      </c>
      <c r="Q266" s="131">
        <v>0</v>
      </c>
      <c r="R266" s="141">
        <f>(((Tabela13633[[#This Row],[Objetive value Cannibalism ]]-Tabela13633[[#This Row],[Objetive value Cannibalism/H-R1]])/Tabela13633[[#This Row],[Objetive value Cannibalism ]]))*100</f>
        <v>6.1353784594864962</v>
      </c>
      <c r="S266" s="113">
        <v>2837</v>
      </c>
      <c r="T266" s="113">
        <v>0.56000000000000005</v>
      </c>
      <c r="U266" s="113">
        <v>0</v>
      </c>
      <c r="V266" s="143">
        <f>(((Tabela13633[[#This Row],[Objetive value Cannibalism ]]-Tabela13633[[#This Row],[Objetive value Cannibalism/H-R2]])/Tabela13633[[#This Row],[Objetive value Cannibalism ]]))*100</f>
        <v>5.4018006002000662</v>
      </c>
    </row>
    <row r="267" spans="1:22" s="34" customFormat="1" x14ac:dyDescent="0.25">
      <c r="A267" s="3" t="s">
        <v>73</v>
      </c>
      <c r="B267" s="37" t="s">
        <v>440</v>
      </c>
      <c r="C267" s="3">
        <v>200</v>
      </c>
      <c r="D267" s="3">
        <v>0.05</v>
      </c>
      <c r="E267" s="3">
        <v>5</v>
      </c>
      <c r="F267" s="39" t="s">
        <v>13</v>
      </c>
      <c r="G267" s="39" t="s">
        <v>14</v>
      </c>
      <c r="H267" s="128">
        <v>1434</v>
      </c>
      <c r="I267" s="128">
        <v>0.10999999998602999</v>
      </c>
      <c r="J267" s="129">
        <v>0</v>
      </c>
      <c r="K267" s="139">
        <v>1431</v>
      </c>
      <c r="L267" s="139">
        <v>224</v>
      </c>
      <c r="M267" s="139">
        <v>224</v>
      </c>
      <c r="N267" s="130">
        <f>((Tabela13633[[#This Row],[Objetive value Cannibalism ]]-Tabela13633[[#This Row],[Objetive value Cannibalism/GATeS]])/Tabela13633[[#This Row],[Objetive value Cannibalism ]])*100</f>
        <v>0.20920502092050208</v>
      </c>
      <c r="O267" s="131">
        <v>1285</v>
      </c>
      <c r="P267" s="131">
        <v>0.39</v>
      </c>
      <c r="Q267" s="131">
        <v>0</v>
      </c>
      <c r="R267" s="141">
        <f>(((Tabela13633[[#This Row],[Objetive value Cannibalism ]]-Tabela13633[[#This Row],[Objetive value Cannibalism/H-R1]])/Tabela13633[[#This Row],[Objetive value Cannibalism ]]))*100</f>
        <v>10.390516039051603</v>
      </c>
      <c r="S267" s="113">
        <v>1285</v>
      </c>
      <c r="T267" s="113">
        <v>0.36</v>
      </c>
      <c r="U267" s="113">
        <v>0</v>
      </c>
      <c r="V267" s="143">
        <f>(((Tabela13633[[#This Row],[Objetive value Cannibalism ]]-Tabela13633[[#This Row],[Objetive value Cannibalism/H-R2]])/Tabela13633[[#This Row],[Objetive value Cannibalism ]]))*100</f>
        <v>10.390516039051603</v>
      </c>
    </row>
    <row r="268" spans="1:22" s="34" customFormat="1" x14ac:dyDescent="0.25">
      <c r="A268" s="3" t="s">
        <v>73</v>
      </c>
      <c r="B268" s="39" t="s">
        <v>441</v>
      </c>
      <c r="C268" s="3">
        <v>200</v>
      </c>
      <c r="D268" s="3">
        <v>0.05</v>
      </c>
      <c r="E268" s="3">
        <v>5</v>
      </c>
      <c r="F268" s="39" t="s">
        <v>13</v>
      </c>
      <c r="G268" s="39" t="s">
        <v>16</v>
      </c>
      <c r="H268" s="128">
        <v>1428</v>
      </c>
      <c r="I268" s="128">
        <v>0.14100000006146701</v>
      </c>
      <c r="J268" s="129">
        <v>0</v>
      </c>
      <c r="K268" s="139">
        <v>1418</v>
      </c>
      <c r="L268" s="139">
        <v>3</v>
      </c>
      <c r="M268" s="139">
        <v>0</v>
      </c>
      <c r="N268" s="130">
        <f>((Tabela13633[[#This Row],[Objetive value Cannibalism ]]-Tabela13633[[#This Row],[Objetive value Cannibalism/GATeS]])/Tabela13633[[#This Row],[Objetive value Cannibalism ]])*100</f>
        <v>0.70028011204481799</v>
      </c>
      <c r="O268" s="131">
        <v>1428</v>
      </c>
      <c r="P268" s="131">
        <v>0.46</v>
      </c>
      <c r="Q268" s="131">
        <v>0</v>
      </c>
      <c r="R268" s="141">
        <f>(((Tabela13633[[#This Row],[Objetive value Cannibalism ]]-Tabela13633[[#This Row],[Objetive value Cannibalism/H-R1]])/Tabela13633[[#This Row],[Objetive value Cannibalism ]]))*100</f>
        <v>0</v>
      </c>
      <c r="S268" s="113">
        <v>1419</v>
      </c>
      <c r="T268" s="113">
        <v>0.4</v>
      </c>
      <c r="U268" s="113">
        <v>0</v>
      </c>
      <c r="V268" s="143">
        <f>(((Tabela13633[[#This Row],[Objetive value Cannibalism ]]-Tabela13633[[#This Row],[Objetive value Cannibalism/H-R2]])/Tabela13633[[#This Row],[Objetive value Cannibalism ]]))*100</f>
        <v>0.63025210084033612</v>
      </c>
    </row>
    <row r="269" spans="1:22" s="34" customFormat="1" x14ac:dyDescent="0.25">
      <c r="A269" s="3" t="s">
        <v>73</v>
      </c>
      <c r="B269" s="39" t="s">
        <v>442</v>
      </c>
      <c r="C269" s="3">
        <v>200</v>
      </c>
      <c r="D269" s="3">
        <v>0.05</v>
      </c>
      <c r="E269" s="3">
        <v>5</v>
      </c>
      <c r="F269" s="39" t="s">
        <v>18</v>
      </c>
      <c r="G269" s="39" t="s">
        <v>14</v>
      </c>
      <c r="H269" s="128">
        <v>1983</v>
      </c>
      <c r="I269" s="128">
        <v>0.125</v>
      </c>
      <c r="J269" s="129">
        <v>0</v>
      </c>
      <c r="K269" s="139">
        <v>1983</v>
      </c>
      <c r="L269" s="139">
        <v>4</v>
      </c>
      <c r="M269" s="139">
        <v>1</v>
      </c>
      <c r="N269" s="130">
        <f>((Tabela13633[[#This Row],[Objetive value Cannibalism ]]-Tabela13633[[#This Row],[Objetive value Cannibalism/GATeS]])/Tabela13633[[#This Row],[Objetive value Cannibalism ]])*100</f>
        <v>0</v>
      </c>
      <c r="O269" s="131">
        <v>1983</v>
      </c>
      <c r="P269" s="131">
        <v>0.47</v>
      </c>
      <c r="Q269" s="131">
        <v>0</v>
      </c>
      <c r="R269" s="141">
        <f>(((Tabela13633[[#This Row],[Objetive value Cannibalism ]]-Tabela13633[[#This Row],[Objetive value Cannibalism/H-R1]])/Tabela13633[[#This Row],[Objetive value Cannibalism ]]))*100</f>
        <v>0</v>
      </c>
      <c r="S269" s="113">
        <v>1983</v>
      </c>
      <c r="T269" s="113">
        <v>0.61</v>
      </c>
      <c r="U269" s="113">
        <v>0</v>
      </c>
      <c r="V269" s="143">
        <f>(((Tabela13633[[#This Row],[Objetive value Cannibalism ]]-Tabela13633[[#This Row],[Objetive value Cannibalism/H-R2]])/Tabela13633[[#This Row],[Objetive value Cannibalism ]]))*100</f>
        <v>0</v>
      </c>
    </row>
    <row r="270" spans="1:22" s="34" customFormat="1" x14ac:dyDescent="0.25">
      <c r="A270" s="3" t="s">
        <v>73</v>
      </c>
      <c r="B270" s="39" t="s">
        <v>443</v>
      </c>
      <c r="C270" s="3">
        <v>200</v>
      </c>
      <c r="D270" s="3">
        <v>0.05</v>
      </c>
      <c r="E270" s="3">
        <v>5</v>
      </c>
      <c r="F270" s="39" t="s">
        <v>18</v>
      </c>
      <c r="G270" s="39" t="s">
        <v>16</v>
      </c>
      <c r="H270" s="128">
        <v>1413</v>
      </c>
      <c r="I270" s="128">
        <v>0.17200000002048901</v>
      </c>
      <c r="J270" s="129">
        <v>0</v>
      </c>
      <c r="K270" s="139">
        <v>1413</v>
      </c>
      <c r="L270" s="139">
        <v>3</v>
      </c>
      <c r="M270" s="139">
        <v>0</v>
      </c>
      <c r="N270" s="130">
        <f>((Tabela13633[[#This Row],[Objetive value Cannibalism ]]-Tabela13633[[#This Row],[Objetive value Cannibalism/GATeS]])/Tabela13633[[#This Row],[Objetive value Cannibalism ]])*100</f>
        <v>0</v>
      </c>
      <c r="O270" s="131">
        <v>1413</v>
      </c>
      <c r="P270" s="131">
        <v>0.48</v>
      </c>
      <c r="Q270" s="131">
        <v>0</v>
      </c>
      <c r="R270" s="141">
        <f>(((Tabela13633[[#This Row],[Objetive value Cannibalism ]]-Tabela13633[[#This Row],[Objetive value Cannibalism/H-R1]])/Tabela13633[[#This Row],[Objetive value Cannibalism ]]))*100</f>
        <v>0</v>
      </c>
      <c r="S270" s="113">
        <v>1413</v>
      </c>
      <c r="T270" s="113">
        <v>0.43</v>
      </c>
      <c r="U270" s="113">
        <v>0</v>
      </c>
      <c r="V270" s="143">
        <f>(((Tabela13633[[#This Row],[Objetive value Cannibalism ]]-Tabela13633[[#This Row],[Objetive value Cannibalism/H-R2]])/Tabela13633[[#This Row],[Objetive value Cannibalism ]]))*100</f>
        <v>0</v>
      </c>
    </row>
    <row r="271" spans="1:22" s="34" customFormat="1" x14ac:dyDescent="0.25">
      <c r="A271" s="3" t="s">
        <v>73</v>
      </c>
      <c r="B271" s="39" t="s">
        <v>444</v>
      </c>
      <c r="C271" s="3">
        <v>200</v>
      </c>
      <c r="D271" s="3">
        <v>0.05</v>
      </c>
      <c r="E271" s="3">
        <v>5</v>
      </c>
      <c r="F271" s="39" t="s">
        <v>21</v>
      </c>
      <c r="G271" s="39" t="s">
        <v>14</v>
      </c>
      <c r="H271" s="128">
        <v>1536</v>
      </c>
      <c r="I271" s="128">
        <v>0.14000000001396901</v>
      </c>
      <c r="J271" s="129">
        <v>0</v>
      </c>
      <c r="K271" s="139">
        <v>1522</v>
      </c>
      <c r="L271" s="139">
        <v>3</v>
      </c>
      <c r="M271" s="139">
        <v>0</v>
      </c>
      <c r="N271" s="130">
        <f>((Tabela13633[[#This Row],[Objetive value Cannibalism ]]-Tabela13633[[#This Row],[Objetive value Cannibalism/GATeS]])/Tabela13633[[#This Row],[Objetive value Cannibalism ]])*100</f>
        <v>0.91145833333333337</v>
      </c>
      <c r="O271" s="131">
        <v>1536</v>
      </c>
      <c r="P271" s="131">
        <v>0.48</v>
      </c>
      <c r="Q271" s="131">
        <v>0</v>
      </c>
      <c r="R271" s="141">
        <f>(((Tabela13633[[#This Row],[Objetive value Cannibalism ]]-Tabela13633[[#This Row],[Objetive value Cannibalism/H-R1]])/Tabela13633[[#This Row],[Objetive value Cannibalism ]]))*100</f>
        <v>0</v>
      </c>
      <c r="S271" s="113">
        <v>1536</v>
      </c>
      <c r="T271" s="113">
        <v>0.4</v>
      </c>
      <c r="U271" s="113">
        <v>0</v>
      </c>
      <c r="V271" s="143">
        <f>(((Tabela13633[[#This Row],[Objetive value Cannibalism ]]-Tabela13633[[#This Row],[Objetive value Cannibalism/H-R2]])/Tabela13633[[#This Row],[Objetive value Cannibalism ]]))*100</f>
        <v>0</v>
      </c>
    </row>
    <row r="272" spans="1:22" s="34" customFormat="1" x14ac:dyDescent="0.25">
      <c r="A272" s="3" t="s">
        <v>73</v>
      </c>
      <c r="B272" s="39" t="s">
        <v>445</v>
      </c>
      <c r="C272" s="3">
        <v>200</v>
      </c>
      <c r="D272" s="3">
        <v>0.05</v>
      </c>
      <c r="E272" s="3">
        <v>5</v>
      </c>
      <c r="F272" s="39" t="s">
        <v>21</v>
      </c>
      <c r="G272" s="39" t="s">
        <v>16</v>
      </c>
      <c r="H272" s="128">
        <v>1439</v>
      </c>
      <c r="I272" s="128">
        <v>0.108999999938532</v>
      </c>
      <c r="J272" s="129">
        <v>0</v>
      </c>
      <c r="K272" s="139">
        <v>1414</v>
      </c>
      <c r="L272" s="139">
        <v>3</v>
      </c>
      <c r="M272" s="139">
        <v>2</v>
      </c>
      <c r="N272" s="130">
        <f>((Tabela13633[[#This Row],[Objetive value Cannibalism ]]-Tabela13633[[#This Row],[Objetive value Cannibalism/GATeS]])/Tabela13633[[#This Row],[Objetive value Cannibalism ]])*100</f>
        <v>1.7373175816539264</v>
      </c>
      <c r="O272" s="131">
        <v>1439</v>
      </c>
      <c r="P272" s="131">
        <v>0.7</v>
      </c>
      <c r="Q272" s="131">
        <v>0</v>
      </c>
      <c r="R272" s="141">
        <f>(((Tabela13633[[#This Row],[Objetive value Cannibalism ]]-Tabela13633[[#This Row],[Objetive value Cannibalism/H-R1]])/Tabela13633[[#This Row],[Objetive value Cannibalism ]]))*100</f>
        <v>0</v>
      </c>
      <c r="S272" s="113">
        <v>1403</v>
      </c>
      <c r="T272" s="113">
        <v>0.59</v>
      </c>
      <c r="U272" s="113">
        <v>0</v>
      </c>
      <c r="V272" s="143">
        <f>(((Tabela13633[[#This Row],[Objetive value Cannibalism ]]-Tabela13633[[#This Row],[Objetive value Cannibalism/H-R2]])/Tabela13633[[#This Row],[Objetive value Cannibalism ]]))*100</f>
        <v>2.5017373175816542</v>
      </c>
    </row>
    <row r="273" spans="1:22" s="34" customFormat="1" x14ac:dyDescent="0.25">
      <c r="A273" s="34" t="s">
        <v>148</v>
      </c>
      <c r="B273" s="39" t="s">
        <v>518</v>
      </c>
      <c r="C273" s="3">
        <v>300</v>
      </c>
      <c r="D273" s="114">
        <v>0.1</v>
      </c>
      <c r="E273" s="3">
        <v>10</v>
      </c>
      <c r="F273" s="39" t="s">
        <v>13</v>
      </c>
      <c r="G273" s="39" t="s">
        <v>14</v>
      </c>
      <c r="H273" s="128">
        <v>6336</v>
      </c>
      <c r="I273" s="128">
        <v>0.34400000004097803</v>
      </c>
      <c r="J273" s="129">
        <v>0</v>
      </c>
      <c r="K273" s="139">
        <v>6314</v>
      </c>
      <c r="L273" s="139">
        <v>12</v>
      </c>
      <c r="M273" s="139">
        <v>5</v>
      </c>
      <c r="N273" s="130">
        <f>((Tabela13633[[#This Row],[Objetive value Cannibalism ]]-Tabela13633[[#This Row],[Objetive value Cannibalism/GATeS]])/Tabela13633[[#This Row],[Objetive value Cannibalism ]])*100</f>
        <v>0.34722222222222221</v>
      </c>
      <c r="O273" s="131">
        <v>5701</v>
      </c>
      <c r="P273" s="131">
        <v>0.35</v>
      </c>
      <c r="Q273" s="131">
        <v>0</v>
      </c>
      <c r="R273" s="141">
        <f>(((Tabela13633[[#This Row],[Objetive value Cannibalism ]]-Tabela13633[[#This Row],[Objetive value Cannibalism/H-R1]])/Tabela13633[[#This Row],[Objetive value Cannibalism ]]))*100</f>
        <v>10.02209595959596</v>
      </c>
      <c r="S273" s="113">
        <v>5633</v>
      </c>
      <c r="T273" s="113">
        <v>0.35</v>
      </c>
      <c r="U273" s="113">
        <v>0</v>
      </c>
      <c r="V273" s="143">
        <f>(((Tabela13633[[#This Row],[Objetive value Cannibalism ]]-Tabela13633[[#This Row],[Objetive value Cannibalism/H-R2]])/Tabela13633[[#This Row],[Objetive value Cannibalism ]]))*100</f>
        <v>11.095328282828284</v>
      </c>
    </row>
    <row r="274" spans="1:22" s="34" customFormat="1" x14ac:dyDescent="0.25">
      <c r="A274" s="3" t="s">
        <v>148</v>
      </c>
      <c r="B274" s="39" t="s">
        <v>519</v>
      </c>
      <c r="C274" s="3">
        <v>300</v>
      </c>
      <c r="D274" s="114">
        <v>0.1</v>
      </c>
      <c r="E274" s="3">
        <v>10</v>
      </c>
      <c r="F274" s="39" t="s">
        <v>13</v>
      </c>
      <c r="G274" s="39" t="s">
        <v>16</v>
      </c>
      <c r="H274" s="128">
        <v>3412</v>
      </c>
      <c r="I274" s="128">
        <v>1.70299999997951</v>
      </c>
      <c r="J274" s="129">
        <v>0</v>
      </c>
      <c r="K274" s="139">
        <v>3378</v>
      </c>
      <c r="L274" s="139">
        <v>13</v>
      </c>
      <c r="M274" s="139">
        <v>5</v>
      </c>
      <c r="N274" s="130">
        <f>((Tabela13633[[#This Row],[Objetive value Cannibalism ]]-Tabela13633[[#This Row],[Objetive value Cannibalism/GATeS]])/Tabela13633[[#This Row],[Objetive value Cannibalism ]])*100</f>
        <v>0.99648300117233302</v>
      </c>
      <c r="O274" s="131">
        <v>3386</v>
      </c>
      <c r="P274" s="131">
        <v>0.45</v>
      </c>
      <c r="Q274" s="131">
        <v>0</v>
      </c>
      <c r="R274" s="141">
        <f>(((Tabela13633[[#This Row],[Objetive value Cannibalism ]]-Tabela13633[[#This Row],[Objetive value Cannibalism/H-R1]])/Tabela13633[[#This Row],[Objetive value Cannibalism ]]))*100</f>
        <v>0.7620164126611958</v>
      </c>
      <c r="S274" s="113">
        <v>3127</v>
      </c>
      <c r="T274" s="113">
        <v>0.52</v>
      </c>
      <c r="U274" s="113">
        <v>0</v>
      </c>
      <c r="V274" s="143">
        <f>(((Tabela13633[[#This Row],[Objetive value Cannibalism ]]-Tabela13633[[#This Row],[Objetive value Cannibalism/H-R2]])/Tabela13633[[#This Row],[Objetive value Cannibalism ]]))*100</f>
        <v>8.3528722157092616</v>
      </c>
    </row>
    <row r="275" spans="1:22" s="34" customFormat="1" x14ac:dyDescent="0.25">
      <c r="A275" s="3" t="s">
        <v>148</v>
      </c>
      <c r="B275" s="39" t="s">
        <v>520</v>
      </c>
      <c r="C275" s="3">
        <v>300</v>
      </c>
      <c r="D275" s="114">
        <v>0.1</v>
      </c>
      <c r="E275" s="3">
        <v>10</v>
      </c>
      <c r="F275" s="3" t="s">
        <v>18</v>
      </c>
      <c r="G275" s="39" t="s">
        <v>14</v>
      </c>
      <c r="H275" s="128">
        <v>5989</v>
      </c>
      <c r="I275" s="128">
        <v>0.46799999999348002</v>
      </c>
      <c r="J275" s="129">
        <v>14.25</v>
      </c>
      <c r="K275" s="139">
        <v>5935</v>
      </c>
      <c r="L275" s="139">
        <v>16</v>
      </c>
      <c r="M275" s="139">
        <v>11</v>
      </c>
      <c r="N275" s="130">
        <f>((Tabela13633[[#This Row],[Objetive value Cannibalism ]]-Tabela13633[[#This Row],[Objetive value Cannibalism/GATeS]])/Tabela13633[[#This Row],[Objetive value Cannibalism ]])*100</f>
        <v>0.90165303055601931</v>
      </c>
      <c r="O275" s="131">
        <v>5739</v>
      </c>
      <c r="P275" s="131">
        <v>0.31</v>
      </c>
      <c r="Q275" s="131">
        <v>0</v>
      </c>
      <c r="R275" s="141">
        <f>(((Tabela13633[[#This Row],[Objetive value Cannibalism ]]-Tabela13633[[#This Row],[Objetive value Cannibalism/H-R1]])/Tabela13633[[#This Row],[Objetive value Cannibalism ]]))*100</f>
        <v>4.1743195859074964</v>
      </c>
      <c r="S275" s="113">
        <v>5989</v>
      </c>
      <c r="T275" s="113">
        <v>0.36</v>
      </c>
      <c r="U275" s="113">
        <v>0</v>
      </c>
      <c r="V275" s="143">
        <f>(((Tabela13633[[#This Row],[Objetive value Cannibalism ]]-Tabela13633[[#This Row],[Objetive value Cannibalism/H-R2]])/Tabela13633[[#This Row],[Objetive value Cannibalism ]]))*100</f>
        <v>0</v>
      </c>
    </row>
    <row r="276" spans="1:22" s="34" customFormat="1" x14ac:dyDescent="0.25">
      <c r="A276" s="3" t="s">
        <v>148</v>
      </c>
      <c r="B276" s="39" t="s">
        <v>521</v>
      </c>
      <c r="C276" s="3">
        <v>300</v>
      </c>
      <c r="D276" s="114">
        <v>0.1</v>
      </c>
      <c r="E276" s="3">
        <v>10</v>
      </c>
      <c r="F276" s="3" t="s">
        <v>18</v>
      </c>
      <c r="G276" s="39" t="s">
        <v>16</v>
      </c>
      <c r="H276" s="128">
        <v>3830</v>
      </c>
      <c r="I276" s="128">
        <v>0.85900000005494803</v>
      </c>
      <c r="J276" s="129">
        <v>0</v>
      </c>
      <c r="K276" s="139">
        <v>3822</v>
      </c>
      <c r="L276" s="139">
        <v>15</v>
      </c>
      <c r="M276" s="139">
        <v>14</v>
      </c>
      <c r="N276" s="130">
        <f>((Tabela13633[[#This Row],[Objetive value Cannibalism ]]-Tabela13633[[#This Row],[Objetive value Cannibalism/GATeS]])/Tabela13633[[#This Row],[Objetive value Cannibalism ]])*100</f>
        <v>0.20887728459530025</v>
      </c>
      <c r="O276" s="131">
        <v>3830</v>
      </c>
      <c r="P276" s="131">
        <v>0.41</v>
      </c>
      <c r="Q276" s="131">
        <v>0</v>
      </c>
      <c r="R276" s="141">
        <f>(((Tabela13633[[#This Row],[Objetive value Cannibalism ]]-Tabela13633[[#This Row],[Objetive value Cannibalism/H-R1]])/Tabela13633[[#This Row],[Objetive value Cannibalism ]]))*100</f>
        <v>0</v>
      </c>
      <c r="S276" s="113">
        <v>3830</v>
      </c>
      <c r="T276" s="113">
        <v>0.41</v>
      </c>
      <c r="U276" s="113">
        <v>0</v>
      </c>
      <c r="V276" s="143">
        <f>(((Tabela13633[[#This Row],[Objetive value Cannibalism ]]-Tabela13633[[#This Row],[Objetive value Cannibalism/H-R2]])/Tabela13633[[#This Row],[Objetive value Cannibalism ]]))*100</f>
        <v>0</v>
      </c>
    </row>
    <row r="277" spans="1:22" s="34" customFormat="1" x14ac:dyDescent="0.25">
      <c r="A277" s="3" t="s">
        <v>148</v>
      </c>
      <c r="B277" s="39" t="s">
        <v>522</v>
      </c>
      <c r="C277" s="3">
        <v>300</v>
      </c>
      <c r="D277" s="114">
        <v>0.1</v>
      </c>
      <c r="E277" s="3">
        <v>10</v>
      </c>
      <c r="F277" s="39" t="s">
        <v>21</v>
      </c>
      <c r="G277" s="39" t="s">
        <v>14</v>
      </c>
      <c r="H277" s="128">
        <v>5128</v>
      </c>
      <c r="I277" s="128">
        <v>0.18799999996554101</v>
      </c>
      <c r="J277" s="129">
        <v>0</v>
      </c>
      <c r="K277" s="139">
        <v>5113</v>
      </c>
      <c r="L277" s="139">
        <v>9</v>
      </c>
      <c r="M277" s="139">
        <v>7</v>
      </c>
      <c r="N277" s="130">
        <f>((Tabela13633[[#This Row],[Objetive value Cannibalism ]]-Tabela13633[[#This Row],[Objetive value Cannibalism/GATeS]])/Tabela13633[[#This Row],[Objetive value Cannibalism ]])*100</f>
        <v>0.29251170046801872</v>
      </c>
      <c r="O277" s="131">
        <v>4014</v>
      </c>
      <c r="P277" s="131">
        <v>0.86</v>
      </c>
      <c r="Q277" s="131">
        <v>0</v>
      </c>
      <c r="R277" s="141">
        <f>(((Tabela13633[[#This Row],[Objetive value Cannibalism ]]-Tabela13633[[#This Row],[Objetive value Cannibalism/H-R1]])/Tabela13633[[#This Row],[Objetive value Cannibalism ]]))*100</f>
        <v>21.723868954758192</v>
      </c>
      <c r="S277" s="113">
        <v>3333</v>
      </c>
      <c r="T277" s="113">
        <v>1.1599999999999999</v>
      </c>
      <c r="U277" s="113">
        <v>0</v>
      </c>
      <c r="V277" s="143">
        <f>(((Tabela13633[[#This Row],[Objetive value Cannibalism ]]-Tabela13633[[#This Row],[Objetive value Cannibalism/H-R2]])/Tabela13633[[#This Row],[Objetive value Cannibalism ]]))*100</f>
        <v>35.003900156006239</v>
      </c>
    </row>
    <row r="278" spans="1:22" s="34" customFormat="1" x14ac:dyDescent="0.25">
      <c r="A278" s="3" t="s">
        <v>148</v>
      </c>
      <c r="B278" s="39" t="s">
        <v>523</v>
      </c>
      <c r="C278" s="3">
        <v>300</v>
      </c>
      <c r="D278" s="114">
        <v>0.1</v>
      </c>
      <c r="E278" s="3">
        <v>10</v>
      </c>
      <c r="F278" s="39" t="s">
        <v>21</v>
      </c>
      <c r="G278" s="39" t="s">
        <v>16</v>
      </c>
      <c r="H278" s="128">
        <v>3602</v>
      </c>
      <c r="I278" s="128">
        <v>0.79700000002048899</v>
      </c>
      <c r="J278" s="129">
        <v>0</v>
      </c>
      <c r="K278" s="139">
        <v>3536</v>
      </c>
      <c r="L278" s="139">
        <v>6</v>
      </c>
      <c r="M278" s="139">
        <v>5</v>
      </c>
      <c r="N278" s="130">
        <f>((Tabela13633[[#This Row],[Objetive value Cannibalism ]]-Tabela13633[[#This Row],[Objetive value Cannibalism/GATeS]])/Tabela13633[[#This Row],[Objetive value Cannibalism ]])*100</f>
        <v>1.8323153803442533</v>
      </c>
      <c r="O278" s="131">
        <v>3160</v>
      </c>
      <c r="P278" s="131">
        <v>0.44</v>
      </c>
      <c r="Q278" s="131">
        <v>0</v>
      </c>
      <c r="R278" s="141">
        <f>(((Tabela13633[[#This Row],[Objetive value Cannibalism ]]-Tabela13633[[#This Row],[Objetive value Cannibalism/H-R1]])/Tabela13633[[#This Row],[Objetive value Cannibalism ]]))*100</f>
        <v>12.270960577456968</v>
      </c>
      <c r="S278" s="113">
        <v>3475</v>
      </c>
      <c r="T278" s="113">
        <v>0.52</v>
      </c>
      <c r="U278" s="113">
        <v>0</v>
      </c>
      <c r="V278" s="143">
        <f>(((Tabela13633[[#This Row],[Objetive value Cannibalism ]]-Tabela13633[[#This Row],[Objetive value Cannibalism/H-R2]])/Tabela13633[[#This Row],[Objetive value Cannibalism ]]))*100</f>
        <v>3.5258189894503058</v>
      </c>
    </row>
    <row r="279" spans="1:22" s="34" customFormat="1" x14ac:dyDescent="0.25">
      <c r="A279" s="34" t="s">
        <v>167</v>
      </c>
      <c r="B279" s="39" t="s">
        <v>535</v>
      </c>
      <c r="C279" s="3">
        <v>300</v>
      </c>
      <c r="D279" s="114">
        <v>0.1</v>
      </c>
      <c r="E279" s="3">
        <v>15</v>
      </c>
      <c r="F279" s="39" t="s">
        <v>13</v>
      </c>
      <c r="G279" s="39" t="s">
        <v>14</v>
      </c>
      <c r="H279" s="128">
        <v>8606</v>
      </c>
      <c r="I279" s="128">
        <v>2.1879999999655402</v>
      </c>
      <c r="J279" s="129">
        <v>5.22</v>
      </c>
      <c r="K279" s="139">
        <v>8140</v>
      </c>
      <c r="L279" s="139">
        <v>18</v>
      </c>
      <c r="M279" s="139">
        <v>0</v>
      </c>
      <c r="N279" s="130">
        <f>((Tabela13633[[#This Row],[Objetive value Cannibalism ]]-Tabela13633[[#This Row],[Objetive value Cannibalism/GATeS]])/Tabela13633[[#This Row],[Objetive value Cannibalism ]])*100</f>
        <v>5.4148268649779219</v>
      </c>
      <c r="O279" s="131">
        <v>8258</v>
      </c>
      <c r="P279" s="131">
        <v>0.3</v>
      </c>
      <c r="Q279" s="131">
        <v>0</v>
      </c>
      <c r="R279" s="141">
        <f>(((Tabela13633[[#This Row],[Objetive value Cannibalism ]]-Tabela13633[[#This Row],[Objetive value Cannibalism/H-R1]])/Tabela13633[[#This Row],[Objetive value Cannibalism ]]))*100</f>
        <v>4.0436904485242859</v>
      </c>
      <c r="S279" s="113">
        <v>7898</v>
      </c>
      <c r="T279" s="113">
        <v>0.43</v>
      </c>
      <c r="U279" s="113">
        <v>0</v>
      </c>
      <c r="V279" s="143">
        <f>(((Tabela13633[[#This Row],[Objetive value Cannibalism ]]-Tabela13633[[#This Row],[Objetive value Cannibalism/H-R2]])/Tabela13633[[#This Row],[Objetive value Cannibalism ]]))*100</f>
        <v>8.2268184987218227</v>
      </c>
    </row>
    <row r="280" spans="1:22" s="34" customFormat="1" x14ac:dyDescent="0.25">
      <c r="A280" s="3" t="s">
        <v>167</v>
      </c>
      <c r="B280" s="39" t="s">
        <v>536</v>
      </c>
      <c r="C280" s="3">
        <v>300</v>
      </c>
      <c r="D280" s="114">
        <v>0.1</v>
      </c>
      <c r="E280" s="3">
        <v>15</v>
      </c>
      <c r="F280" s="39" t="s">
        <v>13</v>
      </c>
      <c r="G280" s="39" t="s">
        <v>16</v>
      </c>
      <c r="H280" s="128">
        <v>5158</v>
      </c>
      <c r="I280" s="128">
        <v>13.9060000000754</v>
      </c>
      <c r="J280" s="129">
        <v>0.02</v>
      </c>
      <c r="K280" s="139">
        <v>5027</v>
      </c>
      <c r="L280" s="139">
        <v>21</v>
      </c>
      <c r="M280" s="139">
        <v>5</v>
      </c>
      <c r="N280" s="130">
        <f>((Tabela13633[[#This Row],[Objetive value Cannibalism ]]-Tabela13633[[#This Row],[Objetive value Cannibalism/GATeS]])/Tabela13633[[#This Row],[Objetive value Cannibalism ]])*100</f>
        <v>2.5397440868553702</v>
      </c>
      <c r="O280" s="131">
        <v>5129</v>
      </c>
      <c r="P280" s="131">
        <v>0.57999999999999996</v>
      </c>
      <c r="Q280" s="131">
        <v>0</v>
      </c>
      <c r="R280" s="141">
        <f>(((Tabela13633[[#This Row],[Objetive value Cannibalism ]]-Tabela13633[[#This Row],[Objetive value Cannibalism/H-R1]])/Tabela13633[[#This Row],[Objetive value Cannibalism ]]))*100</f>
        <v>0.56223342380767738</v>
      </c>
      <c r="S280" s="113">
        <v>4996</v>
      </c>
      <c r="T280" s="113">
        <v>0.44</v>
      </c>
      <c r="U280" s="113">
        <v>0</v>
      </c>
      <c r="V280" s="143">
        <f>(((Tabela13633[[#This Row],[Objetive value Cannibalism ]]-Tabela13633[[#This Row],[Objetive value Cannibalism/H-R2]])/Tabela13633[[#This Row],[Objetive value Cannibalism ]]))*100</f>
        <v>3.1407522295463357</v>
      </c>
    </row>
    <row r="281" spans="1:22" s="34" customFormat="1" x14ac:dyDescent="0.25">
      <c r="A281" s="3" t="s">
        <v>167</v>
      </c>
      <c r="B281" s="39" t="s">
        <v>537</v>
      </c>
      <c r="C281" s="3">
        <v>300</v>
      </c>
      <c r="D281" s="114">
        <v>0.1</v>
      </c>
      <c r="E281" s="3">
        <v>15</v>
      </c>
      <c r="F281" s="3" t="s">
        <v>18</v>
      </c>
      <c r="G281" s="39" t="s">
        <v>14</v>
      </c>
      <c r="H281" s="128">
        <v>10233</v>
      </c>
      <c r="I281" s="128">
        <v>1.18799999996554</v>
      </c>
      <c r="J281" s="129">
        <v>12.53</v>
      </c>
      <c r="K281" s="139">
        <v>10167</v>
      </c>
      <c r="L281" s="139">
        <v>15</v>
      </c>
      <c r="M281" s="139">
        <v>4</v>
      </c>
      <c r="N281" s="130">
        <f>((Tabela13633[[#This Row],[Objetive value Cannibalism ]]-Tabela13633[[#This Row],[Objetive value Cannibalism/GATeS]])/Tabela13633[[#This Row],[Objetive value Cannibalism ]])*100</f>
        <v>0.64497214892993249</v>
      </c>
      <c r="O281" s="131">
        <v>10180</v>
      </c>
      <c r="P281" s="131">
        <v>0.28999999999999998</v>
      </c>
      <c r="Q281" s="131">
        <v>0</v>
      </c>
      <c r="R281" s="141">
        <f>(((Tabela13633[[#This Row],[Objetive value Cannibalism ]]-Tabela13633[[#This Row],[Objetive value Cannibalism/H-R1]])/Tabela13633[[#This Row],[Objetive value Cannibalism ]]))*100</f>
        <v>0.51793218020130949</v>
      </c>
      <c r="S281" s="113">
        <v>9414</v>
      </c>
      <c r="T281" s="113">
        <v>0.3</v>
      </c>
      <c r="U281" s="113">
        <v>0</v>
      </c>
      <c r="V281" s="143">
        <f>(((Tabela13633[[#This Row],[Objetive value Cannibalism ]]-Tabela13633[[#This Row],[Objetive value Cannibalism/H-R2]])/Tabela13633[[#This Row],[Objetive value Cannibalism ]]))*100</f>
        <v>8.0035180299032547</v>
      </c>
    </row>
    <row r="282" spans="1:22" s="34" customFormat="1" x14ac:dyDescent="0.25">
      <c r="A282" s="3" t="s">
        <v>167</v>
      </c>
      <c r="B282" s="39" t="s">
        <v>538</v>
      </c>
      <c r="C282" s="3">
        <v>300</v>
      </c>
      <c r="D282" s="114">
        <v>0.1</v>
      </c>
      <c r="E282" s="3">
        <v>15</v>
      </c>
      <c r="F282" s="3" t="s">
        <v>18</v>
      </c>
      <c r="G282" s="39" t="s">
        <v>16</v>
      </c>
      <c r="H282" s="128">
        <v>5344</v>
      </c>
      <c r="I282" s="128">
        <v>10.5629999999655</v>
      </c>
      <c r="J282" s="129">
        <v>0.22</v>
      </c>
      <c r="K282" s="139">
        <v>5233</v>
      </c>
      <c r="L282" s="139">
        <v>26</v>
      </c>
      <c r="M282" s="139">
        <v>6</v>
      </c>
      <c r="N282" s="130">
        <f>((Tabela13633[[#This Row],[Objetive value Cannibalism ]]-Tabela13633[[#This Row],[Objetive value Cannibalism/GATeS]])/Tabela13633[[#This Row],[Objetive value Cannibalism ]])*100</f>
        <v>2.0770958083832336</v>
      </c>
      <c r="O282" s="131">
        <v>5302</v>
      </c>
      <c r="P282" s="131">
        <v>0.45</v>
      </c>
      <c r="Q282" s="131">
        <v>0</v>
      </c>
      <c r="R282" s="141">
        <f>(((Tabela13633[[#This Row],[Objetive value Cannibalism ]]-Tabela13633[[#This Row],[Objetive value Cannibalism/H-R1]])/Tabela13633[[#This Row],[Objetive value Cannibalism ]]))*100</f>
        <v>0.7859281437125748</v>
      </c>
      <c r="S282" s="113">
        <v>5134</v>
      </c>
      <c r="T282" s="113">
        <v>0.55000000000000004</v>
      </c>
      <c r="U282" s="113">
        <v>0</v>
      </c>
      <c r="V282" s="143">
        <f>(((Tabela13633[[#This Row],[Objetive value Cannibalism ]]-Tabela13633[[#This Row],[Objetive value Cannibalism/H-R2]])/Tabela13633[[#This Row],[Objetive value Cannibalism ]]))*100</f>
        <v>3.9296407185628741</v>
      </c>
    </row>
    <row r="283" spans="1:22" s="34" customFormat="1" x14ac:dyDescent="0.25">
      <c r="A283" s="3" t="s">
        <v>167</v>
      </c>
      <c r="B283" s="39" t="s">
        <v>539</v>
      </c>
      <c r="C283" s="3">
        <v>300</v>
      </c>
      <c r="D283" s="114">
        <v>0.1</v>
      </c>
      <c r="E283" s="3">
        <v>15</v>
      </c>
      <c r="F283" s="39" t="s">
        <v>21</v>
      </c>
      <c r="G283" s="39" t="s">
        <v>14</v>
      </c>
      <c r="H283" s="128">
        <v>5547</v>
      </c>
      <c r="I283" s="128">
        <v>0.39000000001396901</v>
      </c>
      <c r="J283" s="129">
        <v>0</v>
      </c>
      <c r="K283" s="139">
        <v>5487</v>
      </c>
      <c r="L283" s="139">
        <v>11</v>
      </c>
      <c r="M283" s="139">
        <v>3</v>
      </c>
      <c r="N283" s="130">
        <f>((Tabela13633[[#This Row],[Objetive value Cannibalism ]]-Tabela13633[[#This Row],[Objetive value Cannibalism/GATeS]])/Tabela13633[[#This Row],[Objetive value Cannibalism ]])*100</f>
        <v>1.0816657652785289</v>
      </c>
      <c r="O283" s="131">
        <v>870</v>
      </c>
      <c r="P283" s="131">
        <v>1.51</v>
      </c>
      <c r="Q283" s="131">
        <v>0</v>
      </c>
      <c r="R283" s="141">
        <f>(((Tabela13633[[#This Row],[Objetive value Cannibalism ]]-Tabela13633[[#This Row],[Objetive value Cannibalism/H-R1]])/Tabela13633[[#This Row],[Objetive value Cannibalism ]]))*100</f>
        <v>84.315846403461322</v>
      </c>
      <c r="S283" s="113">
        <v>5119</v>
      </c>
      <c r="T283" s="113">
        <v>1.01</v>
      </c>
      <c r="U283" s="113">
        <v>0</v>
      </c>
      <c r="V283" s="143">
        <f>(((Tabela13633[[#This Row],[Objetive value Cannibalism ]]-Tabela13633[[#This Row],[Objetive value Cannibalism/H-R2]])/Tabela13633[[#This Row],[Objetive value Cannibalism ]]))*100</f>
        <v>7.7158824589868393</v>
      </c>
    </row>
    <row r="284" spans="1:22" s="34" customFormat="1" x14ac:dyDescent="0.25">
      <c r="A284" s="3" t="s">
        <v>167</v>
      </c>
      <c r="B284" s="39" t="s">
        <v>540</v>
      </c>
      <c r="C284" s="3">
        <v>300</v>
      </c>
      <c r="D284" s="114">
        <v>0.1</v>
      </c>
      <c r="E284" s="3">
        <v>15</v>
      </c>
      <c r="F284" s="39" t="s">
        <v>21</v>
      </c>
      <c r="G284" s="39" t="s">
        <v>16</v>
      </c>
      <c r="H284" s="128">
        <v>5231</v>
      </c>
      <c r="I284" s="128">
        <v>5.90599999995902</v>
      </c>
      <c r="J284" s="129">
        <v>0</v>
      </c>
      <c r="K284" s="139">
        <v>5077</v>
      </c>
      <c r="L284" s="139">
        <v>22</v>
      </c>
      <c r="M284" s="139">
        <v>2</v>
      </c>
      <c r="N284" s="130">
        <f>((Tabela13633[[#This Row],[Objetive value Cannibalism ]]-Tabela13633[[#This Row],[Objetive value Cannibalism/GATeS]])/Tabela13633[[#This Row],[Objetive value Cannibalism ]])*100</f>
        <v>2.9439877652456508</v>
      </c>
      <c r="O284" s="131">
        <v>5220</v>
      </c>
      <c r="P284" s="131">
        <v>0.41</v>
      </c>
      <c r="Q284" s="131">
        <v>0</v>
      </c>
      <c r="R284" s="141">
        <f>(((Tabela13633[[#This Row],[Objetive value Cannibalism ]]-Tabela13633[[#This Row],[Objetive value Cannibalism/H-R1]])/Tabela13633[[#This Row],[Objetive value Cannibalism ]]))*100</f>
        <v>0.21028484037468936</v>
      </c>
      <c r="S284" s="113">
        <v>5220</v>
      </c>
      <c r="T284" s="113">
        <v>0.35</v>
      </c>
      <c r="U284" s="113">
        <v>0</v>
      </c>
      <c r="V284" s="143">
        <f>(((Tabela13633[[#This Row],[Objetive value Cannibalism ]]-Tabela13633[[#This Row],[Objetive value Cannibalism/H-R2]])/Tabela13633[[#This Row],[Objetive value Cannibalism ]]))*100</f>
        <v>0.21028484037468936</v>
      </c>
    </row>
    <row r="285" spans="1:22" s="34" customFormat="1" x14ac:dyDescent="0.25">
      <c r="A285" s="3" t="s">
        <v>129</v>
      </c>
      <c r="B285" s="37" t="s">
        <v>500</v>
      </c>
      <c r="C285" s="3">
        <v>300</v>
      </c>
      <c r="D285" s="114">
        <v>0.1</v>
      </c>
      <c r="E285" s="3">
        <v>5</v>
      </c>
      <c r="F285" s="39" t="s">
        <v>13</v>
      </c>
      <c r="G285" s="39" t="s">
        <v>14</v>
      </c>
      <c r="H285" s="128">
        <v>2589</v>
      </c>
      <c r="I285" s="128">
        <v>0.125</v>
      </c>
      <c r="J285" s="129">
        <v>0</v>
      </c>
      <c r="K285" s="139">
        <v>2576</v>
      </c>
      <c r="L285" s="139">
        <v>8</v>
      </c>
      <c r="M285" s="139">
        <v>3</v>
      </c>
      <c r="N285" s="130">
        <f>((Tabela13633[[#This Row],[Objetive value Cannibalism ]]-Tabela13633[[#This Row],[Objetive value Cannibalism/GATeS]])/Tabela13633[[#This Row],[Objetive value Cannibalism ]])*100</f>
        <v>0.50212437234453455</v>
      </c>
      <c r="O285" s="131">
        <v>2589</v>
      </c>
      <c r="P285" s="131">
        <v>0.35</v>
      </c>
      <c r="Q285" s="131">
        <v>0</v>
      </c>
      <c r="R285" s="141">
        <f>(((Tabela13633[[#This Row],[Objetive value Cannibalism ]]-Tabela13633[[#This Row],[Objetive value Cannibalism/H-R1]])/Tabela13633[[#This Row],[Objetive value Cannibalism ]]))*100</f>
        <v>0</v>
      </c>
      <c r="S285" s="113">
        <v>2589</v>
      </c>
      <c r="T285" s="113">
        <v>0.32</v>
      </c>
      <c r="U285" s="113">
        <v>0</v>
      </c>
      <c r="V285" s="143">
        <f>(((Tabela13633[[#This Row],[Objetive value Cannibalism ]]-Tabela13633[[#This Row],[Objetive value Cannibalism/H-R2]])/Tabela13633[[#This Row],[Objetive value Cannibalism ]]))*100</f>
        <v>0</v>
      </c>
    </row>
    <row r="286" spans="1:22" s="34" customFormat="1" x14ac:dyDescent="0.25">
      <c r="A286" s="3" t="s">
        <v>129</v>
      </c>
      <c r="B286" s="39" t="s">
        <v>501</v>
      </c>
      <c r="C286" s="3">
        <v>300</v>
      </c>
      <c r="D286" s="114">
        <v>0.1</v>
      </c>
      <c r="E286" s="3">
        <v>5</v>
      </c>
      <c r="F286" s="39" t="s">
        <v>13</v>
      </c>
      <c r="G286" s="39" t="s">
        <v>16</v>
      </c>
      <c r="H286" s="128">
        <v>2104</v>
      </c>
      <c r="I286" s="128">
        <v>0.15700000000651901</v>
      </c>
      <c r="J286" s="129">
        <v>0</v>
      </c>
      <c r="K286" s="139">
        <v>2094</v>
      </c>
      <c r="L286" s="139">
        <v>6</v>
      </c>
      <c r="M286" s="139">
        <v>3</v>
      </c>
      <c r="N286" s="130">
        <f>((Tabela13633[[#This Row],[Objetive value Cannibalism ]]-Tabela13633[[#This Row],[Objetive value Cannibalism/GATeS]])/Tabela13633[[#This Row],[Objetive value Cannibalism ]])*100</f>
        <v>0.47528517110266161</v>
      </c>
      <c r="O286" s="131">
        <v>2104</v>
      </c>
      <c r="P286" s="131">
        <v>0.31</v>
      </c>
      <c r="Q286" s="131">
        <v>0</v>
      </c>
      <c r="R286" s="141">
        <f>(((Tabela13633[[#This Row],[Objetive value Cannibalism ]]-Tabela13633[[#This Row],[Objetive value Cannibalism/H-R1]])/Tabela13633[[#This Row],[Objetive value Cannibalism ]]))*100</f>
        <v>0</v>
      </c>
      <c r="S286" s="113">
        <v>2043</v>
      </c>
      <c r="T286" s="113">
        <v>0.41</v>
      </c>
      <c r="U286" s="113">
        <v>0</v>
      </c>
      <c r="V286" s="143">
        <f>(((Tabela13633[[#This Row],[Objetive value Cannibalism ]]-Tabela13633[[#This Row],[Objetive value Cannibalism/H-R2]])/Tabela13633[[#This Row],[Objetive value Cannibalism ]]))*100</f>
        <v>2.8992395437262357</v>
      </c>
    </row>
    <row r="287" spans="1:22" s="34" customFormat="1" x14ac:dyDescent="0.25">
      <c r="A287" s="3" t="s">
        <v>129</v>
      </c>
      <c r="B287" s="39" t="s">
        <v>502</v>
      </c>
      <c r="C287" s="3">
        <v>300</v>
      </c>
      <c r="D287" s="114">
        <v>0.1</v>
      </c>
      <c r="E287" s="3">
        <v>5</v>
      </c>
      <c r="F287" s="3" t="s">
        <v>18</v>
      </c>
      <c r="G287" s="39" t="s">
        <v>14</v>
      </c>
      <c r="H287" s="128">
        <v>3379</v>
      </c>
      <c r="I287" s="128">
        <v>0.125</v>
      </c>
      <c r="J287" s="129">
        <v>0</v>
      </c>
      <c r="K287" s="139">
        <v>3378</v>
      </c>
      <c r="L287" s="139">
        <v>5</v>
      </c>
      <c r="M287" s="139">
        <v>2</v>
      </c>
      <c r="N287" s="130">
        <f>((Tabela13633[[#This Row],[Objetive value Cannibalism ]]-Tabela13633[[#This Row],[Objetive value Cannibalism/GATeS]])/Tabela13633[[#This Row],[Objetive value Cannibalism ]])*100</f>
        <v>2.9594554601953243E-2</v>
      </c>
      <c r="O287" s="131">
        <v>3379</v>
      </c>
      <c r="P287" s="131">
        <v>0.42</v>
      </c>
      <c r="Q287" s="131">
        <v>0</v>
      </c>
      <c r="R287" s="141">
        <f>(((Tabela13633[[#This Row],[Objetive value Cannibalism ]]-Tabela13633[[#This Row],[Objetive value Cannibalism/H-R1]])/Tabela13633[[#This Row],[Objetive value Cannibalism ]]))*100</f>
        <v>0</v>
      </c>
      <c r="S287" s="113">
        <v>3379</v>
      </c>
      <c r="T287" s="113">
        <v>0.37</v>
      </c>
      <c r="U287" s="113">
        <v>0</v>
      </c>
      <c r="V287" s="143">
        <f>(((Tabela13633[[#This Row],[Objetive value Cannibalism ]]-Tabela13633[[#This Row],[Objetive value Cannibalism/H-R2]])/Tabela13633[[#This Row],[Objetive value Cannibalism ]]))*100</f>
        <v>0</v>
      </c>
    </row>
    <row r="288" spans="1:22" s="34" customFormat="1" x14ac:dyDescent="0.25">
      <c r="A288" s="3" t="s">
        <v>129</v>
      </c>
      <c r="B288" s="39" t="s">
        <v>503</v>
      </c>
      <c r="C288" s="3">
        <v>300</v>
      </c>
      <c r="D288" s="114">
        <v>0.1</v>
      </c>
      <c r="E288" s="3">
        <v>5</v>
      </c>
      <c r="F288" s="3" t="s">
        <v>18</v>
      </c>
      <c r="G288" s="39" t="s">
        <v>16</v>
      </c>
      <c r="H288" s="128">
        <v>2300</v>
      </c>
      <c r="I288" s="128">
        <v>0.186999999918043</v>
      </c>
      <c r="J288" s="129">
        <v>0</v>
      </c>
      <c r="K288" s="139">
        <v>2270</v>
      </c>
      <c r="L288" s="139">
        <v>6</v>
      </c>
      <c r="M288" s="139">
        <v>4</v>
      </c>
      <c r="N288" s="130">
        <f>((Tabela13633[[#This Row],[Objetive value Cannibalism ]]-Tabela13633[[#This Row],[Objetive value Cannibalism/GATeS]])/Tabela13633[[#This Row],[Objetive value Cannibalism ]])*100</f>
        <v>1.3043478260869565</v>
      </c>
      <c r="O288" s="131">
        <v>2287</v>
      </c>
      <c r="P288" s="131">
        <v>0.36</v>
      </c>
      <c r="Q288" s="131">
        <v>0</v>
      </c>
      <c r="R288" s="141">
        <f>(((Tabela13633[[#This Row],[Objetive value Cannibalism ]]-Tabela13633[[#This Row],[Objetive value Cannibalism/H-R1]])/Tabela13633[[#This Row],[Objetive value Cannibalism ]]))*100</f>
        <v>0.56521739130434789</v>
      </c>
      <c r="S288" s="113">
        <v>2194</v>
      </c>
      <c r="T288" s="113">
        <v>0.37</v>
      </c>
      <c r="U288" s="113">
        <v>0</v>
      </c>
      <c r="V288" s="143">
        <f>(((Tabela13633[[#This Row],[Objetive value Cannibalism ]]-Tabela13633[[#This Row],[Objetive value Cannibalism/H-R2]])/Tabela13633[[#This Row],[Objetive value Cannibalism ]]))*100</f>
        <v>4.6086956521739131</v>
      </c>
    </row>
    <row r="289" spans="1:22" s="34" customFormat="1" x14ac:dyDescent="0.25">
      <c r="A289" s="3" t="s">
        <v>129</v>
      </c>
      <c r="B289" s="39" t="s">
        <v>504</v>
      </c>
      <c r="C289" s="3">
        <v>300</v>
      </c>
      <c r="D289" s="114">
        <v>0.1</v>
      </c>
      <c r="E289" s="3">
        <v>5</v>
      </c>
      <c r="F289" s="39" t="s">
        <v>21</v>
      </c>
      <c r="G289" s="39" t="s">
        <v>14</v>
      </c>
      <c r="H289" s="128">
        <v>1729</v>
      </c>
      <c r="I289" s="128">
        <v>0.14000000001396901</v>
      </c>
      <c r="J289" s="129">
        <v>0</v>
      </c>
      <c r="K289" s="139">
        <v>1728</v>
      </c>
      <c r="L289" s="139">
        <v>4</v>
      </c>
      <c r="M289" s="139">
        <v>3</v>
      </c>
      <c r="N289" s="130">
        <f>((Tabela13633[[#This Row],[Objetive value Cannibalism ]]-Tabela13633[[#This Row],[Objetive value Cannibalism/GATeS]])/Tabela13633[[#This Row],[Objetive value Cannibalism ]])*100</f>
        <v>5.7836899942163095E-2</v>
      </c>
      <c r="O289" s="131">
        <v>1729</v>
      </c>
      <c r="P289" s="131">
        <v>0.63</v>
      </c>
      <c r="Q289" s="131">
        <v>0</v>
      </c>
      <c r="R289" s="141">
        <f>(((Tabela13633[[#This Row],[Objetive value Cannibalism ]]-Tabela13633[[#This Row],[Objetive value Cannibalism/H-R1]])/Tabela13633[[#This Row],[Objetive value Cannibalism ]]))*100</f>
        <v>0</v>
      </c>
      <c r="S289" s="113">
        <v>804</v>
      </c>
      <c r="T289" s="113">
        <v>0.97</v>
      </c>
      <c r="U289" s="113">
        <v>0</v>
      </c>
      <c r="V289" s="143">
        <f>(((Tabela13633[[#This Row],[Objetive value Cannibalism ]]-Tabela13633[[#This Row],[Objetive value Cannibalism/H-R2]])/Tabela13633[[#This Row],[Objetive value Cannibalism ]]))*100</f>
        <v>53.499132446500866</v>
      </c>
    </row>
    <row r="290" spans="1:22" s="34" customFormat="1" x14ac:dyDescent="0.25">
      <c r="A290" s="3" t="s">
        <v>129</v>
      </c>
      <c r="B290" s="39" t="s">
        <v>505</v>
      </c>
      <c r="C290" s="3">
        <v>300</v>
      </c>
      <c r="D290" s="114">
        <v>0.1</v>
      </c>
      <c r="E290" s="3">
        <v>5</v>
      </c>
      <c r="F290" s="39" t="s">
        <v>21</v>
      </c>
      <c r="G290" s="39" t="s">
        <v>16</v>
      </c>
      <c r="H290" s="128">
        <v>1669</v>
      </c>
      <c r="I290" s="128">
        <v>0.18700000003445799</v>
      </c>
      <c r="J290" s="129">
        <v>0</v>
      </c>
      <c r="K290" s="139">
        <v>1640</v>
      </c>
      <c r="L290" s="139">
        <v>114</v>
      </c>
      <c r="M290" s="139">
        <v>2</v>
      </c>
      <c r="N290" s="130">
        <f>((Tabela13633[[#This Row],[Objetive value Cannibalism ]]-Tabela13633[[#This Row],[Objetive value Cannibalism/GATeS]])/Tabela13633[[#This Row],[Objetive value Cannibalism ]])*100</f>
        <v>1.7375674056321149</v>
      </c>
      <c r="O290" s="131">
        <v>1669</v>
      </c>
      <c r="P290" s="131">
        <v>0.39</v>
      </c>
      <c r="Q290" s="131">
        <v>0</v>
      </c>
      <c r="R290" s="141">
        <f>(((Tabela13633[[#This Row],[Objetive value Cannibalism ]]-Tabela13633[[#This Row],[Objetive value Cannibalism/H-R1]])/Tabela13633[[#This Row],[Objetive value Cannibalism ]]))*100</f>
        <v>0</v>
      </c>
      <c r="S290" s="113">
        <v>1669</v>
      </c>
      <c r="T290" s="113">
        <v>0.37</v>
      </c>
      <c r="U290" s="113">
        <v>0</v>
      </c>
      <c r="V290" s="143">
        <f>(((Tabela13633[[#This Row],[Objetive value Cannibalism ]]-Tabela13633[[#This Row],[Objetive value Cannibalism/H-R2]])/Tabela13633[[#This Row],[Objetive value Cannibalism ]]))*100</f>
        <v>0</v>
      </c>
    </row>
    <row r="291" spans="1:22" x14ac:dyDescent="0.25">
      <c r="A291" s="34" t="s">
        <v>148</v>
      </c>
      <c r="B291" s="39" t="s">
        <v>524</v>
      </c>
      <c r="C291" s="3">
        <v>300</v>
      </c>
      <c r="D291" s="3">
        <v>0.15</v>
      </c>
      <c r="E291" s="3">
        <v>10</v>
      </c>
      <c r="F291" s="39" t="s">
        <v>13</v>
      </c>
      <c r="G291" s="39" t="s">
        <v>14</v>
      </c>
      <c r="H291" s="128">
        <v>4874</v>
      </c>
      <c r="I291" s="128">
        <v>0.625</v>
      </c>
      <c r="J291" s="129">
        <v>38.049999999999997</v>
      </c>
      <c r="K291" s="139">
        <v>4860</v>
      </c>
      <c r="L291" s="139">
        <v>11</v>
      </c>
      <c r="M291" s="139">
        <v>9</v>
      </c>
      <c r="N291" s="130">
        <f>((Tabela13633[[#This Row],[Objetive value Cannibalism ]]-Tabela13633[[#This Row],[Objetive value Cannibalism/GATeS]])/Tabela13633[[#This Row],[Objetive value Cannibalism ]])*100</f>
        <v>0.28723840787853916</v>
      </c>
      <c r="O291" s="131">
        <v>4307</v>
      </c>
      <c r="P291" s="131">
        <v>0.5</v>
      </c>
      <c r="Q291" s="131">
        <v>0</v>
      </c>
      <c r="R291" s="141">
        <f>(((Tabela13633[[#This Row],[Objetive value Cannibalism ]]-Tabela13633[[#This Row],[Objetive value Cannibalism/H-R1]])/Tabela13633[[#This Row],[Objetive value Cannibalism ]]))*100</f>
        <v>11.633155519080837</v>
      </c>
      <c r="S291" s="113">
        <v>4395</v>
      </c>
      <c r="T291" s="113">
        <v>0.3</v>
      </c>
      <c r="U291" s="113">
        <v>0</v>
      </c>
      <c r="V291" s="143">
        <f>(((Tabela13633[[#This Row],[Objetive value Cannibalism ]]-Tabela13633[[#This Row],[Objetive value Cannibalism/H-R2]])/Tabela13633[[#This Row],[Objetive value Cannibalism ]]))*100</f>
        <v>9.8276569552728752</v>
      </c>
    </row>
    <row r="292" spans="1:22" s="34" customFormat="1" x14ac:dyDescent="0.25">
      <c r="A292" s="3" t="s">
        <v>148</v>
      </c>
      <c r="B292" s="39" t="s">
        <v>525</v>
      </c>
      <c r="C292" s="3">
        <v>300</v>
      </c>
      <c r="D292" s="3">
        <v>0.15</v>
      </c>
      <c r="E292" s="3">
        <v>10</v>
      </c>
      <c r="F292" s="39" t="s">
        <v>13</v>
      </c>
      <c r="G292" s="39" t="s">
        <v>16</v>
      </c>
      <c r="H292" s="128">
        <v>3803</v>
      </c>
      <c r="I292" s="128">
        <v>1.14099999994505</v>
      </c>
      <c r="J292" s="129">
        <v>0</v>
      </c>
      <c r="K292" s="139">
        <v>3743</v>
      </c>
      <c r="L292" s="139">
        <v>13</v>
      </c>
      <c r="M292" s="139">
        <v>9</v>
      </c>
      <c r="N292" s="130">
        <f>((Tabela13633[[#This Row],[Objetive value Cannibalism ]]-Tabela13633[[#This Row],[Objetive value Cannibalism/GATeS]])/Tabela13633[[#This Row],[Objetive value Cannibalism ]])*100</f>
        <v>1.5777018143570865</v>
      </c>
      <c r="O292" s="131">
        <v>3389</v>
      </c>
      <c r="P292" s="131">
        <v>0.42</v>
      </c>
      <c r="Q292" s="131">
        <v>0</v>
      </c>
      <c r="R292" s="141">
        <f>(((Tabela13633[[#This Row],[Objetive value Cannibalism ]]-Tabela13633[[#This Row],[Objetive value Cannibalism/H-R1]])/Tabela13633[[#This Row],[Objetive value Cannibalism ]]))*100</f>
        <v>10.886142519063897</v>
      </c>
      <c r="S292" s="113">
        <v>3434</v>
      </c>
      <c r="T292" s="113">
        <v>0.47</v>
      </c>
      <c r="U292" s="113">
        <v>0</v>
      </c>
      <c r="V292" s="143">
        <f>(((Tabela13633[[#This Row],[Objetive value Cannibalism ]]-Tabela13633[[#This Row],[Objetive value Cannibalism/H-R2]])/Tabela13633[[#This Row],[Objetive value Cannibalism ]]))*100</f>
        <v>9.7028661582960822</v>
      </c>
    </row>
    <row r="293" spans="1:22" s="34" customFormat="1" x14ac:dyDescent="0.25">
      <c r="A293" s="3" t="s">
        <v>148</v>
      </c>
      <c r="B293" s="39" t="s">
        <v>526</v>
      </c>
      <c r="C293" s="3">
        <v>300</v>
      </c>
      <c r="D293" s="3">
        <v>0.15</v>
      </c>
      <c r="E293" s="3">
        <v>10</v>
      </c>
      <c r="F293" s="39" t="s">
        <v>18</v>
      </c>
      <c r="G293" s="39" t="s">
        <v>14</v>
      </c>
      <c r="H293" s="128">
        <v>5622</v>
      </c>
      <c r="I293" s="128">
        <v>0.34299999999348002</v>
      </c>
      <c r="J293" s="129">
        <v>0</v>
      </c>
      <c r="K293" s="139">
        <v>5611</v>
      </c>
      <c r="L293" s="139">
        <v>9</v>
      </c>
      <c r="M293" s="139">
        <v>8</v>
      </c>
      <c r="N293" s="130">
        <f>((Tabela13633[[#This Row],[Objetive value Cannibalism ]]-Tabela13633[[#This Row],[Objetive value Cannibalism/GATeS]])/Tabela13633[[#This Row],[Objetive value Cannibalism ]])*100</f>
        <v>0.19565990750622553</v>
      </c>
      <c r="O293" s="131">
        <v>5622</v>
      </c>
      <c r="P293" s="131">
        <v>0.37</v>
      </c>
      <c r="Q293" s="131">
        <v>0</v>
      </c>
      <c r="R293" s="141">
        <f>(((Tabela13633[[#This Row],[Objetive value Cannibalism ]]-Tabela13633[[#This Row],[Objetive value Cannibalism/H-R1]])/Tabela13633[[#This Row],[Objetive value Cannibalism ]]))*100</f>
        <v>0</v>
      </c>
      <c r="S293" s="113">
        <v>5371</v>
      </c>
      <c r="T293" s="113">
        <v>0.43</v>
      </c>
      <c r="U293" s="113">
        <v>0</v>
      </c>
      <c r="V293" s="143">
        <f>(((Tabela13633[[#This Row],[Objetive value Cannibalism ]]-Tabela13633[[#This Row],[Objetive value Cannibalism/H-R2]])/Tabela13633[[#This Row],[Objetive value Cannibalism ]]))*100</f>
        <v>4.4646033440056918</v>
      </c>
    </row>
    <row r="294" spans="1:22" s="34" customFormat="1" x14ac:dyDescent="0.25">
      <c r="A294" s="3" t="s">
        <v>148</v>
      </c>
      <c r="B294" s="39" t="s">
        <v>1089</v>
      </c>
      <c r="C294" s="3">
        <v>300</v>
      </c>
      <c r="D294" s="3">
        <v>0.15</v>
      </c>
      <c r="E294" s="3">
        <v>10</v>
      </c>
      <c r="F294" s="39" t="s">
        <v>18</v>
      </c>
      <c r="G294" s="39" t="s">
        <v>16</v>
      </c>
      <c r="H294" s="128">
        <v>3881</v>
      </c>
      <c r="I294" s="128">
        <v>1.09400000004097</v>
      </c>
      <c r="J294" s="129">
        <v>0</v>
      </c>
      <c r="K294" s="139">
        <v>3829</v>
      </c>
      <c r="L294" s="139">
        <v>15</v>
      </c>
      <c r="M294" s="139">
        <v>4</v>
      </c>
      <c r="N294" s="130">
        <f>((Tabela13633[[#This Row],[Objetive value Cannibalism ]]-Tabela13633[[#This Row],[Objetive value Cannibalism/GATeS]])/Tabela13633[[#This Row],[Objetive value Cannibalism ]])*100</f>
        <v>1.3398608606029374</v>
      </c>
      <c r="O294" s="131">
        <v>3850</v>
      </c>
      <c r="P294" s="131">
        <v>0.47</v>
      </c>
      <c r="Q294" s="131">
        <v>0</v>
      </c>
      <c r="R294" s="141">
        <f>(((Tabela13633[[#This Row],[Objetive value Cannibalism ]]-Tabela13633[[#This Row],[Objetive value Cannibalism/H-R1]])/Tabela13633[[#This Row],[Objetive value Cannibalism ]]))*100</f>
        <v>0.79876320535944345</v>
      </c>
      <c r="S294" s="113">
        <v>3838</v>
      </c>
      <c r="T294" s="113">
        <v>0.37</v>
      </c>
      <c r="U294" s="113">
        <v>0</v>
      </c>
      <c r="V294" s="143">
        <f>(((Tabela13633[[#This Row],[Objetive value Cannibalism ]]-Tabela13633[[#This Row],[Objetive value Cannibalism/H-R2]])/Tabela13633[[#This Row],[Objetive value Cannibalism ]]))*100</f>
        <v>1.107961865498583</v>
      </c>
    </row>
    <row r="295" spans="1:22" s="34" customFormat="1" x14ac:dyDescent="0.25">
      <c r="A295" s="3" t="s">
        <v>148</v>
      </c>
      <c r="B295" s="39" t="s">
        <v>527</v>
      </c>
      <c r="C295" s="3">
        <v>300</v>
      </c>
      <c r="D295" s="3">
        <v>0.15</v>
      </c>
      <c r="E295" s="3">
        <v>10</v>
      </c>
      <c r="F295" s="39" t="s">
        <v>21</v>
      </c>
      <c r="G295" s="39" t="s">
        <v>14</v>
      </c>
      <c r="H295" s="128">
        <v>3861</v>
      </c>
      <c r="I295" s="128">
        <v>0.188000000081956</v>
      </c>
      <c r="J295" s="129">
        <v>0</v>
      </c>
      <c r="K295" s="139">
        <v>3820</v>
      </c>
      <c r="L295" s="139">
        <v>8</v>
      </c>
      <c r="M295" s="139">
        <v>1</v>
      </c>
      <c r="N295" s="130">
        <f>((Tabela13633[[#This Row],[Objetive value Cannibalism ]]-Tabela13633[[#This Row],[Objetive value Cannibalism/GATeS]])/Tabela13633[[#This Row],[Objetive value Cannibalism ]])*100</f>
        <v>1.0619010619010618</v>
      </c>
      <c r="O295" s="131">
        <v>3511</v>
      </c>
      <c r="P295" s="131">
        <v>0.46</v>
      </c>
      <c r="Q295" s="131">
        <v>0</v>
      </c>
      <c r="R295" s="141">
        <f>(((Tabela13633[[#This Row],[Objetive value Cannibalism ]]-Tabela13633[[#This Row],[Objetive value Cannibalism/H-R1]])/Tabela13633[[#This Row],[Objetive value Cannibalism ]]))*100</f>
        <v>9.0650090650090647</v>
      </c>
      <c r="S295" s="113">
        <v>3861</v>
      </c>
      <c r="T295" s="113">
        <v>0.31</v>
      </c>
      <c r="U295" s="113">
        <v>0</v>
      </c>
      <c r="V295" s="143">
        <f>(((Tabela13633[[#This Row],[Objetive value Cannibalism ]]-Tabela13633[[#This Row],[Objetive value Cannibalism/H-R2]])/Tabela13633[[#This Row],[Objetive value Cannibalism ]]))*100</f>
        <v>0</v>
      </c>
    </row>
    <row r="296" spans="1:22" s="34" customFormat="1" x14ac:dyDescent="0.25">
      <c r="A296" s="3" t="s">
        <v>148</v>
      </c>
      <c r="B296" s="39" t="s">
        <v>528</v>
      </c>
      <c r="C296" s="3">
        <v>300</v>
      </c>
      <c r="D296" s="3">
        <v>0.15</v>
      </c>
      <c r="E296" s="3">
        <v>10</v>
      </c>
      <c r="F296" s="39" t="s">
        <v>21</v>
      </c>
      <c r="G296" s="39" t="s">
        <v>16</v>
      </c>
      <c r="H296" s="128">
        <v>4029</v>
      </c>
      <c r="I296" s="128">
        <v>0.75</v>
      </c>
      <c r="J296" s="129">
        <v>0</v>
      </c>
      <c r="K296" s="139">
        <v>4013</v>
      </c>
      <c r="L296" s="139">
        <v>13</v>
      </c>
      <c r="M296" s="139">
        <v>10</v>
      </c>
      <c r="N296" s="130">
        <f>((Tabela13633[[#This Row],[Objetive value Cannibalism ]]-Tabela13633[[#This Row],[Objetive value Cannibalism/GATeS]])/Tabela13633[[#This Row],[Objetive value Cannibalism ]])*100</f>
        <v>0.39712087366592208</v>
      </c>
      <c r="O296" s="131">
        <v>4029</v>
      </c>
      <c r="P296" s="131">
        <v>0.33</v>
      </c>
      <c r="Q296" s="131">
        <v>0</v>
      </c>
      <c r="R296" s="141">
        <f>(((Tabela13633[[#This Row],[Objetive value Cannibalism ]]-Tabela13633[[#This Row],[Objetive value Cannibalism/H-R1]])/Tabela13633[[#This Row],[Objetive value Cannibalism ]]))*100</f>
        <v>0</v>
      </c>
      <c r="S296" s="113">
        <v>3976</v>
      </c>
      <c r="T296" s="113">
        <v>0.34</v>
      </c>
      <c r="U296" s="113">
        <v>0</v>
      </c>
      <c r="V296" s="143">
        <f>(((Tabela13633[[#This Row],[Objetive value Cannibalism ]]-Tabela13633[[#This Row],[Objetive value Cannibalism/H-R2]])/Tabela13633[[#This Row],[Objetive value Cannibalism ]]))*100</f>
        <v>1.3154628940183668</v>
      </c>
    </row>
    <row r="297" spans="1:22" s="34" customFormat="1" x14ac:dyDescent="0.25">
      <c r="A297" s="34" t="s">
        <v>167</v>
      </c>
      <c r="B297" s="39" t="s">
        <v>541</v>
      </c>
      <c r="C297" s="3">
        <v>300</v>
      </c>
      <c r="D297" s="3">
        <v>0.15</v>
      </c>
      <c r="E297" s="3">
        <v>15</v>
      </c>
      <c r="F297" s="39" t="s">
        <v>13</v>
      </c>
      <c r="G297" s="39" t="s">
        <v>14</v>
      </c>
      <c r="H297" s="128">
        <v>9443</v>
      </c>
      <c r="I297" s="128">
        <v>2.4690000000409702</v>
      </c>
      <c r="J297" s="129">
        <v>5.1100000000000003</v>
      </c>
      <c r="K297" s="139">
        <v>9121</v>
      </c>
      <c r="L297" s="139">
        <v>232</v>
      </c>
      <c r="M297" s="139">
        <v>0</v>
      </c>
      <c r="N297" s="130">
        <f>((Tabela13633[[#This Row],[Objetive value Cannibalism ]]-Tabela13633[[#This Row],[Objetive value Cannibalism/GATeS]])/Tabela13633[[#This Row],[Objetive value Cannibalism ]])*100</f>
        <v>3.4099332839140102</v>
      </c>
      <c r="O297" s="131">
        <v>8709</v>
      </c>
      <c r="P297" s="131">
        <v>0.32</v>
      </c>
      <c r="Q297" s="131">
        <v>0</v>
      </c>
      <c r="R297" s="141">
        <f>(((Tabela13633[[#This Row],[Objetive value Cannibalism ]]-Tabela13633[[#This Row],[Objetive value Cannibalism/H-R1]])/Tabela13633[[#This Row],[Objetive value Cannibalism ]]))*100</f>
        <v>7.7729535105369063</v>
      </c>
      <c r="S297" s="113">
        <v>8365</v>
      </c>
      <c r="T297" s="113">
        <v>0.33</v>
      </c>
      <c r="U297" s="113">
        <v>0</v>
      </c>
      <c r="V297" s="143">
        <f>(((Tabela13633[[#This Row],[Objetive value Cannibalism ]]-Tabela13633[[#This Row],[Objetive value Cannibalism/H-R2]])/Tabela13633[[#This Row],[Objetive value Cannibalism ]]))*100</f>
        <v>11.415863602668644</v>
      </c>
    </row>
    <row r="298" spans="1:22" s="34" customFormat="1" x14ac:dyDescent="0.25">
      <c r="A298" s="3" t="s">
        <v>167</v>
      </c>
      <c r="B298" s="39" t="s">
        <v>542</v>
      </c>
      <c r="C298" s="3">
        <v>300</v>
      </c>
      <c r="D298" s="3">
        <v>0.15</v>
      </c>
      <c r="E298" s="3">
        <v>15</v>
      </c>
      <c r="F298" s="39" t="s">
        <v>13</v>
      </c>
      <c r="G298" s="39" t="s">
        <v>16</v>
      </c>
      <c r="H298" s="128">
        <v>5368</v>
      </c>
      <c r="I298" s="128">
        <v>10.3120000000344</v>
      </c>
      <c r="J298" s="129">
        <v>0.44</v>
      </c>
      <c r="K298" s="139">
        <v>5332</v>
      </c>
      <c r="L298" s="139">
        <v>32</v>
      </c>
      <c r="M298" s="139">
        <v>13</v>
      </c>
      <c r="N298" s="130">
        <f>((Tabela13633[[#This Row],[Objetive value Cannibalism ]]-Tabela13633[[#This Row],[Objetive value Cannibalism/GATeS]])/Tabela13633[[#This Row],[Objetive value Cannibalism ]])*100</f>
        <v>0.6706408345752608</v>
      </c>
      <c r="O298" s="131">
        <v>5304</v>
      </c>
      <c r="P298" s="131">
        <v>0.63</v>
      </c>
      <c r="Q298" s="131">
        <v>0</v>
      </c>
      <c r="R298" s="141">
        <f>(((Tabela13633[[#This Row],[Objetive value Cannibalism ]]-Tabela13633[[#This Row],[Objetive value Cannibalism/H-R1]])/Tabela13633[[#This Row],[Objetive value Cannibalism ]]))*100</f>
        <v>1.1922503725782414</v>
      </c>
      <c r="S298" s="113">
        <v>5191</v>
      </c>
      <c r="T298" s="113">
        <v>0.4</v>
      </c>
      <c r="U298" s="113">
        <v>0</v>
      </c>
      <c r="V298" s="143">
        <f>(((Tabela13633[[#This Row],[Objetive value Cannibalism ]]-Tabela13633[[#This Row],[Objetive value Cannibalism/H-R2]])/Tabela13633[[#This Row],[Objetive value Cannibalism ]]))*100</f>
        <v>3.2973174366616989</v>
      </c>
    </row>
    <row r="299" spans="1:22" s="34" customFormat="1" x14ac:dyDescent="0.25">
      <c r="A299" s="3" t="s">
        <v>167</v>
      </c>
      <c r="B299" s="39" t="s">
        <v>543</v>
      </c>
      <c r="C299" s="3">
        <v>300</v>
      </c>
      <c r="D299" s="3">
        <v>0.15</v>
      </c>
      <c r="E299" s="3">
        <v>15</v>
      </c>
      <c r="F299" s="39" t="s">
        <v>18</v>
      </c>
      <c r="G299" s="39" t="s">
        <v>14</v>
      </c>
      <c r="H299" s="128">
        <v>11213</v>
      </c>
      <c r="I299" s="128">
        <v>1.26600000006146</v>
      </c>
      <c r="J299" s="129">
        <v>16.22</v>
      </c>
      <c r="K299" s="139">
        <v>11064</v>
      </c>
      <c r="L299" s="139">
        <v>16</v>
      </c>
      <c r="M299" s="139">
        <v>14</v>
      </c>
      <c r="N299" s="130">
        <f>((Tabela13633[[#This Row],[Objetive value Cannibalism ]]-Tabela13633[[#This Row],[Objetive value Cannibalism/GATeS]])/Tabela13633[[#This Row],[Objetive value Cannibalism ]])*100</f>
        <v>1.3288147685721929</v>
      </c>
      <c r="O299" s="131">
        <v>10484</v>
      </c>
      <c r="P299" s="131">
        <v>0.35</v>
      </c>
      <c r="Q299" s="131">
        <v>0</v>
      </c>
      <c r="R299" s="141">
        <f>(((Tabela13633[[#This Row],[Objetive value Cannibalism ]]-Tabela13633[[#This Row],[Objetive value Cannibalism/H-R1]])/Tabela13633[[#This Row],[Objetive value Cannibalism ]]))*100</f>
        <v>6.5013823240881123</v>
      </c>
      <c r="S299" s="113">
        <v>9588</v>
      </c>
      <c r="T299" s="113">
        <v>0.35</v>
      </c>
      <c r="U299" s="113">
        <v>0</v>
      </c>
      <c r="V299" s="143">
        <f>(((Tabela13633[[#This Row],[Objetive value Cannibalism ]]-Tabela13633[[#This Row],[Objetive value Cannibalism/H-R2]])/Tabela13633[[#This Row],[Objetive value Cannibalism ]]))*100</f>
        <v>14.492107375367876</v>
      </c>
    </row>
    <row r="300" spans="1:22" s="34" customFormat="1" x14ac:dyDescent="0.25">
      <c r="A300" s="3" t="s">
        <v>167</v>
      </c>
      <c r="B300" s="39" t="s">
        <v>544</v>
      </c>
      <c r="C300" s="3">
        <v>300</v>
      </c>
      <c r="D300" s="3">
        <v>0.15</v>
      </c>
      <c r="E300" s="3">
        <v>15</v>
      </c>
      <c r="F300" s="39" t="s">
        <v>18</v>
      </c>
      <c r="G300" s="39" t="s">
        <v>16</v>
      </c>
      <c r="H300" s="128">
        <v>5373</v>
      </c>
      <c r="I300" s="128">
        <v>5.7650000000139698</v>
      </c>
      <c r="J300" s="129">
        <v>0</v>
      </c>
      <c r="K300" s="139">
        <v>5289</v>
      </c>
      <c r="L300" s="139">
        <v>31</v>
      </c>
      <c r="M300" s="139">
        <v>20</v>
      </c>
      <c r="N300" s="130">
        <f>((Tabela13633[[#This Row],[Objetive value Cannibalism ]]-Tabela13633[[#This Row],[Objetive value Cannibalism/GATeS]])/Tabela13633[[#This Row],[Objetive value Cannibalism ]])*100</f>
        <v>1.5633724176437744</v>
      </c>
      <c r="O300" s="131">
        <v>5315</v>
      </c>
      <c r="P300" s="131">
        <v>0.43</v>
      </c>
      <c r="Q300" s="131">
        <v>0</v>
      </c>
      <c r="R300" s="141">
        <f>(((Tabela13633[[#This Row],[Objetive value Cannibalism ]]-Tabela13633[[#This Row],[Objetive value Cannibalism/H-R1]])/Tabela13633[[#This Row],[Objetive value Cannibalism ]]))*100</f>
        <v>1.0794714312302252</v>
      </c>
      <c r="S300" s="113">
        <v>4928</v>
      </c>
      <c r="T300" s="113">
        <v>0.53</v>
      </c>
      <c r="U300" s="113">
        <v>0</v>
      </c>
      <c r="V300" s="143">
        <f>(((Tabela13633[[#This Row],[Objetive value Cannibalism ]]-Tabela13633[[#This Row],[Objetive value Cannibalism/H-R2]])/Tabela13633[[#This Row],[Objetive value Cannibalism ]]))*100</f>
        <v>8.2821514982319009</v>
      </c>
    </row>
    <row r="301" spans="1:22" s="34" customFormat="1" x14ac:dyDescent="0.25">
      <c r="A301" s="3" t="s">
        <v>167</v>
      </c>
      <c r="B301" s="39" t="s">
        <v>545</v>
      </c>
      <c r="C301" s="3">
        <v>300</v>
      </c>
      <c r="D301" s="3">
        <v>0.15</v>
      </c>
      <c r="E301" s="3">
        <v>15</v>
      </c>
      <c r="F301" s="39" t="s">
        <v>21</v>
      </c>
      <c r="G301" s="39" t="s">
        <v>14</v>
      </c>
      <c r="H301" s="128">
        <v>6792</v>
      </c>
      <c r="I301" s="128">
        <v>0.43700000003445799</v>
      </c>
      <c r="J301" s="129">
        <v>0</v>
      </c>
      <c r="K301" s="139">
        <v>6578</v>
      </c>
      <c r="L301" s="139">
        <v>339</v>
      </c>
      <c r="M301" s="139">
        <v>114</v>
      </c>
      <c r="N301" s="130">
        <f>((Tabela13633[[#This Row],[Objetive value Cannibalism ]]-Tabela13633[[#This Row],[Objetive value Cannibalism/GATeS]])/Tabela13633[[#This Row],[Objetive value Cannibalism ]])*100</f>
        <v>3.1507656065959955</v>
      </c>
      <c r="O301" s="131">
        <v>2023</v>
      </c>
      <c r="P301" s="131">
        <v>1.56</v>
      </c>
      <c r="Q301" s="131">
        <v>0</v>
      </c>
      <c r="R301" s="141">
        <f>(((Tabela13633[[#This Row],[Objetive value Cannibalism ]]-Tabela13633[[#This Row],[Objetive value Cannibalism/H-R1]])/Tabela13633[[#This Row],[Objetive value Cannibalism ]]))*100</f>
        <v>70.214958775029444</v>
      </c>
      <c r="S301" s="113">
        <v>4901</v>
      </c>
      <c r="T301" s="113">
        <v>1.1599999999999999</v>
      </c>
      <c r="U301" s="113">
        <v>0</v>
      </c>
      <c r="V301" s="143">
        <f>(((Tabela13633[[#This Row],[Objetive value Cannibalism ]]-Tabela13633[[#This Row],[Objetive value Cannibalism/H-R2]])/Tabela13633[[#This Row],[Objetive value Cannibalism ]]))*100</f>
        <v>27.841578327444051</v>
      </c>
    </row>
    <row r="302" spans="1:22" s="34" customFormat="1" x14ac:dyDescent="0.25">
      <c r="A302" s="3" t="s">
        <v>167</v>
      </c>
      <c r="B302" s="39" t="s">
        <v>546</v>
      </c>
      <c r="C302" s="3">
        <v>300</v>
      </c>
      <c r="D302" s="3">
        <v>0.15</v>
      </c>
      <c r="E302" s="3">
        <v>15</v>
      </c>
      <c r="F302" s="39" t="s">
        <v>21</v>
      </c>
      <c r="G302" s="39" t="s">
        <v>16</v>
      </c>
      <c r="H302" s="128">
        <v>5171</v>
      </c>
      <c r="I302" s="128">
        <v>5.82799999997951</v>
      </c>
      <c r="J302" s="129">
        <v>0</v>
      </c>
      <c r="K302" s="139">
        <v>5147</v>
      </c>
      <c r="L302" s="139">
        <v>32</v>
      </c>
      <c r="M302" s="139">
        <v>9</v>
      </c>
      <c r="N302" s="130">
        <f>((Tabela13633[[#This Row],[Objetive value Cannibalism ]]-Tabela13633[[#This Row],[Objetive value Cannibalism/GATeS]])/Tabela13633[[#This Row],[Objetive value Cannibalism ]])*100</f>
        <v>0.46412686134210018</v>
      </c>
      <c r="O302" s="131">
        <v>5007</v>
      </c>
      <c r="P302" s="131">
        <v>0.46</v>
      </c>
      <c r="Q302" s="131">
        <v>0</v>
      </c>
      <c r="R302" s="141">
        <f>(((Tabela13633[[#This Row],[Objetive value Cannibalism ]]-Tabela13633[[#This Row],[Objetive value Cannibalism/H-R1]])/Tabela13633[[#This Row],[Objetive value Cannibalism ]]))*100</f>
        <v>3.1715335525043513</v>
      </c>
      <c r="S302" s="113">
        <v>5034</v>
      </c>
      <c r="T302" s="113">
        <v>0.44</v>
      </c>
      <c r="U302" s="113">
        <v>0</v>
      </c>
      <c r="V302" s="143">
        <f>(((Tabela13633[[#This Row],[Objetive value Cannibalism ]]-Tabela13633[[#This Row],[Objetive value Cannibalism/H-R2]])/Tabela13633[[#This Row],[Objetive value Cannibalism ]]))*100</f>
        <v>2.6493908334944885</v>
      </c>
    </row>
    <row r="303" spans="1:22" s="34" customFormat="1" x14ac:dyDescent="0.25">
      <c r="A303" s="3" t="s">
        <v>129</v>
      </c>
      <c r="B303" s="39" t="s">
        <v>506</v>
      </c>
      <c r="C303" s="3">
        <v>300</v>
      </c>
      <c r="D303" s="3">
        <v>0.15</v>
      </c>
      <c r="E303" s="3">
        <v>5</v>
      </c>
      <c r="F303" s="39" t="s">
        <v>13</v>
      </c>
      <c r="G303" s="39" t="s">
        <v>14</v>
      </c>
      <c r="H303" s="128">
        <v>3125</v>
      </c>
      <c r="I303" s="128">
        <v>0.14100000006146701</v>
      </c>
      <c r="J303" s="129">
        <v>0</v>
      </c>
      <c r="K303" s="139">
        <v>3113</v>
      </c>
      <c r="L303" s="139">
        <v>6</v>
      </c>
      <c r="M303" s="139">
        <v>1</v>
      </c>
      <c r="N303" s="130">
        <f>((Tabela13633[[#This Row],[Objetive value Cannibalism ]]-Tabela13633[[#This Row],[Objetive value Cannibalism/GATeS]])/Tabela13633[[#This Row],[Objetive value Cannibalism ]])*100</f>
        <v>0.38400000000000001</v>
      </c>
      <c r="O303" s="131">
        <v>3116</v>
      </c>
      <c r="P303" s="131">
        <v>0.31</v>
      </c>
      <c r="Q303" s="131">
        <v>0</v>
      </c>
      <c r="R303" s="141">
        <f>(((Tabela13633[[#This Row],[Objetive value Cannibalism ]]-Tabela13633[[#This Row],[Objetive value Cannibalism/H-R1]])/Tabela13633[[#This Row],[Objetive value Cannibalism ]]))*100</f>
        <v>0.28800000000000003</v>
      </c>
      <c r="S303" s="113">
        <v>3116</v>
      </c>
      <c r="T303" s="113">
        <v>0.35</v>
      </c>
      <c r="U303" s="113">
        <v>0</v>
      </c>
      <c r="V303" s="143">
        <f>(((Tabela13633[[#This Row],[Objetive value Cannibalism ]]-Tabela13633[[#This Row],[Objetive value Cannibalism/H-R2]])/Tabela13633[[#This Row],[Objetive value Cannibalism ]]))*100</f>
        <v>0.28800000000000003</v>
      </c>
    </row>
    <row r="304" spans="1:22" s="34" customFormat="1" x14ac:dyDescent="0.25">
      <c r="A304" s="3" t="s">
        <v>129</v>
      </c>
      <c r="B304" s="39" t="s">
        <v>507</v>
      </c>
      <c r="C304" s="3">
        <v>300</v>
      </c>
      <c r="D304" s="3">
        <v>0.15</v>
      </c>
      <c r="E304" s="3">
        <v>5</v>
      </c>
      <c r="F304" s="39" t="s">
        <v>13</v>
      </c>
      <c r="G304" s="39" t="s">
        <v>16</v>
      </c>
      <c r="H304" s="128">
        <v>2189</v>
      </c>
      <c r="I304" s="128">
        <v>0.14000000001396901</v>
      </c>
      <c r="J304" s="129">
        <v>0</v>
      </c>
      <c r="K304" s="139">
        <v>2188</v>
      </c>
      <c r="L304" s="139">
        <v>5</v>
      </c>
      <c r="M304" s="139">
        <v>1</v>
      </c>
      <c r="N304" s="130">
        <f>((Tabela13633[[#This Row],[Objetive value Cannibalism ]]-Tabela13633[[#This Row],[Objetive value Cannibalism/GATeS]])/Tabela13633[[#This Row],[Objetive value Cannibalism ]])*100</f>
        <v>4.5682960255824578E-2</v>
      </c>
      <c r="O304" s="131">
        <v>2189</v>
      </c>
      <c r="P304" s="131">
        <v>0.3</v>
      </c>
      <c r="Q304" s="131">
        <v>0</v>
      </c>
      <c r="R304" s="141">
        <f>(((Tabela13633[[#This Row],[Objetive value Cannibalism ]]-Tabela13633[[#This Row],[Objetive value Cannibalism/H-R1]])/Tabela13633[[#This Row],[Objetive value Cannibalism ]]))*100</f>
        <v>0</v>
      </c>
      <c r="S304" s="113">
        <v>2189</v>
      </c>
      <c r="T304" s="113">
        <v>0.28999999999999998</v>
      </c>
      <c r="U304" s="113">
        <v>0</v>
      </c>
      <c r="V304" s="143">
        <f>(((Tabela13633[[#This Row],[Objetive value Cannibalism ]]-Tabela13633[[#This Row],[Objetive value Cannibalism/H-R2]])/Tabela13633[[#This Row],[Objetive value Cannibalism ]]))*100</f>
        <v>0</v>
      </c>
    </row>
    <row r="305" spans="1:22" s="34" customFormat="1" x14ac:dyDescent="0.25">
      <c r="A305" s="3" t="s">
        <v>129</v>
      </c>
      <c r="B305" s="39" t="s">
        <v>508</v>
      </c>
      <c r="C305" s="3">
        <v>300</v>
      </c>
      <c r="D305" s="3">
        <v>0.15</v>
      </c>
      <c r="E305" s="3">
        <v>5</v>
      </c>
      <c r="F305" s="39" t="s">
        <v>18</v>
      </c>
      <c r="G305" s="39" t="s">
        <v>14</v>
      </c>
      <c r="H305" s="128">
        <v>3012</v>
      </c>
      <c r="I305" s="128">
        <v>0.14100000006146701</v>
      </c>
      <c r="J305" s="129">
        <v>0</v>
      </c>
      <c r="K305" s="139">
        <v>3002</v>
      </c>
      <c r="L305" s="139">
        <v>5</v>
      </c>
      <c r="M305" s="139">
        <v>2</v>
      </c>
      <c r="N305" s="130">
        <f>((Tabela13633[[#This Row],[Objetive value Cannibalism ]]-Tabela13633[[#This Row],[Objetive value Cannibalism/GATeS]])/Tabela13633[[#This Row],[Objetive value Cannibalism ]])*100</f>
        <v>0.33200531208499334</v>
      </c>
      <c r="O305" s="131">
        <v>2261</v>
      </c>
      <c r="P305" s="131">
        <v>0.24</v>
      </c>
      <c r="Q305" s="131">
        <v>0</v>
      </c>
      <c r="R305" s="141">
        <f>(((Tabela13633[[#This Row],[Objetive value Cannibalism ]]-Tabela13633[[#This Row],[Objetive value Cannibalism/H-R1]])/Tabela13633[[#This Row],[Objetive value Cannibalism ]]))*100</f>
        <v>24.933598937583</v>
      </c>
      <c r="S305" s="113">
        <v>2246</v>
      </c>
      <c r="T305" s="113">
        <v>0.28000000000000003</v>
      </c>
      <c r="U305" s="113">
        <v>0</v>
      </c>
      <c r="V305" s="143">
        <f>(((Tabela13633[[#This Row],[Objetive value Cannibalism ]]-Tabela13633[[#This Row],[Objetive value Cannibalism/H-R2]])/Tabela13633[[#This Row],[Objetive value Cannibalism ]]))*100</f>
        <v>25.431606905710492</v>
      </c>
    </row>
    <row r="306" spans="1:22" s="34" customFormat="1" x14ac:dyDescent="0.25">
      <c r="A306" s="3" t="s">
        <v>129</v>
      </c>
      <c r="B306" s="39" t="s">
        <v>509</v>
      </c>
      <c r="C306" s="3">
        <v>300</v>
      </c>
      <c r="D306" s="3">
        <v>0.15</v>
      </c>
      <c r="E306" s="3">
        <v>5</v>
      </c>
      <c r="F306" s="39" t="s">
        <v>18</v>
      </c>
      <c r="G306" s="39" t="s">
        <v>16</v>
      </c>
      <c r="H306" s="128">
        <v>2177</v>
      </c>
      <c r="I306" s="128">
        <v>0.15700000000651901</v>
      </c>
      <c r="J306" s="129">
        <v>0</v>
      </c>
      <c r="K306" s="139">
        <v>2177</v>
      </c>
      <c r="L306" s="139">
        <v>5</v>
      </c>
      <c r="M306" s="139">
        <v>0</v>
      </c>
      <c r="N306" s="130">
        <f>((Tabela13633[[#This Row],[Objetive value Cannibalism ]]-Tabela13633[[#This Row],[Objetive value Cannibalism/GATeS]])/Tabela13633[[#This Row],[Objetive value Cannibalism ]])*100</f>
        <v>0</v>
      </c>
      <c r="O306" s="131">
        <v>2169</v>
      </c>
      <c r="P306" s="131">
        <v>0.38</v>
      </c>
      <c r="Q306" s="131">
        <v>0</v>
      </c>
      <c r="R306" s="141">
        <f>(((Tabela13633[[#This Row],[Objetive value Cannibalism ]]-Tabela13633[[#This Row],[Objetive value Cannibalism/H-R1]])/Tabela13633[[#This Row],[Objetive value Cannibalism ]]))*100</f>
        <v>0.36747818098300411</v>
      </c>
      <c r="S306" s="113">
        <v>2169</v>
      </c>
      <c r="T306" s="113">
        <v>0.44</v>
      </c>
      <c r="U306" s="113">
        <v>0</v>
      </c>
      <c r="V306" s="143">
        <f>(((Tabela13633[[#This Row],[Objetive value Cannibalism ]]-Tabela13633[[#This Row],[Objetive value Cannibalism/H-R2]])/Tabela13633[[#This Row],[Objetive value Cannibalism ]]))*100</f>
        <v>0.36747818098300411</v>
      </c>
    </row>
    <row r="307" spans="1:22" s="34" customFormat="1" x14ac:dyDescent="0.25">
      <c r="A307" s="3" t="s">
        <v>129</v>
      </c>
      <c r="B307" s="39" t="s">
        <v>510</v>
      </c>
      <c r="C307" s="3">
        <v>300</v>
      </c>
      <c r="D307" s="3">
        <v>0.15</v>
      </c>
      <c r="E307" s="3">
        <v>5</v>
      </c>
      <c r="F307" s="39" t="s">
        <v>21</v>
      </c>
      <c r="G307" s="39" t="s">
        <v>14</v>
      </c>
      <c r="H307" s="128">
        <v>1748</v>
      </c>
      <c r="I307" s="128">
        <v>0.17200000002048901</v>
      </c>
      <c r="J307" s="129">
        <v>0</v>
      </c>
      <c r="K307" s="139">
        <v>1732</v>
      </c>
      <c r="L307" s="139">
        <v>4</v>
      </c>
      <c r="M307" s="139">
        <v>0</v>
      </c>
      <c r="N307" s="130">
        <f>((Tabela13633[[#This Row],[Objetive value Cannibalism ]]-Tabela13633[[#This Row],[Objetive value Cannibalism/GATeS]])/Tabela13633[[#This Row],[Objetive value Cannibalism ]])*100</f>
        <v>0.91533180778032042</v>
      </c>
      <c r="O307" s="131">
        <v>937</v>
      </c>
      <c r="P307" s="131">
        <v>0.66</v>
      </c>
      <c r="Q307" s="131">
        <v>0</v>
      </c>
      <c r="R307" s="141">
        <f>(((Tabela13633[[#This Row],[Objetive value Cannibalism ]]-Tabela13633[[#This Row],[Objetive value Cannibalism/H-R1]])/Tabela13633[[#This Row],[Objetive value Cannibalism ]]))*100</f>
        <v>46.39588100686499</v>
      </c>
      <c r="S307" s="113">
        <v>1748</v>
      </c>
      <c r="T307" s="113">
        <v>0.52</v>
      </c>
      <c r="U307" s="113">
        <v>0</v>
      </c>
      <c r="V307" s="143">
        <f>(((Tabela13633[[#This Row],[Objetive value Cannibalism ]]-Tabela13633[[#This Row],[Objetive value Cannibalism/H-R2]])/Tabela13633[[#This Row],[Objetive value Cannibalism ]]))*100</f>
        <v>0</v>
      </c>
    </row>
    <row r="308" spans="1:22" s="34" customFormat="1" x14ac:dyDescent="0.25">
      <c r="A308" s="3" t="s">
        <v>129</v>
      </c>
      <c r="B308" s="39" t="s">
        <v>511</v>
      </c>
      <c r="C308" s="3">
        <v>300</v>
      </c>
      <c r="D308" s="3">
        <v>0.15</v>
      </c>
      <c r="E308" s="3">
        <v>5</v>
      </c>
      <c r="F308" s="39" t="s">
        <v>21</v>
      </c>
      <c r="G308" s="39" t="s">
        <v>16</v>
      </c>
      <c r="H308" s="128">
        <v>2105</v>
      </c>
      <c r="I308" s="128">
        <v>0.14100000006146701</v>
      </c>
      <c r="J308" s="129">
        <v>0</v>
      </c>
      <c r="K308" s="139">
        <v>2095</v>
      </c>
      <c r="L308" s="139">
        <v>7</v>
      </c>
      <c r="M308" s="139">
        <v>2</v>
      </c>
      <c r="N308" s="130">
        <f>((Tabela13633[[#This Row],[Objetive value Cannibalism ]]-Tabela13633[[#This Row],[Objetive value Cannibalism/GATeS]])/Tabela13633[[#This Row],[Objetive value Cannibalism ]])*100</f>
        <v>0.47505938242280288</v>
      </c>
      <c r="O308" s="131">
        <v>1945</v>
      </c>
      <c r="P308" s="131">
        <v>0.28999999999999998</v>
      </c>
      <c r="Q308" s="131">
        <v>0</v>
      </c>
      <c r="R308" s="141">
        <f>(((Tabela13633[[#This Row],[Objetive value Cannibalism ]]-Tabela13633[[#This Row],[Objetive value Cannibalism/H-R1]])/Tabela13633[[#This Row],[Objetive value Cannibalism ]]))*100</f>
        <v>7.6009501187648461</v>
      </c>
      <c r="S308" s="113">
        <v>2105</v>
      </c>
      <c r="T308" s="113">
        <v>0.3</v>
      </c>
      <c r="U308" s="113">
        <v>0</v>
      </c>
      <c r="V308" s="143">
        <f>(((Tabela13633[[#This Row],[Objetive value Cannibalism ]]-Tabela13633[[#This Row],[Objetive value Cannibalism/H-R2]])/Tabela13633[[#This Row],[Objetive value Cannibalism ]]))*100</f>
        <v>0</v>
      </c>
    </row>
    <row r="309" spans="1:22" s="34" customFormat="1" x14ac:dyDescent="0.25">
      <c r="A309" s="34" t="s">
        <v>148</v>
      </c>
      <c r="B309" s="39" t="s">
        <v>512</v>
      </c>
      <c r="C309" s="3">
        <v>300</v>
      </c>
      <c r="D309" s="3">
        <v>0.05</v>
      </c>
      <c r="E309" s="3">
        <v>10</v>
      </c>
      <c r="F309" s="39" t="s">
        <v>13</v>
      </c>
      <c r="G309" s="39" t="s">
        <v>14</v>
      </c>
      <c r="H309" s="128">
        <v>5707</v>
      </c>
      <c r="I309" s="128">
        <v>0.60899999993853204</v>
      </c>
      <c r="J309" s="129">
        <v>26.77</v>
      </c>
      <c r="K309" s="139">
        <v>5302</v>
      </c>
      <c r="L309" s="139">
        <v>8</v>
      </c>
      <c r="M309" s="139">
        <v>0</v>
      </c>
      <c r="N309" s="130">
        <f>((Tabela13633[[#This Row],[Objetive value Cannibalism ]]-Tabela13633[[#This Row],[Objetive value Cannibalism/GATeS]])/Tabela13633[[#This Row],[Objetive value Cannibalism ]])*100</f>
        <v>7.0965480988260028</v>
      </c>
      <c r="O309" s="131">
        <v>5303</v>
      </c>
      <c r="P309" s="131">
        <v>0.36</v>
      </c>
      <c r="Q309" s="131">
        <v>0</v>
      </c>
      <c r="R309" s="141">
        <f>(((Tabela13633[[#This Row],[Objetive value Cannibalism ]]-Tabela13633[[#This Row],[Objetive value Cannibalism/H-R1]])/Tabela13633[[#This Row],[Objetive value Cannibalism ]]))*100</f>
        <v>7.0790257578412481</v>
      </c>
      <c r="S309" s="113">
        <v>5367</v>
      </c>
      <c r="T309" s="113">
        <v>0.44</v>
      </c>
      <c r="U309" s="113">
        <v>0</v>
      </c>
      <c r="V309" s="143">
        <f>(((Tabela13633[[#This Row],[Objetive value Cannibalism ]]-Tabela13633[[#This Row],[Objetive value Cannibalism/H-R2]])/Tabela13633[[#This Row],[Objetive value Cannibalism ]]))*100</f>
        <v>5.9575959348168919</v>
      </c>
    </row>
    <row r="310" spans="1:22" s="34" customFormat="1" x14ac:dyDescent="0.25">
      <c r="A310" s="3" t="s">
        <v>148</v>
      </c>
      <c r="B310" s="39" t="s">
        <v>513</v>
      </c>
      <c r="C310" s="3">
        <v>300</v>
      </c>
      <c r="D310" s="3">
        <v>0.05</v>
      </c>
      <c r="E310" s="3">
        <v>10</v>
      </c>
      <c r="F310" s="39" t="s">
        <v>13</v>
      </c>
      <c r="G310" s="39" t="s">
        <v>16</v>
      </c>
      <c r="H310" s="128">
        <v>3623</v>
      </c>
      <c r="I310" s="128">
        <v>1.375</v>
      </c>
      <c r="J310" s="129">
        <v>0</v>
      </c>
      <c r="K310" s="139">
        <v>3566</v>
      </c>
      <c r="L310" s="139">
        <v>14</v>
      </c>
      <c r="M310" s="139">
        <v>11</v>
      </c>
      <c r="N310" s="130">
        <f>((Tabela13633[[#This Row],[Objetive value Cannibalism ]]-Tabela13633[[#This Row],[Objetive value Cannibalism/GATeS]])/Tabela13633[[#This Row],[Objetive value Cannibalism ]])*100</f>
        <v>1.573281810654154</v>
      </c>
      <c r="O310" s="131">
        <v>3618</v>
      </c>
      <c r="P310" s="131">
        <v>0.44</v>
      </c>
      <c r="Q310" s="131">
        <v>0</v>
      </c>
      <c r="R310" s="141">
        <f>(((Tabela13633[[#This Row],[Objetive value Cannibalism ]]-Tabela13633[[#This Row],[Objetive value Cannibalism/H-R1]])/Tabela13633[[#This Row],[Objetive value Cannibalism ]]))*100</f>
        <v>0.13800717637317139</v>
      </c>
      <c r="S310" s="113">
        <v>3623</v>
      </c>
      <c r="T310" s="113">
        <v>0.55000000000000004</v>
      </c>
      <c r="U310" s="113">
        <v>0</v>
      </c>
      <c r="V310" s="143">
        <f>(((Tabela13633[[#This Row],[Objetive value Cannibalism ]]-Tabela13633[[#This Row],[Objetive value Cannibalism/H-R2]])/Tabela13633[[#This Row],[Objetive value Cannibalism ]]))*100</f>
        <v>0</v>
      </c>
    </row>
    <row r="311" spans="1:22" s="34" customFormat="1" x14ac:dyDescent="0.25">
      <c r="A311" s="3" t="s">
        <v>148</v>
      </c>
      <c r="B311" s="39" t="s">
        <v>514</v>
      </c>
      <c r="C311" s="3">
        <v>300</v>
      </c>
      <c r="D311" s="3">
        <v>0.05</v>
      </c>
      <c r="E311" s="3">
        <v>10</v>
      </c>
      <c r="F311" s="39" t="s">
        <v>18</v>
      </c>
      <c r="G311" s="39" t="s">
        <v>14</v>
      </c>
      <c r="H311" s="128">
        <v>7262</v>
      </c>
      <c r="I311" s="128">
        <v>0.31200000003445799</v>
      </c>
      <c r="J311" s="129">
        <v>0</v>
      </c>
      <c r="K311" s="139">
        <v>7243</v>
      </c>
      <c r="L311" s="139">
        <v>14</v>
      </c>
      <c r="M311" s="139">
        <v>6</v>
      </c>
      <c r="N311" s="130">
        <f>((Tabela13633[[#This Row],[Objetive value Cannibalism ]]-Tabela13633[[#This Row],[Objetive value Cannibalism/GATeS]])/Tabela13633[[#This Row],[Objetive value Cannibalism ]])*100</f>
        <v>0.26163591297163313</v>
      </c>
      <c r="O311" s="131">
        <v>7262</v>
      </c>
      <c r="P311" s="131">
        <v>0.35</v>
      </c>
      <c r="Q311" s="131">
        <v>0</v>
      </c>
      <c r="R311" s="141">
        <f>(((Tabela13633[[#This Row],[Objetive value Cannibalism ]]-Tabela13633[[#This Row],[Objetive value Cannibalism/H-R1]])/Tabela13633[[#This Row],[Objetive value Cannibalism ]]))*100</f>
        <v>0</v>
      </c>
      <c r="S311" s="113">
        <v>6806</v>
      </c>
      <c r="T311" s="113">
        <v>0.4</v>
      </c>
      <c r="U311" s="113">
        <v>0</v>
      </c>
      <c r="V311" s="143">
        <f>(((Tabela13633[[#This Row],[Objetive value Cannibalism ]]-Tabela13633[[#This Row],[Objetive value Cannibalism/H-R2]])/Tabela13633[[#This Row],[Objetive value Cannibalism ]]))*100</f>
        <v>6.2792619113191961</v>
      </c>
    </row>
    <row r="312" spans="1:22" s="34" customFormat="1" x14ac:dyDescent="0.25">
      <c r="A312" s="3" t="s">
        <v>148</v>
      </c>
      <c r="B312" s="39" t="s">
        <v>515</v>
      </c>
      <c r="C312" s="3">
        <v>300</v>
      </c>
      <c r="D312" s="3">
        <v>0.05</v>
      </c>
      <c r="E312" s="3">
        <v>10</v>
      </c>
      <c r="F312" s="39" t="s">
        <v>18</v>
      </c>
      <c r="G312" s="39" t="s">
        <v>16</v>
      </c>
      <c r="H312" s="128">
        <v>3723</v>
      </c>
      <c r="I312" s="128">
        <v>0.79700000002048899</v>
      </c>
      <c r="J312" s="129">
        <v>0</v>
      </c>
      <c r="K312" s="139">
        <v>3671</v>
      </c>
      <c r="L312" s="139">
        <v>18</v>
      </c>
      <c r="M312" s="139">
        <v>14</v>
      </c>
      <c r="N312" s="130">
        <f>((Tabela13633[[#This Row],[Objetive value Cannibalism ]]-Tabela13633[[#This Row],[Objetive value Cannibalism/GATeS]])/Tabela13633[[#This Row],[Objetive value Cannibalism ]])*100</f>
        <v>1.39672307279076</v>
      </c>
      <c r="O312" s="131">
        <v>3723</v>
      </c>
      <c r="P312" s="131">
        <v>0.4</v>
      </c>
      <c r="Q312" s="131">
        <v>0</v>
      </c>
      <c r="R312" s="141">
        <f>(((Tabela13633[[#This Row],[Objetive value Cannibalism ]]-Tabela13633[[#This Row],[Objetive value Cannibalism/H-R1]])/Tabela13633[[#This Row],[Objetive value Cannibalism ]]))*100</f>
        <v>0</v>
      </c>
      <c r="S312" s="113">
        <v>3637</v>
      </c>
      <c r="T312" s="113">
        <v>0.5</v>
      </c>
      <c r="U312" s="113">
        <v>0</v>
      </c>
      <c r="V312" s="143">
        <f>(((Tabela13633[[#This Row],[Objetive value Cannibalism ]]-Tabela13633[[#This Row],[Objetive value Cannibalism/H-R2]])/Tabela13633[[#This Row],[Objetive value Cannibalism ]]))*100</f>
        <v>2.3099650819231803</v>
      </c>
    </row>
    <row r="313" spans="1:22" s="34" customFormat="1" x14ac:dyDescent="0.25">
      <c r="A313" s="3" t="s">
        <v>148</v>
      </c>
      <c r="B313" s="39" t="s">
        <v>516</v>
      </c>
      <c r="C313" s="3">
        <v>300</v>
      </c>
      <c r="D313" s="3">
        <v>0.05</v>
      </c>
      <c r="E313" s="3">
        <v>10</v>
      </c>
      <c r="F313" s="39" t="s">
        <v>21</v>
      </c>
      <c r="G313" s="39" t="s">
        <v>14</v>
      </c>
      <c r="H313" s="128">
        <v>4199</v>
      </c>
      <c r="I313" s="128">
        <v>0.17200000002048901</v>
      </c>
      <c r="J313" s="129">
        <v>0</v>
      </c>
      <c r="K313" s="139">
        <v>4190</v>
      </c>
      <c r="L313" s="139">
        <v>8</v>
      </c>
      <c r="M313" s="139">
        <v>1</v>
      </c>
      <c r="N313" s="130">
        <f>((Tabela13633[[#This Row],[Objetive value Cannibalism ]]-Tabela13633[[#This Row],[Objetive value Cannibalism/GATeS]])/Tabela13633[[#This Row],[Objetive value Cannibalism ]])*100</f>
        <v>0.21433674684448678</v>
      </c>
      <c r="O313" s="131">
        <v>1296</v>
      </c>
      <c r="P313" s="131">
        <v>1.22</v>
      </c>
      <c r="Q313" s="131">
        <v>0</v>
      </c>
      <c r="R313" s="141">
        <f>(((Tabela13633[[#This Row],[Objetive value Cannibalism ]]-Tabela13633[[#This Row],[Objetive value Cannibalism/H-R1]])/Tabela13633[[#This Row],[Objetive value Cannibalism ]]))*100</f>
        <v>69.1355084543939</v>
      </c>
      <c r="S313" s="113">
        <v>4199</v>
      </c>
      <c r="T313" s="113">
        <v>0.68</v>
      </c>
      <c r="U313" s="113">
        <v>0</v>
      </c>
      <c r="V313" s="143">
        <f>(((Tabela13633[[#This Row],[Objetive value Cannibalism ]]-Tabela13633[[#This Row],[Objetive value Cannibalism/H-R2]])/Tabela13633[[#This Row],[Objetive value Cannibalism ]]))*100</f>
        <v>0</v>
      </c>
    </row>
    <row r="314" spans="1:22" s="34" customFormat="1" x14ac:dyDescent="0.25">
      <c r="A314" s="3" t="s">
        <v>148</v>
      </c>
      <c r="B314" s="39" t="s">
        <v>517</v>
      </c>
      <c r="C314" s="3">
        <v>300</v>
      </c>
      <c r="D314" s="3">
        <v>0.05</v>
      </c>
      <c r="E314" s="3">
        <v>10</v>
      </c>
      <c r="F314" s="39" t="s">
        <v>21</v>
      </c>
      <c r="G314" s="39" t="s">
        <v>16</v>
      </c>
      <c r="H314" s="128">
        <v>3685</v>
      </c>
      <c r="I314" s="128">
        <v>0.75</v>
      </c>
      <c r="J314" s="129">
        <v>0</v>
      </c>
      <c r="K314" s="139">
        <v>3659</v>
      </c>
      <c r="L314" s="139">
        <v>13</v>
      </c>
      <c r="M314" s="139">
        <v>12</v>
      </c>
      <c r="N314" s="130">
        <f>((Tabela13633[[#This Row],[Objetive value Cannibalism ]]-Tabela13633[[#This Row],[Objetive value Cannibalism/GATeS]])/Tabela13633[[#This Row],[Objetive value Cannibalism ]])*100</f>
        <v>0.70556309362279512</v>
      </c>
      <c r="O314" s="131">
        <v>3685</v>
      </c>
      <c r="P314" s="131">
        <v>0.4</v>
      </c>
      <c r="Q314" s="131">
        <v>0</v>
      </c>
      <c r="R314" s="141">
        <f>(((Tabela13633[[#This Row],[Objetive value Cannibalism ]]-Tabela13633[[#This Row],[Objetive value Cannibalism/H-R1]])/Tabela13633[[#This Row],[Objetive value Cannibalism ]]))*100</f>
        <v>0</v>
      </c>
      <c r="S314" s="113">
        <v>3578</v>
      </c>
      <c r="T314" s="113">
        <v>0.42</v>
      </c>
      <c r="U314" s="113">
        <v>0</v>
      </c>
      <c r="V314" s="143">
        <f>(((Tabela13633[[#This Row],[Objetive value Cannibalism ]]-Tabela13633[[#This Row],[Objetive value Cannibalism/H-R2]])/Tabela13633[[#This Row],[Objetive value Cannibalism ]]))*100</f>
        <v>2.9036635006784257</v>
      </c>
    </row>
    <row r="315" spans="1:22" s="34" customFormat="1" x14ac:dyDescent="0.25">
      <c r="A315" s="34" t="s">
        <v>167</v>
      </c>
      <c r="B315" s="39" t="s">
        <v>529</v>
      </c>
      <c r="C315" s="3">
        <v>300</v>
      </c>
      <c r="D315" s="3">
        <v>0.05</v>
      </c>
      <c r="E315" s="3">
        <v>15</v>
      </c>
      <c r="F315" s="39" t="s">
        <v>13</v>
      </c>
      <c r="G315" s="39" t="s">
        <v>14</v>
      </c>
      <c r="H315" s="128">
        <v>7019</v>
      </c>
      <c r="I315" s="128">
        <v>1.95299999997951</v>
      </c>
      <c r="J315" s="129">
        <v>5.46</v>
      </c>
      <c r="K315" s="139">
        <v>6992</v>
      </c>
      <c r="L315" s="139">
        <v>28</v>
      </c>
      <c r="M315" s="139">
        <v>26</v>
      </c>
      <c r="N315" s="130">
        <f>((Tabela13633[[#This Row],[Objetive value Cannibalism ]]-Tabela13633[[#This Row],[Objetive value Cannibalism/GATeS]])/Tabela13633[[#This Row],[Objetive value Cannibalism ]])*100</f>
        <v>0.38467018093745547</v>
      </c>
      <c r="O315" s="131">
        <v>6722</v>
      </c>
      <c r="P315" s="131">
        <v>0.5</v>
      </c>
      <c r="Q315" s="131">
        <v>0</v>
      </c>
      <c r="R315" s="141">
        <f>(((Tabela13633[[#This Row],[Objetive value Cannibalism ]]-Tabela13633[[#This Row],[Objetive value Cannibalism/H-R1]])/Tabela13633[[#This Row],[Objetive value Cannibalism ]]))*100</f>
        <v>4.2313719903120095</v>
      </c>
      <c r="S315" s="113">
        <v>6150</v>
      </c>
      <c r="T315" s="113">
        <v>0.53</v>
      </c>
      <c r="U315" s="113">
        <v>0</v>
      </c>
      <c r="V315" s="143">
        <f>(((Tabela13633[[#This Row],[Objetive value Cannibalism ]]-Tabela13633[[#This Row],[Objetive value Cannibalism/H-R2]])/Tabela13633[[#This Row],[Objetive value Cannibalism ]]))*100</f>
        <v>12.380681008690697</v>
      </c>
    </row>
    <row r="316" spans="1:22" s="34" customFormat="1" x14ac:dyDescent="0.25">
      <c r="A316" s="3" t="s">
        <v>167</v>
      </c>
      <c r="B316" s="39" t="s">
        <v>530</v>
      </c>
      <c r="C316" s="3">
        <v>300</v>
      </c>
      <c r="D316" s="3">
        <v>0.05</v>
      </c>
      <c r="E316" s="3">
        <v>15</v>
      </c>
      <c r="F316" s="39" t="s">
        <v>13</v>
      </c>
      <c r="G316" s="39" t="s">
        <v>16</v>
      </c>
      <c r="H316" s="128">
        <v>5412</v>
      </c>
      <c r="I316" s="128">
        <v>9.5779999999795091</v>
      </c>
      <c r="J316" s="129">
        <v>0.03</v>
      </c>
      <c r="K316" s="139">
        <v>5364</v>
      </c>
      <c r="L316" s="139">
        <v>22</v>
      </c>
      <c r="M316" s="139">
        <v>8</v>
      </c>
      <c r="N316" s="130">
        <f>((Tabela13633[[#This Row],[Objetive value Cannibalism ]]-Tabela13633[[#This Row],[Objetive value Cannibalism/GATeS]])/Tabela13633[[#This Row],[Objetive value Cannibalism ]])*100</f>
        <v>0.88691796008869184</v>
      </c>
      <c r="O316" s="131">
        <v>5077</v>
      </c>
      <c r="P316" s="131">
        <v>0.55000000000000004</v>
      </c>
      <c r="Q316" s="131">
        <v>0</v>
      </c>
      <c r="R316" s="141">
        <f>(((Tabela13633[[#This Row],[Objetive value Cannibalism ]]-Tabela13633[[#This Row],[Objetive value Cannibalism/H-R1]])/Tabela13633[[#This Row],[Objetive value Cannibalism ]]))*100</f>
        <v>6.1899482631189944</v>
      </c>
      <c r="S316" s="113">
        <v>5195</v>
      </c>
      <c r="T316" s="113">
        <v>0.66</v>
      </c>
      <c r="U316" s="113">
        <v>0</v>
      </c>
      <c r="V316" s="143">
        <f>(((Tabela13633[[#This Row],[Objetive value Cannibalism ]]-Tabela13633[[#This Row],[Objetive value Cannibalism/H-R2]])/Tabela13633[[#This Row],[Objetive value Cannibalism ]]))*100</f>
        <v>4.0096082779009601</v>
      </c>
    </row>
    <row r="317" spans="1:22" s="34" customFormat="1" x14ac:dyDescent="0.25">
      <c r="A317" s="3" t="s">
        <v>167</v>
      </c>
      <c r="B317" s="39" t="s">
        <v>531</v>
      </c>
      <c r="C317" s="3">
        <v>300</v>
      </c>
      <c r="D317" s="3">
        <v>0.05</v>
      </c>
      <c r="E317" s="3">
        <v>15</v>
      </c>
      <c r="F317" s="39" t="s">
        <v>18</v>
      </c>
      <c r="G317" s="39" t="s">
        <v>14</v>
      </c>
      <c r="H317" s="128">
        <v>9066</v>
      </c>
      <c r="I317" s="128">
        <v>2.4370000000344501</v>
      </c>
      <c r="J317" s="129">
        <v>6.07</v>
      </c>
      <c r="K317" s="139">
        <v>8565</v>
      </c>
      <c r="L317" s="139">
        <v>15</v>
      </c>
      <c r="M317" s="139">
        <v>2</v>
      </c>
      <c r="N317" s="130">
        <f>((Tabela13633[[#This Row],[Objetive value Cannibalism ]]-Tabela13633[[#This Row],[Objetive value Cannibalism/GATeS]])/Tabela13633[[#This Row],[Objetive value Cannibalism ]])*100</f>
        <v>5.5261416280608868</v>
      </c>
      <c r="O317" s="131">
        <v>8346</v>
      </c>
      <c r="P317" s="131">
        <v>0.33</v>
      </c>
      <c r="Q317" s="131">
        <v>0</v>
      </c>
      <c r="R317" s="141">
        <f>(((Tabela13633[[#This Row],[Objetive value Cannibalism ]]-Tabela13633[[#This Row],[Objetive value Cannibalism/H-R1]])/Tabela13633[[#This Row],[Objetive value Cannibalism ]]))*100</f>
        <v>7.9417604235605568</v>
      </c>
      <c r="S317" s="113">
        <v>8507</v>
      </c>
      <c r="T317" s="113">
        <v>0.41</v>
      </c>
      <c r="U317" s="113">
        <v>0</v>
      </c>
      <c r="V317" s="143">
        <f>(((Tabela13633[[#This Row],[Objetive value Cannibalism ]]-Tabela13633[[#This Row],[Objetive value Cannibalism/H-R2]])/Tabela13633[[#This Row],[Objetive value Cannibalism ]]))*100</f>
        <v>6.1658945510699317</v>
      </c>
    </row>
    <row r="318" spans="1:22" s="34" customFormat="1" x14ac:dyDescent="0.25">
      <c r="A318" s="3" t="s">
        <v>167</v>
      </c>
      <c r="B318" s="39" t="s">
        <v>532</v>
      </c>
      <c r="C318" s="3">
        <v>300</v>
      </c>
      <c r="D318" s="3">
        <v>0.05</v>
      </c>
      <c r="E318" s="3">
        <v>15</v>
      </c>
      <c r="F318" s="39" t="s">
        <v>18</v>
      </c>
      <c r="G318" s="39" t="s">
        <v>16</v>
      </c>
      <c r="H318" s="128">
        <v>5300</v>
      </c>
      <c r="I318" s="128">
        <v>7.48399999993853</v>
      </c>
      <c r="J318" s="129">
        <v>0.2</v>
      </c>
      <c r="K318" s="139">
        <v>5270</v>
      </c>
      <c r="L318" s="139">
        <v>27</v>
      </c>
      <c r="M318" s="139">
        <v>15</v>
      </c>
      <c r="N318" s="130">
        <f>((Tabela13633[[#This Row],[Objetive value Cannibalism ]]-Tabela13633[[#This Row],[Objetive value Cannibalism/GATeS]])/Tabela13633[[#This Row],[Objetive value Cannibalism ]])*100</f>
        <v>0.56603773584905659</v>
      </c>
      <c r="O318" s="131">
        <v>5300</v>
      </c>
      <c r="P318" s="131">
        <v>0.54</v>
      </c>
      <c r="Q318" s="131">
        <v>0</v>
      </c>
      <c r="R318" s="141">
        <f>(((Tabela13633[[#This Row],[Objetive value Cannibalism ]]-Tabela13633[[#This Row],[Objetive value Cannibalism/H-R1]])/Tabela13633[[#This Row],[Objetive value Cannibalism ]]))*100</f>
        <v>0</v>
      </c>
      <c r="S318" s="113">
        <v>5300</v>
      </c>
      <c r="T318" s="113">
        <v>0.55000000000000004</v>
      </c>
      <c r="U318" s="113">
        <v>0</v>
      </c>
      <c r="V318" s="143">
        <f>(((Tabela13633[[#This Row],[Objetive value Cannibalism ]]-Tabela13633[[#This Row],[Objetive value Cannibalism/H-R2]])/Tabela13633[[#This Row],[Objetive value Cannibalism ]]))*100</f>
        <v>0</v>
      </c>
    </row>
    <row r="319" spans="1:22" s="34" customFormat="1" x14ac:dyDescent="0.25">
      <c r="A319" s="3" t="s">
        <v>167</v>
      </c>
      <c r="B319" s="39" t="s">
        <v>533</v>
      </c>
      <c r="C319" s="3">
        <v>300</v>
      </c>
      <c r="D319" s="3">
        <v>0.05</v>
      </c>
      <c r="E319" s="3">
        <v>15</v>
      </c>
      <c r="F319" s="39" t="s">
        <v>21</v>
      </c>
      <c r="G319" s="39" t="s">
        <v>14</v>
      </c>
      <c r="H319" s="128">
        <v>6202.00000000002</v>
      </c>
      <c r="I319" s="128">
        <v>1.03099999995902</v>
      </c>
      <c r="J319" s="129">
        <v>7.7</v>
      </c>
      <c r="K319" s="139">
        <v>6152</v>
      </c>
      <c r="L319" s="139">
        <v>15</v>
      </c>
      <c r="M319" s="139">
        <v>0</v>
      </c>
      <c r="N319" s="130">
        <f>((Tabela13633[[#This Row],[Objetive value Cannibalism ]]-Tabela13633[[#This Row],[Objetive value Cannibalism/GATeS]])/Tabela13633[[#This Row],[Objetive value Cannibalism ]])*100</f>
        <v>0.80619155111286445</v>
      </c>
      <c r="O319" s="131">
        <v>1713</v>
      </c>
      <c r="P319" s="131">
        <v>1.37</v>
      </c>
      <c r="Q319" s="131">
        <v>0</v>
      </c>
      <c r="R319" s="141">
        <f>(((Tabela13633[[#This Row],[Objetive value Cannibalism ]]-Tabela13633[[#This Row],[Objetive value Cannibalism/H-R1]])/Tabela13633[[#This Row],[Objetive value Cannibalism ]]))*100</f>
        <v>72.379877458884323</v>
      </c>
      <c r="S319" s="113">
        <v>5500</v>
      </c>
      <c r="T319" s="113">
        <v>0.56000000000000005</v>
      </c>
      <c r="U319" s="113">
        <v>0</v>
      </c>
      <c r="V319" s="143">
        <f>(((Tabela13633[[#This Row],[Objetive value Cannibalism ]]-Tabela13633[[#This Row],[Objetive value Cannibalism/H-R2]])/Tabela13633[[#This Row],[Objetive value Cannibalism ]]))*100</f>
        <v>11.318929377620409</v>
      </c>
    </row>
    <row r="320" spans="1:22" s="34" customFormat="1" x14ac:dyDescent="0.25">
      <c r="A320" s="3" t="s">
        <v>167</v>
      </c>
      <c r="B320" s="39" t="s">
        <v>534</v>
      </c>
      <c r="C320" s="3">
        <v>300</v>
      </c>
      <c r="D320" s="3">
        <v>0.05</v>
      </c>
      <c r="E320" s="3">
        <v>15</v>
      </c>
      <c r="F320" s="39" t="s">
        <v>21</v>
      </c>
      <c r="G320" s="39" t="s">
        <v>16</v>
      </c>
      <c r="H320" s="128">
        <v>5415</v>
      </c>
      <c r="I320" s="128">
        <v>3.78100000007543</v>
      </c>
      <c r="J320" s="129">
        <v>0</v>
      </c>
      <c r="K320" s="139">
        <v>5369</v>
      </c>
      <c r="L320" s="139">
        <v>37</v>
      </c>
      <c r="M320" s="139">
        <v>28</v>
      </c>
      <c r="N320" s="130">
        <f>((Tabela13633[[#This Row],[Objetive value Cannibalism ]]-Tabela13633[[#This Row],[Objetive value Cannibalism/GATeS]])/Tabela13633[[#This Row],[Objetive value Cannibalism ]])*100</f>
        <v>0.84949215143120949</v>
      </c>
      <c r="O320" s="131">
        <v>5361</v>
      </c>
      <c r="P320" s="131">
        <v>0.46</v>
      </c>
      <c r="Q320" s="131">
        <v>0</v>
      </c>
      <c r="R320" s="141">
        <f>(((Tabela13633[[#This Row],[Objetive value Cannibalism ]]-Tabela13633[[#This Row],[Objetive value Cannibalism/H-R1]])/Tabela13633[[#This Row],[Objetive value Cannibalism ]]))*100</f>
        <v>0.99722991689750684</v>
      </c>
      <c r="S320" s="113">
        <v>5361</v>
      </c>
      <c r="T320" s="113">
        <v>0.47</v>
      </c>
      <c r="U320" s="113">
        <v>0</v>
      </c>
      <c r="V320" s="143">
        <f>(((Tabela13633[[#This Row],[Objetive value Cannibalism ]]-Tabela13633[[#This Row],[Objetive value Cannibalism/H-R2]])/Tabela13633[[#This Row],[Objetive value Cannibalism ]]))*100</f>
        <v>0.99722991689750684</v>
      </c>
    </row>
    <row r="321" spans="1:22" s="34" customFormat="1" x14ac:dyDescent="0.25">
      <c r="A321" s="3" t="s">
        <v>129</v>
      </c>
      <c r="B321" s="37" t="s">
        <v>494</v>
      </c>
      <c r="C321" s="3">
        <v>300</v>
      </c>
      <c r="D321" s="3">
        <v>0.05</v>
      </c>
      <c r="E321" s="3">
        <v>5</v>
      </c>
      <c r="F321" s="39" t="s">
        <v>13</v>
      </c>
      <c r="G321" s="39" t="s">
        <v>14</v>
      </c>
      <c r="H321" s="128">
        <v>3014</v>
      </c>
      <c r="I321" s="128">
        <v>0.14000000001396901</v>
      </c>
      <c r="J321" s="129">
        <v>0</v>
      </c>
      <c r="K321" s="139">
        <v>2861</v>
      </c>
      <c r="L321" s="139">
        <v>9</v>
      </c>
      <c r="M321" s="139">
        <v>6</v>
      </c>
      <c r="N321" s="130">
        <f>((Tabela13633[[#This Row],[Objetive value Cannibalism ]]-Tabela13633[[#This Row],[Objetive value Cannibalism/GATeS]])/Tabela13633[[#This Row],[Objetive value Cannibalism ]])*100</f>
        <v>5.0763105507631057</v>
      </c>
      <c r="O321" s="131">
        <v>3014</v>
      </c>
      <c r="P321" s="131">
        <v>0.28000000000000003</v>
      </c>
      <c r="Q321" s="131">
        <v>0</v>
      </c>
      <c r="R321" s="141">
        <f>(((Tabela13633[[#This Row],[Objetive value Cannibalism ]]-Tabela13633[[#This Row],[Objetive value Cannibalism/H-R1]])/Tabela13633[[#This Row],[Objetive value Cannibalism ]]))*100</f>
        <v>0</v>
      </c>
      <c r="S321" s="113">
        <v>2839</v>
      </c>
      <c r="T321" s="113">
        <v>0.39</v>
      </c>
      <c r="U321" s="113">
        <v>0</v>
      </c>
      <c r="V321" s="143">
        <f>(((Tabela13633[[#This Row],[Objetive value Cannibalism ]]-Tabela13633[[#This Row],[Objetive value Cannibalism/H-R2]])/Tabela13633[[#This Row],[Objetive value Cannibalism ]]))*100</f>
        <v>5.8062375580623753</v>
      </c>
    </row>
    <row r="322" spans="1:22" s="34" customFormat="1" x14ac:dyDescent="0.25">
      <c r="A322" s="3" t="s">
        <v>129</v>
      </c>
      <c r="B322" s="39" t="s">
        <v>495</v>
      </c>
      <c r="C322" s="3">
        <v>300</v>
      </c>
      <c r="D322" s="3">
        <v>0.05</v>
      </c>
      <c r="E322" s="3">
        <v>5</v>
      </c>
      <c r="F322" s="39" t="s">
        <v>13</v>
      </c>
      <c r="G322" s="39" t="s">
        <v>16</v>
      </c>
      <c r="H322" s="128">
        <v>2068</v>
      </c>
      <c r="I322" s="128">
        <v>0.155999999959021</v>
      </c>
      <c r="J322" s="129">
        <v>0</v>
      </c>
      <c r="K322" s="139">
        <v>2068</v>
      </c>
      <c r="L322" s="139">
        <v>5</v>
      </c>
      <c r="M322" s="139">
        <v>0</v>
      </c>
      <c r="N322" s="130">
        <f>((Tabela13633[[#This Row],[Objetive value Cannibalism ]]-Tabela13633[[#This Row],[Objetive value Cannibalism/GATeS]])/Tabela13633[[#This Row],[Objetive value Cannibalism ]])*100</f>
        <v>0</v>
      </c>
      <c r="O322" s="131">
        <v>2068</v>
      </c>
      <c r="P322" s="131">
        <v>0.32</v>
      </c>
      <c r="Q322" s="131">
        <v>0</v>
      </c>
      <c r="R322" s="141">
        <f>(((Tabela13633[[#This Row],[Objetive value Cannibalism ]]-Tabela13633[[#This Row],[Objetive value Cannibalism/H-R1]])/Tabela13633[[#This Row],[Objetive value Cannibalism ]]))*100</f>
        <v>0</v>
      </c>
      <c r="S322" s="113">
        <v>2068</v>
      </c>
      <c r="T322" s="113">
        <v>0.41</v>
      </c>
      <c r="U322" s="113">
        <v>0</v>
      </c>
      <c r="V322" s="143">
        <f>(((Tabela13633[[#This Row],[Objetive value Cannibalism ]]-Tabela13633[[#This Row],[Objetive value Cannibalism/H-R2]])/Tabela13633[[#This Row],[Objetive value Cannibalism ]]))*100</f>
        <v>0</v>
      </c>
    </row>
    <row r="323" spans="1:22" s="34" customFormat="1" x14ac:dyDescent="0.25">
      <c r="A323" s="3" t="s">
        <v>129</v>
      </c>
      <c r="B323" s="39" t="s">
        <v>496</v>
      </c>
      <c r="C323" s="3">
        <v>300</v>
      </c>
      <c r="D323" s="3">
        <v>0.05</v>
      </c>
      <c r="E323" s="3">
        <v>5</v>
      </c>
      <c r="F323" s="39" t="s">
        <v>18</v>
      </c>
      <c r="G323" s="39" t="s">
        <v>14</v>
      </c>
      <c r="H323" s="128">
        <v>3107</v>
      </c>
      <c r="I323" s="128">
        <v>0.18700000003445799</v>
      </c>
      <c r="J323" s="129">
        <v>0</v>
      </c>
      <c r="K323" s="139">
        <v>3101</v>
      </c>
      <c r="L323" s="139">
        <v>4</v>
      </c>
      <c r="M323" s="139">
        <v>2</v>
      </c>
      <c r="N323" s="130">
        <f>((Tabela13633[[#This Row],[Objetive value Cannibalism ]]-Tabela13633[[#This Row],[Objetive value Cannibalism/GATeS]])/Tabela13633[[#This Row],[Objetive value Cannibalism ]])*100</f>
        <v>0.19311232700354039</v>
      </c>
      <c r="O323" s="131">
        <v>3107</v>
      </c>
      <c r="P323" s="131">
        <v>0.3</v>
      </c>
      <c r="Q323" s="131">
        <v>0</v>
      </c>
      <c r="R323" s="141">
        <f>(((Tabela13633[[#This Row],[Objetive value Cannibalism ]]-Tabela13633[[#This Row],[Objetive value Cannibalism/H-R1]])/Tabela13633[[#This Row],[Objetive value Cannibalism ]]))*100</f>
        <v>0</v>
      </c>
      <c r="S323" s="113">
        <v>3036</v>
      </c>
      <c r="T323" s="113">
        <v>0.41</v>
      </c>
      <c r="U323" s="113">
        <v>0</v>
      </c>
      <c r="V323" s="143">
        <f>(((Tabela13633[[#This Row],[Objetive value Cannibalism ]]-Tabela13633[[#This Row],[Objetive value Cannibalism/H-R2]])/Tabela13633[[#This Row],[Objetive value Cannibalism ]]))*100</f>
        <v>2.2851625362085612</v>
      </c>
    </row>
    <row r="324" spans="1:22" s="34" customFormat="1" x14ac:dyDescent="0.25">
      <c r="A324" s="3" t="s">
        <v>129</v>
      </c>
      <c r="B324" s="39" t="s">
        <v>497</v>
      </c>
      <c r="C324" s="3">
        <v>300</v>
      </c>
      <c r="D324" s="3">
        <v>0.05</v>
      </c>
      <c r="E324" s="3">
        <v>5</v>
      </c>
      <c r="F324" s="39" t="s">
        <v>18</v>
      </c>
      <c r="G324" s="39" t="s">
        <v>16</v>
      </c>
      <c r="H324" s="128">
        <v>1916</v>
      </c>
      <c r="I324" s="128">
        <v>0.125</v>
      </c>
      <c r="J324" s="129">
        <v>0</v>
      </c>
      <c r="K324" s="139">
        <v>1913</v>
      </c>
      <c r="L324" s="139">
        <v>5</v>
      </c>
      <c r="M324" s="139">
        <v>3</v>
      </c>
      <c r="N324" s="130">
        <f>((Tabela13633[[#This Row],[Objetive value Cannibalism ]]-Tabela13633[[#This Row],[Objetive value Cannibalism/GATeS]])/Tabela13633[[#This Row],[Objetive value Cannibalism ]])*100</f>
        <v>0.15657620041753653</v>
      </c>
      <c r="O324" s="131">
        <v>1916</v>
      </c>
      <c r="P324" s="131">
        <v>0.28000000000000003</v>
      </c>
      <c r="Q324" s="131">
        <v>0</v>
      </c>
      <c r="R324" s="141">
        <f>(((Tabela13633[[#This Row],[Objetive value Cannibalism ]]-Tabela13633[[#This Row],[Objetive value Cannibalism/H-R1]])/Tabela13633[[#This Row],[Objetive value Cannibalism ]]))*100</f>
        <v>0</v>
      </c>
      <c r="S324" s="113">
        <v>1916</v>
      </c>
      <c r="T324" s="113">
        <v>0.41</v>
      </c>
      <c r="U324" s="113">
        <v>0</v>
      </c>
      <c r="V324" s="143">
        <f>(((Tabela13633[[#This Row],[Objetive value Cannibalism ]]-Tabela13633[[#This Row],[Objetive value Cannibalism/H-R2]])/Tabela13633[[#This Row],[Objetive value Cannibalism ]]))*100</f>
        <v>0</v>
      </c>
    </row>
    <row r="325" spans="1:22" s="34" customFormat="1" x14ac:dyDescent="0.25">
      <c r="A325" s="3" t="s">
        <v>129</v>
      </c>
      <c r="B325" s="39" t="s">
        <v>498</v>
      </c>
      <c r="C325" s="3">
        <v>300</v>
      </c>
      <c r="D325" s="3">
        <v>0.05</v>
      </c>
      <c r="E325" s="3">
        <v>5</v>
      </c>
      <c r="F325" s="39" t="s">
        <v>21</v>
      </c>
      <c r="G325" s="39" t="s">
        <v>14</v>
      </c>
      <c r="H325" s="128">
        <v>2849</v>
      </c>
      <c r="I325" s="128">
        <v>0.14000000001396901</v>
      </c>
      <c r="J325" s="129">
        <v>0</v>
      </c>
      <c r="K325" s="139">
        <v>2611</v>
      </c>
      <c r="L325" s="139">
        <v>4</v>
      </c>
      <c r="M325" s="139">
        <v>2</v>
      </c>
      <c r="N325" s="130">
        <f>((Tabela13633[[#This Row],[Objetive value Cannibalism ]]-Tabela13633[[#This Row],[Objetive value Cannibalism/GATeS]])/Tabela13633[[#This Row],[Objetive value Cannibalism ]])*100</f>
        <v>8.3538083538083541</v>
      </c>
      <c r="O325" s="131">
        <v>2849</v>
      </c>
      <c r="P325" s="131">
        <v>0.36</v>
      </c>
      <c r="Q325" s="131">
        <v>0</v>
      </c>
      <c r="R325" s="141">
        <f>(((Tabela13633[[#This Row],[Objetive value Cannibalism ]]-Tabela13633[[#This Row],[Objetive value Cannibalism/H-R1]])/Tabela13633[[#This Row],[Objetive value Cannibalism ]]))*100</f>
        <v>0</v>
      </c>
      <c r="S325" s="113">
        <v>2632</v>
      </c>
      <c r="T325" s="113">
        <v>0.34</v>
      </c>
      <c r="U325" s="113">
        <v>0</v>
      </c>
      <c r="V325" s="143">
        <f>(((Tabela13633[[#This Row],[Objetive value Cannibalism ]]-Tabela13633[[#This Row],[Objetive value Cannibalism/H-R2]])/Tabela13633[[#This Row],[Objetive value Cannibalism ]]))*100</f>
        <v>7.6167076167076173</v>
      </c>
    </row>
    <row r="326" spans="1:22" s="34" customFormat="1" x14ac:dyDescent="0.25">
      <c r="A326" s="3" t="s">
        <v>129</v>
      </c>
      <c r="B326" s="39" t="s">
        <v>499</v>
      </c>
      <c r="C326" s="3">
        <v>300</v>
      </c>
      <c r="D326" s="3">
        <v>0.05</v>
      </c>
      <c r="E326" s="3">
        <v>5</v>
      </c>
      <c r="F326" s="39" t="s">
        <v>21</v>
      </c>
      <c r="G326" s="39" t="s">
        <v>16</v>
      </c>
      <c r="H326" s="128">
        <v>2320</v>
      </c>
      <c r="I326" s="128">
        <v>0.14000000001396901</v>
      </c>
      <c r="J326" s="129">
        <v>0</v>
      </c>
      <c r="K326" s="139">
        <v>2320</v>
      </c>
      <c r="L326" s="139">
        <v>5</v>
      </c>
      <c r="M326" s="139">
        <v>1</v>
      </c>
      <c r="N326" s="130">
        <f>((Tabela13633[[#This Row],[Objetive value Cannibalism ]]-Tabela13633[[#This Row],[Objetive value Cannibalism/GATeS]])/Tabela13633[[#This Row],[Objetive value Cannibalism ]])*100</f>
        <v>0</v>
      </c>
      <c r="O326" s="131">
        <v>2280</v>
      </c>
      <c r="P326" s="131">
        <v>0.36</v>
      </c>
      <c r="Q326" s="131">
        <v>0</v>
      </c>
      <c r="R326" s="141">
        <f>(((Tabela13633[[#This Row],[Objetive value Cannibalism ]]-Tabela13633[[#This Row],[Objetive value Cannibalism/H-R1]])/Tabela13633[[#This Row],[Objetive value Cannibalism ]]))*100</f>
        <v>1.7241379310344827</v>
      </c>
      <c r="S326" s="113">
        <v>2280</v>
      </c>
      <c r="T326" s="113">
        <v>0.36</v>
      </c>
      <c r="U326" s="113">
        <v>0</v>
      </c>
      <c r="V326" s="143">
        <f>(((Tabela13633[[#This Row],[Objetive value Cannibalism ]]-Tabela13633[[#This Row],[Objetive value Cannibalism/H-R2]])/Tabela13633[[#This Row],[Objetive value Cannibalism ]]))*100</f>
        <v>1.7241379310344827</v>
      </c>
    </row>
    <row r="327" spans="1:22" s="34" customFormat="1" x14ac:dyDescent="0.25">
      <c r="A327" s="3" t="s">
        <v>358</v>
      </c>
      <c r="B327" s="39"/>
      <c r="C327" s="3"/>
      <c r="D327" s="3"/>
      <c r="E327" s="3"/>
      <c r="F327" s="3"/>
      <c r="G327" s="3"/>
      <c r="H327" s="95">
        <f>SUBTOTAL(101,Tabela13633[[Objetive value Cannibalism ]])</f>
        <v>35866.033950617282</v>
      </c>
      <c r="I327" s="95">
        <f>SUBTOTAL(101,Tabela13633[Time/s Cannibalism])</f>
        <v>131.40087654320916</v>
      </c>
      <c r="J327" s="95">
        <f>SUBTOTAL(101,Tabela13633[GAP % Cannibalism])</f>
        <v>3.4277160493827159</v>
      </c>
      <c r="K327" s="95">
        <f>SUBTOTAL(101,Tabela13633[Objetive value Cannibalism/GATeS])</f>
        <v>34766.333333333336</v>
      </c>
      <c r="L327" s="95">
        <f>SUBTOTAL(101,Tabela13633[Time/s Cannibalism/GATeS])</f>
        <v>340.5679012345679</v>
      </c>
      <c r="M327" s="95">
        <f>SUBTOTAL(101,Tabela13633[Time/s best solution Cannibalism/GATeS])</f>
        <v>145.70679012345678</v>
      </c>
      <c r="N327" s="95">
        <f>SUBTOTAL(101,Tabela13633[Δ % (2020) Cannibalism/GATeS])</f>
        <v>2.0708943932148771</v>
      </c>
      <c r="O327" s="95">
        <f>SUBTOTAL(101,Tabela13633[Objetive value Cannibalism/H-R1])</f>
        <v>33640.06542056075</v>
      </c>
      <c r="P327" s="95">
        <f>SUBTOTAL(101,Tabela13633[Time/s Cannibalism/H-R1])</f>
        <v>1.3391277258566974</v>
      </c>
      <c r="Q327" s="95">
        <f>SUBTOTAL(101,Tabela13633[GAP % Cannibalism/H-R1])</f>
        <v>3.6760124610591897E-3</v>
      </c>
      <c r="R327" s="95">
        <f>SUBTOTAL(101,Tabela13633[Δ % (2020) Cannibalism/H-R1                                       ])</f>
        <v>7.2016782822914962</v>
      </c>
      <c r="S327" s="95">
        <f>SUBTOTAL(101,Tabela13633[Objetive value Cannibalism/H-R2])</f>
        <v>33518.623456790127</v>
      </c>
      <c r="T327" s="95">
        <f>SUBTOTAL(101,Tabela13633[Time/s Cannibalism/H-R2                  ])</f>
        <v>1.1895987654320983</v>
      </c>
      <c r="U327" s="95">
        <f>SUBTOTAL(101,Tabela13633[GAP% Cannibalism/H-R2])</f>
        <v>0</v>
      </c>
      <c r="V327" s="95">
        <f>SUBTOTAL(101,Tabela13633[Δ % (2020) Cannibalism/H-R2])</f>
        <v>5.1320829058797468</v>
      </c>
    </row>
    <row r="328" spans="1:22" s="34" customFormat="1" x14ac:dyDescent="0.25">
      <c r="B328" s="37"/>
      <c r="O328" s="122"/>
      <c r="P328" s="122"/>
      <c r="Q328" s="122"/>
      <c r="R328" s="122"/>
      <c r="S328" s="122"/>
      <c r="T328" s="122"/>
      <c r="U328" s="122"/>
      <c r="V328" s="122"/>
    </row>
    <row r="329" spans="1:22" s="34" customFormat="1" x14ac:dyDescent="0.25">
      <c r="B329" s="37"/>
      <c r="H329" s="38"/>
      <c r="I329" s="38"/>
      <c r="J329" s="38"/>
      <c r="K329" s="38"/>
      <c r="L329" s="38"/>
      <c r="M329" s="38"/>
      <c r="N329" s="38"/>
    </row>
    <row r="330" spans="1:22" s="34" customFormat="1" x14ac:dyDescent="0.25">
      <c r="B330" s="37"/>
      <c r="H330" s="38"/>
      <c r="I330" s="38"/>
      <c r="J330" s="38"/>
      <c r="K330" s="124"/>
      <c r="L330" s="124"/>
      <c r="M330" s="124"/>
      <c r="N330" s="124"/>
      <c r="T330" s="34" t="s">
        <v>1097</v>
      </c>
      <c r="U330" s="34" t="s">
        <v>1693</v>
      </c>
    </row>
    <row r="331" spans="1:22" s="34" customFormat="1" x14ac:dyDescent="0.25">
      <c r="B331" s="37"/>
      <c r="S331" s="34" t="s">
        <v>1493</v>
      </c>
      <c r="T331" s="34">
        <v>100</v>
      </c>
      <c r="U331" s="97">
        <v>115</v>
      </c>
    </row>
    <row r="332" spans="1:22" s="34" customFormat="1" x14ac:dyDescent="0.25">
      <c r="B332" s="37"/>
      <c r="S332" s="34" t="s">
        <v>1490</v>
      </c>
      <c r="T332" s="34">
        <v>117</v>
      </c>
      <c r="U332" s="97">
        <v>85</v>
      </c>
    </row>
    <row r="333" spans="1:22" s="34" customFormat="1" x14ac:dyDescent="0.25">
      <c r="B333" s="37"/>
      <c r="S333" s="34" t="s">
        <v>1491</v>
      </c>
      <c r="T333" s="34">
        <v>42</v>
      </c>
      <c r="U333" s="97">
        <v>50</v>
      </c>
    </row>
    <row r="334" spans="1:22" s="34" customFormat="1" x14ac:dyDescent="0.25">
      <c r="B334" s="37"/>
      <c r="S334" s="34" t="s">
        <v>1689</v>
      </c>
      <c r="T334" s="34">
        <v>2</v>
      </c>
      <c r="U334" s="97">
        <v>4</v>
      </c>
    </row>
    <row r="335" spans="1:22" s="34" customFormat="1" x14ac:dyDescent="0.25">
      <c r="B335" s="37"/>
      <c r="S335" s="34" t="s">
        <v>1690</v>
      </c>
      <c r="T335" s="34">
        <v>4</v>
      </c>
      <c r="U335" s="97">
        <v>4</v>
      </c>
    </row>
    <row r="336" spans="1:22" s="34" customFormat="1" x14ac:dyDescent="0.25">
      <c r="B336" s="37"/>
      <c r="S336" s="34" t="s">
        <v>1691</v>
      </c>
      <c r="T336" s="34">
        <v>51</v>
      </c>
      <c r="U336" s="97">
        <v>59</v>
      </c>
    </row>
    <row r="337" spans="2:21" s="34" customFormat="1" x14ac:dyDescent="0.25">
      <c r="B337" s="37"/>
      <c r="S337" s="34" t="s">
        <v>1692</v>
      </c>
      <c r="T337" s="34">
        <v>8</v>
      </c>
      <c r="U337" s="97">
        <v>7</v>
      </c>
    </row>
    <row r="338" spans="2:21" s="34" customFormat="1" x14ac:dyDescent="0.25">
      <c r="B338" s="37"/>
      <c r="T338" s="34">
        <f>SUM(T331:T337)</f>
        <v>324</v>
      </c>
      <c r="U338" s="97">
        <f>SUM(U331:U337)</f>
        <v>324</v>
      </c>
    </row>
    <row r="339" spans="2:21" s="34" customFormat="1" x14ac:dyDescent="0.25">
      <c r="B339" s="37"/>
    </row>
    <row r="340" spans="2:21" s="34" customFormat="1" x14ac:dyDescent="0.25">
      <c r="B340" s="37"/>
    </row>
    <row r="341" spans="2:21" s="34" customFormat="1" x14ac:dyDescent="0.25">
      <c r="B341" s="37"/>
    </row>
    <row r="342" spans="2:21" s="34" customFormat="1" x14ac:dyDescent="0.25">
      <c r="B342" s="37"/>
    </row>
    <row r="343" spans="2:21" s="34" customFormat="1" x14ac:dyDescent="0.25">
      <c r="B343" s="37"/>
    </row>
    <row r="344" spans="2:21" s="34" customFormat="1" x14ac:dyDescent="0.25">
      <c r="B344" s="37"/>
    </row>
    <row r="345" spans="2:21" s="34" customFormat="1" x14ac:dyDescent="0.25">
      <c r="B345" s="37"/>
    </row>
    <row r="346" spans="2:21" s="34" customFormat="1" x14ac:dyDescent="0.25">
      <c r="B346" s="37"/>
    </row>
    <row r="347" spans="2:21" s="34" customFormat="1" x14ac:dyDescent="0.25">
      <c r="B347" s="37"/>
    </row>
    <row r="348" spans="2:21" s="34" customFormat="1" x14ac:dyDescent="0.25">
      <c r="B348" s="37"/>
    </row>
    <row r="349" spans="2:21" s="34" customFormat="1" x14ac:dyDescent="0.25">
      <c r="B349" s="37"/>
    </row>
    <row r="350" spans="2:21" s="34" customFormat="1" x14ac:dyDescent="0.25">
      <c r="B350" s="37"/>
    </row>
    <row r="351" spans="2:21" s="34" customFormat="1" x14ac:dyDescent="0.25">
      <c r="B351" s="37"/>
    </row>
    <row r="352" spans="2:21" s="34" customFormat="1" x14ac:dyDescent="0.25">
      <c r="B352" s="37"/>
    </row>
    <row r="353" spans="1:14" s="34" customFormat="1" x14ac:dyDescent="0.25">
      <c r="B353" s="37"/>
    </row>
    <row r="354" spans="1:14" s="34" customFormat="1" x14ac:dyDescent="0.25">
      <c r="B354" s="37"/>
    </row>
    <row r="355" spans="1:14" s="34" customFormat="1" x14ac:dyDescent="0.25">
      <c r="B355" s="37"/>
    </row>
    <row r="356" spans="1:14" s="34" customFormat="1" x14ac:dyDescent="0.25">
      <c r="B356" s="37"/>
    </row>
    <row r="357" spans="1:14" s="34" customFormat="1" x14ac:dyDescent="0.25">
      <c r="B357" s="37"/>
    </row>
    <row r="358" spans="1:14" s="34" customFormat="1" x14ac:dyDescent="0.25">
      <c r="B358" s="37"/>
    </row>
    <row r="359" spans="1:14" s="34" customFormat="1" x14ac:dyDescent="0.25">
      <c r="B359" s="37"/>
    </row>
    <row r="360" spans="1:14" s="34" customFormat="1" x14ac:dyDescent="0.25">
      <c r="B360" s="37"/>
    </row>
    <row r="361" spans="1:14" s="34" customFormat="1" x14ac:dyDescent="0.25">
      <c r="B361" s="37"/>
    </row>
    <row r="362" spans="1:14" s="34" customFormat="1" x14ac:dyDescent="0.25">
      <c r="B362" s="37"/>
    </row>
    <row r="363" spans="1:14" s="34" customFormat="1" x14ac:dyDescent="0.25">
      <c r="B363" s="37"/>
    </row>
    <row r="364" spans="1:14" s="34" customFormat="1" x14ac:dyDescent="0.25">
      <c r="B364" s="37"/>
    </row>
    <row r="365" spans="1:14" s="34" customFormat="1" x14ac:dyDescent="0.25">
      <c r="B365" s="37"/>
    </row>
    <row r="366" spans="1:14" s="34" customFormat="1" x14ac:dyDescent="0.25">
      <c r="B366" s="37"/>
    </row>
    <row r="367" spans="1:14" x14ac:dyDescent="0.25">
      <c r="A367" s="34"/>
      <c r="B367" s="37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</row>
    <row r="368" spans="1:14" x14ac:dyDescent="0.25">
      <c r="A368" s="34"/>
      <c r="B368" s="37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</row>
    <row r="369" spans="1:14" x14ac:dyDescent="0.25">
      <c r="A369" s="34"/>
      <c r="B369" s="37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</row>
    <row r="370" spans="1:14" x14ac:dyDescent="0.25">
      <c r="A370" s="34"/>
      <c r="B370" s="37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</row>
    <row r="371" spans="1:14" x14ac:dyDescent="0.25">
      <c r="A371" s="34"/>
      <c r="B371" s="37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</row>
    <row r="372" spans="1:14" x14ac:dyDescent="0.25">
      <c r="A372" s="34"/>
      <c r="B372" s="37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</row>
    <row r="373" spans="1:14" x14ac:dyDescent="0.25">
      <c r="A373" s="34"/>
      <c r="B373" s="37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</row>
    <row r="374" spans="1:14" x14ac:dyDescent="0.25">
      <c r="A374" s="34"/>
      <c r="B374" s="37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</row>
    <row r="375" spans="1:14" x14ac:dyDescent="0.25">
      <c r="A375" s="34"/>
      <c r="B375" s="37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</row>
    <row r="376" spans="1:14" x14ac:dyDescent="0.25">
      <c r="A376" s="34"/>
      <c r="B376" s="37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</row>
    <row r="377" spans="1:14" x14ac:dyDescent="0.25">
      <c r="A377" s="34"/>
      <c r="B377" s="37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</row>
    <row r="378" spans="1:14" x14ac:dyDescent="0.25">
      <c r="A378" s="34"/>
      <c r="B378" s="37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</row>
    <row r="379" spans="1:14" x14ac:dyDescent="0.25">
      <c r="A379" s="34"/>
      <c r="B379" s="37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</row>
    <row r="380" spans="1:14" x14ac:dyDescent="0.25">
      <c r="A380" s="34"/>
      <c r="B380" s="37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</row>
  </sheetData>
  <mergeCells count="4">
    <mergeCell ref="O1:R1"/>
    <mergeCell ref="S1:V1"/>
    <mergeCell ref="H1:J1"/>
    <mergeCell ref="K1:N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0"/>
  <sheetViews>
    <sheetView workbookViewId="0">
      <pane ySplit="2" topLeftCell="A18" activePane="bottomLeft" state="frozen"/>
      <selection activeCell="B1" sqref="B1"/>
      <selection pane="bottomLeft" activeCell="A11" sqref="A11"/>
    </sheetView>
  </sheetViews>
  <sheetFormatPr defaultColWidth="12.140625" defaultRowHeight="15" x14ac:dyDescent="0.25"/>
  <cols>
    <col min="1" max="1" width="11.140625" style="3" bestFit="1" customWidth="1"/>
    <col min="2" max="2" width="25.5703125" style="39" bestFit="1" customWidth="1"/>
    <col min="3" max="3" width="10" style="3" customWidth="1"/>
    <col min="4" max="4" width="11.85546875" style="3" customWidth="1"/>
    <col min="5" max="5" width="13" style="3" customWidth="1"/>
    <col min="6" max="6" width="10.85546875" style="3" customWidth="1"/>
    <col min="7" max="7" width="10" style="3" customWidth="1"/>
    <col min="8" max="11" width="12.42578125" style="3" customWidth="1"/>
    <col min="12" max="13" width="12.42578125" style="95" customWidth="1"/>
    <col min="14" max="14" width="12.42578125" style="3" customWidth="1"/>
    <col min="15" max="15" width="14.28515625" style="64" customWidth="1"/>
    <col min="16" max="17" width="11.7109375" style="64" customWidth="1"/>
    <col min="18" max="18" width="11.42578125" style="64" customWidth="1"/>
    <col min="19" max="19" width="13.42578125" style="64" customWidth="1"/>
    <col min="20" max="22" width="11.42578125" style="64" customWidth="1"/>
    <col min="23" max="16384" width="12.140625" style="3"/>
  </cols>
  <sheetData>
    <row r="1" spans="1:22" ht="15" customHeight="1" x14ac:dyDescent="0.25">
      <c r="A1" s="1"/>
      <c r="B1" s="1"/>
      <c r="C1" s="2"/>
      <c r="D1" s="2"/>
      <c r="E1" s="2"/>
      <c r="F1" s="2"/>
      <c r="G1" s="2"/>
      <c r="H1" s="226" t="s">
        <v>1525</v>
      </c>
      <c r="I1" s="227"/>
      <c r="J1" s="227"/>
      <c r="K1" s="228" t="s">
        <v>1526</v>
      </c>
      <c r="L1" s="228"/>
      <c r="M1" s="228"/>
      <c r="N1" s="228"/>
      <c r="O1" s="223" t="s">
        <v>1532</v>
      </c>
      <c r="P1" s="224"/>
      <c r="Q1" s="224"/>
      <c r="R1" s="225"/>
      <c r="S1" s="220" t="s">
        <v>1541</v>
      </c>
      <c r="T1" s="221"/>
      <c r="U1" s="221"/>
      <c r="V1" s="222"/>
    </row>
    <row r="2" spans="1:22" s="10" customFormat="1" ht="75.75" customHeight="1" x14ac:dyDescent="0.25">
      <c r="A2" s="4" t="s">
        <v>1085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382</v>
      </c>
      <c r="I2" s="5" t="s">
        <v>1086</v>
      </c>
      <c r="J2" s="85" t="s">
        <v>1087</v>
      </c>
      <c r="K2" s="99" t="s">
        <v>1527</v>
      </c>
      <c r="L2" s="152" t="s">
        <v>1528</v>
      </c>
      <c r="M2" s="152" t="s">
        <v>1529</v>
      </c>
      <c r="N2" s="98" t="s">
        <v>1530</v>
      </c>
      <c r="O2" s="69" t="s">
        <v>1533</v>
      </c>
      <c r="P2" s="69" t="s">
        <v>1534</v>
      </c>
      <c r="Q2" s="69" t="s">
        <v>1535</v>
      </c>
      <c r="R2" s="69" t="s">
        <v>1536</v>
      </c>
      <c r="S2" s="70" t="s">
        <v>1537</v>
      </c>
      <c r="T2" s="70" t="s">
        <v>1538</v>
      </c>
      <c r="U2" s="70" t="s">
        <v>1539</v>
      </c>
      <c r="V2" s="71" t="s">
        <v>1540</v>
      </c>
    </row>
    <row r="3" spans="1:22" s="10" customFormat="1" x14ac:dyDescent="0.25">
      <c r="A3" s="40" t="s">
        <v>319</v>
      </c>
      <c r="B3" s="41" t="s">
        <v>1003</v>
      </c>
      <c r="C3" s="40">
        <v>10000</v>
      </c>
      <c r="D3" s="82">
        <v>0.1</v>
      </c>
      <c r="E3" s="40">
        <v>10</v>
      </c>
      <c r="F3" s="41" t="s">
        <v>13</v>
      </c>
      <c r="G3" s="41" t="s">
        <v>14</v>
      </c>
      <c r="H3" s="140">
        <v>206931</v>
      </c>
      <c r="I3" s="140">
        <v>207.48399999993799</v>
      </c>
      <c r="J3" s="147">
        <v>0</v>
      </c>
      <c r="K3" s="151">
        <v>202031</v>
      </c>
      <c r="L3" s="153">
        <v>1661</v>
      </c>
      <c r="M3" s="153">
        <v>665</v>
      </c>
      <c r="N3" s="145">
        <f>(((Tabela136[[#This Row],[Objetive value Similarity]]-Tabela136[[#This Row],[Objetive value Similarity/GATeS]])/Tabela136[[#This Row],[Objetive value Similarity]]))*100</f>
        <v>2.3679390714779323</v>
      </c>
      <c r="O3" s="23">
        <v>202440</v>
      </c>
      <c r="P3" s="23">
        <v>4.03</v>
      </c>
      <c r="Q3" s="23">
        <v>0</v>
      </c>
      <c r="R3" s="55">
        <f>(((Tabela136[[#This Row],[Objetive value Similarity]]-Tabela136[[#This Row],[Objetive value Similarity/H-R1    ]])/Tabela136[[#This Row],[Objetive value Similarity]]))*100</f>
        <v>2.1702886469402842</v>
      </c>
      <c r="S3" s="96">
        <v>170988</v>
      </c>
      <c r="T3" s="96">
        <v>3.42</v>
      </c>
      <c r="U3" s="96">
        <v>0</v>
      </c>
      <c r="V3" s="144">
        <f>(((Tabela136[[#This Row],[Objetive value Similarity]]-Tabela136[[#This Row],[Objetive value Similarity/H-R2]])/Tabela136[[#This Row],[Objetive value Similarity]]))*100</f>
        <v>17.36955796859823</v>
      </c>
    </row>
    <row r="4" spans="1:22" s="10" customFormat="1" x14ac:dyDescent="0.25">
      <c r="A4" s="11" t="s">
        <v>319</v>
      </c>
      <c r="B4" s="12" t="s">
        <v>1004</v>
      </c>
      <c r="C4" s="11">
        <v>10000</v>
      </c>
      <c r="D4" s="47">
        <v>0.1</v>
      </c>
      <c r="E4" s="11">
        <v>10</v>
      </c>
      <c r="F4" s="12" t="s">
        <v>13</v>
      </c>
      <c r="G4" s="12" t="s">
        <v>16</v>
      </c>
      <c r="H4" s="140">
        <v>117925</v>
      </c>
      <c r="I4" s="140">
        <v>404.875</v>
      </c>
      <c r="J4" s="147">
        <v>9.84</v>
      </c>
      <c r="K4" s="151">
        <v>116253</v>
      </c>
      <c r="L4" s="153">
        <v>1689</v>
      </c>
      <c r="M4" s="153">
        <v>1689</v>
      </c>
      <c r="N4" s="145">
        <f>(((Tabela136[[#This Row],[Objetive value Similarity]]-Tabela136[[#This Row],[Objetive value Similarity/GATeS]])/Tabela136[[#This Row],[Objetive value Similarity]]))*100</f>
        <v>1.4178503285986856</v>
      </c>
      <c r="O4" s="23">
        <v>117765</v>
      </c>
      <c r="P4" s="53">
        <v>6.51</v>
      </c>
      <c r="Q4" s="53">
        <v>0</v>
      </c>
      <c r="R4" s="55">
        <f>(((Tabela136[[#This Row],[Objetive value Similarity]]-Tabela136[[#This Row],[Objetive value Similarity/H-R1    ]])/Tabela136[[#This Row],[Objetive value Similarity]]))*100</f>
        <v>0.13567945728217087</v>
      </c>
      <c r="S4" s="21">
        <v>110997</v>
      </c>
      <c r="T4" s="21">
        <v>4.88</v>
      </c>
      <c r="U4" s="21">
        <v>0</v>
      </c>
      <c r="V4" s="144">
        <f>(((Tabela136[[#This Row],[Objetive value Similarity]]-Tabela136[[#This Row],[Objetive value Similarity/H-R2]])/Tabela136[[#This Row],[Objetive value Similarity]]))*100</f>
        <v>5.874920500317999</v>
      </c>
    </row>
    <row r="5" spans="1:22" s="10" customFormat="1" x14ac:dyDescent="0.25">
      <c r="A5" s="11" t="s">
        <v>319</v>
      </c>
      <c r="B5" s="12" t="s">
        <v>1005</v>
      </c>
      <c r="C5" s="11">
        <v>10000</v>
      </c>
      <c r="D5" s="47">
        <v>0.1</v>
      </c>
      <c r="E5" s="11">
        <v>10</v>
      </c>
      <c r="F5" s="12" t="s">
        <v>18</v>
      </c>
      <c r="G5" s="12" t="s">
        <v>14</v>
      </c>
      <c r="H5" s="140">
        <v>195434</v>
      </c>
      <c r="I5" s="140">
        <v>192.67200000002001</v>
      </c>
      <c r="J5" s="147">
        <v>0</v>
      </c>
      <c r="K5" s="151">
        <v>191463</v>
      </c>
      <c r="L5" s="153">
        <v>1639</v>
      </c>
      <c r="M5" s="153">
        <v>305</v>
      </c>
      <c r="N5" s="145">
        <f>(((Tabela136[[#This Row],[Objetive value Similarity]]-Tabela136[[#This Row],[Objetive value Similarity/GATeS]])/Tabela136[[#This Row],[Objetive value Similarity]]))*100</f>
        <v>2.0318880031110247</v>
      </c>
      <c r="O5" s="23">
        <v>191748</v>
      </c>
      <c r="P5" s="53">
        <v>3.03</v>
      </c>
      <c r="Q5" s="53">
        <v>0</v>
      </c>
      <c r="R5" s="55">
        <f>(((Tabela136[[#This Row],[Objetive value Similarity]]-Tabela136[[#This Row],[Objetive value Similarity/H-R1    ]])/Tabela136[[#This Row],[Objetive value Similarity]]))*100</f>
        <v>1.8860587205910946</v>
      </c>
      <c r="S5" s="96">
        <v>179360</v>
      </c>
      <c r="T5" s="21">
        <v>2.71</v>
      </c>
      <c r="U5" s="21">
        <v>0</v>
      </c>
      <c r="V5" s="144">
        <f>(((Tabela136[[#This Row],[Objetive value Similarity]]-Tabela136[[#This Row],[Objetive value Similarity/H-R2]])/Tabela136[[#This Row],[Objetive value Similarity]]))*100</f>
        <v>8.2247715341240522</v>
      </c>
    </row>
    <row r="6" spans="1:22" s="10" customFormat="1" x14ac:dyDescent="0.25">
      <c r="A6" s="11" t="s">
        <v>319</v>
      </c>
      <c r="B6" s="12" t="s">
        <v>1006</v>
      </c>
      <c r="C6" s="11">
        <v>10000</v>
      </c>
      <c r="D6" s="47">
        <v>0.1</v>
      </c>
      <c r="E6" s="11">
        <v>10</v>
      </c>
      <c r="F6" s="12" t="s">
        <v>18</v>
      </c>
      <c r="G6" s="12" t="s">
        <v>16</v>
      </c>
      <c r="H6" s="140">
        <v>127408</v>
      </c>
      <c r="I6" s="140">
        <v>302</v>
      </c>
      <c r="J6" s="147">
        <v>0</v>
      </c>
      <c r="K6" s="151">
        <v>124941</v>
      </c>
      <c r="L6" s="153">
        <v>1678</v>
      </c>
      <c r="M6" s="153">
        <v>1432</v>
      </c>
      <c r="N6" s="145">
        <f>(((Tabela136[[#This Row],[Objetive value Similarity]]-Tabela136[[#This Row],[Objetive value Similarity/GATeS]])/Tabela136[[#This Row],[Objetive value Similarity]]))*100</f>
        <v>1.9362991334924022</v>
      </c>
      <c r="O6" s="23">
        <v>127408</v>
      </c>
      <c r="P6" s="53">
        <v>4.41</v>
      </c>
      <c r="Q6" s="53">
        <v>0</v>
      </c>
      <c r="R6" s="55">
        <f>(((Tabela136[[#This Row],[Objetive value Similarity]]-Tabela136[[#This Row],[Objetive value Similarity/H-R1    ]])/Tabela136[[#This Row],[Objetive value Similarity]]))*100</f>
        <v>0</v>
      </c>
      <c r="S6" s="96">
        <v>126106</v>
      </c>
      <c r="T6" s="21">
        <v>4.4000000000000004</v>
      </c>
      <c r="U6" s="21">
        <v>0</v>
      </c>
      <c r="V6" s="144">
        <f>(((Tabela136[[#This Row],[Objetive value Similarity]]-Tabela136[[#This Row],[Objetive value Similarity/H-R2]])/Tabela136[[#This Row],[Objetive value Similarity]]))*100</f>
        <v>1.0219138515634811</v>
      </c>
    </row>
    <row r="7" spans="1:22" x14ac:dyDescent="0.25">
      <c r="A7" s="11" t="s">
        <v>319</v>
      </c>
      <c r="B7" s="12" t="s">
        <v>1007</v>
      </c>
      <c r="C7" s="11">
        <v>10000</v>
      </c>
      <c r="D7" s="47">
        <v>0.1</v>
      </c>
      <c r="E7" s="11">
        <v>10</v>
      </c>
      <c r="F7" s="12" t="s">
        <v>21</v>
      </c>
      <c r="G7" s="12" t="s">
        <v>14</v>
      </c>
      <c r="H7" s="140">
        <v>83860</v>
      </c>
      <c r="I7" s="140">
        <v>89.702999999979497</v>
      </c>
      <c r="J7" s="147">
        <v>0</v>
      </c>
      <c r="K7" s="151">
        <v>75623</v>
      </c>
      <c r="L7" s="153">
        <v>1058</v>
      </c>
      <c r="M7" s="153">
        <v>920</v>
      </c>
      <c r="N7" s="145">
        <f>(((Tabela136[[#This Row],[Objetive value Similarity]]-Tabela136[[#This Row],[Objetive value Similarity/GATeS]])/Tabela136[[#This Row],[Objetive value Similarity]]))*100</f>
        <v>9.8223229191509667</v>
      </c>
      <c r="O7" s="23">
        <v>31966</v>
      </c>
      <c r="P7" s="53">
        <v>7.59</v>
      </c>
      <c r="Q7" s="53">
        <v>0</v>
      </c>
      <c r="R7" s="55">
        <f>(((Tabela136[[#This Row],[Objetive value Similarity]]-Tabela136[[#This Row],[Objetive value Similarity/H-R1    ]])/Tabela136[[#This Row],[Objetive value Similarity]]))*100</f>
        <v>61.88170760791796</v>
      </c>
      <c r="S7" s="96">
        <v>83860</v>
      </c>
      <c r="T7" s="21">
        <v>5.43</v>
      </c>
      <c r="U7" s="21">
        <v>0</v>
      </c>
      <c r="V7" s="144">
        <f>(((Tabela136[[#This Row],[Objetive value Similarity]]-Tabela136[[#This Row],[Objetive value Similarity/H-R2]])/Tabela136[[#This Row],[Objetive value Similarity]]))*100</f>
        <v>0</v>
      </c>
    </row>
    <row r="8" spans="1:22" x14ac:dyDescent="0.25">
      <c r="A8" s="11" t="s">
        <v>319</v>
      </c>
      <c r="B8" s="12" t="s">
        <v>1008</v>
      </c>
      <c r="C8" s="11">
        <v>10000</v>
      </c>
      <c r="D8" s="47">
        <v>0.1</v>
      </c>
      <c r="E8" s="11">
        <v>10</v>
      </c>
      <c r="F8" s="12" t="s">
        <v>21</v>
      </c>
      <c r="G8" s="12" t="s">
        <v>16</v>
      </c>
      <c r="H8" s="140">
        <v>113806</v>
      </c>
      <c r="I8" s="140">
        <v>299.43699999991799</v>
      </c>
      <c r="J8" s="147">
        <v>0</v>
      </c>
      <c r="K8" s="151">
        <v>107692</v>
      </c>
      <c r="L8" s="153">
        <v>1644</v>
      </c>
      <c r="M8" s="153">
        <v>1227</v>
      </c>
      <c r="N8" s="145">
        <f>(((Tabela136[[#This Row],[Objetive value Similarity]]-Tabela136[[#This Row],[Objetive value Similarity/GATeS]])/Tabela136[[#This Row],[Objetive value Similarity]]))*100</f>
        <v>5.3723002302163332</v>
      </c>
      <c r="O8" s="23">
        <v>108897</v>
      </c>
      <c r="P8" s="53">
        <v>3.76</v>
      </c>
      <c r="Q8" s="53">
        <v>0</v>
      </c>
      <c r="R8" s="55">
        <f>(((Tabela136[[#This Row],[Objetive value Similarity]]-Tabela136[[#This Row],[Objetive value Similarity/H-R1    ]])/Tabela136[[#This Row],[Objetive value Similarity]]))*100</f>
        <v>4.3134808358083054</v>
      </c>
      <c r="S8" s="96">
        <v>108897</v>
      </c>
      <c r="T8" s="21">
        <v>3.74</v>
      </c>
      <c r="U8" s="21">
        <v>0</v>
      </c>
      <c r="V8" s="144">
        <f>(((Tabela136[[#This Row],[Objetive value Similarity]]-Tabela136[[#This Row],[Objetive value Similarity/H-R2]])/Tabela136[[#This Row],[Objetive value Similarity]]))*100</f>
        <v>4.3134808358083054</v>
      </c>
    </row>
    <row r="9" spans="1:22" x14ac:dyDescent="0.25">
      <c r="A9" s="11" t="s">
        <v>338</v>
      </c>
      <c r="B9" s="12" t="s">
        <v>1021</v>
      </c>
      <c r="C9" s="11">
        <v>10000</v>
      </c>
      <c r="D9" s="47">
        <v>0.1</v>
      </c>
      <c r="E9" s="11">
        <v>15</v>
      </c>
      <c r="F9" s="12" t="s">
        <v>13</v>
      </c>
      <c r="G9" s="12" t="s">
        <v>14</v>
      </c>
      <c r="H9" s="140">
        <v>266996</v>
      </c>
      <c r="I9" s="140">
        <v>739.78200000000004</v>
      </c>
      <c r="J9" s="147">
        <v>4.33</v>
      </c>
      <c r="K9" s="151">
        <v>258627</v>
      </c>
      <c r="L9" s="153">
        <v>1759</v>
      </c>
      <c r="M9" s="153">
        <v>273</v>
      </c>
      <c r="N9" s="145">
        <f>(((Tabela136[[#This Row],[Objetive value Similarity]]-Tabela136[[#This Row],[Objetive value Similarity/GATeS]])/Tabela136[[#This Row],[Objetive value Similarity]]))*100</f>
        <v>3.1345038876986919</v>
      </c>
      <c r="O9" s="23">
        <v>248216</v>
      </c>
      <c r="P9" s="53">
        <v>4.2699999999999996</v>
      </c>
      <c r="Q9" s="53">
        <v>0</v>
      </c>
      <c r="R9" s="55">
        <f>(((Tabela136[[#This Row],[Objetive value Similarity]]-Tabela136[[#This Row],[Objetive value Similarity/H-R1    ]])/Tabela136[[#This Row],[Objetive value Similarity]]))*100</f>
        <v>7.0338132406477998</v>
      </c>
      <c r="S9" s="96">
        <v>247217</v>
      </c>
      <c r="T9" s="21">
        <v>5.42</v>
      </c>
      <c r="U9" s="21">
        <v>0</v>
      </c>
      <c r="V9" s="144">
        <f>(((Tabela136[[#This Row],[Objetive value Similarity]]-Tabela136[[#This Row],[Objetive value Similarity/H-R2]])/Tabela136[[#This Row],[Objetive value Similarity]]))*100</f>
        <v>7.4079761494554228</v>
      </c>
    </row>
    <row r="10" spans="1:22" x14ac:dyDescent="0.25">
      <c r="A10" s="11" t="s">
        <v>338</v>
      </c>
      <c r="B10" s="12" t="s">
        <v>1022</v>
      </c>
      <c r="C10" s="11">
        <v>10000</v>
      </c>
      <c r="D10" s="47">
        <v>0.1</v>
      </c>
      <c r="E10" s="11">
        <v>15</v>
      </c>
      <c r="F10" s="12" t="s">
        <v>13</v>
      </c>
      <c r="G10" s="12" t="s">
        <v>16</v>
      </c>
      <c r="H10" s="140">
        <v>165455</v>
      </c>
      <c r="I10" s="140">
        <v>4317.6090000000004</v>
      </c>
      <c r="J10" s="147">
        <v>0.03</v>
      </c>
      <c r="K10" s="151">
        <v>163466</v>
      </c>
      <c r="L10" s="153">
        <v>1649</v>
      </c>
      <c r="M10" s="153">
        <v>631</v>
      </c>
      <c r="N10" s="145">
        <f>(((Tabela136[[#This Row],[Objetive value Similarity]]-Tabela136[[#This Row],[Objetive value Similarity/GATeS]])/Tabela136[[#This Row],[Objetive value Similarity]]))*100</f>
        <v>1.2021395545616633</v>
      </c>
      <c r="O10" s="23">
        <v>159838</v>
      </c>
      <c r="P10" s="53">
        <v>5.28</v>
      </c>
      <c r="Q10" s="53">
        <v>0</v>
      </c>
      <c r="R10" s="55">
        <f>(((Tabela136[[#This Row],[Objetive value Similarity]]-Tabela136[[#This Row],[Objetive value Similarity/H-R1    ]])/Tabela136[[#This Row],[Objetive value Similarity]]))*100</f>
        <v>3.3948807832945516</v>
      </c>
      <c r="S10" s="96">
        <v>161549</v>
      </c>
      <c r="T10" s="21">
        <v>5.84</v>
      </c>
      <c r="U10" s="21">
        <v>0</v>
      </c>
      <c r="V10" s="144">
        <f>(((Tabela136[[#This Row],[Objetive value Similarity]]-Tabela136[[#This Row],[Objetive value Similarity/H-R2]])/Tabela136[[#This Row],[Objetive value Similarity]]))*100</f>
        <v>2.3607627451572935</v>
      </c>
    </row>
    <row r="11" spans="1:22" x14ac:dyDescent="0.25">
      <c r="A11" s="11" t="s">
        <v>338</v>
      </c>
      <c r="B11" s="12" t="s">
        <v>1023</v>
      </c>
      <c r="C11" s="11">
        <v>10000</v>
      </c>
      <c r="D11" s="47">
        <v>0.1</v>
      </c>
      <c r="E11" s="11">
        <v>15</v>
      </c>
      <c r="F11" s="12" t="s">
        <v>18</v>
      </c>
      <c r="G11" s="12" t="s">
        <v>14</v>
      </c>
      <c r="H11" s="140">
        <v>312087</v>
      </c>
      <c r="I11" s="140">
        <v>572.92200000000003</v>
      </c>
      <c r="J11" s="147">
        <v>5.77</v>
      </c>
      <c r="K11" s="151">
        <v>298978</v>
      </c>
      <c r="L11" s="153">
        <v>1797</v>
      </c>
      <c r="M11" s="153">
        <v>1032</v>
      </c>
      <c r="N11" s="145">
        <f>(((Tabela136[[#This Row],[Objetive value Similarity]]-Tabela136[[#This Row],[Objetive value Similarity/GATeS]])/Tabela136[[#This Row],[Objetive value Similarity]]))*100</f>
        <v>4.2004312899928546</v>
      </c>
      <c r="O11" s="23">
        <v>288146</v>
      </c>
      <c r="P11" s="53">
        <v>3.45</v>
      </c>
      <c r="Q11" s="53">
        <v>0</v>
      </c>
      <c r="R11" s="55">
        <f>(((Tabela136[[#This Row],[Objetive value Similarity]]-Tabela136[[#This Row],[Objetive value Similarity/H-R1    ]])/Tabela136[[#This Row],[Objetive value Similarity]]))*100</f>
        <v>7.6712583350155574</v>
      </c>
      <c r="S11" s="96">
        <v>287226</v>
      </c>
      <c r="T11" s="21">
        <v>3.72</v>
      </c>
      <c r="U11" s="21">
        <v>0</v>
      </c>
      <c r="V11" s="144">
        <f>(((Tabela136[[#This Row],[Objetive value Similarity]]-Tabela136[[#This Row],[Objetive value Similarity/H-R2]])/Tabela136[[#This Row],[Objetive value Similarity]]))*100</f>
        <v>7.9660479289428903</v>
      </c>
    </row>
    <row r="12" spans="1:22" x14ac:dyDescent="0.25">
      <c r="A12" s="11" t="s">
        <v>338</v>
      </c>
      <c r="B12" s="12" t="s">
        <v>1024</v>
      </c>
      <c r="C12" s="11">
        <v>10000</v>
      </c>
      <c r="D12" s="47">
        <v>0.1</v>
      </c>
      <c r="E12" s="11">
        <v>15</v>
      </c>
      <c r="F12" s="12" t="s">
        <v>18</v>
      </c>
      <c r="G12" s="12" t="s">
        <v>16</v>
      </c>
      <c r="H12" s="140">
        <v>166895</v>
      </c>
      <c r="I12" s="140">
        <v>4913.4369999999999</v>
      </c>
      <c r="J12" s="147">
        <v>3.19</v>
      </c>
      <c r="K12" s="151">
        <v>162202</v>
      </c>
      <c r="L12" s="153">
        <v>1631</v>
      </c>
      <c r="M12" s="153">
        <v>1613</v>
      </c>
      <c r="N12" s="145">
        <f>(((Tabela136[[#This Row],[Objetive value Similarity]]-Tabela136[[#This Row],[Objetive value Similarity/GATeS]])/Tabela136[[#This Row],[Objetive value Similarity]]))*100</f>
        <v>2.81194763174451</v>
      </c>
      <c r="O12" s="23">
        <v>166895</v>
      </c>
      <c r="P12" s="53">
        <v>5.87</v>
      </c>
      <c r="Q12" s="53">
        <v>0</v>
      </c>
      <c r="R12" s="55">
        <f>(((Tabela136[[#This Row],[Objetive value Similarity]]-Tabela136[[#This Row],[Objetive value Similarity/H-R1    ]])/Tabela136[[#This Row],[Objetive value Similarity]]))*100</f>
        <v>0</v>
      </c>
      <c r="S12" s="96">
        <v>161961</v>
      </c>
      <c r="T12" s="21">
        <v>6.43</v>
      </c>
      <c r="U12" s="21">
        <v>0</v>
      </c>
      <c r="V12" s="144">
        <f>(((Tabela136[[#This Row],[Objetive value Similarity]]-Tabela136[[#This Row],[Objetive value Similarity/H-R2]])/Tabela136[[#This Row],[Objetive value Similarity]]))*100</f>
        <v>2.9563498007729412</v>
      </c>
    </row>
    <row r="13" spans="1:22" x14ac:dyDescent="0.25">
      <c r="A13" s="11" t="s">
        <v>338</v>
      </c>
      <c r="B13" s="12" t="s">
        <v>1025</v>
      </c>
      <c r="C13" s="11">
        <v>10000</v>
      </c>
      <c r="D13" s="47">
        <v>0.1</v>
      </c>
      <c r="E13" s="11">
        <v>15</v>
      </c>
      <c r="F13" s="12" t="s">
        <v>21</v>
      </c>
      <c r="G13" s="12" t="s">
        <v>14</v>
      </c>
      <c r="H13" s="140">
        <v>258818</v>
      </c>
      <c r="I13" s="140">
        <v>155.578</v>
      </c>
      <c r="J13" s="147">
        <v>0</v>
      </c>
      <c r="K13" s="151">
        <v>258235</v>
      </c>
      <c r="L13" s="153">
        <v>1963</v>
      </c>
      <c r="M13" s="153">
        <v>809</v>
      </c>
      <c r="N13" s="145">
        <f>(((Tabela136[[#This Row],[Objetive value Similarity]]-Tabela136[[#This Row],[Objetive value Similarity/GATeS]])/Tabela136[[#This Row],[Objetive value Similarity]]))*100</f>
        <v>0.22525481226189831</v>
      </c>
      <c r="O13" s="23">
        <v>242661</v>
      </c>
      <c r="P13" s="53">
        <v>10.57</v>
      </c>
      <c r="Q13" s="53">
        <v>0</v>
      </c>
      <c r="R13" s="55">
        <f>(((Tabela136[[#This Row],[Objetive value Similarity]]-Tabela136[[#This Row],[Objetive value Similarity/H-R1    ]])/Tabela136[[#This Row],[Objetive value Similarity]]))*100</f>
        <v>6.2426106375908939</v>
      </c>
      <c r="S13" s="96">
        <v>256303</v>
      </c>
      <c r="T13" s="21">
        <v>8.2899999999999991</v>
      </c>
      <c r="U13" s="21">
        <v>0</v>
      </c>
      <c r="V13" s="144">
        <f>(((Tabela136[[#This Row],[Objetive value Similarity]]-Tabela136[[#This Row],[Objetive value Similarity/H-R2]])/Tabela136[[#This Row],[Objetive value Similarity]]))*100</f>
        <v>0.97172530504060772</v>
      </c>
    </row>
    <row r="14" spans="1:22" x14ac:dyDescent="0.25">
      <c r="A14" s="11" t="s">
        <v>338</v>
      </c>
      <c r="B14" s="12" t="s">
        <v>1026</v>
      </c>
      <c r="C14" s="11">
        <v>10000</v>
      </c>
      <c r="D14" s="47">
        <v>0.1</v>
      </c>
      <c r="E14" s="11">
        <v>15</v>
      </c>
      <c r="F14" s="12" t="s">
        <v>21</v>
      </c>
      <c r="G14" s="12" t="s">
        <v>16</v>
      </c>
      <c r="H14" s="140">
        <v>165423</v>
      </c>
      <c r="I14" s="140">
        <v>2737.4070000000002</v>
      </c>
      <c r="J14" s="147">
        <v>0</v>
      </c>
      <c r="K14" s="151">
        <v>162859</v>
      </c>
      <c r="L14" s="153">
        <v>1753</v>
      </c>
      <c r="M14" s="153">
        <v>1011</v>
      </c>
      <c r="N14" s="145">
        <f>(((Tabela136[[#This Row],[Objetive value Similarity]]-Tabela136[[#This Row],[Objetive value Similarity/GATeS]])/Tabela136[[#This Row],[Objetive value Similarity]]))*100</f>
        <v>1.549965845136408</v>
      </c>
      <c r="O14" s="23">
        <v>160988</v>
      </c>
      <c r="P14" s="53">
        <v>5.86</v>
      </c>
      <c r="Q14" s="53">
        <v>0</v>
      </c>
      <c r="R14" s="55">
        <f>(((Tabela136[[#This Row],[Objetive value Similarity]]-Tabela136[[#This Row],[Objetive value Similarity/H-R1    ]])/Tabela136[[#This Row],[Objetive value Similarity]]))*100</f>
        <v>2.6810056642667583</v>
      </c>
      <c r="S14" s="96">
        <v>161931</v>
      </c>
      <c r="T14" s="21">
        <v>4.8</v>
      </c>
      <c r="U14" s="21">
        <v>0</v>
      </c>
      <c r="V14" s="144">
        <f>(((Tabela136[[#This Row],[Objetive value Similarity]]-Tabela136[[#This Row],[Objetive value Similarity/H-R2]])/Tabela136[[#This Row],[Objetive value Similarity]]))*100</f>
        <v>2.1109519232513012</v>
      </c>
    </row>
    <row r="15" spans="1:22" x14ac:dyDescent="0.25">
      <c r="A15" s="11" t="s">
        <v>300</v>
      </c>
      <c r="B15" s="12" t="s">
        <v>985</v>
      </c>
      <c r="C15" s="11">
        <v>10000</v>
      </c>
      <c r="D15" s="47">
        <v>0.1</v>
      </c>
      <c r="E15" s="11">
        <v>5</v>
      </c>
      <c r="F15" s="12" t="s">
        <v>13</v>
      </c>
      <c r="G15" s="12" t="s">
        <v>14</v>
      </c>
      <c r="H15" s="140">
        <v>92991</v>
      </c>
      <c r="I15" s="140">
        <v>35.077999999979497</v>
      </c>
      <c r="J15" s="147">
        <v>0</v>
      </c>
      <c r="K15" s="151">
        <v>92687</v>
      </c>
      <c r="L15" s="153">
        <v>1576</v>
      </c>
      <c r="M15" s="153">
        <v>1266</v>
      </c>
      <c r="N15" s="145">
        <f>(((Tabela136[[#This Row],[Objetive value Similarity]]-Tabela136[[#This Row],[Objetive value Similarity/GATeS]])/Tabela136[[#This Row],[Objetive value Similarity]]))*100</f>
        <v>0.32691335720661141</v>
      </c>
      <c r="O15" s="23">
        <v>92991</v>
      </c>
      <c r="P15" s="53">
        <v>2.96</v>
      </c>
      <c r="Q15" s="53">
        <v>0</v>
      </c>
      <c r="R15" s="55">
        <f>(((Tabela136[[#This Row],[Objetive value Similarity]]-Tabela136[[#This Row],[Objetive value Similarity/H-R1    ]])/Tabela136[[#This Row],[Objetive value Similarity]]))*100</f>
        <v>0</v>
      </c>
      <c r="S15" s="96">
        <v>87983</v>
      </c>
      <c r="T15" s="21">
        <v>2.25</v>
      </c>
      <c r="U15" s="21">
        <v>0</v>
      </c>
      <c r="V15" s="144">
        <f>(((Tabela136[[#This Row],[Objetive value Similarity]]-Tabela136[[#This Row],[Objetive value Similarity/H-R2]])/Tabela136[[#This Row],[Objetive value Similarity]]))*100</f>
        <v>5.3854674108247034</v>
      </c>
    </row>
    <row r="16" spans="1:22" x14ac:dyDescent="0.25">
      <c r="A16" s="11" t="s">
        <v>300</v>
      </c>
      <c r="B16" s="12" t="s">
        <v>986</v>
      </c>
      <c r="C16" s="11">
        <v>10000</v>
      </c>
      <c r="D16" s="47">
        <v>0.1</v>
      </c>
      <c r="E16" s="11">
        <v>5</v>
      </c>
      <c r="F16" s="12" t="s">
        <v>13</v>
      </c>
      <c r="G16" s="12" t="s">
        <v>16</v>
      </c>
      <c r="H16" s="140">
        <v>65083</v>
      </c>
      <c r="I16" s="140">
        <v>37.579000000027001</v>
      </c>
      <c r="J16" s="147">
        <v>0</v>
      </c>
      <c r="K16" s="151">
        <v>64997</v>
      </c>
      <c r="L16" s="153">
        <v>1140</v>
      </c>
      <c r="M16" s="153">
        <v>136</v>
      </c>
      <c r="N16" s="145">
        <f>(((Tabela136[[#This Row],[Objetive value Similarity]]-Tabela136[[#This Row],[Objetive value Similarity/GATeS]])/Tabela136[[#This Row],[Objetive value Similarity]]))*100</f>
        <v>0.13213896101900649</v>
      </c>
      <c r="O16" s="23">
        <v>64578</v>
      </c>
      <c r="P16" s="53">
        <v>2.88</v>
      </c>
      <c r="Q16" s="53">
        <v>0</v>
      </c>
      <c r="R16" s="55">
        <f>(((Tabela136[[#This Row],[Objetive value Similarity]]-Tabela136[[#This Row],[Objetive value Similarity/H-R1    ]])/Tabela136[[#This Row],[Objetive value Similarity]]))*100</f>
        <v>0.77593227109998009</v>
      </c>
      <c r="S16" s="96">
        <v>59039</v>
      </c>
      <c r="T16" s="21">
        <v>2.0499999999999998</v>
      </c>
      <c r="U16" s="21">
        <v>0</v>
      </c>
      <c r="V16" s="144">
        <f>(((Tabela136[[#This Row],[Objetive value Similarity]]-Tabela136[[#This Row],[Objetive value Similarity/H-R2]])/Tabela136[[#This Row],[Objetive value Similarity]]))*100</f>
        <v>9.2866032604520381</v>
      </c>
    </row>
    <row r="17" spans="1:22" x14ac:dyDescent="0.25">
      <c r="A17" s="11" t="s">
        <v>300</v>
      </c>
      <c r="B17" s="12" t="s">
        <v>987</v>
      </c>
      <c r="C17" s="11">
        <v>10000</v>
      </c>
      <c r="D17" s="47">
        <v>0.1</v>
      </c>
      <c r="E17" s="11">
        <v>5</v>
      </c>
      <c r="F17" s="12" t="s">
        <v>18</v>
      </c>
      <c r="G17" s="12" t="s">
        <v>14</v>
      </c>
      <c r="H17" s="140">
        <v>95347</v>
      </c>
      <c r="I17" s="140">
        <v>29.703000000095901</v>
      </c>
      <c r="J17" s="147">
        <v>0</v>
      </c>
      <c r="K17" s="151">
        <v>95337</v>
      </c>
      <c r="L17" s="153">
        <v>1533</v>
      </c>
      <c r="M17" s="153">
        <v>730</v>
      </c>
      <c r="N17" s="145">
        <f>(((Tabela136[[#This Row],[Objetive value Similarity]]-Tabela136[[#This Row],[Objetive value Similarity/GATeS]])/Tabela136[[#This Row],[Objetive value Similarity]]))*100</f>
        <v>1.0488006964036624E-2</v>
      </c>
      <c r="O17" s="23">
        <v>95347</v>
      </c>
      <c r="P17" s="53">
        <v>2.78</v>
      </c>
      <c r="Q17" s="53">
        <v>0</v>
      </c>
      <c r="R17" s="55">
        <f>(((Tabela136[[#This Row],[Objetive value Similarity]]-Tabela136[[#This Row],[Objetive value Similarity/H-R1    ]])/Tabela136[[#This Row],[Objetive value Similarity]]))*100</f>
        <v>0</v>
      </c>
      <c r="S17" s="96">
        <v>92796</v>
      </c>
      <c r="T17" s="21">
        <v>2.56</v>
      </c>
      <c r="U17" s="21">
        <v>0</v>
      </c>
      <c r="V17" s="144">
        <f>(((Tabela136[[#This Row],[Objetive value Similarity]]-Tabela136[[#This Row],[Objetive value Similarity/H-R2]])/Tabela136[[#This Row],[Objetive value Similarity]]))*100</f>
        <v>2.6754905765257431</v>
      </c>
    </row>
    <row r="18" spans="1:22" x14ac:dyDescent="0.25">
      <c r="A18" s="11" t="s">
        <v>300</v>
      </c>
      <c r="B18" s="12" t="s">
        <v>988</v>
      </c>
      <c r="C18" s="11">
        <v>10000</v>
      </c>
      <c r="D18" s="47">
        <v>0.1</v>
      </c>
      <c r="E18" s="11">
        <v>5</v>
      </c>
      <c r="F18" s="12" t="s">
        <v>18</v>
      </c>
      <c r="G18" s="12" t="s">
        <v>16</v>
      </c>
      <c r="H18" s="140">
        <v>78598</v>
      </c>
      <c r="I18" s="140">
        <v>19.8440000000409</v>
      </c>
      <c r="J18" s="147">
        <v>0</v>
      </c>
      <c r="K18" s="151">
        <v>78598</v>
      </c>
      <c r="L18" s="153">
        <v>1538</v>
      </c>
      <c r="M18" s="153">
        <v>134</v>
      </c>
      <c r="N18" s="145">
        <f>(((Tabela136[[#This Row],[Objetive value Similarity]]-Tabela136[[#This Row],[Objetive value Similarity/GATeS]])/Tabela136[[#This Row],[Objetive value Similarity]]))*100</f>
        <v>0</v>
      </c>
      <c r="O18" s="23">
        <v>77463</v>
      </c>
      <c r="P18" s="53">
        <v>3.23</v>
      </c>
      <c r="Q18" s="53">
        <v>0</v>
      </c>
      <c r="R18" s="55">
        <f>(((Tabela136[[#This Row],[Objetive value Similarity]]-Tabela136[[#This Row],[Objetive value Similarity/H-R1    ]])/Tabela136[[#This Row],[Objetive value Similarity]]))*100</f>
        <v>1.444057100689585</v>
      </c>
      <c r="S18" s="96">
        <v>78598</v>
      </c>
      <c r="T18" s="21">
        <v>2.57</v>
      </c>
      <c r="U18" s="21">
        <v>0</v>
      </c>
      <c r="V18" s="144">
        <f>(((Tabela136[[#This Row],[Objetive value Similarity]]-Tabela136[[#This Row],[Objetive value Similarity/H-R2]])/Tabela136[[#This Row],[Objetive value Similarity]]))*100</f>
        <v>0</v>
      </c>
    </row>
    <row r="19" spans="1:22" x14ac:dyDescent="0.25">
      <c r="A19" s="11" t="s">
        <v>300</v>
      </c>
      <c r="B19" s="12" t="s">
        <v>989</v>
      </c>
      <c r="C19" s="11">
        <v>10000</v>
      </c>
      <c r="D19" s="47">
        <v>0.1</v>
      </c>
      <c r="E19" s="11">
        <v>5</v>
      </c>
      <c r="F19" s="12" t="s">
        <v>21</v>
      </c>
      <c r="G19" s="12" t="s">
        <v>14</v>
      </c>
      <c r="H19" s="140">
        <v>78685</v>
      </c>
      <c r="I19" s="140">
        <v>32.734000000054898</v>
      </c>
      <c r="J19" s="147">
        <v>0</v>
      </c>
      <c r="K19" s="151">
        <v>66919</v>
      </c>
      <c r="L19" s="153">
        <v>571</v>
      </c>
      <c r="M19" s="153">
        <v>11</v>
      </c>
      <c r="N19" s="145">
        <f>(((Tabela136[[#This Row],[Objetive value Similarity]]-Tabela136[[#This Row],[Objetive value Similarity/GATeS]])/Tabela136[[#This Row],[Objetive value Similarity]]))*100</f>
        <v>14.953294782995489</v>
      </c>
      <c r="O19" s="23">
        <v>78685</v>
      </c>
      <c r="P19" s="53">
        <v>3.02</v>
      </c>
      <c r="Q19" s="53">
        <v>0</v>
      </c>
      <c r="R19" s="55">
        <f>(((Tabela136[[#This Row],[Objetive value Similarity]]-Tabela136[[#This Row],[Objetive value Similarity/H-R1    ]])/Tabela136[[#This Row],[Objetive value Similarity]]))*100</f>
        <v>0</v>
      </c>
      <c r="S19" s="96">
        <v>78685</v>
      </c>
      <c r="T19" s="21">
        <v>5</v>
      </c>
      <c r="U19" s="21">
        <v>0</v>
      </c>
      <c r="V19" s="144">
        <f>(((Tabela136[[#This Row],[Objetive value Similarity]]-Tabela136[[#This Row],[Objetive value Similarity/H-R2]])/Tabela136[[#This Row],[Objetive value Similarity]]))*100</f>
        <v>0</v>
      </c>
    </row>
    <row r="20" spans="1:22" x14ac:dyDescent="0.25">
      <c r="A20" s="11" t="s">
        <v>300</v>
      </c>
      <c r="B20" s="12" t="s">
        <v>990</v>
      </c>
      <c r="C20" s="11">
        <v>10000</v>
      </c>
      <c r="D20" s="47">
        <v>0.1</v>
      </c>
      <c r="E20" s="11">
        <v>5</v>
      </c>
      <c r="F20" s="12" t="s">
        <v>21</v>
      </c>
      <c r="G20" s="12" t="s">
        <v>16</v>
      </c>
      <c r="H20" s="140">
        <v>70283</v>
      </c>
      <c r="I20" s="140">
        <v>19.609999999986002</v>
      </c>
      <c r="J20" s="147">
        <v>0</v>
      </c>
      <c r="K20" s="151">
        <v>68881</v>
      </c>
      <c r="L20" s="153">
        <v>953</v>
      </c>
      <c r="M20" s="153">
        <v>20</v>
      </c>
      <c r="N20" s="145">
        <f>(((Tabela136[[#This Row],[Objetive value Similarity]]-Tabela136[[#This Row],[Objetive value Similarity/GATeS]])/Tabela136[[#This Row],[Objetive value Similarity]]))*100</f>
        <v>1.994792481823485</v>
      </c>
      <c r="O20" s="23">
        <v>70282</v>
      </c>
      <c r="P20" s="53">
        <v>2.79</v>
      </c>
      <c r="Q20" s="53">
        <v>0</v>
      </c>
      <c r="R20" s="55">
        <f>(((Tabela136[[#This Row],[Objetive value Similarity]]-Tabela136[[#This Row],[Objetive value Similarity/H-R1    ]])/Tabela136[[#This Row],[Objetive value Similarity]]))*100</f>
        <v>1.4228191739111876E-3</v>
      </c>
      <c r="S20" s="96">
        <v>70282</v>
      </c>
      <c r="T20" s="21">
        <v>2.37</v>
      </c>
      <c r="U20" s="21">
        <v>0</v>
      </c>
      <c r="V20" s="144">
        <f>(((Tabela136[[#This Row],[Objetive value Similarity]]-Tabela136[[#This Row],[Objetive value Similarity/H-R2]])/Tabela136[[#This Row],[Objetive value Similarity]]))*100</f>
        <v>1.4228191739111876E-3</v>
      </c>
    </row>
    <row r="21" spans="1:22" x14ac:dyDescent="0.25">
      <c r="A21" s="11" t="s">
        <v>319</v>
      </c>
      <c r="B21" s="12" t="s">
        <v>1009</v>
      </c>
      <c r="C21" s="11">
        <v>10000</v>
      </c>
      <c r="D21" s="11">
        <v>0.15</v>
      </c>
      <c r="E21" s="11">
        <v>10</v>
      </c>
      <c r="F21" s="12" t="s">
        <v>13</v>
      </c>
      <c r="G21" s="12" t="s">
        <v>14</v>
      </c>
      <c r="H21" s="140">
        <v>218946</v>
      </c>
      <c r="I21" s="140">
        <v>221.92200000002001</v>
      </c>
      <c r="J21" s="147">
        <v>0</v>
      </c>
      <c r="K21" s="151">
        <v>209312</v>
      </c>
      <c r="L21" s="153">
        <v>1681</v>
      </c>
      <c r="M21" s="153">
        <v>348</v>
      </c>
      <c r="N21" s="145">
        <f>(((Tabela136[[#This Row],[Objetive value Similarity]]-Tabela136[[#This Row],[Objetive value Similarity/GATeS]])/Tabela136[[#This Row],[Objetive value Similarity]]))*100</f>
        <v>4.4001717318425548</v>
      </c>
      <c r="O21" s="23">
        <v>209691</v>
      </c>
      <c r="P21" s="53">
        <v>3.2</v>
      </c>
      <c r="Q21" s="53">
        <v>0</v>
      </c>
      <c r="R21" s="55">
        <f>(((Tabela136[[#This Row],[Objetive value Similarity]]-Tabela136[[#This Row],[Objetive value Similarity/H-R1    ]])/Tabela136[[#This Row],[Objetive value Similarity]]))*100</f>
        <v>4.2270696884163215</v>
      </c>
      <c r="S21" s="96">
        <v>170705</v>
      </c>
      <c r="T21" s="21">
        <v>2.46</v>
      </c>
      <c r="U21" s="21">
        <v>0</v>
      </c>
      <c r="V21" s="144">
        <f>(((Tabela136[[#This Row],[Objetive value Similarity]]-Tabela136[[#This Row],[Objetive value Similarity/H-R2]])/Tabela136[[#This Row],[Objetive value Similarity]]))*100</f>
        <v>22.033286746503705</v>
      </c>
    </row>
    <row r="22" spans="1:22" x14ac:dyDescent="0.25">
      <c r="A22" s="11" t="s">
        <v>319</v>
      </c>
      <c r="B22" s="12" t="s">
        <v>1010</v>
      </c>
      <c r="C22" s="11">
        <v>10000</v>
      </c>
      <c r="D22" s="11">
        <v>0.15</v>
      </c>
      <c r="E22" s="11">
        <v>10</v>
      </c>
      <c r="F22" s="12" t="s">
        <v>13</v>
      </c>
      <c r="G22" s="12" t="s">
        <v>16</v>
      </c>
      <c r="H22" s="140">
        <v>124975</v>
      </c>
      <c r="I22" s="140">
        <v>261.90599999995902</v>
      </c>
      <c r="J22" s="147">
        <v>0</v>
      </c>
      <c r="K22" s="151">
        <v>123599</v>
      </c>
      <c r="L22" s="153">
        <v>1588</v>
      </c>
      <c r="M22" s="153">
        <v>367</v>
      </c>
      <c r="N22" s="145">
        <f>(((Tabela136[[#This Row],[Objetive value Similarity]]-Tabela136[[#This Row],[Objetive value Similarity/GATeS]])/Tabela136[[#This Row],[Objetive value Similarity]]))*100</f>
        <v>1.1010202040408081</v>
      </c>
      <c r="O22" s="23">
        <v>124968</v>
      </c>
      <c r="P22" s="53">
        <v>3.91</v>
      </c>
      <c r="Q22" s="53">
        <v>0</v>
      </c>
      <c r="R22" s="55">
        <f>(((Tabela136[[#This Row],[Objetive value Similarity]]-Tabela136[[#This Row],[Objetive value Similarity/H-R1    ]])/Tabela136[[#This Row],[Objetive value Similarity]]))*100</f>
        <v>5.601120224044809E-3</v>
      </c>
      <c r="S22" s="96">
        <v>112632</v>
      </c>
      <c r="T22" s="21">
        <v>3.48</v>
      </c>
      <c r="U22" s="21">
        <v>0</v>
      </c>
      <c r="V22" s="144">
        <f>(((Tabela136[[#This Row],[Objetive value Similarity]]-Tabela136[[#This Row],[Objetive value Similarity/H-R2]])/Tabela136[[#This Row],[Objetive value Similarity]]))*100</f>
        <v>9.8763752750550111</v>
      </c>
    </row>
    <row r="23" spans="1:22" x14ac:dyDescent="0.25">
      <c r="A23" s="11" t="s">
        <v>319</v>
      </c>
      <c r="B23" s="12" t="s">
        <v>1011</v>
      </c>
      <c r="C23" s="11">
        <v>10000</v>
      </c>
      <c r="D23" s="11">
        <v>0.15</v>
      </c>
      <c r="E23" s="11">
        <v>10</v>
      </c>
      <c r="F23" s="12" t="s">
        <v>18</v>
      </c>
      <c r="G23" s="12" t="s">
        <v>14</v>
      </c>
      <c r="H23" s="140">
        <v>225726</v>
      </c>
      <c r="I23" s="140">
        <v>121.452999999979</v>
      </c>
      <c r="J23" s="147">
        <v>0</v>
      </c>
      <c r="K23" s="151">
        <v>218761</v>
      </c>
      <c r="L23" s="153">
        <v>1633</v>
      </c>
      <c r="M23" s="153">
        <v>1267</v>
      </c>
      <c r="N23" s="145">
        <f>(((Tabela136[[#This Row],[Objetive value Similarity]]-Tabela136[[#This Row],[Objetive value Similarity/GATeS]])/Tabela136[[#This Row],[Objetive value Similarity]]))*100</f>
        <v>3.085599354970185</v>
      </c>
      <c r="O23" s="23">
        <v>217913</v>
      </c>
      <c r="P23" s="53">
        <v>2.73</v>
      </c>
      <c r="Q23" s="53">
        <v>0</v>
      </c>
      <c r="R23" s="55">
        <f>(((Tabela136[[#This Row],[Objetive value Similarity]]-Tabela136[[#This Row],[Objetive value Similarity/H-R1    ]])/Tabela136[[#This Row],[Objetive value Similarity]]))*100</f>
        <v>3.4612760603563615</v>
      </c>
      <c r="S23" s="96">
        <v>205559</v>
      </c>
      <c r="T23" s="21">
        <v>2.67</v>
      </c>
      <c r="U23" s="21">
        <v>0</v>
      </c>
      <c r="V23" s="144">
        <f>(((Tabela136[[#This Row],[Objetive value Similarity]]-Tabela136[[#This Row],[Objetive value Similarity/H-R2]])/Tabela136[[#This Row],[Objetive value Similarity]]))*100</f>
        <v>8.9342831574563846</v>
      </c>
    </row>
    <row r="24" spans="1:22" x14ac:dyDescent="0.25">
      <c r="A24" s="11" t="s">
        <v>319</v>
      </c>
      <c r="B24" s="12" t="s">
        <v>1012</v>
      </c>
      <c r="C24" s="11">
        <v>10000</v>
      </c>
      <c r="D24" s="11">
        <v>0.15</v>
      </c>
      <c r="E24" s="11">
        <v>10</v>
      </c>
      <c r="F24" s="12" t="s">
        <v>18</v>
      </c>
      <c r="G24" s="12" t="s">
        <v>16</v>
      </c>
      <c r="H24" s="140">
        <v>118042</v>
      </c>
      <c r="I24" s="140">
        <v>434.202999999979</v>
      </c>
      <c r="J24" s="147">
        <v>0</v>
      </c>
      <c r="K24" s="151">
        <v>115522</v>
      </c>
      <c r="L24" s="153">
        <v>1629</v>
      </c>
      <c r="M24" s="153">
        <v>1328</v>
      </c>
      <c r="N24" s="145">
        <f>(((Tabela136[[#This Row],[Objetive value Similarity]]-Tabela136[[#This Row],[Objetive value Similarity/GATeS]])/Tabela136[[#This Row],[Objetive value Similarity]]))*100</f>
        <v>2.1348333643957234</v>
      </c>
      <c r="O24" s="23">
        <v>116065</v>
      </c>
      <c r="P24" s="53">
        <v>3.22</v>
      </c>
      <c r="Q24" s="53">
        <v>0</v>
      </c>
      <c r="R24" s="55">
        <f>(((Tabela136[[#This Row],[Objetive value Similarity]]-Tabela136[[#This Row],[Objetive value Similarity/H-R1    ]])/Tabela136[[#This Row],[Objetive value Similarity]]))*100</f>
        <v>1.6748276037342642</v>
      </c>
      <c r="S24" s="96">
        <v>116363</v>
      </c>
      <c r="T24" s="21">
        <v>3.76</v>
      </c>
      <c r="U24" s="21">
        <v>0</v>
      </c>
      <c r="V24" s="144">
        <f>(((Tabela136[[#This Row],[Objetive value Similarity]]-Tabela136[[#This Row],[Objetive value Similarity/H-R2]])/Tabela136[[#This Row],[Objetive value Similarity]]))*100</f>
        <v>1.4223750868334999</v>
      </c>
    </row>
    <row r="25" spans="1:22" x14ac:dyDescent="0.25">
      <c r="A25" s="11" t="s">
        <v>319</v>
      </c>
      <c r="B25" s="12" t="s">
        <v>1013</v>
      </c>
      <c r="C25" s="11">
        <v>10000</v>
      </c>
      <c r="D25" s="11">
        <v>0.15</v>
      </c>
      <c r="E25" s="11">
        <v>10</v>
      </c>
      <c r="F25" s="12" t="s">
        <v>21</v>
      </c>
      <c r="G25" s="12" t="s">
        <v>14</v>
      </c>
      <c r="H25" s="140">
        <v>119277</v>
      </c>
      <c r="I25" s="140">
        <v>103.125</v>
      </c>
      <c r="J25" s="147">
        <v>0</v>
      </c>
      <c r="K25" s="151">
        <v>119102</v>
      </c>
      <c r="L25" s="153">
        <v>1465</v>
      </c>
      <c r="M25" s="153">
        <v>44</v>
      </c>
      <c r="N25" s="145">
        <f>(((Tabela136[[#This Row],[Objetive value Similarity]]-Tabela136[[#This Row],[Objetive value Similarity/GATeS]])/Tabela136[[#This Row],[Objetive value Similarity]]))*100</f>
        <v>0.14671730509653999</v>
      </c>
      <c r="O25" s="23">
        <v>119102</v>
      </c>
      <c r="P25" s="53">
        <v>8.1199999999999992</v>
      </c>
      <c r="Q25" s="53">
        <v>0</v>
      </c>
      <c r="R25" s="55">
        <f>(((Tabela136[[#This Row],[Objetive value Similarity]]-Tabela136[[#This Row],[Objetive value Similarity/H-R1    ]])/Tabela136[[#This Row],[Objetive value Similarity]]))*100</f>
        <v>0.14671730509653999</v>
      </c>
      <c r="S25" s="96">
        <v>119102</v>
      </c>
      <c r="T25" s="21">
        <v>8.25</v>
      </c>
      <c r="U25" s="21">
        <v>0</v>
      </c>
      <c r="V25" s="144">
        <f>(((Tabela136[[#This Row],[Objetive value Similarity]]-Tabela136[[#This Row],[Objetive value Similarity/H-R2]])/Tabela136[[#This Row],[Objetive value Similarity]]))*100</f>
        <v>0.14671730509653999</v>
      </c>
    </row>
    <row r="26" spans="1:22" x14ac:dyDescent="0.25">
      <c r="A26" s="11" t="s">
        <v>319</v>
      </c>
      <c r="B26" s="12" t="s">
        <v>1014</v>
      </c>
      <c r="C26" s="11">
        <v>10000</v>
      </c>
      <c r="D26" s="11">
        <v>0.15</v>
      </c>
      <c r="E26" s="11">
        <v>10</v>
      </c>
      <c r="F26" s="12" t="s">
        <v>21</v>
      </c>
      <c r="G26" s="12" t="s">
        <v>16</v>
      </c>
      <c r="H26" s="140">
        <v>122209</v>
      </c>
      <c r="I26" s="140">
        <v>424.312000000034</v>
      </c>
      <c r="J26" s="147">
        <v>0.08</v>
      </c>
      <c r="K26" s="151">
        <v>120175</v>
      </c>
      <c r="L26" s="153">
        <v>1664</v>
      </c>
      <c r="M26" s="153">
        <v>811</v>
      </c>
      <c r="N26" s="145">
        <f>(((Tabela136[[#This Row],[Objetive value Similarity]]-Tabela136[[#This Row],[Objetive value Similarity/GATeS]])/Tabela136[[#This Row],[Objetive value Similarity]]))*100</f>
        <v>1.6643618718752302</v>
      </c>
      <c r="O26" s="23">
        <v>121994</v>
      </c>
      <c r="P26" s="53">
        <v>4.88</v>
      </c>
      <c r="Q26" s="53">
        <v>0</v>
      </c>
      <c r="R26" s="55">
        <f>(((Tabela136[[#This Row],[Objetive value Similarity]]-Tabela136[[#This Row],[Objetive value Similarity/H-R1    ]])/Tabela136[[#This Row],[Objetive value Similarity]]))*100</f>
        <v>0.17592812313332079</v>
      </c>
      <c r="S26" s="96">
        <v>121491</v>
      </c>
      <c r="T26" s="21">
        <v>4.3899999999999997</v>
      </c>
      <c r="U26" s="21">
        <v>0</v>
      </c>
      <c r="V26" s="144">
        <f>(((Tabela136[[#This Row],[Objetive value Similarity]]-Tabela136[[#This Row],[Objetive value Similarity/H-R2]])/Tabela136[[#This Row],[Objetive value Similarity]]))*100</f>
        <v>0.58751810423127593</v>
      </c>
    </row>
    <row r="27" spans="1:22" x14ac:dyDescent="0.25">
      <c r="A27" s="11" t="s">
        <v>338</v>
      </c>
      <c r="B27" s="12" t="s">
        <v>1027</v>
      </c>
      <c r="C27" s="11">
        <v>10000</v>
      </c>
      <c r="D27" s="11">
        <v>0.15</v>
      </c>
      <c r="E27" s="11">
        <v>15</v>
      </c>
      <c r="F27" s="12" t="s">
        <v>13</v>
      </c>
      <c r="G27" s="12" t="s">
        <v>14</v>
      </c>
      <c r="H27" s="140">
        <v>322769</v>
      </c>
      <c r="I27" s="140">
        <v>645.81299999999999</v>
      </c>
      <c r="J27" s="147">
        <v>2.5499999999999998</v>
      </c>
      <c r="K27" s="151">
        <v>296903</v>
      </c>
      <c r="L27" s="153">
        <v>1869</v>
      </c>
      <c r="M27" s="153">
        <v>828</v>
      </c>
      <c r="N27" s="145">
        <f>(((Tabela136[[#This Row],[Objetive value Similarity]]-Tabela136[[#This Row],[Objetive value Similarity/GATeS]])/Tabela136[[#This Row],[Objetive value Similarity]]))*100</f>
        <v>8.0137807534180787</v>
      </c>
      <c r="O27" s="23">
        <v>279305</v>
      </c>
      <c r="P27" s="53">
        <v>3.88</v>
      </c>
      <c r="Q27" s="53">
        <v>0</v>
      </c>
      <c r="R27" s="55">
        <f>(((Tabela136[[#This Row],[Objetive value Similarity]]-Tabela136[[#This Row],[Objetive value Similarity/H-R1    ]])/Tabela136[[#This Row],[Objetive value Similarity]]))*100</f>
        <v>13.465977215903635</v>
      </c>
      <c r="S27" s="96">
        <v>278989</v>
      </c>
      <c r="T27" s="21">
        <v>3.73</v>
      </c>
      <c r="U27" s="21">
        <v>0</v>
      </c>
      <c r="V27" s="144">
        <f>(((Tabela136[[#This Row],[Objetive value Similarity]]-Tabela136[[#This Row],[Objetive value Similarity/H-R2]])/Tabela136[[#This Row],[Objetive value Similarity]]))*100</f>
        <v>13.563880050438549</v>
      </c>
    </row>
    <row r="28" spans="1:22" x14ac:dyDescent="0.25">
      <c r="A28" s="11" t="s">
        <v>338</v>
      </c>
      <c r="B28" s="12" t="s">
        <v>1028</v>
      </c>
      <c r="C28" s="11">
        <v>10000</v>
      </c>
      <c r="D28" s="11">
        <v>0.15</v>
      </c>
      <c r="E28" s="11">
        <v>15</v>
      </c>
      <c r="F28" s="12" t="s">
        <v>13</v>
      </c>
      <c r="G28" s="12" t="s">
        <v>16</v>
      </c>
      <c r="H28" s="140">
        <v>163415</v>
      </c>
      <c r="I28" s="140">
        <v>6429.2030000000004</v>
      </c>
      <c r="J28" s="147">
        <v>0.42</v>
      </c>
      <c r="K28" s="151">
        <v>161088</v>
      </c>
      <c r="L28" s="153">
        <v>1668</v>
      </c>
      <c r="M28" s="153">
        <v>601</v>
      </c>
      <c r="N28" s="145">
        <f>(((Tabela136[[#This Row],[Objetive value Similarity]]-Tabela136[[#This Row],[Objetive value Similarity/GATeS]])/Tabela136[[#This Row],[Objetive value Similarity]]))*100</f>
        <v>1.4239818866077165</v>
      </c>
      <c r="O28" s="23">
        <v>155381</v>
      </c>
      <c r="P28" s="53">
        <v>5.36</v>
      </c>
      <c r="Q28" s="53">
        <v>0</v>
      </c>
      <c r="R28" s="55">
        <f>(((Tabela136[[#This Row],[Objetive value Similarity]]-Tabela136[[#This Row],[Objetive value Similarity/H-R1    ]])/Tabela136[[#This Row],[Objetive value Similarity]]))*100</f>
        <v>4.9163173515283178</v>
      </c>
      <c r="S28" s="96">
        <v>150533</v>
      </c>
      <c r="T28" s="21">
        <v>4.62</v>
      </c>
      <c r="U28" s="21">
        <v>0</v>
      </c>
      <c r="V28" s="144">
        <f>(((Tabela136[[#This Row],[Objetive value Similarity]]-Tabela136[[#This Row],[Objetive value Similarity/H-R2]])/Tabela136[[#This Row],[Objetive value Similarity]]))*100</f>
        <v>7.8829972768717687</v>
      </c>
    </row>
    <row r="29" spans="1:22" x14ac:dyDescent="0.25">
      <c r="A29" s="11" t="s">
        <v>338</v>
      </c>
      <c r="B29" s="12" t="s">
        <v>1029</v>
      </c>
      <c r="C29" s="11">
        <v>10000</v>
      </c>
      <c r="D29" s="11">
        <v>0.15</v>
      </c>
      <c r="E29" s="11">
        <v>15</v>
      </c>
      <c r="F29" s="12" t="s">
        <v>18</v>
      </c>
      <c r="G29" s="12" t="s">
        <v>14</v>
      </c>
      <c r="H29" s="140">
        <v>309165</v>
      </c>
      <c r="I29" s="140">
        <v>604.82799999999997</v>
      </c>
      <c r="J29" s="147">
        <v>6.31</v>
      </c>
      <c r="K29" s="151">
        <v>308238</v>
      </c>
      <c r="L29" s="153">
        <v>1733</v>
      </c>
      <c r="M29" s="153">
        <v>991</v>
      </c>
      <c r="N29" s="145">
        <f>(((Tabela136[[#This Row],[Objetive value Similarity]]-Tabela136[[#This Row],[Objetive value Similarity/GATeS]])/Tabela136[[#This Row],[Objetive value Similarity]]))*100</f>
        <v>0.29983989132016886</v>
      </c>
      <c r="O29" s="23">
        <v>279429</v>
      </c>
      <c r="P29" s="53">
        <v>3.66</v>
      </c>
      <c r="Q29" s="53">
        <v>0</v>
      </c>
      <c r="R29" s="55">
        <f>(((Tabela136[[#This Row],[Objetive value Similarity]]-Tabela136[[#This Row],[Objetive value Similarity/H-R1    ]])/Tabela136[[#This Row],[Objetive value Similarity]]))*100</f>
        <v>9.618165057493572</v>
      </c>
      <c r="S29" s="96">
        <v>296045</v>
      </c>
      <c r="T29" s="21">
        <v>3.8</v>
      </c>
      <c r="U29" s="21">
        <v>0</v>
      </c>
      <c r="V29" s="144">
        <f>(((Tabela136[[#This Row],[Objetive value Similarity]]-Tabela136[[#This Row],[Objetive value Similarity/H-R2]])/Tabela136[[#This Row],[Objetive value Similarity]]))*100</f>
        <v>4.2436886452218072</v>
      </c>
    </row>
    <row r="30" spans="1:22" x14ac:dyDescent="0.25">
      <c r="A30" s="11" t="s">
        <v>338</v>
      </c>
      <c r="B30" s="12" t="s">
        <v>1030</v>
      </c>
      <c r="C30" s="11">
        <v>10000</v>
      </c>
      <c r="D30" s="11">
        <v>0.15</v>
      </c>
      <c r="E30" s="11">
        <v>15</v>
      </c>
      <c r="F30" s="12" t="s">
        <v>18</v>
      </c>
      <c r="G30" s="12" t="s">
        <v>16</v>
      </c>
      <c r="H30" s="140">
        <v>179270</v>
      </c>
      <c r="I30" s="140">
        <v>2707.36</v>
      </c>
      <c r="J30" s="147">
        <v>0</v>
      </c>
      <c r="K30" s="151">
        <v>174526</v>
      </c>
      <c r="L30" s="153">
        <v>1627</v>
      </c>
      <c r="M30" s="153">
        <v>1554</v>
      </c>
      <c r="N30" s="145">
        <f>(((Tabela136[[#This Row],[Objetive value Similarity]]-Tabela136[[#This Row],[Objetive value Similarity/GATeS]])/Tabela136[[#This Row],[Objetive value Similarity]]))*100</f>
        <v>2.6462877224298542</v>
      </c>
      <c r="O30" s="23">
        <v>179270</v>
      </c>
      <c r="P30" s="53">
        <v>8.81</v>
      </c>
      <c r="Q30" s="53">
        <v>0</v>
      </c>
      <c r="R30" s="55">
        <f>(((Tabela136[[#This Row],[Objetive value Similarity]]-Tabela136[[#This Row],[Objetive value Similarity/H-R1    ]])/Tabela136[[#This Row],[Objetive value Similarity]]))*100</f>
        <v>0</v>
      </c>
      <c r="S30" s="96">
        <v>178461</v>
      </c>
      <c r="T30" s="21">
        <v>6.31</v>
      </c>
      <c r="U30" s="21">
        <v>0</v>
      </c>
      <c r="V30" s="144">
        <f>(((Tabela136[[#This Row],[Objetive value Similarity]]-Tabela136[[#This Row],[Objetive value Similarity/H-R2]])/Tabela136[[#This Row],[Objetive value Similarity]]))*100</f>
        <v>0.45127461371116195</v>
      </c>
    </row>
    <row r="31" spans="1:22" x14ac:dyDescent="0.25">
      <c r="A31" s="11" t="s">
        <v>338</v>
      </c>
      <c r="B31" s="12" t="s">
        <v>1031</v>
      </c>
      <c r="C31" s="11">
        <v>10000</v>
      </c>
      <c r="D31" s="11">
        <v>0.15</v>
      </c>
      <c r="E31" s="11">
        <v>15</v>
      </c>
      <c r="F31" s="12" t="s">
        <v>21</v>
      </c>
      <c r="G31" s="12" t="s">
        <v>14</v>
      </c>
      <c r="H31" s="140">
        <v>283182</v>
      </c>
      <c r="I31" s="140">
        <v>154.51599999999999</v>
      </c>
      <c r="J31" s="147">
        <v>0</v>
      </c>
      <c r="K31" s="151">
        <v>282994</v>
      </c>
      <c r="L31" s="153">
        <v>1908</v>
      </c>
      <c r="M31" s="153">
        <v>1781</v>
      </c>
      <c r="N31" s="145">
        <f>(((Tabela136[[#This Row],[Objetive value Similarity]]-Tabela136[[#This Row],[Objetive value Similarity/GATeS]])/Tabela136[[#This Row],[Objetive value Similarity]]))*100</f>
        <v>6.6388400392680319E-2</v>
      </c>
      <c r="O31" s="23">
        <v>269005</v>
      </c>
      <c r="P31" s="53">
        <v>10.46</v>
      </c>
      <c r="Q31" s="53">
        <v>0</v>
      </c>
      <c r="R31" s="55">
        <f>(((Tabela136[[#This Row],[Objetive value Similarity]]-Tabela136[[#This Row],[Objetive value Similarity/H-R1    ]])/Tabela136[[#This Row],[Objetive value Similarity]]))*100</f>
        <v>5.0063210232288773</v>
      </c>
      <c r="S31" s="96">
        <v>283179</v>
      </c>
      <c r="T31" s="21">
        <v>4.2300000000000004</v>
      </c>
      <c r="U31" s="21">
        <v>0</v>
      </c>
      <c r="V31" s="144">
        <f>(((Tabela136[[#This Row],[Objetive value Similarity]]-Tabela136[[#This Row],[Objetive value Similarity/H-R2]])/Tabela136[[#This Row],[Objetive value Similarity]]))*100</f>
        <v>1.0593893679683032E-3</v>
      </c>
    </row>
    <row r="32" spans="1:22" x14ac:dyDescent="0.25">
      <c r="A32" s="11" t="s">
        <v>338</v>
      </c>
      <c r="B32" s="12" t="s">
        <v>1032</v>
      </c>
      <c r="C32" s="11">
        <v>10000</v>
      </c>
      <c r="D32" s="11">
        <v>0.15</v>
      </c>
      <c r="E32" s="11">
        <v>15</v>
      </c>
      <c r="F32" s="12" t="s">
        <v>21</v>
      </c>
      <c r="G32" s="12" t="s">
        <v>16</v>
      </c>
      <c r="H32" s="140">
        <v>165614</v>
      </c>
      <c r="I32" s="140">
        <v>2892.172</v>
      </c>
      <c r="J32" s="147">
        <v>0</v>
      </c>
      <c r="K32" s="151">
        <v>162509</v>
      </c>
      <c r="L32" s="153">
        <v>1703</v>
      </c>
      <c r="M32" s="153">
        <v>1328</v>
      </c>
      <c r="N32" s="145">
        <f>(((Tabela136[[#This Row],[Objetive value Similarity]]-Tabela136[[#This Row],[Objetive value Similarity/GATeS]])/Tabela136[[#This Row],[Objetive value Similarity]]))*100</f>
        <v>1.8748414989070972</v>
      </c>
      <c r="O32" s="23">
        <v>165608</v>
      </c>
      <c r="P32" s="53">
        <v>8.14</v>
      </c>
      <c r="Q32" s="53">
        <v>0</v>
      </c>
      <c r="R32" s="55">
        <f>(((Tabela136[[#This Row],[Objetive value Similarity]]-Tabela136[[#This Row],[Objetive value Similarity/H-R1    ]])/Tabela136[[#This Row],[Objetive value Similarity]]))*100</f>
        <v>3.6228821234919753E-3</v>
      </c>
      <c r="S32" s="96">
        <v>161924</v>
      </c>
      <c r="T32" s="21">
        <v>6.34</v>
      </c>
      <c r="U32" s="21">
        <v>0</v>
      </c>
      <c r="V32" s="144">
        <f>(((Tabela136[[#This Row],[Objetive value Similarity]]-Tabela136[[#This Row],[Objetive value Similarity/H-R2]])/Tabela136[[#This Row],[Objetive value Similarity]]))*100</f>
        <v>2.2280725059475648</v>
      </c>
    </row>
    <row r="33" spans="1:22" x14ac:dyDescent="0.25">
      <c r="A33" s="11" t="s">
        <v>300</v>
      </c>
      <c r="B33" s="12" t="s">
        <v>991</v>
      </c>
      <c r="C33" s="11">
        <v>10000</v>
      </c>
      <c r="D33" s="11">
        <v>0.15</v>
      </c>
      <c r="E33" s="11">
        <v>5</v>
      </c>
      <c r="F33" s="12" t="s">
        <v>13</v>
      </c>
      <c r="G33" s="12" t="s">
        <v>14</v>
      </c>
      <c r="H33" s="140">
        <v>107396</v>
      </c>
      <c r="I33" s="140">
        <v>28.811999999918001</v>
      </c>
      <c r="J33" s="147">
        <v>0</v>
      </c>
      <c r="K33" s="151">
        <v>106451</v>
      </c>
      <c r="L33" s="153">
        <v>967</v>
      </c>
      <c r="M33" s="153">
        <v>513</v>
      </c>
      <c r="N33" s="145">
        <f>(((Tabela136[[#This Row],[Objetive value Similarity]]-Tabela136[[#This Row],[Objetive value Similarity/GATeS]])/Tabela136[[#This Row],[Objetive value Similarity]]))*100</f>
        <v>0.87992103988975379</v>
      </c>
      <c r="O33" s="23">
        <v>107396</v>
      </c>
      <c r="P33" s="53">
        <v>2.34</v>
      </c>
      <c r="Q33" s="53">
        <v>0</v>
      </c>
      <c r="R33" s="55">
        <f>(((Tabela136[[#This Row],[Objetive value Similarity]]-Tabela136[[#This Row],[Objetive value Similarity/H-R1    ]])/Tabela136[[#This Row],[Objetive value Similarity]]))*100</f>
        <v>0</v>
      </c>
      <c r="S33" s="96">
        <v>107396</v>
      </c>
      <c r="T33" s="21">
        <v>2.5</v>
      </c>
      <c r="U33" s="21">
        <v>0</v>
      </c>
      <c r="V33" s="144">
        <f>(((Tabela136[[#This Row],[Objetive value Similarity]]-Tabela136[[#This Row],[Objetive value Similarity/H-R2]])/Tabela136[[#This Row],[Objetive value Similarity]]))*100</f>
        <v>0</v>
      </c>
    </row>
    <row r="34" spans="1:22" x14ac:dyDescent="0.25">
      <c r="A34" s="11" t="s">
        <v>300</v>
      </c>
      <c r="B34" s="12" t="s">
        <v>992</v>
      </c>
      <c r="C34" s="11">
        <v>10000</v>
      </c>
      <c r="D34" s="11">
        <v>0.15</v>
      </c>
      <c r="E34" s="11">
        <v>5</v>
      </c>
      <c r="F34" s="12" t="s">
        <v>13</v>
      </c>
      <c r="G34" s="12" t="s">
        <v>16</v>
      </c>
      <c r="H34" s="140">
        <v>66405</v>
      </c>
      <c r="I34" s="140">
        <v>35.937000000034402</v>
      </c>
      <c r="J34" s="147">
        <v>0</v>
      </c>
      <c r="K34" s="151">
        <v>63855</v>
      </c>
      <c r="L34" s="153">
        <v>1221</v>
      </c>
      <c r="M34" s="153">
        <v>706</v>
      </c>
      <c r="N34" s="145">
        <f>(((Tabela136[[#This Row],[Objetive value Similarity]]-Tabela136[[#This Row],[Objetive value Similarity/GATeS]])/Tabela136[[#This Row],[Objetive value Similarity]]))*100</f>
        <v>3.8400722837135755</v>
      </c>
      <c r="O34" s="23">
        <v>56354</v>
      </c>
      <c r="P34" s="53">
        <v>1.95</v>
      </c>
      <c r="Q34" s="53">
        <v>0</v>
      </c>
      <c r="R34" s="55">
        <f>(((Tabela136[[#This Row],[Objetive value Similarity]]-Tabela136[[#This Row],[Objetive value Similarity/H-R1    ]])/Tabela136[[#This Row],[Objetive value Similarity]]))*100</f>
        <v>15.135908440629469</v>
      </c>
      <c r="S34" s="96">
        <v>58139</v>
      </c>
      <c r="T34" s="21">
        <v>1.64</v>
      </c>
      <c r="U34" s="21">
        <v>0</v>
      </c>
      <c r="V34" s="144">
        <f>(((Tabela136[[#This Row],[Objetive value Similarity]]-Tabela136[[#This Row],[Objetive value Similarity/H-R2]])/Tabela136[[#This Row],[Objetive value Similarity]]))*100</f>
        <v>12.447857842029968</v>
      </c>
    </row>
    <row r="35" spans="1:22" x14ac:dyDescent="0.25">
      <c r="A35" s="11" t="s">
        <v>300</v>
      </c>
      <c r="B35" s="12" t="s">
        <v>993</v>
      </c>
      <c r="C35" s="11">
        <v>10000</v>
      </c>
      <c r="D35" s="11">
        <v>0.15</v>
      </c>
      <c r="E35" s="11">
        <v>5</v>
      </c>
      <c r="F35" s="12" t="s">
        <v>18</v>
      </c>
      <c r="G35" s="12" t="s">
        <v>14</v>
      </c>
      <c r="H35" s="140">
        <v>103631</v>
      </c>
      <c r="I35" s="140">
        <v>33.561999999918001</v>
      </c>
      <c r="J35" s="147">
        <v>0</v>
      </c>
      <c r="K35" s="151">
        <v>103516</v>
      </c>
      <c r="L35" s="153">
        <v>1576</v>
      </c>
      <c r="M35" s="153">
        <v>1417</v>
      </c>
      <c r="N35" s="145">
        <f>(((Tabela136[[#This Row],[Objetive value Similarity]]-Tabela136[[#This Row],[Objetive value Similarity/GATeS]])/Tabela136[[#This Row],[Objetive value Similarity]]))*100</f>
        <v>0.11097065549883721</v>
      </c>
      <c r="O35" s="23">
        <v>103631</v>
      </c>
      <c r="P35" s="53">
        <v>2.12</v>
      </c>
      <c r="Q35" s="53">
        <v>0</v>
      </c>
      <c r="R35" s="55">
        <f>(((Tabela136[[#This Row],[Objetive value Similarity]]-Tabela136[[#This Row],[Objetive value Similarity/H-R1    ]])/Tabela136[[#This Row],[Objetive value Similarity]]))*100</f>
        <v>0</v>
      </c>
      <c r="S35" s="96">
        <v>95963</v>
      </c>
      <c r="T35" s="21">
        <v>2.08</v>
      </c>
      <c r="U35" s="21">
        <v>0</v>
      </c>
      <c r="V35" s="144">
        <f>(((Tabela136[[#This Row],[Objetive value Similarity]]-Tabela136[[#This Row],[Objetive value Similarity/H-R2]])/Tabela136[[#This Row],[Objetive value Similarity]]))*100</f>
        <v>7.3993303162181192</v>
      </c>
    </row>
    <row r="36" spans="1:22" x14ac:dyDescent="0.25">
      <c r="A36" s="11" t="s">
        <v>300</v>
      </c>
      <c r="B36" s="12" t="s">
        <v>994</v>
      </c>
      <c r="C36" s="11">
        <v>10000</v>
      </c>
      <c r="D36" s="11">
        <v>0.15</v>
      </c>
      <c r="E36" s="11">
        <v>5</v>
      </c>
      <c r="F36" s="12" t="s">
        <v>18</v>
      </c>
      <c r="G36" s="12" t="s">
        <v>16</v>
      </c>
      <c r="H36" s="140">
        <v>78387</v>
      </c>
      <c r="I36" s="140">
        <v>19.3910000000614</v>
      </c>
      <c r="J36" s="147">
        <v>0</v>
      </c>
      <c r="K36" s="151">
        <v>78292</v>
      </c>
      <c r="L36" s="153">
        <v>1566</v>
      </c>
      <c r="M36" s="153">
        <v>1064</v>
      </c>
      <c r="N36" s="145">
        <f>(((Tabela136[[#This Row],[Objetive value Similarity]]-Tabela136[[#This Row],[Objetive value Similarity/GATeS]])/Tabela136[[#This Row],[Objetive value Similarity]]))*100</f>
        <v>0.12119356525954558</v>
      </c>
      <c r="O36" s="23">
        <v>78386</v>
      </c>
      <c r="P36" s="53">
        <v>2.5099999999999998</v>
      </c>
      <c r="Q36" s="53">
        <v>0</v>
      </c>
      <c r="R36" s="55">
        <f>(((Tabela136[[#This Row],[Objetive value Similarity]]-Tabela136[[#This Row],[Objetive value Similarity/H-R1    ]])/Tabela136[[#This Row],[Objetive value Similarity]]))*100</f>
        <v>1.2757217395741641E-3</v>
      </c>
      <c r="S36" s="96">
        <v>78386</v>
      </c>
      <c r="T36" s="21">
        <v>2.72</v>
      </c>
      <c r="U36" s="21">
        <v>0</v>
      </c>
      <c r="V36" s="144">
        <f>(((Tabela136[[#This Row],[Objetive value Similarity]]-Tabela136[[#This Row],[Objetive value Similarity/H-R2]])/Tabela136[[#This Row],[Objetive value Similarity]]))*100</f>
        <v>1.2757217395741641E-3</v>
      </c>
    </row>
    <row r="37" spans="1:22" x14ac:dyDescent="0.25">
      <c r="A37" s="11" t="s">
        <v>300</v>
      </c>
      <c r="B37" s="12" t="s">
        <v>995</v>
      </c>
      <c r="C37" s="11">
        <v>10000</v>
      </c>
      <c r="D37" s="11">
        <v>0.15</v>
      </c>
      <c r="E37" s="11">
        <v>5</v>
      </c>
      <c r="F37" s="12" t="s">
        <v>21</v>
      </c>
      <c r="G37" s="12" t="s">
        <v>14</v>
      </c>
      <c r="H37" s="140">
        <v>97568</v>
      </c>
      <c r="I37" s="140">
        <v>38.905999999959</v>
      </c>
      <c r="J37" s="147">
        <v>0</v>
      </c>
      <c r="K37" s="151">
        <v>97568</v>
      </c>
      <c r="L37" s="153">
        <v>1418</v>
      </c>
      <c r="M37" s="153">
        <v>80</v>
      </c>
      <c r="N37" s="145">
        <f>(((Tabela136[[#This Row],[Objetive value Similarity]]-Tabela136[[#This Row],[Objetive value Similarity/GATeS]])/Tabela136[[#This Row],[Objetive value Similarity]]))*100</f>
        <v>0</v>
      </c>
      <c r="O37" s="23">
        <v>97568</v>
      </c>
      <c r="P37" s="53">
        <v>1.75</v>
      </c>
      <c r="Q37" s="53">
        <v>0</v>
      </c>
      <c r="R37" s="55">
        <f>(((Tabela136[[#This Row],[Objetive value Similarity]]-Tabela136[[#This Row],[Objetive value Similarity/H-R1    ]])/Tabela136[[#This Row],[Objetive value Similarity]]))*100</f>
        <v>0</v>
      </c>
      <c r="S37" s="96">
        <v>97568</v>
      </c>
      <c r="T37" s="21">
        <v>1.48</v>
      </c>
      <c r="U37" s="21">
        <v>0</v>
      </c>
      <c r="V37" s="144">
        <f>(((Tabela136[[#This Row],[Objetive value Similarity]]-Tabela136[[#This Row],[Objetive value Similarity/H-R2]])/Tabela136[[#This Row],[Objetive value Similarity]]))*100</f>
        <v>0</v>
      </c>
    </row>
    <row r="38" spans="1:22" x14ac:dyDescent="0.25">
      <c r="A38" s="11" t="s">
        <v>300</v>
      </c>
      <c r="B38" s="12" t="s">
        <v>996</v>
      </c>
      <c r="C38" s="11">
        <v>10000</v>
      </c>
      <c r="D38" s="11">
        <v>0.15</v>
      </c>
      <c r="E38" s="11">
        <v>5</v>
      </c>
      <c r="F38" s="12" t="s">
        <v>21</v>
      </c>
      <c r="G38" s="12" t="s">
        <v>16</v>
      </c>
      <c r="H38" s="140">
        <v>76597</v>
      </c>
      <c r="I38" s="140">
        <v>17.843999999924499</v>
      </c>
      <c r="J38" s="147">
        <v>0</v>
      </c>
      <c r="K38" s="151">
        <v>76564</v>
      </c>
      <c r="L38" s="153">
        <v>1593</v>
      </c>
      <c r="M38" s="153">
        <v>612</v>
      </c>
      <c r="N38" s="145">
        <f>(((Tabela136[[#This Row],[Objetive value Similarity]]-Tabela136[[#This Row],[Objetive value Similarity/GATeS]])/Tabela136[[#This Row],[Objetive value Similarity]]))*100</f>
        <v>4.3082627256942174E-2</v>
      </c>
      <c r="O38" s="23">
        <v>76597</v>
      </c>
      <c r="P38" s="53">
        <v>2.56</v>
      </c>
      <c r="Q38" s="53">
        <v>0</v>
      </c>
      <c r="R38" s="55">
        <f>(((Tabela136[[#This Row],[Objetive value Similarity]]-Tabela136[[#This Row],[Objetive value Similarity/H-R1    ]])/Tabela136[[#This Row],[Objetive value Similarity]]))*100</f>
        <v>0</v>
      </c>
      <c r="S38" s="96">
        <v>75291</v>
      </c>
      <c r="T38" s="21">
        <v>2.5499999999999998</v>
      </c>
      <c r="U38" s="21">
        <v>0</v>
      </c>
      <c r="V38" s="144">
        <f>(((Tabela136[[#This Row],[Objetive value Similarity]]-Tabela136[[#This Row],[Objetive value Similarity/H-R2]])/Tabela136[[#This Row],[Objetive value Similarity]]))*100</f>
        <v>1.7050276120474692</v>
      </c>
    </row>
    <row r="39" spans="1:22" x14ac:dyDescent="0.25">
      <c r="A39" s="11" t="s">
        <v>319</v>
      </c>
      <c r="B39" s="12" t="s">
        <v>997</v>
      </c>
      <c r="C39" s="11">
        <v>10000</v>
      </c>
      <c r="D39" s="11">
        <v>0.05</v>
      </c>
      <c r="E39" s="11">
        <v>10</v>
      </c>
      <c r="F39" s="12" t="s">
        <v>13</v>
      </c>
      <c r="G39" s="12" t="s">
        <v>14</v>
      </c>
      <c r="H39" s="140">
        <v>199747</v>
      </c>
      <c r="I39" s="140">
        <v>102.96899999992399</v>
      </c>
      <c r="J39" s="147">
        <v>0</v>
      </c>
      <c r="K39" s="151">
        <v>190972</v>
      </c>
      <c r="L39" s="153">
        <v>1651</v>
      </c>
      <c r="M39" s="153">
        <v>1037</v>
      </c>
      <c r="N39" s="145">
        <f>(((Tabela136[[#This Row],[Objetive value Similarity]]-Tabela136[[#This Row],[Objetive value Similarity/GATeS]])/Tabela136[[#This Row],[Objetive value Similarity]]))*100</f>
        <v>4.3930572173799858</v>
      </c>
      <c r="O39" s="23">
        <v>191286</v>
      </c>
      <c r="P39" s="53">
        <v>4.04</v>
      </c>
      <c r="Q39" s="53">
        <v>0</v>
      </c>
      <c r="R39" s="55">
        <f>(((Tabela136[[#This Row],[Objetive value Similarity]]-Tabela136[[#This Row],[Objetive value Similarity/H-R1    ]])/Tabela136[[#This Row],[Objetive value Similarity]]))*100</f>
        <v>4.2358583608264455</v>
      </c>
      <c r="S39" s="96">
        <v>149499</v>
      </c>
      <c r="T39" s="21">
        <v>2.81</v>
      </c>
      <c r="U39" s="21">
        <v>0</v>
      </c>
      <c r="V39" s="144">
        <f>(((Tabela136[[#This Row],[Objetive value Similarity]]-Tabela136[[#This Row],[Objetive value Similarity/H-R2]])/Tabela136[[#This Row],[Objetive value Similarity]]))*100</f>
        <v>25.155822114975447</v>
      </c>
    </row>
    <row r="40" spans="1:22" x14ac:dyDescent="0.25">
      <c r="A40" s="11" t="s">
        <v>319</v>
      </c>
      <c r="B40" s="12" t="s">
        <v>998</v>
      </c>
      <c r="C40" s="11">
        <v>10000</v>
      </c>
      <c r="D40" s="11">
        <v>0.05</v>
      </c>
      <c r="E40" s="11">
        <v>10</v>
      </c>
      <c r="F40" s="12" t="s">
        <v>13</v>
      </c>
      <c r="G40" s="12" t="s">
        <v>16</v>
      </c>
      <c r="H40" s="140">
        <v>114339</v>
      </c>
      <c r="I40" s="140">
        <v>394.96900000004098</v>
      </c>
      <c r="J40" s="147">
        <v>0</v>
      </c>
      <c r="K40" s="151">
        <v>110949</v>
      </c>
      <c r="L40" s="153">
        <v>1637</v>
      </c>
      <c r="M40" s="153">
        <v>688</v>
      </c>
      <c r="N40" s="145">
        <f>(((Tabela136[[#This Row],[Objetive value Similarity]]-Tabela136[[#This Row],[Objetive value Similarity/GATeS]])/Tabela136[[#This Row],[Objetive value Similarity]]))*100</f>
        <v>2.9648676304672947</v>
      </c>
      <c r="O40" s="23">
        <v>107020</v>
      </c>
      <c r="P40" s="53">
        <v>3.31</v>
      </c>
      <c r="Q40" s="53">
        <v>0</v>
      </c>
      <c r="R40" s="55">
        <f>(((Tabela136[[#This Row],[Objetive value Similarity]]-Tabela136[[#This Row],[Objetive value Similarity/H-R1    ]])/Tabela136[[#This Row],[Objetive value Similarity]]))*100</f>
        <v>6.401140468256675</v>
      </c>
      <c r="S40" s="96">
        <v>108879</v>
      </c>
      <c r="T40" s="21">
        <v>3.69</v>
      </c>
      <c r="U40" s="21">
        <v>0</v>
      </c>
      <c r="V40" s="144">
        <f>(((Tabela136[[#This Row],[Objetive value Similarity]]-Tabela136[[#This Row],[Objetive value Similarity/H-R2]])/Tabela136[[#This Row],[Objetive value Similarity]]))*100</f>
        <v>4.7752735287172356</v>
      </c>
    </row>
    <row r="41" spans="1:22" x14ac:dyDescent="0.25">
      <c r="A41" s="11" t="s">
        <v>319</v>
      </c>
      <c r="B41" s="12" t="s">
        <v>999</v>
      </c>
      <c r="C41" s="11">
        <v>10000</v>
      </c>
      <c r="D41" s="11">
        <v>0.05</v>
      </c>
      <c r="E41" s="11">
        <v>10</v>
      </c>
      <c r="F41" s="12" t="s">
        <v>18</v>
      </c>
      <c r="G41" s="12" t="s">
        <v>14</v>
      </c>
      <c r="H41" s="140">
        <v>202330</v>
      </c>
      <c r="I41" s="140">
        <v>105.828000000095</v>
      </c>
      <c r="J41" s="147">
        <v>0</v>
      </c>
      <c r="K41" s="151">
        <v>188953</v>
      </c>
      <c r="L41" s="153">
        <v>1671</v>
      </c>
      <c r="M41" s="153">
        <v>240</v>
      </c>
      <c r="N41" s="145">
        <f>(((Tabela136[[#This Row],[Objetive value Similarity]]-Tabela136[[#This Row],[Objetive value Similarity/GATeS]])/Tabela136[[#This Row],[Objetive value Similarity]]))*100</f>
        <v>6.6114763010922752</v>
      </c>
      <c r="O41" s="23">
        <v>186955</v>
      </c>
      <c r="P41" s="53">
        <v>3.14</v>
      </c>
      <c r="Q41" s="53">
        <v>0</v>
      </c>
      <c r="R41" s="55">
        <f>(((Tabela136[[#This Row],[Objetive value Similarity]]-Tabela136[[#This Row],[Objetive value Similarity/H-R1    ]])/Tabela136[[#This Row],[Objetive value Similarity]]))*100</f>
        <v>7.5989719764740764</v>
      </c>
      <c r="S41" s="96">
        <v>188747</v>
      </c>
      <c r="T41" s="21">
        <v>3.35</v>
      </c>
      <c r="U41" s="21">
        <v>0</v>
      </c>
      <c r="V41" s="144">
        <f>(((Tabela136[[#This Row],[Objetive value Similarity]]-Tabela136[[#This Row],[Objetive value Similarity/H-R2]])/Tabela136[[#This Row],[Objetive value Similarity]]))*100</f>
        <v>6.7132901695250338</v>
      </c>
    </row>
    <row r="42" spans="1:22" x14ac:dyDescent="0.25">
      <c r="A42" s="11" t="s">
        <v>319</v>
      </c>
      <c r="B42" s="12" t="s">
        <v>1000</v>
      </c>
      <c r="C42" s="11">
        <v>10000</v>
      </c>
      <c r="D42" s="11">
        <v>0.05</v>
      </c>
      <c r="E42" s="11">
        <v>10</v>
      </c>
      <c r="F42" s="12" t="s">
        <v>18</v>
      </c>
      <c r="G42" s="12" t="s">
        <v>16</v>
      </c>
      <c r="H42" s="140">
        <v>114624</v>
      </c>
      <c r="I42" s="140">
        <v>417.09399999992399</v>
      </c>
      <c r="J42" s="147">
        <v>0</v>
      </c>
      <c r="K42" s="151">
        <v>114427</v>
      </c>
      <c r="L42" s="153">
        <v>1608</v>
      </c>
      <c r="M42" s="153">
        <v>187</v>
      </c>
      <c r="N42" s="145">
        <f>(((Tabela136[[#This Row],[Objetive value Similarity]]-Tabela136[[#This Row],[Objetive value Similarity/GATeS]])/Tabela136[[#This Row],[Objetive value Similarity]]))*100</f>
        <v>0.17186627582356226</v>
      </c>
      <c r="O42" s="23">
        <v>114623</v>
      </c>
      <c r="P42" s="53">
        <v>4.9800000000000004</v>
      </c>
      <c r="Q42" s="53">
        <v>0</v>
      </c>
      <c r="R42" s="55">
        <f>(((Tabela136[[#This Row],[Objetive value Similarity]]-Tabela136[[#This Row],[Objetive value Similarity/H-R1    ]])/Tabela136[[#This Row],[Objetive value Similarity]]))*100</f>
        <v>8.7241764377442776E-4</v>
      </c>
      <c r="S42" s="96">
        <v>114623</v>
      </c>
      <c r="T42" s="21">
        <v>4.42</v>
      </c>
      <c r="U42" s="21">
        <v>0</v>
      </c>
      <c r="V42" s="144">
        <f>(((Tabela136[[#This Row],[Objetive value Similarity]]-Tabela136[[#This Row],[Objetive value Similarity/H-R2]])/Tabela136[[#This Row],[Objetive value Similarity]]))*100</f>
        <v>8.7241764377442776E-4</v>
      </c>
    </row>
    <row r="43" spans="1:22" x14ac:dyDescent="0.25">
      <c r="A43" s="11" t="s">
        <v>319</v>
      </c>
      <c r="B43" s="12" t="s">
        <v>1001</v>
      </c>
      <c r="C43" s="11">
        <v>10000</v>
      </c>
      <c r="D43" s="11">
        <v>0.05</v>
      </c>
      <c r="E43" s="11">
        <v>10</v>
      </c>
      <c r="F43" s="12" t="s">
        <v>21</v>
      </c>
      <c r="G43" s="12" t="s">
        <v>14</v>
      </c>
      <c r="H43" s="140">
        <v>147281</v>
      </c>
      <c r="I43" s="140">
        <v>99.125</v>
      </c>
      <c r="J43" s="147">
        <v>0</v>
      </c>
      <c r="K43" s="151">
        <v>146965</v>
      </c>
      <c r="L43" s="153">
        <v>1687</v>
      </c>
      <c r="M43" s="153">
        <v>1524</v>
      </c>
      <c r="N43" s="145">
        <f>(((Tabela136[[#This Row],[Objetive value Similarity]]-Tabela136[[#This Row],[Objetive value Similarity/GATeS]])/Tabela136[[#This Row],[Objetive value Similarity]]))*100</f>
        <v>0.21455584902329558</v>
      </c>
      <c r="O43" s="23">
        <v>147281</v>
      </c>
      <c r="P43" s="53">
        <v>2.4500000000000002</v>
      </c>
      <c r="Q43" s="53">
        <v>0</v>
      </c>
      <c r="R43" s="55">
        <f>(((Tabela136[[#This Row],[Objetive value Similarity]]-Tabela136[[#This Row],[Objetive value Similarity/H-R1    ]])/Tabela136[[#This Row],[Objetive value Similarity]]))*100</f>
        <v>0</v>
      </c>
      <c r="S43" s="96">
        <v>147281</v>
      </c>
      <c r="T43" s="21">
        <v>2.4500000000000002</v>
      </c>
      <c r="U43" s="21">
        <v>0</v>
      </c>
      <c r="V43" s="144">
        <f>(((Tabela136[[#This Row],[Objetive value Similarity]]-Tabela136[[#This Row],[Objetive value Similarity/H-R2]])/Tabela136[[#This Row],[Objetive value Similarity]]))*100</f>
        <v>0</v>
      </c>
    </row>
    <row r="44" spans="1:22" x14ac:dyDescent="0.25">
      <c r="A44" s="11" t="s">
        <v>319</v>
      </c>
      <c r="B44" s="12" t="s">
        <v>1002</v>
      </c>
      <c r="C44" s="11">
        <v>10000</v>
      </c>
      <c r="D44" s="11">
        <v>0.05</v>
      </c>
      <c r="E44" s="11">
        <v>10</v>
      </c>
      <c r="F44" s="12" t="s">
        <v>21</v>
      </c>
      <c r="G44" s="12" t="s">
        <v>16</v>
      </c>
      <c r="H44" s="140">
        <v>116552</v>
      </c>
      <c r="I44" s="140">
        <v>259.140999999945</v>
      </c>
      <c r="J44" s="147">
        <v>0</v>
      </c>
      <c r="K44" s="151">
        <v>111022</v>
      </c>
      <c r="L44" s="153">
        <v>1715</v>
      </c>
      <c r="M44" s="153">
        <v>159</v>
      </c>
      <c r="N44" s="145">
        <f>(((Tabela136[[#This Row],[Objetive value Similarity]]-Tabela136[[#This Row],[Objetive value Similarity/GATeS]])/Tabela136[[#This Row],[Objetive value Similarity]]))*100</f>
        <v>4.7446633262406479</v>
      </c>
      <c r="O44" s="23">
        <v>116545</v>
      </c>
      <c r="P44" s="53">
        <v>4.79</v>
      </c>
      <c r="Q44" s="53">
        <v>0</v>
      </c>
      <c r="R44" s="55">
        <f>(((Tabela136[[#This Row],[Objetive value Similarity]]-Tabela136[[#This Row],[Objetive value Similarity/H-R1    ]])/Tabela136[[#This Row],[Objetive value Similarity]]))*100</f>
        <v>6.0059029446084154E-3</v>
      </c>
      <c r="S44" s="96">
        <v>115115</v>
      </c>
      <c r="T44" s="21">
        <v>3.52</v>
      </c>
      <c r="U44" s="21">
        <v>0</v>
      </c>
      <c r="V44" s="144">
        <f>(((Tabela136[[#This Row],[Objetive value Similarity]]-Tabela136[[#This Row],[Objetive value Similarity/H-R2]])/Tabela136[[#This Row],[Objetive value Similarity]]))*100</f>
        <v>1.2329260759146132</v>
      </c>
    </row>
    <row r="45" spans="1:22" x14ac:dyDescent="0.25">
      <c r="A45" s="11" t="s">
        <v>338</v>
      </c>
      <c r="B45" s="12" t="s">
        <v>1015</v>
      </c>
      <c r="C45" s="11">
        <v>10000</v>
      </c>
      <c r="D45" s="11">
        <v>0.05</v>
      </c>
      <c r="E45" s="11">
        <v>15</v>
      </c>
      <c r="F45" s="12" t="s">
        <v>13</v>
      </c>
      <c r="G45" s="12" t="s">
        <v>14</v>
      </c>
      <c r="H45" s="140">
        <v>305863</v>
      </c>
      <c r="I45" s="140">
        <v>682.60900000000004</v>
      </c>
      <c r="J45" s="147">
        <v>3.46</v>
      </c>
      <c r="K45" s="151">
        <v>295085</v>
      </c>
      <c r="L45" s="153">
        <v>1948</v>
      </c>
      <c r="M45" s="153">
        <v>1351</v>
      </c>
      <c r="N45" s="145">
        <f>(((Tabela136[[#This Row],[Objetive value Similarity]]-Tabela136[[#This Row],[Objetive value Similarity/GATeS]])/Tabela136[[#This Row],[Objetive value Similarity]]))*100</f>
        <v>3.5237998711841581</v>
      </c>
      <c r="O45" s="23">
        <v>295691</v>
      </c>
      <c r="P45" s="53">
        <v>4.26</v>
      </c>
      <c r="Q45" s="53">
        <v>0</v>
      </c>
      <c r="R45" s="55">
        <f>(((Tabela136[[#This Row],[Objetive value Similarity]]-Tabela136[[#This Row],[Objetive value Similarity/H-R1    ]])/Tabela136[[#This Row],[Objetive value Similarity]]))*100</f>
        <v>3.3256719511676796</v>
      </c>
      <c r="S45" s="96">
        <v>248033</v>
      </c>
      <c r="T45" s="21">
        <v>3.47</v>
      </c>
      <c r="U45" s="21">
        <v>0</v>
      </c>
      <c r="V45" s="144">
        <f>(((Tabela136[[#This Row],[Objetive value Similarity]]-Tabela136[[#This Row],[Objetive value Similarity/H-R2]])/Tabela136[[#This Row],[Objetive value Similarity]]))*100</f>
        <v>18.9071577797903</v>
      </c>
    </row>
    <row r="46" spans="1:22" x14ac:dyDescent="0.25">
      <c r="A46" s="11" t="s">
        <v>338</v>
      </c>
      <c r="B46" s="12" t="s">
        <v>1016</v>
      </c>
      <c r="C46" s="11">
        <v>10000</v>
      </c>
      <c r="D46" s="11">
        <v>0.05</v>
      </c>
      <c r="E46" s="11">
        <v>15</v>
      </c>
      <c r="F46" s="12" t="s">
        <v>13</v>
      </c>
      <c r="G46" s="12" t="s">
        <v>16</v>
      </c>
      <c r="H46" s="140">
        <v>165346</v>
      </c>
      <c r="I46" s="140">
        <v>5060.6409999999996</v>
      </c>
      <c r="J46" s="147">
        <v>3.89</v>
      </c>
      <c r="K46" s="151">
        <v>161913</v>
      </c>
      <c r="L46" s="153">
        <v>1643</v>
      </c>
      <c r="M46" s="153">
        <v>946</v>
      </c>
      <c r="N46" s="145">
        <f>(((Tabela136[[#This Row],[Objetive value Similarity]]-Tabela136[[#This Row],[Objetive value Similarity/GATeS]])/Tabela136[[#This Row],[Objetive value Similarity]]))*100</f>
        <v>2.0762522226119775</v>
      </c>
      <c r="O46" s="23">
        <v>155156</v>
      </c>
      <c r="P46" s="53">
        <v>4.3499999999999996</v>
      </c>
      <c r="Q46" s="53">
        <v>0</v>
      </c>
      <c r="R46" s="55">
        <f>(((Tabela136[[#This Row],[Objetive value Similarity]]-Tabela136[[#This Row],[Objetive value Similarity/H-R1    ]])/Tabela136[[#This Row],[Objetive value Similarity]]))*100</f>
        <v>6.1628342989851586</v>
      </c>
      <c r="S46" s="96">
        <v>156793</v>
      </c>
      <c r="T46" s="21">
        <v>4.68</v>
      </c>
      <c r="U46" s="21">
        <v>0</v>
      </c>
      <c r="V46" s="144">
        <f>(((Tabela136[[#This Row],[Objetive value Similarity]]-Tabela136[[#This Row],[Objetive value Similarity/H-R2]])/Tabela136[[#This Row],[Objetive value Similarity]]))*100</f>
        <v>5.1727891814740001</v>
      </c>
    </row>
    <row r="47" spans="1:22" x14ac:dyDescent="0.25">
      <c r="A47" s="11" t="s">
        <v>338</v>
      </c>
      <c r="B47" s="12" t="s">
        <v>1017</v>
      </c>
      <c r="C47" s="11">
        <v>10000</v>
      </c>
      <c r="D47" s="11">
        <v>0.05</v>
      </c>
      <c r="E47" s="11">
        <v>15</v>
      </c>
      <c r="F47" s="12" t="s">
        <v>18</v>
      </c>
      <c r="G47" s="12" t="s">
        <v>14</v>
      </c>
      <c r="H47" s="140">
        <v>256766</v>
      </c>
      <c r="I47" s="140">
        <v>627.79700000000003</v>
      </c>
      <c r="J47" s="147">
        <v>11.96</v>
      </c>
      <c r="K47" s="151">
        <v>251576</v>
      </c>
      <c r="L47" s="153">
        <v>1788</v>
      </c>
      <c r="M47" s="153">
        <v>911</v>
      </c>
      <c r="N47" s="145">
        <f>(((Tabela136[[#This Row],[Objetive value Similarity]]-Tabela136[[#This Row],[Objetive value Similarity/GATeS]])/Tabela136[[#This Row],[Objetive value Similarity]]))*100</f>
        <v>2.021295654409073</v>
      </c>
      <c r="O47" s="23">
        <v>251980</v>
      </c>
      <c r="P47" s="53">
        <v>4.1100000000000003</v>
      </c>
      <c r="Q47" s="53">
        <v>0</v>
      </c>
      <c r="R47" s="55">
        <f>(((Tabela136[[#This Row],[Objetive value Similarity]]-Tabela136[[#This Row],[Objetive value Similarity/H-R1    ]])/Tabela136[[#This Row],[Objetive value Similarity]]))*100</f>
        <v>1.8639539502893685</v>
      </c>
      <c r="S47" s="96">
        <v>250250</v>
      </c>
      <c r="T47" s="21">
        <v>3.97</v>
      </c>
      <c r="U47" s="21">
        <v>0</v>
      </c>
      <c r="V47" s="144">
        <f>(((Tabela136[[#This Row],[Objetive value Similarity]]-Tabela136[[#This Row],[Objetive value Similarity/H-R2]])/Tabela136[[#This Row],[Objetive value Similarity]]))*100</f>
        <v>2.5377191684257263</v>
      </c>
    </row>
    <row r="48" spans="1:22" x14ac:dyDescent="0.25">
      <c r="A48" s="11" t="s">
        <v>338</v>
      </c>
      <c r="B48" s="12" t="s">
        <v>1018</v>
      </c>
      <c r="C48" s="11">
        <v>10000</v>
      </c>
      <c r="D48" s="11">
        <v>0.05</v>
      </c>
      <c r="E48" s="11">
        <v>15</v>
      </c>
      <c r="F48" s="12" t="s">
        <v>18</v>
      </c>
      <c r="G48" s="12" t="s">
        <v>16</v>
      </c>
      <c r="H48" s="140">
        <v>172285</v>
      </c>
      <c r="I48" s="140">
        <v>2509.4380000000001</v>
      </c>
      <c r="J48" s="147">
        <v>2.97</v>
      </c>
      <c r="K48" s="151">
        <v>167915</v>
      </c>
      <c r="L48" s="153">
        <v>1707</v>
      </c>
      <c r="M48" s="153">
        <v>1637</v>
      </c>
      <c r="N48" s="145">
        <f>(((Tabela136[[#This Row],[Objetive value Similarity]]-Tabela136[[#This Row],[Objetive value Similarity/GATeS]])/Tabela136[[#This Row],[Objetive value Similarity]]))*100</f>
        <v>2.5364947615869053</v>
      </c>
      <c r="O48" s="23">
        <v>171655</v>
      </c>
      <c r="P48" s="53">
        <v>6.31</v>
      </c>
      <c r="Q48" s="53">
        <v>0</v>
      </c>
      <c r="R48" s="55">
        <f>(((Tabela136[[#This Row],[Objetive value Similarity]]-Tabela136[[#This Row],[Objetive value Similarity/H-R1    ]])/Tabela136[[#This Row],[Objetive value Similarity]]))*100</f>
        <v>0.36567315784891313</v>
      </c>
      <c r="S48" s="96">
        <v>171822</v>
      </c>
      <c r="T48" s="21">
        <v>6.94</v>
      </c>
      <c r="U48" s="21">
        <v>0</v>
      </c>
      <c r="V48" s="144">
        <f>(((Tabela136[[#This Row],[Objetive value Similarity]]-Tabela136[[#This Row],[Objetive value Similarity/H-R2]])/Tabela136[[#This Row],[Objetive value Similarity]]))*100</f>
        <v>0.26874074933975683</v>
      </c>
    </row>
    <row r="49" spans="1:22" x14ac:dyDescent="0.25">
      <c r="A49" s="11" t="s">
        <v>338</v>
      </c>
      <c r="B49" s="12" t="s">
        <v>1019</v>
      </c>
      <c r="C49" s="11">
        <v>10000</v>
      </c>
      <c r="D49" s="11">
        <v>0.05</v>
      </c>
      <c r="E49" s="11">
        <v>15</v>
      </c>
      <c r="F49" s="12" t="s">
        <v>21</v>
      </c>
      <c r="G49" s="12" t="s">
        <v>14</v>
      </c>
      <c r="H49" s="140">
        <v>224234</v>
      </c>
      <c r="I49" s="140">
        <v>177.31299999999999</v>
      </c>
      <c r="J49" s="147">
        <v>0</v>
      </c>
      <c r="K49" s="151">
        <v>222433</v>
      </c>
      <c r="L49" s="153">
        <v>3792</v>
      </c>
      <c r="M49" s="153">
        <v>1597</v>
      </c>
      <c r="N49" s="145">
        <f>(((Tabela136[[#This Row],[Objetive value Similarity]]-Tabela136[[#This Row],[Objetive value Similarity/GATeS]])/Tabela136[[#This Row],[Objetive value Similarity]]))*100</f>
        <v>0.80317882212331759</v>
      </c>
      <c r="O49" s="23">
        <v>188408</v>
      </c>
      <c r="P49" s="53">
        <v>13.07</v>
      </c>
      <c r="Q49" s="53">
        <v>0</v>
      </c>
      <c r="R49" s="55">
        <f>(((Tabela136[[#This Row],[Objetive value Similarity]]-Tabela136[[#This Row],[Objetive value Similarity/H-R1    ]])/Tabela136[[#This Row],[Objetive value Similarity]]))*100</f>
        <v>15.977059678728473</v>
      </c>
      <c r="S49" s="96">
        <v>134791</v>
      </c>
      <c r="T49" s="21">
        <v>17.82</v>
      </c>
      <c r="U49" s="21">
        <v>0</v>
      </c>
      <c r="V49" s="144">
        <f>(((Tabela136[[#This Row],[Objetive value Similarity]]-Tabela136[[#This Row],[Objetive value Similarity/H-R2]])/Tabela136[[#This Row],[Objetive value Similarity]]))*100</f>
        <v>39.888241747460242</v>
      </c>
    </row>
    <row r="50" spans="1:22" x14ac:dyDescent="0.25">
      <c r="A50" s="11" t="s">
        <v>338</v>
      </c>
      <c r="B50" s="12" t="s">
        <v>1020</v>
      </c>
      <c r="C50" s="11">
        <v>10000</v>
      </c>
      <c r="D50" s="11">
        <v>0.05</v>
      </c>
      <c r="E50" s="11">
        <v>15</v>
      </c>
      <c r="F50" s="12" t="s">
        <v>21</v>
      </c>
      <c r="G50" s="12" t="s">
        <v>16</v>
      </c>
      <c r="H50" s="140">
        <v>155495</v>
      </c>
      <c r="I50" s="140">
        <v>4796.2190000000001</v>
      </c>
      <c r="J50" s="147">
        <v>0.01</v>
      </c>
      <c r="K50" s="151">
        <v>150430</v>
      </c>
      <c r="L50" s="153">
        <v>1822</v>
      </c>
      <c r="M50" s="153">
        <v>1589</v>
      </c>
      <c r="N50" s="145">
        <f>(((Tabela136[[#This Row],[Objetive value Similarity]]-Tabela136[[#This Row],[Objetive value Similarity/GATeS]])/Tabela136[[#This Row],[Objetive value Similarity]]))*100</f>
        <v>3.2573394642914559</v>
      </c>
      <c r="O50" s="23">
        <v>147880</v>
      </c>
      <c r="P50" s="53">
        <v>6.53</v>
      </c>
      <c r="Q50" s="53">
        <v>0</v>
      </c>
      <c r="R50" s="55">
        <f>(((Tabela136[[#This Row],[Objetive value Similarity]]-Tabela136[[#This Row],[Objetive value Similarity/H-R1    ]])/Tabela136[[#This Row],[Objetive value Similarity]]))*100</f>
        <v>4.8972635776069975</v>
      </c>
      <c r="S50" s="96">
        <v>152004</v>
      </c>
      <c r="T50" s="21">
        <v>6.93</v>
      </c>
      <c r="U50" s="21">
        <v>0</v>
      </c>
      <c r="V50" s="144">
        <f>(((Tabela136[[#This Row],[Objetive value Similarity]]-Tabela136[[#This Row],[Objetive value Similarity/H-R2]])/Tabela136[[#This Row],[Objetive value Similarity]]))*100</f>
        <v>2.2450882665037462</v>
      </c>
    </row>
    <row r="51" spans="1:22" x14ac:dyDescent="0.25">
      <c r="A51" s="11" t="s">
        <v>300</v>
      </c>
      <c r="B51" s="30" t="s">
        <v>979</v>
      </c>
      <c r="C51" s="11">
        <v>10000</v>
      </c>
      <c r="D51" s="11">
        <v>0.05</v>
      </c>
      <c r="E51" s="11">
        <v>5</v>
      </c>
      <c r="F51" s="12" t="s">
        <v>13</v>
      </c>
      <c r="G51" s="12" t="s">
        <v>14</v>
      </c>
      <c r="H51" s="140">
        <v>102762</v>
      </c>
      <c r="I51" s="140">
        <v>36.686999999918001</v>
      </c>
      <c r="J51" s="147">
        <v>0</v>
      </c>
      <c r="K51" s="151">
        <v>102159</v>
      </c>
      <c r="L51" s="153">
        <v>1562</v>
      </c>
      <c r="M51" s="153">
        <v>1381</v>
      </c>
      <c r="N51" s="145">
        <f>(((Tabela136[[#This Row],[Objetive value Similarity]]-Tabela136[[#This Row],[Objetive value Similarity/GATeS]])/Tabela136[[#This Row],[Objetive value Similarity]]))*100</f>
        <v>0.58679278332457518</v>
      </c>
      <c r="O51" s="23">
        <v>102290</v>
      </c>
      <c r="P51" s="53">
        <v>2.46</v>
      </c>
      <c r="Q51" s="53">
        <v>0</v>
      </c>
      <c r="R51" s="55">
        <f>(((Tabela136[[#This Row],[Objetive value Similarity]]-Tabela136[[#This Row],[Objetive value Similarity/H-R1    ]])/Tabela136[[#This Row],[Objetive value Similarity]]))*100</f>
        <v>0.45931375411144193</v>
      </c>
      <c r="S51" s="96">
        <v>102762</v>
      </c>
      <c r="T51" s="21">
        <v>2.31</v>
      </c>
      <c r="U51" s="21">
        <v>0</v>
      </c>
      <c r="V51" s="144">
        <f>(((Tabela136[[#This Row],[Objetive value Similarity]]-Tabela136[[#This Row],[Objetive value Similarity/H-R2]])/Tabela136[[#This Row],[Objetive value Similarity]]))*100</f>
        <v>0</v>
      </c>
    </row>
    <row r="52" spans="1:22" x14ac:dyDescent="0.25">
      <c r="A52" s="11" t="s">
        <v>300</v>
      </c>
      <c r="B52" s="12" t="s">
        <v>980</v>
      </c>
      <c r="C52" s="11">
        <v>10000</v>
      </c>
      <c r="D52" s="11">
        <v>0.05</v>
      </c>
      <c r="E52" s="11">
        <v>5</v>
      </c>
      <c r="F52" s="12" t="s">
        <v>13</v>
      </c>
      <c r="G52" s="12" t="s">
        <v>16</v>
      </c>
      <c r="H52" s="140">
        <v>55594</v>
      </c>
      <c r="I52" s="140">
        <v>37.280999999959</v>
      </c>
      <c r="J52" s="147">
        <v>0</v>
      </c>
      <c r="K52" s="151">
        <v>55299</v>
      </c>
      <c r="L52" s="153">
        <v>962</v>
      </c>
      <c r="M52" s="153">
        <v>553</v>
      </c>
      <c r="N52" s="145">
        <f>(((Tabela136[[#This Row],[Objetive value Similarity]]-Tabela136[[#This Row],[Objetive value Similarity/GATeS]])/Tabela136[[#This Row],[Objetive value Similarity]]))*100</f>
        <v>0.5306328021009461</v>
      </c>
      <c r="O52" s="23">
        <v>52698</v>
      </c>
      <c r="P52" s="53">
        <v>2.34</v>
      </c>
      <c r="Q52" s="53">
        <v>0</v>
      </c>
      <c r="R52" s="55">
        <f>(((Tabela136[[#This Row],[Objetive value Similarity]]-Tabela136[[#This Row],[Objetive value Similarity/H-R1    ]])/Tabela136[[#This Row],[Objetive value Similarity]]))*100</f>
        <v>5.2091952368960674</v>
      </c>
      <c r="S52" s="96">
        <v>55594</v>
      </c>
      <c r="T52" s="21">
        <v>2.39</v>
      </c>
      <c r="U52" s="21">
        <v>0</v>
      </c>
      <c r="V52" s="144">
        <f>(((Tabela136[[#This Row],[Objetive value Similarity]]-Tabela136[[#This Row],[Objetive value Similarity/H-R2]])/Tabela136[[#This Row],[Objetive value Similarity]]))*100</f>
        <v>0</v>
      </c>
    </row>
    <row r="53" spans="1:22" x14ac:dyDescent="0.25">
      <c r="A53" s="11" t="s">
        <v>300</v>
      </c>
      <c r="B53" s="12" t="s">
        <v>981</v>
      </c>
      <c r="C53" s="11">
        <v>10000</v>
      </c>
      <c r="D53" s="11">
        <v>0.05</v>
      </c>
      <c r="E53" s="11">
        <v>5</v>
      </c>
      <c r="F53" s="12" t="s">
        <v>18</v>
      </c>
      <c r="G53" s="12" t="s">
        <v>14</v>
      </c>
      <c r="H53" s="140">
        <v>109188</v>
      </c>
      <c r="I53" s="140">
        <v>31.780999999959</v>
      </c>
      <c r="J53" s="147">
        <v>0</v>
      </c>
      <c r="K53" s="151">
        <v>109157</v>
      </c>
      <c r="L53" s="153">
        <v>1587</v>
      </c>
      <c r="M53" s="153">
        <v>1290</v>
      </c>
      <c r="N53" s="145">
        <f>(((Tabela136[[#This Row],[Objetive value Similarity]]-Tabela136[[#This Row],[Objetive value Similarity/GATeS]])/Tabela136[[#This Row],[Objetive value Similarity]]))*100</f>
        <v>2.8391398322159946E-2</v>
      </c>
      <c r="O53" s="23">
        <v>109188</v>
      </c>
      <c r="P53" s="53">
        <v>2.86</v>
      </c>
      <c r="Q53" s="53">
        <v>0</v>
      </c>
      <c r="R53" s="55">
        <f>(((Tabela136[[#This Row],[Objetive value Similarity]]-Tabela136[[#This Row],[Objetive value Similarity/H-R1    ]])/Tabela136[[#This Row],[Objetive value Similarity]]))*100</f>
        <v>0</v>
      </c>
      <c r="S53" s="96">
        <v>108663</v>
      </c>
      <c r="T53" s="21">
        <v>2.15</v>
      </c>
      <c r="U53" s="21">
        <v>0</v>
      </c>
      <c r="V53" s="144">
        <f>(((Tabela136[[#This Row],[Objetive value Similarity]]-Tabela136[[#This Row],[Objetive value Similarity/H-R2]])/Tabela136[[#This Row],[Objetive value Similarity]]))*100</f>
        <v>0.48082206835916036</v>
      </c>
    </row>
    <row r="54" spans="1:22" x14ac:dyDescent="0.25">
      <c r="A54" s="11" t="s">
        <v>300</v>
      </c>
      <c r="B54" s="12" t="s">
        <v>982</v>
      </c>
      <c r="C54" s="11">
        <v>10000</v>
      </c>
      <c r="D54" s="11">
        <v>0.05</v>
      </c>
      <c r="E54" s="11">
        <v>5</v>
      </c>
      <c r="F54" s="12" t="s">
        <v>18</v>
      </c>
      <c r="G54" s="12" t="s">
        <v>16</v>
      </c>
      <c r="H54" s="140">
        <v>71584</v>
      </c>
      <c r="I54" s="140">
        <v>41.109000000054898</v>
      </c>
      <c r="J54" s="147">
        <v>0</v>
      </c>
      <c r="K54" s="151">
        <v>71582</v>
      </c>
      <c r="L54" s="153">
        <v>1616</v>
      </c>
      <c r="M54" s="153">
        <v>808</v>
      </c>
      <c r="N54" s="145">
        <f>(((Tabela136[[#This Row],[Objetive value Similarity]]-Tabela136[[#This Row],[Objetive value Similarity/GATeS]])/Tabela136[[#This Row],[Objetive value Similarity]]))*100</f>
        <v>2.7939204291461779E-3</v>
      </c>
      <c r="O54" s="23">
        <v>71584</v>
      </c>
      <c r="P54" s="53">
        <v>3.1</v>
      </c>
      <c r="Q54" s="53">
        <v>0</v>
      </c>
      <c r="R54" s="55">
        <f>(((Tabela136[[#This Row],[Objetive value Similarity]]-Tabela136[[#This Row],[Objetive value Similarity/H-R1    ]])/Tabela136[[#This Row],[Objetive value Similarity]]))*100</f>
        <v>0</v>
      </c>
      <c r="S54" s="96">
        <v>71584</v>
      </c>
      <c r="T54" s="21">
        <v>3.16</v>
      </c>
      <c r="U54" s="21">
        <v>0</v>
      </c>
      <c r="V54" s="144">
        <f>(((Tabela136[[#This Row],[Objetive value Similarity]]-Tabela136[[#This Row],[Objetive value Similarity/H-R2]])/Tabela136[[#This Row],[Objetive value Similarity]]))*100</f>
        <v>0</v>
      </c>
    </row>
    <row r="55" spans="1:22" x14ac:dyDescent="0.25">
      <c r="A55" s="11" t="s">
        <v>300</v>
      </c>
      <c r="B55" s="12" t="s">
        <v>983</v>
      </c>
      <c r="C55" s="11">
        <v>10000</v>
      </c>
      <c r="D55" s="11">
        <v>0.05</v>
      </c>
      <c r="E55" s="11">
        <v>5</v>
      </c>
      <c r="F55" s="12" t="s">
        <v>21</v>
      </c>
      <c r="G55" s="12" t="s">
        <v>14</v>
      </c>
      <c r="H55" s="140">
        <v>50754</v>
      </c>
      <c r="I55" s="140">
        <v>36.686999999918001</v>
      </c>
      <c r="J55" s="147">
        <v>0</v>
      </c>
      <c r="K55" s="151">
        <v>49535</v>
      </c>
      <c r="L55" s="153">
        <v>579</v>
      </c>
      <c r="M55" s="153">
        <v>17</v>
      </c>
      <c r="N55" s="145">
        <f>(((Tabela136[[#This Row],[Objetive value Similarity]]-Tabela136[[#This Row],[Objetive value Similarity/GATeS]])/Tabela136[[#This Row],[Objetive value Similarity]]))*100</f>
        <v>2.4017811404027269</v>
      </c>
      <c r="O55" s="23">
        <v>28345</v>
      </c>
      <c r="P55" s="53">
        <v>5.1100000000000003</v>
      </c>
      <c r="Q55" s="53">
        <v>0</v>
      </c>
      <c r="R55" s="55">
        <f>(((Tabela136[[#This Row],[Objetive value Similarity]]-Tabela136[[#This Row],[Objetive value Similarity/H-R1    ]])/Tabela136[[#This Row],[Objetive value Similarity]]))*100</f>
        <v>44.152185049454232</v>
      </c>
      <c r="S55" s="96">
        <v>33687</v>
      </c>
      <c r="T55" s="21">
        <v>5.55</v>
      </c>
      <c r="U55" s="21">
        <v>0</v>
      </c>
      <c r="V55" s="144">
        <f>(((Tabela136[[#This Row],[Objetive value Similarity]]-Tabela136[[#This Row],[Objetive value Similarity/H-R2]])/Tabela136[[#This Row],[Objetive value Similarity]]))*100</f>
        <v>33.626906253694287</v>
      </c>
    </row>
    <row r="56" spans="1:22" x14ac:dyDescent="0.25">
      <c r="A56" s="11" t="s">
        <v>300</v>
      </c>
      <c r="B56" s="12" t="s">
        <v>984</v>
      </c>
      <c r="C56" s="11">
        <v>10000</v>
      </c>
      <c r="D56" s="11">
        <v>0.05</v>
      </c>
      <c r="E56" s="11">
        <v>5</v>
      </c>
      <c r="F56" s="12" t="s">
        <v>21</v>
      </c>
      <c r="G56" s="12" t="s">
        <v>16</v>
      </c>
      <c r="H56" s="140">
        <v>51863</v>
      </c>
      <c r="I56" s="140">
        <v>38.358999999938497</v>
      </c>
      <c r="J56" s="147">
        <v>0</v>
      </c>
      <c r="K56" s="151">
        <v>31467</v>
      </c>
      <c r="L56" s="153">
        <v>16</v>
      </c>
      <c r="M56" s="153">
        <v>10</v>
      </c>
      <c r="N56" s="145">
        <f>(((Tabela136[[#This Row],[Objetive value Similarity]]-Tabela136[[#This Row],[Objetive value Similarity/GATeS]])/Tabela136[[#This Row],[Objetive value Similarity]]))*100</f>
        <v>39.326687619304707</v>
      </c>
      <c r="O56" s="23">
        <v>51863</v>
      </c>
      <c r="P56" s="53">
        <v>2.56</v>
      </c>
      <c r="Q56" s="53">
        <v>0</v>
      </c>
      <c r="R56" s="55">
        <f>(((Tabela136[[#This Row],[Objetive value Similarity]]-Tabela136[[#This Row],[Objetive value Similarity/H-R1    ]])/Tabela136[[#This Row],[Objetive value Similarity]]))*100</f>
        <v>0</v>
      </c>
      <c r="S56" s="96">
        <v>51863</v>
      </c>
      <c r="T56" s="21">
        <v>2.63</v>
      </c>
      <c r="U56" s="21">
        <v>0</v>
      </c>
      <c r="V56" s="144">
        <f>(((Tabela136[[#This Row],[Objetive value Similarity]]-Tabela136[[#This Row],[Objetive value Similarity/H-R2]])/Tabela136[[#This Row],[Objetive value Similarity]]))*100</f>
        <v>0</v>
      </c>
    </row>
    <row r="57" spans="1:22" x14ac:dyDescent="0.25">
      <c r="A57" s="11" t="s">
        <v>205</v>
      </c>
      <c r="B57" s="30" t="s">
        <v>895</v>
      </c>
      <c r="C57" s="11">
        <v>1000</v>
      </c>
      <c r="D57" s="24">
        <v>0.1</v>
      </c>
      <c r="E57" s="11">
        <v>10</v>
      </c>
      <c r="F57" s="12" t="s">
        <v>13</v>
      </c>
      <c r="G57" s="12" t="s">
        <v>14</v>
      </c>
      <c r="H57" s="140">
        <v>20482</v>
      </c>
      <c r="I57" s="140">
        <v>3.0629999999655402</v>
      </c>
      <c r="J57" s="147">
        <v>0</v>
      </c>
      <c r="K57" s="151">
        <v>19744</v>
      </c>
      <c r="L57" s="153">
        <v>115</v>
      </c>
      <c r="M57" s="153">
        <v>51</v>
      </c>
      <c r="N57" s="145">
        <f>(((Tabela136[[#This Row],[Objetive value Similarity]]-Tabela136[[#This Row],[Objetive value Similarity/GATeS]])/Tabela136[[#This Row],[Objetive value Similarity]]))*100</f>
        <v>3.6031637535396932</v>
      </c>
      <c r="O57" s="23">
        <v>19799</v>
      </c>
      <c r="P57" s="53">
        <v>0.72</v>
      </c>
      <c r="Q57" s="53">
        <v>0</v>
      </c>
      <c r="R57" s="55">
        <f>(((Tabela136[[#This Row],[Objetive value Similarity]]-Tabela136[[#This Row],[Objetive value Similarity/H-R1    ]])/Tabela136[[#This Row],[Objetive value Similarity]]))*100</f>
        <v>3.3346352895225078</v>
      </c>
      <c r="S57" s="96">
        <v>19249</v>
      </c>
      <c r="T57" s="21">
        <v>0.75</v>
      </c>
      <c r="U57" s="21">
        <v>0</v>
      </c>
      <c r="V57" s="144">
        <f>(((Tabela136[[#This Row],[Objetive value Similarity]]-Tabela136[[#This Row],[Objetive value Similarity/H-R2]])/Tabela136[[#This Row],[Objetive value Similarity]]))*100</f>
        <v>6.0199199296943657</v>
      </c>
    </row>
    <row r="58" spans="1:22" x14ac:dyDescent="0.25">
      <c r="A58" s="11" t="s">
        <v>205</v>
      </c>
      <c r="B58" s="12" t="s">
        <v>896</v>
      </c>
      <c r="C58" s="11">
        <v>1000</v>
      </c>
      <c r="D58" s="24">
        <v>0.1</v>
      </c>
      <c r="E58" s="11">
        <v>10</v>
      </c>
      <c r="F58" s="12" t="s">
        <v>13</v>
      </c>
      <c r="G58" s="12" t="s">
        <v>16</v>
      </c>
      <c r="H58" s="140">
        <v>12358</v>
      </c>
      <c r="I58" s="140">
        <v>5.20299999997951</v>
      </c>
      <c r="J58" s="147">
        <v>7.9</v>
      </c>
      <c r="K58" s="151">
        <v>12256</v>
      </c>
      <c r="L58" s="153">
        <v>191</v>
      </c>
      <c r="M58" s="153">
        <v>123</v>
      </c>
      <c r="N58" s="145">
        <f>(((Tabela136[[#This Row],[Objetive value Similarity]]-Tabela136[[#This Row],[Objetive value Similarity/GATeS]])/Tabela136[[#This Row],[Objetive value Similarity]]))*100</f>
        <v>0.82537627447807094</v>
      </c>
      <c r="O58" s="23">
        <v>11184</v>
      </c>
      <c r="P58" s="53">
        <v>0.71</v>
      </c>
      <c r="Q58" s="53">
        <v>0</v>
      </c>
      <c r="R58" s="55">
        <f>(((Tabela136[[#This Row],[Objetive value Similarity]]-Tabela136[[#This Row],[Objetive value Similarity/H-R1    ]])/Tabela136[[#This Row],[Objetive value Similarity]]))*100</f>
        <v>9.4999190807574045</v>
      </c>
      <c r="S58" s="96">
        <v>11626</v>
      </c>
      <c r="T58" s="21">
        <v>0.88</v>
      </c>
      <c r="U58" s="21">
        <v>0</v>
      </c>
      <c r="V58" s="144">
        <f>(((Tabela136[[#This Row],[Objetive value Similarity]]-Tabela136[[#This Row],[Objetive value Similarity/H-R2]])/Tabela136[[#This Row],[Objetive value Similarity]]))*100</f>
        <v>5.923288558019097</v>
      </c>
    </row>
    <row r="59" spans="1:22" x14ac:dyDescent="0.25">
      <c r="A59" s="11" t="s">
        <v>205</v>
      </c>
      <c r="B59" s="12" t="s">
        <v>897</v>
      </c>
      <c r="C59" s="11">
        <v>1000</v>
      </c>
      <c r="D59" s="24">
        <v>0.1</v>
      </c>
      <c r="E59" s="11">
        <v>10</v>
      </c>
      <c r="F59" s="11" t="s">
        <v>18</v>
      </c>
      <c r="G59" s="12" t="s">
        <v>14</v>
      </c>
      <c r="H59" s="140">
        <v>19273</v>
      </c>
      <c r="I59" s="140">
        <v>1.6870000000344501</v>
      </c>
      <c r="J59" s="147">
        <v>0</v>
      </c>
      <c r="K59" s="151">
        <v>18971</v>
      </c>
      <c r="L59" s="153">
        <v>153</v>
      </c>
      <c r="M59" s="153">
        <v>99</v>
      </c>
      <c r="N59" s="145">
        <f>(((Tabela136[[#This Row],[Objetive value Similarity]]-Tabela136[[#This Row],[Objetive value Similarity/GATeS]])/Tabela136[[#This Row],[Objetive value Similarity]]))*100</f>
        <v>1.5669589581279513</v>
      </c>
      <c r="O59" s="23">
        <v>19273</v>
      </c>
      <c r="P59" s="53">
        <v>0.55000000000000004</v>
      </c>
      <c r="Q59" s="53">
        <v>0</v>
      </c>
      <c r="R59" s="55">
        <f>(((Tabela136[[#This Row],[Objetive value Similarity]]-Tabela136[[#This Row],[Objetive value Similarity/H-R1    ]])/Tabela136[[#This Row],[Objetive value Similarity]]))*100</f>
        <v>0</v>
      </c>
      <c r="S59" s="96">
        <v>19273</v>
      </c>
      <c r="T59" s="21">
        <v>0.75</v>
      </c>
      <c r="U59" s="21">
        <v>0</v>
      </c>
      <c r="V59" s="144">
        <f>(((Tabela136[[#This Row],[Objetive value Similarity]]-Tabela136[[#This Row],[Objetive value Similarity/H-R2]])/Tabela136[[#This Row],[Objetive value Similarity]]))*100</f>
        <v>0</v>
      </c>
    </row>
    <row r="60" spans="1:22" x14ac:dyDescent="0.25">
      <c r="A60" s="11" t="s">
        <v>205</v>
      </c>
      <c r="B60" s="12" t="s">
        <v>898</v>
      </c>
      <c r="C60" s="11">
        <v>1000</v>
      </c>
      <c r="D60" s="24">
        <v>0.1</v>
      </c>
      <c r="E60" s="11">
        <v>10</v>
      </c>
      <c r="F60" s="11" t="s">
        <v>18</v>
      </c>
      <c r="G60" s="12" t="s">
        <v>16</v>
      </c>
      <c r="H60" s="140">
        <v>12843</v>
      </c>
      <c r="I60" s="140">
        <v>3.82799999997951</v>
      </c>
      <c r="J60" s="147">
        <v>0</v>
      </c>
      <c r="K60" s="151">
        <v>12623</v>
      </c>
      <c r="L60" s="153">
        <v>171</v>
      </c>
      <c r="M60" s="153">
        <v>49</v>
      </c>
      <c r="N60" s="145">
        <f>(((Tabela136[[#This Row],[Objetive value Similarity]]-Tabela136[[#This Row],[Objetive value Similarity/GATeS]])/Tabela136[[#This Row],[Objetive value Similarity]]))*100</f>
        <v>1.7129954060577748</v>
      </c>
      <c r="O60" s="23">
        <v>12843</v>
      </c>
      <c r="P60" s="53">
        <v>0.59</v>
      </c>
      <c r="Q60" s="53">
        <v>0</v>
      </c>
      <c r="R60" s="55">
        <f>(((Tabela136[[#This Row],[Objetive value Similarity]]-Tabela136[[#This Row],[Objetive value Similarity/H-R1    ]])/Tabela136[[#This Row],[Objetive value Similarity]]))*100</f>
        <v>0</v>
      </c>
      <c r="S60" s="96">
        <v>12843</v>
      </c>
      <c r="T60" s="21">
        <v>0.54</v>
      </c>
      <c r="U60" s="21">
        <v>0</v>
      </c>
      <c r="V60" s="144">
        <f>(((Tabela136[[#This Row],[Objetive value Similarity]]-Tabela136[[#This Row],[Objetive value Similarity/H-R2]])/Tabela136[[#This Row],[Objetive value Similarity]]))*100</f>
        <v>0</v>
      </c>
    </row>
    <row r="61" spans="1:22" x14ac:dyDescent="0.25">
      <c r="A61" s="11" t="s">
        <v>205</v>
      </c>
      <c r="B61" s="12" t="s">
        <v>899</v>
      </c>
      <c r="C61" s="11">
        <v>1000</v>
      </c>
      <c r="D61" s="24">
        <v>0.1</v>
      </c>
      <c r="E61" s="11">
        <v>10</v>
      </c>
      <c r="F61" s="12" t="s">
        <v>21</v>
      </c>
      <c r="G61" s="12" t="s">
        <v>14</v>
      </c>
      <c r="H61" s="140">
        <v>17951</v>
      </c>
      <c r="I61" s="140">
        <v>1.67200000002048</v>
      </c>
      <c r="J61" s="147">
        <v>0</v>
      </c>
      <c r="K61" s="151">
        <v>17240</v>
      </c>
      <c r="L61" s="153">
        <v>182</v>
      </c>
      <c r="M61" s="153">
        <v>13</v>
      </c>
      <c r="N61" s="145">
        <f>(((Tabela136[[#This Row],[Objetive value Similarity]]-Tabela136[[#This Row],[Objetive value Similarity/GATeS]])/Tabela136[[#This Row],[Objetive value Similarity]]))*100</f>
        <v>3.9607821291292962</v>
      </c>
      <c r="O61" s="23">
        <v>17680</v>
      </c>
      <c r="P61" s="53">
        <v>0.49</v>
      </c>
      <c r="Q61" s="53">
        <v>0</v>
      </c>
      <c r="R61" s="55">
        <f>(((Tabela136[[#This Row],[Objetive value Similarity]]-Tabela136[[#This Row],[Objetive value Similarity/H-R1    ]])/Tabela136[[#This Row],[Objetive value Similarity]]))*100</f>
        <v>1.5096651997103225</v>
      </c>
      <c r="S61" s="96">
        <v>17951</v>
      </c>
      <c r="T61" s="21">
        <v>0.73</v>
      </c>
      <c r="U61" s="21">
        <v>0</v>
      </c>
      <c r="V61" s="144">
        <f>(((Tabela136[[#This Row],[Objetive value Similarity]]-Tabela136[[#This Row],[Objetive value Similarity/H-R2]])/Tabela136[[#This Row],[Objetive value Similarity]]))*100</f>
        <v>0</v>
      </c>
    </row>
    <row r="62" spans="1:22" x14ac:dyDescent="0.25">
      <c r="A62" s="11" t="s">
        <v>205</v>
      </c>
      <c r="B62" s="12" t="s">
        <v>900</v>
      </c>
      <c r="C62" s="11">
        <v>1000</v>
      </c>
      <c r="D62" s="24">
        <v>0.1</v>
      </c>
      <c r="E62" s="11">
        <v>10</v>
      </c>
      <c r="F62" s="12" t="s">
        <v>21</v>
      </c>
      <c r="G62" s="12" t="s">
        <v>16</v>
      </c>
      <c r="H62" s="140">
        <v>10826</v>
      </c>
      <c r="I62" s="140">
        <v>5.82799999997951</v>
      </c>
      <c r="J62" s="147">
        <v>0</v>
      </c>
      <c r="K62" s="151">
        <v>9356</v>
      </c>
      <c r="L62" s="153">
        <v>60</v>
      </c>
      <c r="M62" s="153">
        <v>8</v>
      </c>
      <c r="N62" s="145">
        <f>(((Tabela136[[#This Row],[Objetive value Similarity]]-Tabela136[[#This Row],[Objetive value Similarity/GATeS]])/Tabela136[[#This Row],[Objetive value Similarity]]))*100</f>
        <v>13.578422316645113</v>
      </c>
      <c r="O62" s="23">
        <v>10762</v>
      </c>
      <c r="P62" s="53">
        <v>0.51</v>
      </c>
      <c r="Q62" s="53">
        <v>0</v>
      </c>
      <c r="R62" s="55">
        <f>(((Tabela136[[#This Row],[Objetive value Similarity]]-Tabela136[[#This Row],[Objetive value Similarity/H-R1    ]])/Tabela136[[#This Row],[Objetive value Similarity]]))*100</f>
        <v>0.59116940698318865</v>
      </c>
      <c r="S62" s="96">
        <v>10649</v>
      </c>
      <c r="T62" s="21">
        <v>0.68</v>
      </c>
      <c r="U62" s="21">
        <v>0</v>
      </c>
      <c r="V62" s="144">
        <f>(((Tabela136[[#This Row],[Objetive value Similarity]]-Tabela136[[#This Row],[Objetive value Similarity/H-R2]])/Tabela136[[#This Row],[Objetive value Similarity]]))*100</f>
        <v>1.634952891187881</v>
      </c>
    </row>
    <row r="63" spans="1:22" x14ac:dyDescent="0.25">
      <c r="A63" s="11" t="s">
        <v>224</v>
      </c>
      <c r="B63" s="30" t="s">
        <v>913</v>
      </c>
      <c r="C63" s="11">
        <v>1000</v>
      </c>
      <c r="D63" s="24">
        <v>0.1</v>
      </c>
      <c r="E63" s="11">
        <v>15</v>
      </c>
      <c r="F63" s="12" t="s">
        <v>13</v>
      </c>
      <c r="G63" s="12" t="s">
        <v>14</v>
      </c>
      <c r="H63" s="140">
        <v>29490</v>
      </c>
      <c r="I63" s="140">
        <v>13.3279999999795</v>
      </c>
      <c r="J63" s="147">
        <v>15.19</v>
      </c>
      <c r="K63" s="151">
        <v>27820</v>
      </c>
      <c r="L63" s="153">
        <v>213</v>
      </c>
      <c r="M63" s="153">
        <v>1</v>
      </c>
      <c r="N63" s="145">
        <f>(((Tabela136[[#This Row],[Objetive value Similarity]]-Tabela136[[#This Row],[Objetive value Similarity/GATeS]])/Tabela136[[#This Row],[Objetive value Similarity]]))*100</f>
        <v>5.6629365886741274</v>
      </c>
      <c r="O63" s="23">
        <v>27098</v>
      </c>
      <c r="P63" s="53">
        <v>0.52</v>
      </c>
      <c r="Q63" s="53">
        <v>0</v>
      </c>
      <c r="R63" s="55">
        <f>(((Tabela136[[#This Row],[Objetive value Similarity]]-Tabela136[[#This Row],[Objetive value Similarity/H-R1    ]])/Tabela136[[#This Row],[Objetive value Similarity]]))*100</f>
        <v>8.1112241437775516</v>
      </c>
      <c r="S63" s="96">
        <v>26269</v>
      </c>
      <c r="T63" s="21">
        <v>0.63</v>
      </c>
      <c r="U63" s="21">
        <v>0</v>
      </c>
      <c r="V63" s="144">
        <f>(((Tabela136[[#This Row],[Objetive value Similarity]]-Tabela136[[#This Row],[Objetive value Similarity/H-R2]])/Tabela136[[#This Row],[Objetive value Similarity]]))*100</f>
        <v>10.922346558155308</v>
      </c>
    </row>
    <row r="64" spans="1:22" x14ac:dyDescent="0.25">
      <c r="A64" s="11" t="s">
        <v>224</v>
      </c>
      <c r="B64" s="12" t="s">
        <v>914</v>
      </c>
      <c r="C64" s="11">
        <v>1000</v>
      </c>
      <c r="D64" s="24">
        <v>0.1</v>
      </c>
      <c r="E64" s="11">
        <v>15</v>
      </c>
      <c r="F64" s="12" t="s">
        <v>13</v>
      </c>
      <c r="G64" s="12" t="s">
        <v>16</v>
      </c>
      <c r="H64" s="140">
        <v>16972</v>
      </c>
      <c r="I64" s="140">
        <v>96.547000000020404</v>
      </c>
      <c r="J64" s="147">
        <v>0</v>
      </c>
      <c r="K64" s="151">
        <v>16831</v>
      </c>
      <c r="L64" s="153">
        <v>330</v>
      </c>
      <c r="M64" s="153">
        <v>168</v>
      </c>
      <c r="N64" s="145">
        <f>(((Tabela136[[#This Row],[Objetive value Similarity]]-Tabela136[[#This Row],[Objetive value Similarity/GATeS]])/Tabela136[[#This Row],[Objetive value Similarity]]))*100</f>
        <v>0.83078010841385819</v>
      </c>
      <c r="O64" s="23">
        <v>16225</v>
      </c>
      <c r="P64" s="53">
        <v>0.72</v>
      </c>
      <c r="Q64" s="53">
        <v>0</v>
      </c>
      <c r="R64" s="55">
        <f>(((Tabela136[[#This Row],[Objetive value Similarity]]-Tabela136[[#This Row],[Objetive value Similarity/H-R1    ]])/Tabela136[[#This Row],[Objetive value Similarity]]))*100</f>
        <v>4.4013669573415033</v>
      </c>
      <c r="S64" s="96">
        <v>16271</v>
      </c>
      <c r="T64" s="21">
        <v>0.9</v>
      </c>
      <c r="U64" s="21">
        <v>0</v>
      </c>
      <c r="V64" s="144">
        <f>(((Tabela136[[#This Row],[Objetive value Similarity]]-Tabela136[[#This Row],[Objetive value Similarity/H-R2]])/Tabela136[[#This Row],[Objetive value Similarity]]))*100</f>
        <v>4.1303323120433655</v>
      </c>
    </row>
    <row r="65" spans="1:22" x14ac:dyDescent="0.25">
      <c r="A65" s="11" t="s">
        <v>224</v>
      </c>
      <c r="B65" s="12" t="s">
        <v>915</v>
      </c>
      <c r="C65" s="11">
        <v>1000</v>
      </c>
      <c r="D65" s="24">
        <v>0.1</v>
      </c>
      <c r="E65" s="11">
        <v>15</v>
      </c>
      <c r="F65" s="11" t="s">
        <v>18</v>
      </c>
      <c r="G65" s="12" t="s">
        <v>14</v>
      </c>
      <c r="H65" s="140">
        <v>29182</v>
      </c>
      <c r="I65" s="140">
        <v>11.9370000000344</v>
      </c>
      <c r="J65" s="147">
        <v>19.22</v>
      </c>
      <c r="K65" s="151">
        <v>28696</v>
      </c>
      <c r="L65" s="153">
        <v>245</v>
      </c>
      <c r="M65" s="153">
        <v>38</v>
      </c>
      <c r="N65" s="145">
        <f>(((Tabela136[[#This Row],[Objetive value Similarity]]-Tabela136[[#This Row],[Objetive value Similarity/GATeS]])/Tabela136[[#This Row],[Objetive value Similarity]]))*100</f>
        <v>1.665410184360222</v>
      </c>
      <c r="O65" s="23">
        <v>28072</v>
      </c>
      <c r="P65" s="53">
        <v>0.59</v>
      </c>
      <c r="Q65" s="53">
        <v>0</v>
      </c>
      <c r="R65" s="55">
        <f>(((Tabela136[[#This Row],[Objetive value Similarity]]-Tabela136[[#This Row],[Objetive value Similarity/H-R1    ]])/Tabela136[[#This Row],[Objetive value Similarity]]))*100</f>
        <v>3.8037146186005075</v>
      </c>
      <c r="S65" s="96">
        <v>28097</v>
      </c>
      <c r="T65" s="21">
        <v>0.6</v>
      </c>
      <c r="U65" s="21">
        <v>0</v>
      </c>
      <c r="V65" s="144">
        <f>(((Tabela136[[#This Row],[Objetive value Similarity]]-Tabela136[[#This Row],[Objetive value Similarity/H-R2]])/Tabela136[[#This Row],[Objetive value Similarity]]))*100</f>
        <v>3.718045370433829</v>
      </c>
    </row>
    <row r="66" spans="1:22" s="61" customFormat="1" x14ac:dyDescent="0.25">
      <c r="A66" s="56" t="s">
        <v>224</v>
      </c>
      <c r="B66" s="58" t="s">
        <v>916</v>
      </c>
      <c r="C66" s="56">
        <v>1000</v>
      </c>
      <c r="D66" s="57">
        <v>0.1</v>
      </c>
      <c r="E66" s="56">
        <v>15</v>
      </c>
      <c r="F66" s="56" t="s">
        <v>18</v>
      </c>
      <c r="G66" s="58" t="s">
        <v>16</v>
      </c>
      <c r="H66" s="140">
        <v>17332</v>
      </c>
      <c r="I66" s="140">
        <v>69.125</v>
      </c>
      <c r="J66" s="147">
        <v>0</v>
      </c>
      <c r="K66" s="151">
        <v>17054</v>
      </c>
      <c r="L66" s="153">
        <v>477</v>
      </c>
      <c r="M66" s="153">
        <v>114</v>
      </c>
      <c r="N66" s="145">
        <f>(((Tabela136[[#This Row],[Objetive value Similarity]]-Tabela136[[#This Row],[Objetive value Similarity/GATeS]])/Tabela136[[#This Row],[Objetive value Similarity]]))*100</f>
        <v>1.603969536118163</v>
      </c>
      <c r="O66" s="49">
        <v>16559</v>
      </c>
      <c r="P66" s="54">
        <v>0.73</v>
      </c>
      <c r="Q66" s="54">
        <v>0</v>
      </c>
      <c r="R66" s="55">
        <f>(((Tabela136[[#This Row],[Objetive value Similarity]]-Tabela136[[#This Row],[Objetive value Similarity/H-R1    ]])/Tabela136[[#This Row],[Objetive value Similarity]]))*100</f>
        <v>4.4599584583429497</v>
      </c>
      <c r="S66" s="92">
        <v>17320</v>
      </c>
      <c r="T66" s="146">
        <v>0.98</v>
      </c>
      <c r="U66" s="146">
        <v>0</v>
      </c>
      <c r="V66" s="150">
        <f>(((Tabela136[[#This Row],[Objetive value Similarity]]-Tabela136[[#This Row],[Objetive value Similarity/H-R2]])/Tabela136[[#This Row],[Objetive value Similarity]]))*100</f>
        <v>6.923609508423724E-2</v>
      </c>
    </row>
    <row r="67" spans="1:22" s="11" customFormat="1" x14ac:dyDescent="0.25">
      <c r="A67" s="11" t="s">
        <v>224</v>
      </c>
      <c r="B67" s="12" t="s">
        <v>917</v>
      </c>
      <c r="C67" s="11">
        <v>1000</v>
      </c>
      <c r="D67" s="24">
        <v>0.1</v>
      </c>
      <c r="E67" s="11">
        <v>15</v>
      </c>
      <c r="F67" s="12" t="s">
        <v>21</v>
      </c>
      <c r="G67" s="12" t="s">
        <v>14</v>
      </c>
      <c r="H67" s="140">
        <v>13218</v>
      </c>
      <c r="I67" s="140">
        <v>2.9219999999040698</v>
      </c>
      <c r="J67" s="147">
        <v>0</v>
      </c>
      <c r="K67" s="151">
        <v>13202</v>
      </c>
      <c r="L67" s="153">
        <v>86</v>
      </c>
      <c r="M67" s="153">
        <v>1</v>
      </c>
      <c r="N67" s="145">
        <f>(((Tabela136[[#This Row],[Objetive value Similarity]]-Tabela136[[#This Row],[Objetive value Similarity/GATeS]])/Tabela136[[#This Row],[Objetive value Similarity]]))*100</f>
        <v>0.12104705704342564</v>
      </c>
      <c r="O67" s="53">
        <v>10301</v>
      </c>
      <c r="P67" s="53">
        <v>2.46</v>
      </c>
      <c r="Q67" s="53">
        <v>0</v>
      </c>
      <c r="R67" s="55">
        <f>(((Tabela136[[#This Row],[Objetive value Similarity]]-Tabela136[[#This Row],[Objetive value Similarity/H-R1    ]])/Tabela136[[#This Row],[Objetive value Similarity]]))*100</f>
        <v>22.068391587229534</v>
      </c>
      <c r="S67" s="21">
        <v>13218</v>
      </c>
      <c r="T67" s="21">
        <v>2.0699999999999998</v>
      </c>
      <c r="U67" s="21">
        <v>0</v>
      </c>
      <c r="V67" s="84">
        <f>(((Tabela136[[#This Row],[Objetive value Similarity]]-Tabela136[[#This Row],[Objetive value Similarity/H-R2]])/Tabela136[[#This Row],[Objetive value Similarity]]))*100</f>
        <v>0</v>
      </c>
    </row>
    <row r="68" spans="1:22" s="63" customFormat="1" x14ac:dyDescent="0.25">
      <c r="A68" s="40" t="s">
        <v>224</v>
      </c>
      <c r="B68" s="41" t="s">
        <v>918</v>
      </c>
      <c r="C68" s="40">
        <v>1000</v>
      </c>
      <c r="D68" s="62">
        <v>0.1</v>
      </c>
      <c r="E68" s="40">
        <v>15</v>
      </c>
      <c r="F68" s="41" t="s">
        <v>21</v>
      </c>
      <c r="G68" s="41" t="s">
        <v>16</v>
      </c>
      <c r="H68" s="140">
        <v>16588</v>
      </c>
      <c r="I68" s="140">
        <v>66.937000000034402</v>
      </c>
      <c r="J68" s="147">
        <v>0</v>
      </c>
      <c r="K68" s="151">
        <v>16263</v>
      </c>
      <c r="L68" s="153">
        <v>146</v>
      </c>
      <c r="M68" s="153">
        <v>96</v>
      </c>
      <c r="N68" s="145">
        <f>(((Tabela136[[#This Row],[Objetive value Similarity]]-Tabela136[[#This Row],[Objetive value Similarity/GATeS]])/Tabela136[[#This Row],[Objetive value Similarity]]))*100</f>
        <v>1.9592476489028214</v>
      </c>
      <c r="O68" s="23">
        <v>15127</v>
      </c>
      <c r="P68" s="23">
        <v>0.66</v>
      </c>
      <c r="Q68" s="23">
        <v>0</v>
      </c>
      <c r="R68" s="55">
        <f>(((Tabela136[[#This Row],[Objetive value Similarity]]-Tabela136[[#This Row],[Objetive value Similarity/H-R1    ]])/Tabela136[[#This Row],[Objetive value Similarity]]))*100</f>
        <v>8.8075717386062209</v>
      </c>
      <c r="S68" s="96">
        <v>16159</v>
      </c>
      <c r="T68" s="96">
        <v>0.75</v>
      </c>
      <c r="U68" s="96">
        <v>0</v>
      </c>
      <c r="V68" s="144">
        <f>(((Tabela136[[#This Row],[Objetive value Similarity]]-Tabela136[[#This Row],[Objetive value Similarity/H-R2]])/Tabela136[[#This Row],[Objetive value Similarity]]))*100</f>
        <v>2.5862068965517242</v>
      </c>
    </row>
    <row r="69" spans="1:22" x14ac:dyDescent="0.25">
      <c r="A69" s="29" t="s">
        <v>186</v>
      </c>
      <c r="B69" s="12" t="s">
        <v>877</v>
      </c>
      <c r="C69" s="11">
        <v>1000</v>
      </c>
      <c r="D69" s="24">
        <v>0.1</v>
      </c>
      <c r="E69" s="11">
        <v>5</v>
      </c>
      <c r="F69" s="12" t="s">
        <v>13</v>
      </c>
      <c r="G69" s="12" t="s">
        <v>14</v>
      </c>
      <c r="H69" s="140">
        <v>9138</v>
      </c>
      <c r="I69" s="140">
        <v>0.54700000002048899</v>
      </c>
      <c r="J69" s="147">
        <v>0</v>
      </c>
      <c r="K69" s="151">
        <v>9101</v>
      </c>
      <c r="L69" s="153">
        <v>58</v>
      </c>
      <c r="M69" s="153">
        <v>2</v>
      </c>
      <c r="N69" s="145">
        <f>(((Tabela136[[#This Row],[Objetive value Similarity]]-Tabela136[[#This Row],[Objetive value Similarity/GATeS]])/Tabela136[[#This Row],[Objetive value Similarity]]))*100</f>
        <v>0.40490260450864518</v>
      </c>
      <c r="O69" s="23">
        <v>9138</v>
      </c>
      <c r="P69" s="53">
        <v>0.6</v>
      </c>
      <c r="Q69" s="53">
        <v>0</v>
      </c>
      <c r="R69" s="55">
        <f>(((Tabela136[[#This Row],[Objetive value Similarity]]-Tabela136[[#This Row],[Objetive value Similarity/H-R1    ]])/Tabela136[[#This Row],[Objetive value Similarity]]))*100</f>
        <v>0</v>
      </c>
      <c r="S69" s="96">
        <v>8974</v>
      </c>
      <c r="T69" s="21">
        <v>0.49</v>
      </c>
      <c r="U69" s="21">
        <v>0</v>
      </c>
      <c r="V69" s="144">
        <f>(((Tabela136[[#This Row],[Objetive value Similarity]]-Tabela136[[#This Row],[Objetive value Similarity/H-R2]])/Tabela136[[#This Row],[Objetive value Similarity]]))*100</f>
        <v>1.7947034362004817</v>
      </c>
    </row>
    <row r="70" spans="1:22" x14ac:dyDescent="0.25">
      <c r="A70" s="11" t="s">
        <v>186</v>
      </c>
      <c r="B70" s="12" t="s">
        <v>878</v>
      </c>
      <c r="C70" s="11">
        <v>1000</v>
      </c>
      <c r="D70" s="24">
        <v>0.1</v>
      </c>
      <c r="E70" s="11">
        <v>5</v>
      </c>
      <c r="F70" s="12" t="s">
        <v>13</v>
      </c>
      <c r="G70" s="12" t="s">
        <v>16</v>
      </c>
      <c r="H70" s="140">
        <v>6543</v>
      </c>
      <c r="I70" s="140">
        <v>0.73499999998603005</v>
      </c>
      <c r="J70" s="147">
        <v>0</v>
      </c>
      <c r="K70" s="151">
        <v>6535</v>
      </c>
      <c r="L70" s="153">
        <v>62</v>
      </c>
      <c r="M70" s="153">
        <v>31</v>
      </c>
      <c r="N70" s="145">
        <f>(((Tabela136[[#This Row],[Objetive value Similarity]]-Tabela136[[#This Row],[Objetive value Similarity/GATeS]])/Tabela136[[#This Row],[Objetive value Similarity]]))*100</f>
        <v>0.12226807274950328</v>
      </c>
      <c r="O70" s="23">
        <v>6543</v>
      </c>
      <c r="P70" s="53">
        <v>0.63</v>
      </c>
      <c r="Q70" s="53">
        <v>0</v>
      </c>
      <c r="R70" s="55">
        <f>(((Tabela136[[#This Row],[Objetive value Similarity]]-Tabela136[[#This Row],[Objetive value Similarity/H-R1    ]])/Tabela136[[#This Row],[Objetive value Similarity]]))*100</f>
        <v>0</v>
      </c>
      <c r="S70" s="96">
        <v>6443</v>
      </c>
      <c r="T70" s="21">
        <v>0.54</v>
      </c>
      <c r="U70" s="21">
        <v>0</v>
      </c>
      <c r="V70" s="144">
        <f>(((Tabela136[[#This Row],[Objetive value Similarity]]-Tabela136[[#This Row],[Objetive value Similarity/H-R2]])/Tabela136[[#This Row],[Objetive value Similarity]]))*100</f>
        <v>1.528350909368791</v>
      </c>
    </row>
    <row r="71" spans="1:22" x14ac:dyDescent="0.25">
      <c r="A71" s="11" t="s">
        <v>186</v>
      </c>
      <c r="B71" s="12" t="s">
        <v>879</v>
      </c>
      <c r="C71" s="11">
        <v>1000</v>
      </c>
      <c r="D71" s="24">
        <v>0.1</v>
      </c>
      <c r="E71" s="11">
        <v>5</v>
      </c>
      <c r="F71" s="12" t="s">
        <v>18</v>
      </c>
      <c r="G71" s="12" t="s">
        <v>14</v>
      </c>
      <c r="H71" s="140">
        <v>8639</v>
      </c>
      <c r="I71" s="140">
        <v>0.57799999997951002</v>
      </c>
      <c r="J71" s="147">
        <v>0</v>
      </c>
      <c r="K71" s="151">
        <v>8595</v>
      </c>
      <c r="L71" s="153">
        <v>56</v>
      </c>
      <c r="M71" s="153">
        <v>15</v>
      </c>
      <c r="N71" s="145">
        <f>(((Tabela136[[#This Row],[Objetive value Similarity]]-Tabela136[[#This Row],[Objetive value Similarity/GATeS]])/Tabela136[[#This Row],[Objetive value Similarity]]))*100</f>
        <v>0.50931820812594053</v>
      </c>
      <c r="O71" s="23">
        <v>8458</v>
      </c>
      <c r="P71" s="53">
        <v>0.63</v>
      </c>
      <c r="Q71" s="53">
        <v>0</v>
      </c>
      <c r="R71" s="55">
        <f>(((Tabela136[[#This Row],[Objetive value Similarity]]-Tabela136[[#This Row],[Objetive value Similarity/H-R1    ]])/Tabela136[[#This Row],[Objetive value Similarity]]))*100</f>
        <v>2.0951499016089827</v>
      </c>
      <c r="S71" s="96">
        <v>8628</v>
      </c>
      <c r="T71" s="21">
        <v>0.56000000000000005</v>
      </c>
      <c r="U71" s="21">
        <v>0</v>
      </c>
      <c r="V71" s="144">
        <f>(((Tabela136[[#This Row],[Objetive value Similarity]]-Tabela136[[#This Row],[Objetive value Similarity/H-R2]])/Tabela136[[#This Row],[Objetive value Similarity]]))*100</f>
        <v>0.12732955203148513</v>
      </c>
    </row>
    <row r="72" spans="1:22" x14ac:dyDescent="0.25">
      <c r="A72" s="11" t="s">
        <v>186</v>
      </c>
      <c r="B72" s="12" t="s">
        <v>880</v>
      </c>
      <c r="C72" s="11">
        <v>1000</v>
      </c>
      <c r="D72" s="24">
        <v>0.1</v>
      </c>
      <c r="E72" s="11">
        <v>5</v>
      </c>
      <c r="F72" s="12" t="s">
        <v>18</v>
      </c>
      <c r="G72" s="12" t="s">
        <v>16</v>
      </c>
      <c r="H72" s="140">
        <v>7153</v>
      </c>
      <c r="I72" s="140">
        <v>0.67200000002048899</v>
      </c>
      <c r="J72" s="147">
        <v>0</v>
      </c>
      <c r="K72" s="151">
        <v>7102</v>
      </c>
      <c r="L72" s="153">
        <v>66</v>
      </c>
      <c r="M72" s="153">
        <v>51</v>
      </c>
      <c r="N72" s="145">
        <f>(((Tabela136[[#This Row],[Objetive value Similarity]]-Tabela136[[#This Row],[Objetive value Similarity/GATeS]])/Tabela136[[#This Row],[Objetive value Similarity]]))*100</f>
        <v>0.71298755766811128</v>
      </c>
      <c r="O72" s="23">
        <v>7153</v>
      </c>
      <c r="P72" s="53">
        <v>0.66</v>
      </c>
      <c r="Q72" s="53">
        <v>0</v>
      </c>
      <c r="R72" s="55">
        <f>(((Tabela136[[#This Row],[Objetive value Similarity]]-Tabela136[[#This Row],[Objetive value Similarity/H-R1    ]])/Tabela136[[#This Row],[Objetive value Similarity]]))*100</f>
        <v>0</v>
      </c>
      <c r="S72" s="96">
        <v>7024</v>
      </c>
      <c r="T72" s="21">
        <v>0.55000000000000004</v>
      </c>
      <c r="U72" s="21">
        <v>0</v>
      </c>
      <c r="V72" s="144">
        <f>(((Tabela136[[#This Row],[Objetive value Similarity]]-Tabela136[[#This Row],[Objetive value Similarity/H-R2]])/Tabela136[[#This Row],[Objetive value Similarity]]))*100</f>
        <v>1.8034391164546346</v>
      </c>
    </row>
    <row r="73" spans="1:22" x14ac:dyDescent="0.25">
      <c r="A73" s="11" t="s">
        <v>186</v>
      </c>
      <c r="B73" s="12" t="s">
        <v>881</v>
      </c>
      <c r="C73" s="11">
        <v>1000</v>
      </c>
      <c r="D73" s="24">
        <v>0.1</v>
      </c>
      <c r="E73" s="11">
        <v>5</v>
      </c>
      <c r="F73" s="12" t="s">
        <v>21</v>
      </c>
      <c r="G73" s="12" t="s">
        <v>14</v>
      </c>
      <c r="H73" s="140">
        <v>4527</v>
      </c>
      <c r="I73" s="140">
        <v>0.43799999996554101</v>
      </c>
      <c r="J73" s="147">
        <v>0</v>
      </c>
      <c r="K73" s="151">
        <v>4527</v>
      </c>
      <c r="L73" s="153">
        <v>51</v>
      </c>
      <c r="M73" s="153">
        <v>3</v>
      </c>
      <c r="N73" s="145">
        <f>(((Tabela136[[#This Row],[Objetive value Similarity]]-Tabela136[[#This Row],[Objetive value Similarity/GATeS]])/Tabela136[[#This Row],[Objetive value Similarity]]))*100</f>
        <v>0</v>
      </c>
      <c r="O73" s="23">
        <v>4527</v>
      </c>
      <c r="P73" s="53">
        <v>0.43</v>
      </c>
      <c r="Q73" s="53">
        <v>0</v>
      </c>
      <c r="R73" s="55">
        <f>(((Tabela136[[#This Row],[Objetive value Similarity]]-Tabela136[[#This Row],[Objetive value Similarity/H-R1    ]])/Tabela136[[#This Row],[Objetive value Similarity]]))*100</f>
        <v>0</v>
      </c>
      <c r="S73" s="96">
        <v>4527</v>
      </c>
      <c r="T73" s="21">
        <v>0.39</v>
      </c>
      <c r="U73" s="21">
        <v>0</v>
      </c>
      <c r="V73" s="144">
        <f>(((Tabela136[[#This Row],[Objetive value Similarity]]-Tabela136[[#This Row],[Objetive value Similarity/H-R2]])/Tabela136[[#This Row],[Objetive value Similarity]]))*100</f>
        <v>0</v>
      </c>
    </row>
    <row r="74" spans="1:22" x14ac:dyDescent="0.25">
      <c r="A74" s="11" t="s">
        <v>186</v>
      </c>
      <c r="B74" s="12" t="s">
        <v>882</v>
      </c>
      <c r="C74" s="11">
        <v>1000</v>
      </c>
      <c r="D74" s="24">
        <v>0.1</v>
      </c>
      <c r="E74" s="11">
        <v>5</v>
      </c>
      <c r="F74" s="12" t="s">
        <v>21</v>
      </c>
      <c r="G74" s="12" t="s">
        <v>16</v>
      </c>
      <c r="H74" s="140">
        <v>6448</v>
      </c>
      <c r="I74" s="140">
        <v>0.43700000003445799</v>
      </c>
      <c r="J74" s="147">
        <v>0</v>
      </c>
      <c r="K74" s="151">
        <v>6298</v>
      </c>
      <c r="L74" s="153">
        <v>45</v>
      </c>
      <c r="M74" s="153">
        <v>15</v>
      </c>
      <c r="N74" s="145">
        <f>(((Tabela136[[#This Row],[Objetive value Similarity]]-Tabela136[[#This Row],[Objetive value Similarity/GATeS]])/Tabela136[[#This Row],[Objetive value Similarity]]))*100</f>
        <v>2.3263027295285359</v>
      </c>
      <c r="O74" s="23">
        <v>6448</v>
      </c>
      <c r="P74" s="53">
        <v>0.6</v>
      </c>
      <c r="Q74" s="53">
        <v>0</v>
      </c>
      <c r="R74" s="55">
        <f>(((Tabela136[[#This Row],[Objetive value Similarity]]-Tabela136[[#This Row],[Objetive value Similarity/H-R1    ]])/Tabela136[[#This Row],[Objetive value Similarity]]))*100</f>
        <v>0</v>
      </c>
      <c r="S74" s="96">
        <v>6342</v>
      </c>
      <c r="T74" s="21">
        <v>0.63</v>
      </c>
      <c r="U74" s="21">
        <v>0</v>
      </c>
      <c r="V74" s="144">
        <f>(((Tabela136[[#This Row],[Objetive value Similarity]]-Tabela136[[#This Row],[Objetive value Similarity/H-R2]])/Tabela136[[#This Row],[Objetive value Similarity]]))*100</f>
        <v>1.6439205955334986</v>
      </c>
    </row>
    <row r="75" spans="1:22" x14ac:dyDescent="0.25">
      <c r="A75" s="11" t="s">
        <v>205</v>
      </c>
      <c r="B75" s="30" t="s">
        <v>901</v>
      </c>
      <c r="C75" s="11">
        <v>1000</v>
      </c>
      <c r="D75" s="11">
        <v>0.15</v>
      </c>
      <c r="E75" s="11">
        <v>10</v>
      </c>
      <c r="F75" s="12" t="s">
        <v>13</v>
      </c>
      <c r="G75" s="12" t="s">
        <v>14</v>
      </c>
      <c r="H75" s="140">
        <v>18671</v>
      </c>
      <c r="I75" s="140">
        <v>2.9679999999934799</v>
      </c>
      <c r="J75" s="147">
        <v>0</v>
      </c>
      <c r="K75" s="151">
        <v>17688</v>
      </c>
      <c r="L75" s="153">
        <v>176</v>
      </c>
      <c r="M75" s="153">
        <v>73</v>
      </c>
      <c r="N75" s="145">
        <f>(((Tabela136[[#This Row],[Objetive value Similarity]]-Tabela136[[#This Row],[Objetive value Similarity/GATeS]])/Tabela136[[#This Row],[Objetive value Similarity]]))*100</f>
        <v>5.2648492314284185</v>
      </c>
      <c r="O75" s="23">
        <v>16561</v>
      </c>
      <c r="P75" s="53">
        <v>0.52</v>
      </c>
      <c r="Q75" s="53">
        <v>0</v>
      </c>
      <c r="R75" s="55">
        <f>(((Tabela136[[#This Row],[Objetive value Similarity]]-Tabela136[[#This Row],[Objetive value Similarity/H-R1    ]])/Tabela136[[#This Row],[Objetive value Similarity]]))*100</f>
        <v>11.300947994215628</v>
      </c>
      <c r="S75" s="96">
        <v>16241</v>
      </c>
      <c r="T75" s="21">
        <v>0.55000000000000004</v>
      </c>
      <c r="U75" s="21">
        <v>0</v>
      </c>
      <c r="V75" s="144">
        <f>(((Tabela136[[#This Row],[Objetive value Similarity]]-Tabela136[[#This Row],[Objetive value Similarity/H-R2]])/Tabela136[[#This Row],[Objetive value Similarity]]))*100</f>
        <v>13.014835841679609</v>
      </c>
    </row>
    <row r="76" spans="1:22" x14ac:dyDescent="0.25">
      <c r="A76" s="11" t="s">
        <v>205</v>
      </c>
      <c r="B76" s="12" t="s">
        <v>902</v>
      </c>
      <c r="C76" s="11">
        <v>1000</v>
      </c>
      <c r="D76" s="11">
        <v>0.15</v>
      </c>
      <c r="E76" s="11">
        <v>10</v>
      </c>
      <c r="F76" s="12" t="s">
        <v>13</v>
      </c>
      <c r="G76" s="12" t="s">
        <v>16</v>
      </c>
      <c r="H76" s="140">
        <v>11364</v>
      </c>
      <c r="I76" s="140">
        <v>5.5940000000409702</v>
      </c>
      <c r="J76" s="147">
        <v>0</v>
      </c>
      <c r="K76" s="151">
        <v>11329</v>
      </c>
      <c r="L76" s="153">
        <v>121</v>
      </c>
      <c r="M76" s="153">
        <v>20</v>
      </c>
      <c r="N76" s="145">
        <f>(((Tabela136[[#This Row],[Objetive value Similarity]]-Tabela136[[#This Row],[Objetive value Similarity/GATeS]])/Tabela136[[#This Row],[Objetive value Similarity]]))*100</f>
        <v>0.30799014431538191</v>
      </c>
      <c r="O76" s="23">
        <v>10766</v>
      </c>
      <c r="P76" s="53">
        <v>0.53</v>
      </c>
      <c r="Q76" s="53">
        <v>0</v>
      </c>
      <c r="R76" s="55">
        <f>(((Tabela136[[#This Row],[Objetive value Similarity]]-Tabela136[[#This Row],[Objetive value Similarity/H-R1    ]])/Tabela136[[#This Row],[Objetive value Similarity]]))*100</f>
        <v>5.2622316085885252</v>
      </c>
      <c r="S76" s="96">
        <v>11034</v>
      </c>
      <c r="T76" s="21">
        <v>0.55000000000000004</v>
      </c>
      <c r="U76" s="21">
        <v>0</v>
      </c>
      <c r="V76" s="144">
        <f>(((Tabela136[[#This Row],[Objetive value Similarity]]-Tabela136[[#This Row],[Objetive value Similarity/H-R2]])/Tabela136[[#This Row],[Objetive value Similarity]]))*100</f>
        <v>2.9039070749736009</v>
      </c>
    </row>
    <row r="77" spans="1:22" x14ac:dyDescent="0.25">
      <c r="A77" s="11" t="s">
        <v>205</v>
      </c>
      <c r="B77" s="12" t="s">
        <v>903</v>
      </c>
      <c r="C77" s="11">
        <v>1000</v>
      </c>
      <c r="D77" s="11">
        <v>0.15</v>
      </c>
      <c r="E77" s="11">
        <v>10</v>
      </c>
      <c r="F77" s="12" t="s">
        <v>18</v>
      </c>
      <c r="G77" s="12" t="s">
        <v>14</v>
      </c>
      <c r="H77" s="140">
        <v>17930</v>
      </c>
      <c r="I77" s="140">
        <v>3.0159999999450502</v>
      </c>
      <c r="J77" s="147">
        <v>0</v>
      </c>
      <c r="K77" s="151">
        <v>17702</v>
      </c>
      <c r="L77" s="153">
        <v>129</v>
      </c>
      <c r="M77" s="153">
        <v>102</v>
      </c>
      <c r="N77" s="145">
        <f>(((Tabela136[[#This Row],[Objetive value Similarity]]-Tabela136[[#This Row],[Objetive value Similarity/GATeS]])/Tabela136[[#This Row],[Objetive value Similarity]]))*100</f>
        <v>1.271611823759063</v>
      </c>
      <c r="O77" s="23">
        <v>16604</v>
      </c>
      <c r="P77" s="53">
        <v>0.46</v>
      </c>
      <c r="Q77" s="53">
        <v>0</v>
      </c>
      <c r="R77" s="55">
        <f>(((Tabela136[[#This Row],[Objetive value Similarity]]-Tabela136[[#This Row],[Objetive value Similarity/H-R1    ]])/Tabela136[[#This Row],[Objetive value Similarity]]))*100</f>
        <v>7.3954266592303401</v>
      </c>
      <c r="S77" s="96">
        <v>16742</v>
      </c>
      <c r="T77" s="21">
        <v>0.53</v>
      </c>
      <c r="U77" s="21">
        <v>0</v>
      </c>
      <c r="V77" s="144">
        <f>(((Tabela136[[#This Row],[Objetive value Similarity]]-Tabela136[[#This Row],[Objetive value Similarity/H-R2]])/Tabela136[[#This Row],[Objetive value Similarity]]))*100</f>
        <v>6.625766871165645</v>
      </c>
    </row>
    <row r="78" spans="1:22" x14ac:dyDescent="0.25">
      <c r="A78" s="11" t="s">
        <v>205</v>
      </c>
      <c r="B78" s="12" t="s">
        <v>904</v>
      </c>
      <c r="C78" s="11">
        <v>1000</v>
      </c>
      <c r="D78" s="11">
        <v>0.15</v>
      </c>
      <c r="E78" s="11">
        <v>10</v>
      </c>
      <c r="F78" s="12" t="s">
        <v>18</v>
      </c>
      <c r="G78" s="12" t="s">
        <v>16</v>
      </c>
      <c r="H78" s="140">
        <v>13062</v>
      </c>
      <c r="I78" s="140">
        <v>4.1870000000344501</v>
      </c>
      <c r="J78" s="147">
        <v>0</v>
      </c>
      <c r="K78" s="151">
        <v>13020</v>
      </c>
      <c r="L78" s="153">
        <v>157</v>
      </c>
      <c r="M78" s="153">
        <v>31</v>
      </c>
      <c r="N78" s="145">
        <f>(((Tabela136[[#This Row],[Objetive value Similarity]]-Tabela136[[#This Row],[Objetive value Similarity/GATeS]])/Tabela136[[#This Row],[Objetive value Similarity]]))*100</f>
        <v>0.32154340836012862</v>
      </c>
      <c r="O78" s="23">
        <v>13062</v>
      </c>
      <c r="P78" s="53">
        <v>0.56000000000000005</v>
      </c>
      <c r="Q78" s="53">
        <v>0</v>
      </c>
      <c r="R78" s="55">
        <f>(((Tabela136[[#This Row],[Objetive value Similarity]]-Tabela136[[#This Row],[Objetive value Similarity/H-R1    ]])/Tabela136[[#This Row],[Objetive value Similarity]]))*100</f>
        <v>0</v>
      </c>
      <c r="S78" s="96">
        <v>13062</v>
      </c>
      <c r="T78" s="21">
        <v>0.68</v>
      </c>
      <c r="U78" s="21">
        <v>0</v>
      </c>
      <c r="V78" s="144">
        <f>(((Tabela136[[#This Row],[Objetive value Similarity]]-Tabela136[[#This Row],[Objetive value Similarity/H-R2]])/Tabela136[[#This Row],[Objetive value Similarity]]))*100</f>
        <v>0</v>
      </c>
    </row>
    <row r="79" spans="1:22" x14ac:dyDescent="0.25">
      <c r="A79" s="11" t="s">
        <v>205</v>
      </c>
      <c r="B79" s="12" t="s">
        <v>905</v>
      </c>
      <c r="C79" s="11">
        <v>1000</v>
      </c>
      <c r="D79" s="11">
        <v>0.15</v>
      </c>
      <c r="E79" s="11">
        <v>10</v>
      </c>
      <c r="F79" s="12" t="s">
        <v>21</v>
      </c>
      <c r="G79" s="12" t="s">
        <v>14</v>
      </c>
      <c r="H79" s="140">
        <v>12776</v>
      </c>
      <c r="I79" s="140">
        <v>1.53099999995902</v>
      </c>
      <c r="J79" s="147">
        <v>0</v>
      </c>
      <c r="K79" s="151">
        <v>12774</v>
      </c>
      <c r="L79" s="153">
        <v>72</v>
      </c>
      <c r="M79" s="153">
        <v>11</v>
      </c>
      <c r="N79" s="145">
        <f>(((Tabela136[[#This Row],[Objetive value Similarity]]-Tabela136[[#This Row],[Objetive value Similarity/GATeS]])/Tabela136[[#This Row],[Objetive value Similarity]]))*100</f>
        <v>1.5654351909830933E-2</v>
      </c>
      <c r="O79" s="23">
        <v>3381</v>
      </c>
      <c r="P79" s="53">
        <v>1.89</v>
      </c>
      <c r="Q79" s="53">
        <v>0</v>
      </c>
      <c r="R79" s="55">
        <f>(((Tabela136[[#This Row],[Objetive value Similarity]]-Tabela136[[#This Row],[Objetive value Similarity/H-R1    ]])/Tabela136[[#This Row],[Objetive value Similarity]]))*100</f>
        <v>73.536318096430804</v>
      </c>
      <c r="S79" s="96">
        <v>9395</v>
      </c>
      <c r="T79" s="21">
        <v>1.72</v>
      </c>
      <c r="U79" s="21">
        <v>0</v>
      </c>
      <c r="V79" s="144">
        <f>(((Tabela136[[#This Row],[Objetive value Similarity]]-Tabela136[[#This Row],[Objetive value Similarity/H-R2]])/Tabela136[[#This Row],[Objetive value Similarity]]))*100</f>
        <v>26.463681903569192</v>
      </c>
    </row>
    <row r="80" spans="1:22" x14ac:dyDescent="0.25">
      <c r="A80" s="11" t="s">
        <v>205</v>
      </c>
      <c r="B80" s="12" t="s">
        <v>906</v>
      </c>
      <c r="C80" s="11">
        <v>1000</v>
      </c>
      <c r="D80" s="11">
        <v>0.15</v>
      </c>
      <c r="E80" s="11">
        <v>10</v>
      </c>
      <c r="F80" s="12" t="s">
        <v>21</v>
      </c>
      <c r="G80" s="12" t="s">
        <v>16</v>
      </c>
      <c r="H80" s="140">
        <v>12209</v>
      </c>
      <c r="I80" s="140">
        <v>3.6720000000204802</v>
      </c>
      <c r="J80" s="147">
        <v>0</v>
      </c>
      <c r="K80" s="151">
        <v>12048</v>
      </c>
      <c r="L80" s="153">
        <v>212</v>
      </c>
      <c r="M80" s="153">
        <v>145</v>
      </c>
      <c r="N80" s="145">
        <f>(((Tabela136[[#This Row],[Objetive value Similarity]]-Tabela136[[#This Row],[Objetive value Similarity/GATeS]])/Tabela136[[#This Row],[Objetive value Similarity]]))*100</f>
        <v>1.3186993201736423</v>
      </c>
      <c r="O80" s="23">
        <v>12209</v>
      </c>
      <c r="P80" s="53">
        <v>0.63</v>
      </c>
      <c r="Q80" s="53">
        <v>0</v>
      </c>
      <c r="R80" s="55">
        <f>(((Tabela136[[#This Row],[Objetive value Similarity]]-Tabela136[[#This Row],[Objetive value Similarity/H-R1    ]])/Tabela136[[#This Row],[Objetive value Similarity]]))*100</f>
        <v>0</v>
      </c>
      <c r="S80" s="96">
        <v>12209</v>
      </c>
      <c r="T80" s="21">
        <v>0.6</v>
      </c>
      <c r="U80" s="21">
        <v>0</v>
      </c>
      <c r="V80" s="144">
        <f>(((Tabela136[[#This Row],[Objetive value Similarity]]-Tabela136[[#This Row],[Objetive value Similarity/H-R2]])/Tabela136[[#This Row],[Objetive value Similarity]]))*100</f>
        <v>0</v>
      </c>
    </row>
    <row r="81" spans="1:22" x14ac:dyDescent="0.25">
      <c r="A81" s="11" t="s">
        <v>224</v>
      </c>
      <c r="B81" s="30" t="s">
        <v>919</v>
      </c>
      <c r="C81" s="11">
        <v>1000</v>
      </c>
      <c r="D81" s="11">
        <v>0.15</v>
      </c>
      <c r="E81" s="11">
        <v>15</v>
      </c>
      <c r="F81" s="12" t="s">
        <v>13</v>
      </c>
      <c r="G81" s="12" t="s">
        <v>14</v>
      </c>
      <c r="H81" s="140">
        <v>31198</v>
      </c>
      <c r="I81" s="140">
        <v>13.515000000013901</v>
      </c>
      <c r="J81" s="147">
        <v>0.99</v>
      </c>
      <c r="K81" s="151">
        <v>30180</v>
      </c>
      <c r="L81" s="153">
        <v>215</v>
      </c>
      <c r="M81" s="153">
        <v>40</v>
      </c>
      <c r="N81" s="145">
        <f>(((Tabela136[[#This Row],[Objetive value Similarity]]-Tabela136[[#This Row],[Objetive value Similarity/GATeS]])/Tabela136[[#This Row],[Objetive value Similarity]]))*100</f>
        <v>3.2630296813898325</v>
      </c>
      <c r="O81" s="23">
        <v>29234</v>
      </c>
      <c r="P81" s="53">
        <v>0.53</v>
      </c>
      <c r="Q81" s="53">
        <v>0</v>
      </c>
      <c r="R81" s="55">
        <f>(((Tabela136[[#This Row],[Objetive value Similarity]]-Tabela136[[#This Row],[Objetive value Similarity/H-R1    ]])/Tabela136[[#This Row],[Objetive value Similarity]]))*100</f>
        <v>6.2952753381627025</v>
      </c>
      <c r="S81" s="96">
        <v>28611</v>
      </c>
      <c r="T81" s="21">
        <v>0.63</v>
      </c>
      <c r="U81" s="21">
        <v>0</v>
      </c>
      <c r="V81" s="144">
        <f>(((Tabela136[[#This Row],[Objetive value Similarity]]-Tabela136[[#This Row],[Objetive value Similarity/H-R2]])/Tabela136[[#This Row],[Objetive value Similarity]]))*100</f>
        <v>8.2921982178344766</v>
      </c>
    </row>
    <row r="82" spans="1:22" x14ac:dyDescent="0.25">
      <c r="A82" s="11" t="s">
        <v>224</v>
      </c>
      <c r="B82" s="12" t="s">
        <v>920</v>
      </c>
      <c r="C82" s="11">
        <v>1000</v>
      </c>
      <c r="D82" s="11">
        <v>0.15</v>
      </c>
      <c r="E82" s="11">
        <v>15</v>
      </c>
      <c r="F82" s="12" t="s">
        <v>13</v>
      </c>
      <c r="G82" s="12" t="s">
        <v>16</v>
      </c>
      <c r="H82" s="140">
        <v>17866</v>
      </c>
      <c r="I82" s="140">
        <v>67.734000000054905</v>
      </c>
      <c r="J82" s="147">
        <v>0</v>
      </c>
      <c r="K82" s="151">
        <v>17796</v>
      </c>
      <c r="L82" s="153">
        <v>437</v>
      </c>
      <c r="M82" s="153">
        <v>105</v>
      </c>
      <c r="N82" s="145">
        <f>(((Tabela136[[#This Row],[Objetive value Similarity]]-Tabela136[[#This Row],[Objetive value Similarity/GATeS]])/Tabela136[[#This Row],[Objetive value Similarity]]))*100</f>
        <v>0.39180566439046238</v>
      </c>
      <c r="O82" s="23">
        <v>17108</v>
      </c>
      <c r="P82" s="53">
        <v>0.74</v>
      </c>
      <c r="Q82" s="53">
        <v>0</v>
      </c>
      <c r="R82" s="55">
        <f>(((Tabela136[[#This Row],[Objetive value Similarity]]-Tabela136[[#This Row],[Objetive value Similarity/H-R1    ]])/Tabela136[[#This Row],[Objetive value Similarity]]))*100</f>
        <v>4.2426956229710067</v>
      </c>
      <c r="S82" s="96">
        <v>17381</v>
      </c>
      <c r="T82" s="21">
        <v>0.89</v>
      </c>
      <c r="U82" s="21">
        <v>0</v>
      </c>
      <c r="V82" s="144">
        <f>(((Tabela136[[#This Row],[Objetive value Similarity]]-Tabela136[[#This Row],[Objetive value Similarity/H-R2]])/Tabela136[[#This Row],[Objetive value Similarity]]))*100</f>
        <v>2.714653531848203</v>
      </c>
    </row>
    <row r="83" spans="1:22" x14ac:dyDescent="0.25">
      <c r="A83" s="11" t="s">
        <v>224</v>
      </c>
      <c r="B83" s="12" t="s">
        <v>921</v>
      </c>
      <c r="C83" s="11">
        <v>1000</v>
      </c>
      <c r="D83" s="11">
        <v>0.15</v>
      </c>
      <c r="E83" s="11">
        <v>15</v>
      </c>
      <c r="F83" s="12" t="s">
        <v>18</v>
      </c>
      <c r="G83" s="12" t="s">
        <v>14</v>
      </c>
      <c r="H83" s="140">
        <v>27549</v>
      </c>
      <c r="I83" s="140">
        <v>13.8120000000344</v>
      </c>
      <c r="J83" s="147">
        <v>16.77</v>
      </c>
      <c r="K83" s="151">
        <v>26977</v>
      </c>
      <c r="L83" s="153">
        <v>177</v>
      </c>
      <c r="M83" s="153">
        <v>131</v>
      </c>
      <c r="N83" s="145">
        <f>(((Tabela136[[#This Row],[Objetive value Similarity]]-Tabela136[[#This Row],[Objetive value Similarity/GATeS]])/Tabela136[[#This Row],[Objetive value Similarity]]))*100</f>
        <v>2.0763004101782281</v>
      </c>
      <c r="O83" s="23">
        <v>27019</v>
      </c>
      <c r="P83" s="53">
        <v>0.71</v>
      </c>
      <c r="Q83" s="53">
        <v>0</v>
      </c>
      <c r="R83" s="55">
        <f>(((Tabela136[[#This Row],[Objetive value Similarity]]-Tabela136[[#This Row],[Objetive value Similarity/H-R1    ]])/Tabela136[[#This Row],[Objetive value Similarity]]))*100</f>
        <v>1.9238447856546517</v>
      </c>
      <c r="S83" s="96">
        <v>27002</v>
      </c>
      <c r="T83" s="21">
        <v>0.56000000000000005</v>
      </c>
      <c r="U83" s="21">
        <v>0</v>
      </c>
      <c r="V83" s="144">
        <f>(((Tabela136[[#This Row],[Objetive value Similarity]]-Tabela136[[#This Row],[Objetive value Similarity/H-R2]])/Tabela136[[#This Row],[Objetive value Similarity]]))*100</f>
        <v>1.9855530146284801</v>
      </c>
    </row>
    <row r="84" spans="1:22" x14ac:dyDescent="0.25">
      <c r="A84" s="11" t="s">
        <v>224</v>
      </c>
      <c r="B84" s="12" t="s">
        <v>922</v>
      </c>
      <c r="C84" s="11">
        <v>1000</v>
      </c>
      <c r="D84" s="11">
        <v>0.15</v>
      </c>
      <c r="E84" s="11">
        <v>15</v>
      </c>
      <c r="F84" s="12" t="s">
        <v>18</v>
      </c>
      <c r="G84" s="12" t="s">
        <v>16</v>
      </c>
      <c r="H84" s="140">
        <v>17573</v>
      </c>
      <c r="I84" s="140">
        <v>66.530999999958993</v>
      </c>
      <c r="J84" s="147">
        <v>0</v>
      </c>
      <c r="K84" s="151">
        <v>17495</v>
      </c>
      <c r="L84" s="153">
        <v>325</v>
      </c>
      <c r="M84" s="153">
        <v>258</v>
      </c>
      <c r="N84" s="145">
        <f>(((Tabela136[[#This Row],[Objetive value Similarity]]-Tabela136[[#This Row],[Objetive value Similarity/GATeS]])/Tabela136[[#This Row],[Objetive value Similarity]]))*100</f>
        <v>0.44386274398224551</v>
      </c>
      <c r="O84" s="23">
        <v>17207</v>
      </c>
      <c r="P84" s="53">
        <v>0.75</v>
      </c>
      <c r="Q84" s="53">
        <v>0</v>
      </c>
      <c r="R84" s="55">
        <f>(((Tabela136[[#This Row],[Objetive value Similarity]]-Tabela136[[#This Row],[Objetive value Similarity/H-R1    ]])/Tabela136[[#This Row],[Objetive value Similarity]]))*100</f>
        <v>2.0827405679166904</v>
      </c>
      <c r="S84" s="96">
        <v>17172</v>
      </c>
      <c r="T84" s="21">
        <v>0.59</v>
      </c>
      <c r="U84" s="21">
        <v>0</v>
      </c>
      <c r="V84" s="144">
        <f>(((Tabela136[[#This Row],[Objetive value Similarity]]-Tabela136[[#This Row],[Objetive value Similarity/H-R2]])/Tabela136[[#This Row],[Objetive value Similarity]]))*100</f>
        <v>2.2819097479087236</v>
      </c>
    </row>
    <row r="85" spans="1:22" x14ac:dyDescent="0.25">
      <c r="A85" s="11" t="s">
        <v>224</v>
      </c>
      <c r="B85" s="12" t="s">
        <v>923</v>
      </c>
      <c r="C85" s="11">
        <v>1000</v>
      </c>
      <c r="D85" s="11">
        <v>0.15</v>
      </c>
      <c r="E85" s="11">
        <v>15</v>
      </c>
      <c r="F85" s="12" t="s">
        <v>21</v>
      </c>
      <c r="G85" s="12" t="s">
        <v>14</v>
      </c>
      <c r="H85" s="140">
        <v>17408</v>
      </c>
      <c r="I85" s="140">
        <v>2.70299999997951</v>
      </c>
      <c r="J85" s="147">
        <v>0</v>
      </c>
      <c r="K85" s="151">
        <v>17396</v>
      </c>
      <c r="L85" s="153">
        <v>250</v>
      </c>
      <c r="M85" s="153">
        <v>104</v>
      </c>
      <c r="N85" s="145">
        <f>(((Tabela136[[#This Row],[Objetive value Similarity]]-Tabela136[[#This Row],[Objetive value Similarity/GATeS]])/Tabela136[[#This Row],[Objetive value Similarity]]))*100</f>
        <v>6.893382352941177E-2</v>
      </c>
      <c r="O85" s="80"/>
      <c r="P85" s="79"/>
      <c r="Q85" s="79"/>
      <c r="R85" s="81">
        <v>100</v>
      </c>
      <c r="S85" s="96">
        <v>17408</v>
      </c>
      <c r="T85" s="96">
        <v>1.42</v>
      </c>
      <c r="U85" s="96">
        <v>0</v>
      </c>
      <c r="V85" s="144">
        <f>(((Tabela136[[#This Row],[Objetive value Similarity]]-Tabela136[[#This Row],[Objetive value Similarity/H-R2]])/Tabela136[[#This Row],[Objetive value Similarity]]))*100</f>
        <v>0</v>
      </c>
    </row>
    <row r="86" spans="1:22" x14ac:dyDescent="0.25">
      <c r="A86" s="11" t="s">
        <v>224</v>
      </c>
      <c r="B86" s="12" t="s">
        <v>924</v>
      </c>
      <c r="C86" s="11">
        <v>1000</v>
      </c>
      <c r="D86" s="11">
        <v>0.15</v>
      </c>
      <c r="E86" s="11">
        <v>15</v>
      </c>
      <c r="F86" s="12" t="s">
        <v>21</v>
      </c>
      <c r="G86" s="12" t="s">
        <v>16</v>
      </c>
      <c r="H86" s="140">
        <v>16870</v>
      </c>
      <c r="I86" s="140">
        <v>73.656000000075394</v>
      </c>
      <c r="J86" s="147">
        <v>1.22</v>
      </c>
      <c r="K86" s="151">
        <v>16578</v>
      </c>
      <c r="L86" s="153">
        <v>302</v>
      </c>
      <c r="M86" s="153">
        <v>21</v>
      </c>
      <c r="N86" s="145">
        <f>(((Tabela136[[#This Row],[Objetive value Similarity]]-Tabela136[[#This Row],[Objetive value Similarity/GATeS]])/Tabela136[[#This Row],[Objetive value Similarity]]))*100</f>
        <v>1.7308832246591583</v>
      </c>
      <c r="O86" s="23">
        <v>16396</v>
      </c>
      <c r="P86" s="53">
        <v>0.78</v>
      </c>
      <c r="Q86" s="53">
        <v>0</v>
      </c>
      <c r="R86" s="55">
        <f>(((Tabela136[[#This Row],[Objetive value Similarity]]-Tabela136[[#This Row],[Objetive value Similarity/H-R1    ]])/Tabela136[[#This Row],[Objetive value Similarity]]))*100</f>
        <v>2.8097213989330174</v>
      </c>
      <c r="S86" s="96">
        <v>16579</v>
      </c>
      <c r="T86" s="21">
        <v>0.66</v>
      </c>
      <c r="U86" s="21">
        <v>0</v>
      </c>
      <c r="V86" s="144">
        <f>(((Tabela136[[#This Row],[Objetive value Similarity]]-Tabela136[[#This Row],[Objetive value Similarity/H-R2]])/Tabela136[[#This Row],[Objetive value Similarity]]))*100</f>
        <v>1.7249555423829284</v>
      </c>
    </row>
    <row r="87" spans="1:22" x14ac:dyDescent="0.25">
      <c r="A87" s="29" t="s">
        <v>186</v>
      </c>
      <c r="B87" s="12" t="s">
        <v>883</v>
      </c>
      <c r="C87" s="11">
        <v>1000</v>
      </c>
      <c r="D87" s="11">
        <v>0.15</v>
      </c>
      <c r="E87" s="11">
        <v>5</v>
      </c>
      <c r="F87" s="12" t="s">
        <v>13</v>
      </c>
      <c r="G87" s="12" t="s">
        <v>14</v>
      </c>
      <c r="H87" s="140">
        <v>10058</v>
      </c>
      <c r="I87" s="140">
        <v>0.57799999997951002</v>
      </c>
      <c r="J87" s="147">
        <v>0</v>
      </c>
      <c r="K87" s="151">
        <v>10026</v>
      </c>
      <c r="L87" s="153">
        <v>83</v>
      </c>
      <c r="M87" s="153">
        <v>78</v>
      </c>
      <c r="N87" s="145">
        <f>(((Tabela136[[#This Row],[Objetive value Similarity]]-Tabela136[[#This Row],[Objetive value Similarity/GATeS]])/Tabela136[[#This Row],[Objetive value Similarity]]))*100</f>
        <v>0.3181547027241996</v>
      </c>
      <c r="O87" s="23">
        <v>9783</v>
      </c>
      <c r="P87" s="53">
        <v>0.55000000000000004</v>
      </c>
      <c r="Q87" s="53">
        <v>0</v>
      </c>
      <c r="R87" s="55">
        <f>(((Tabela136[[#This Row],[Objetive value Similarity]]-Tabela136[[#This Row],[Objetive value Similarity/H-R1    ]])/Tabela136[[#This Row],[Objetive value Similarity]]))*100</f>
        <v>2.7341419765360904</v>
      </c>
      <c r="S87" s="96">
        <v>9789</v>
      </c>
      <c r="T87" s="21">
        <v>0.63</v>
      </c>
      <c r="U87" s="21">
        <v>0</v>
      </c>
      <c r="V87" s="144">
        <f>(((Tabela136[[#This Row],[Objetive value Similarity]]-Tabela136[[#This Row],[Objetive value Similarity/H-R2]])/Tabela136[[#This Row],[Objetive value Similarity]]))*100</f>
        <v>2.6744879697753032</v>
      </c>
    </row>
    <row r="88" spans="1:22" x14ac:dyDescent="0.25">
      <c r="A88" s="11" t="s">
        <v>186</v>
      </c>
      <c r="B88" s="12" t="s">
        <v>884</v>
      </c>
      <c r="C88" s="11">
        <v>1000</v>
      </c>
      <c r="D88" s="11">
        <v>0.15</v>
      </c>
      <c r="E88" s="11">
        <v>5</v>
      </c>
      <c r="F88" s="12" t="s">
        <v>13</v>
      </c>
      <c r="G88" s="12" t="s">
        <v>16</v>
      </c>
      <c r="H88" s="140">
        <v>6239</v>
      </c>
      <c r="I88" s="140">
        <v>0.85999999998603005</v>
      </c>
      <c r="J88" s="147">
        <v>0</v>
      </c>
      <c r="K88" s="151">
        <v>6151</v>
      </c>
      <c r="L88" s="153">
        <v>53</v>
      </c>
      <c r="M88" s="153">
        <v>31</v>
      </c>
      <c r="N88" s="145">
        <f>(((Tabela136[[#This Row],[Objetive value Similarity]]-Tabela136[[#This Row],[Objetive value Similarity/GATeS]])/Tabela136[[#This Row],[Objetive value Similarity]]))*100</f>
        <v>1.4104824491104344</v>
      </c>
      <c r="O88" s="23">
        <v>6206.99</v>
      </c>
      <c r="P88" s="53">
        <v>0.73</v>
      </c>
      <c r="Q88" s="53">
        <v>0</v>
      </c>
      <c r="R88" s="55">
        <f>(((Tabela136[[#This Row],[Objetive value Similarity]]-Tabela136[[#This Row],[Objetive value Similarity/H-R1    ]])/Tabela136[[#This Row],[Objetive value Similarity]]))*100</f>
        <v>0.51306299086392393</v>
      </c>
      <c r="S88" s="96">
        <v>6206.99</v>
      </c>
      <c r="T88" s="21">
        <v>0.76</v>
      </c>
      <c r="U88" s="21">
        <v>0</v>
      </c>
      <c r="V88" s="144">
        <f>(((Tabela136[[#This Row],[Objetive value Similarity]]-Tabela136[[#This Row],[Objetive value Similarity/H-R2]])/Tabela136[[#This Row],[Objetive value Similarity]]))*100</f>
        <v>0.51306299086392393</v>
      </c>
    </row>
    <row r="89" spans="1:22" x14ac:dyDescent="0.25">
      <c r="A89" s="11" t="s">
        <v>186</v>
      </c>
      <c r="B89" s="12" t="s">
        <v>885</v>
      </c>
      <c r="C89" s="11">
        <v>1000</v>
      </c>
      <c r="D89" s="11">
        <v>0.15</v>
      </c>
      <c r="E89" s="11">
        <v>5</v>
      </c>
      <c r="F89" s="12" t="s">
        <v>18</v>
      </c>
      <c r="G89" s="12" t="s">
        <v>14</v>
      </c>
      <c r="H89" s="140">
        <v>11501</v>
      </c>
      <c r="I89" s="140">
        <v>0.60999999998603005</v>
      </c>
      <c r="J89" s="147">
        <v>0</v>
      </c>
      <c r="K89" s="151">
        <v>11488</v>
      </c>
      <c r="L89" s="153">
        <v>71</v>
      </c>
      <c r="M89" s="153">
        <v>64</v>
      </c>
      <c r="N89" s="145">
        <f>(((Tabela136[[#This Row],[Objetive value Similarity]]-Tabela136[[#This Row],[Objetive value Similarity/GATeS]])/Tabela136[[#This Row],[Objetive value Similarity]]))*100</f>
        <v>0.11303364924789149</v>
      </c>
      <c r="O89" s="23">
        <v>11178</v>
      </c>
      <c r="P89" s="53">
        <v>0.71</v>
      </c>
      <c r="Q89" s="53">
        <v>0</v>
      </c>
      <c r="R89" s="55">
        <f>(((Tabela136[[#This Row],[Objetive value Similarity]]-Tabela136[[#This Row],[Objetive value Similarity/H-R1    ]])/Tabela136[[#This Row],[Objetive value Similarity]]))*100</f>
        <v>2.8084514390053039</v>
      </c>
      <c r="S89" s="96">
        <v>11501</v>
      </c>
      <c r="T89" s="21">
        <v>0.53</v>
      </c>
      <c r="U89" s="21">
        <v>0</v>
      </c>
      <c r="V89" s="144">
        <f>(((Tabela136[[#This Row],[Objetive value Similarity]]-Tabela136[[#This Row],[Objetive value Similarity/H-R2]])/Tabela136[[#This Row],[Objetive value Similarity]]))*100</f>
        <v>0</v>
      </c>
    </row>
    <row r="90" spans="1:22" x14ac:dyDescent="0.25">
      <c r="A90" s="11" t="s">
        <v>186</v>
      </c>
      <c r="B90" s="12" t="s">
        <v>886</v>
      </c>
      <c r="C90" s="11">
        <v>1000</v>
      </c>
      <c r="D90" s="11">
        <v>0.15</v>
      </c>
      <c r="E90" s="11">
        <v>5</v>
      </c>
      <c r="F90" s="12" t="s">
        <v>18</v>
      </c>
      <c r="G90" s="12" t="s">
        <v>16</v>
      </c>
      <c r="H90" s="140">
        <v>7130</v>
      </c>
      <c r="I90" s="140">
        <v>0.875</v>
      </c>
      <c r="J90" s="147">
        <v>0</v>
      </c>
      <c r="K90" s="151">
        <v>7103</v>
      </c>
      <c r="L90" s="153">
        <v>43</v>
      </c>
      <c r="M90" s="153">
        <v>0</v>
      </c>
      <c r="N90" s="145">
        <f>(((Tabela136[[#This Row],[Objetive value Similarity]]-Tabela136[[#This Row],[Objetive value Similarity/GATeS]])/Tabela136[[#This Row],[Objetive value Similarity]]))*100</f>
        <v>0.37868162692847124</v>
      </c>
      <c r="O90" s="23">
        <v>7130</v>
      </c>
      <c r="P90" s="53">
        <v>0.69</v>
      </c>
      <c r="Q90" s="53">
        <v>0</v>
      </c>
      <c r="R90" s="55">
        <f>(((Tabela136[[#This Row],[Objetive value Similarity]]-Tabela136[[#This Row],[Objetive value Similarity/H-R1    ]])/Tabela136[[#This Row],[Objetive value Similarity]]))*100</f>
        <v>0</v>
      </c>
      <c r="S90" s="96">
        <v>7130</v>
      </c>
      <c r="T90" s="21">
        <v>0.74</v>
      </c>
      <c r="U90" s="21">
        <v>0</v>
      </c>
      <c r="V90" s="144">
        <f>(((Tabela136[[#This Row],[Objetive value Similarity]]-Tabela136[[#This Row],[Objetive value Similarity/H-R2]])/Tabela136[[#This Row],[Objetive value Similarity]]))*100</f>
        <v>0</v>
      </c>
    </row>
    <row r="91" spans="1:22" x14ac:dyDescent="0.25">
      <c r="A91" s="11" t="s">
        <v>186</v>
      </c>
      <c r="B91" s="12" t="s">
        <v>887</v>
      </c>
      <c r="C91" s="11">
        <v>1000</v>
      </c>
      <c r="D91" s="11">
        <v>0.15</v>
      </c>
      <c r="E91" s="11">
        <v>5</v>
      </c>
      <c r="F91" s="12" t="s">
        <v>21</v>
      </c>
      <c r="G91" s="12" t="s">
        <v>14</v>
      </c>
      <c r="H91" s="140">
        <v>10141</v>
      </c>
      <c r="I91" s="140">
        <v>0.53100000007543702</v>
      </c>
      <c r="J91" s="147">
        <v>0</v>
      </c>
      <c r="K91" s="151">
        <v>10132</v>
      </c>
      <c r="L91" s="153">
        <v>54</v>
      </c>
      <c r="M91" s="153">
        <v>0</v>
      </c>
      <c r="N91" s="145">
        <f>(((Tabela136[[#This Row],[Objetive value Similarity]]-Tabela136[[#This Row],[Objetive value Similarity/GATeS]])/Tabela136[[#This Row],[Objetive value Similarity]]))*100</f>
        <v>8.8748644117937092E-2</v>
      </c>
      <c r="O91" s="23">
        <v>10141</v>
      </c>
      <c r="P91" s="53">
        <v>0.76</v>
      </c>
      <c r="Q91" s="53">
        <v>0</v>
      </c>
      <c r="R91" s="55">
        <f>(((Tabela136[[#This Row],[Objetive value Similarity]]-Tabela136[[#This Row],[Objetive value Similarity/H-R1    ]])/Tabela136[[#This Row],[Objetive value Similarity]]))*100</f>
        <v>0</v>
      </c>
      <c r="S91" s="96">
        <v>10141</v>
      </c>
      <c r="T91" s="21">
        <v>0.71</v>
      </c>
      <c r="U91" s="21">
        <v>0</v>
      </c>
      <c r="V91" s="144">
        <f>(((Tabela136[[#This Row],[Objetive value Similarity]]-Tabela136[[#This Row],[Objetive value Similarity/H-R2]])/Tabela136[[#This Row],[Objetive value Similarity]]))*100</f>
        <v>0</v>
      </c>
    </row>
    <row r="92" spans="1:22" x14ac:dyDescent="0.25">
      <c r="A92" s="11" t="s">
        <v>186</v>
      </c>
      <c r="B92" s="12" t="s">
        <v>888</v>
      </c>
      <c r="C92" s="11">
        <v>1000</v>
      </c>
      <c r="D92" s="11">
        <v>0.15</v>
      </c>
      <c r="E92" s="11">
        <v>5</v>
      </c>
      <c r="F92" s="12" t="s">
        <v>21</v>
      </c>
      <c r="G92" s="12" t="s">
        <v>16</v>
      </c>
      <c r="H92" s="140">
        <v>6178</v>
      </c>
      <c r="I92" s="140">
        <v>0.65599999995902103</v>
      </c>
      <c r="J92" s="147">
        <v>0</v>
      </c>
      <c r="K92" s="151">
        <v>6139</v>
      </c>
      <c r="L92" s="153">
        <v>54</v>
      </c>
      <c r="M92" s="153">
        <v>26</v>
      </c>
      <c r="N92" s="145">
        <f>(((Tabela136[[#This Row],[Objetive value Similarity]]-Tabela136[[#This Row],[Objetive value Similarity/GATeS]])/Tabela136[[#This Row],[Objetive value Similarity]]))*100</f>
        <v>0.63127225639365492</v>
      </c>
      <c r="O92" s="23">
        <v>6178</v>
      </c>
      <c r="P92" s="53">
        <v>0.3</v>
      </c>
      <c r="Q92" s="53">
        <v>0</v>
      </c>
      <c r="R92" s="55">
        <f>(((Tabela136[[#This Row],[Objetive value Similarity]]-Tabela136[[#This Row],[Objetive value Similarity/H-R1    ]])/Tabela136[[#This Row],[Objetive value Similarity]]))*100</f>
        <v>0</v>
      </c>
      <c r="S92" s="96">
        <v>6178</v>
      </c>
      <c r="T92" s="21">
        <v>0.39</v>
      </c>
      <c r="U92" s="21">
        <v>0</v>
      </c>
      <c r="V92" s="144">
        <f>(((Tabela136[[#This Row],[Objetive value Similarity]]-Tabela136[[#This Row],[Objetive value Similarity/H-R2]])/Tabela136[[#This Row],[Objetive value Similarity]]))*100</f>
        <v>0</v>
      </c>
    </row>
    <row r="93" spans="1:22" x14ac:dyDescent="0.25">
      <c r="A93" s="11" t="s">
        <v>205</v>
      </c>
      <c r="B93" s="12" t="s">
        <v>889</v>
      </c>
      <c r="C93" s="11">
        <v>1000</v>
      </c>
      <c r="D93" s="11">
        <v>0.05</v>
      </c>
      <c r="E93" s="11">
        <v>10</v>
      </c>
      <c r="F93" s="12" t="s">
        <v>13</v>
      </c>
      <c r="G93" s="12" t="s">
        <v>14</v>
      </c>
      <c r="H93" s="140">
        <v>12771</v>
      </c>
      <c r="I93" s="140">
        <v>2.9220000000204802</v>
      </c>
      <c r="J93" s="147">
        <v>46.76</v>
      </c>
      <c r="K93" s="151">
        <v>12473</v>
      </c>
      <c r="L93" s="153">
        <v>84</v>
      </c>
      <c r="M93" s="153">
        <v>37</v>
      </c>
      <c r="N93" s="145">
        <f>(((Tabela136[[#This Row],[Objetive value Similarity]]-Tabela136[[#This Row],[Objetive value Similarity/GATeS]])/Tabela136[[#This Row],[Objetive value Similarity]]))*100</f>
        <v>2.333411635737217</v>
      </c>
      <c r="O93" s="23">
        <v>12771</v>
      </c>
      <c r="P93" s="53">
        <v>0.83</v>
      </c>
      <c r="Q93" s="53">
        <v>0</v>
      </c>
      <c r="R93" s="55">
        <f>(((Tabela136[[#This Row],[Objetive value Similarity]]-Tabela136[[#This Row],[Objetive value Similarity/H-R1    ]])/Tabela136[[#This Row],[Objetive value Similarity]]))*100</f>
        <v>0</v>
      </c>
      <c r="S93" s="96">
        <v>12106</v>
      </c>
      <c r="T93" s="21">
        <v>0.82</v>
      </c>
      <c r="U93" s="21">
        <v>0</v>
      </c>
      <c r="V93" s="144">
        <f>(((Tabela136[[#This Row],[Objetive value Similarity]]-Tabela136[[#This Row],[Objetive value Similarity/H-R2]])/Tabela136[[#This Row],[Objetive value Similarity]]))*100</f>
        <v>5.2071098582726485</v>
      </c>
    </row>
    <row r="94" spans="1:22" x14ac:dyDescent="0.25">
      <c r="A94" s="11" t="s">
        <v>205</v>
      </c>
      <c r="B94" s="12" t="s">
        <v>890</v>
      </c>
      <c r="C94" s="11">
        <v>1000</v>
      </c>
      <c r="D94" s="11">
        <v>0.05</v>
      </c>
      <c r="E94" s="11">
        <v>10</v>
      </c>
      <c r="F94" s="12" t="s">
        <v>13</v>
      </c>
      <c r="G94" s="12" t="s">
        <v>16</v>
      </c>
      <c r="H94" s="140">
        <v>11746</v>
      </c>
      <c r="I94" s="140">
        <v>7.125</v>
      </c>
      <c r="J94" s="147">
        <v>0</v>
      </c>
      <c r="K94" s="151">
        <v>11721</v>
      </c>
      <c r="L94" s="153">
        <v>164</v>
      </c>
      <c r="M94" s="153">
        <v>64</v>
      </c>
      <c r="N94" s="145">
        <f>(((Tabela136[[#This Row],[Objetive value Similarity]]-Tabela136[[#This Row],[Objetive value Similarity/GATeS]])/Tabela136[[#This Row],[Objetive value Similarity]]))*100</f>
        <v>0.21283841307679208</v>
      </c>
      <c r="O94" s="23">
        <v>10971</v>
      </c>
      <c r="P94" s="53">
        <v>1</v>
      </c>
      <c r="Q94" s="53">
        <v>0</v>
      </c>
      <c r="R94" s="55">
        <f>(((Tabela136[[#This Row],[Objetive value Similarity]]-Tabela136[[#This Row],[Objetive value Similarity/H-R1    ]])/Tabela136[[#This Row],[Objetive value Similarity]]))*100</f>
        <v>6.5979908053805545</v>
      </c>
      <c r="S94" s="96">
        <v>11309</v>
      </c>
      <c r="T94" s="21">
        <v>0.88</v>
      </c>
      <c r="U94" s="21">
        <v>0</v>
      </c>
      <c r="V94" s="144">
        <f>(((Tabela136[[#This Row],[Objetive value Similarity]]-Tabela136[[#This Row],[Objetive value Similarity/H-R2]])/Tabela136[[#This Row],[Objetive value Similarity]]))*100</f>
        <v>3.7204154605823256</v>
      </c>
    </row>
    <row r="95" spans="1:22" x14ac:dyDescent="0.25">
      <c r="A95" s="11" t="s">
        <v>205</v>
      </c>
      <c r="B95" s="12" t="s">
        <v>891</v>
      </c>
      <c r="C95" s="11">
        <v>1000</v>
      </c>
      <c r="D95" s="11">
        <v>0.05</v>
      </c>
      <c r="E95" s="11">
        <v>10</v>
      </c>
      <c r="F95" s="12" t="s">
        <v>18</v>
      </c>
      <c r="G95" s="12" t="s">
        <v>14</v>
      </c>
      <c r="H95" s="140">
        <v>18866</v>
      </c>
      <c r="I95" s="140">
        <v>2.625</v>
      </c>
      <c r="J95" s="147">
        <v>0</v>
      </c>
      <c r="K95" s="151">
        <v>18800</v>
      </c>
      <c r="L95" s="153">
        <v>133</v>
      </c>
      <c r="M95" s="153">
        <v>53</v>
      </c>
      <c r="N95" s="145">
        <f>(((Tabela136[[#This Row],[Objetive value Similarity]]-Tabela136[[#This Row],[Objetive value Similarity/GATeS]])/Tabela136[[#This Row],[Objetive value Similarity]]))*100</f>
        <v>0.34983568323969044</v>
      </c>
      <c r="O95" s="23">
        <v>17795</v>
      </c>
      <c r="P95" s="53">
        <v>0.7</v>
      </c>
      <c r="Q95" s="53">
        <v>0</v>
      </c>
      <c r="R95" s="55">
        <f>(((Tabela136[[#This Row],[Objetive value Similarity]]-Tabela136[[#This Row],[Objetive value Similarity/H-R1    ]])/Tabela136[[#This Row],[Objetive value Similarity]]))*100</f>
        <v>5.6768790416622492</v>
      </c>
      <c r="S95" s="96">
        <v>16909</v>
      </c>
      <c r="T95" s="21">
        <v>0.75</v>
      </c>
      <c r="U95" s="21">
        <v>0</v>
      </c>
      <c r="V95" s="144">
        <f>(((Tabela136[[#This Row],[Objetive value Similarity]]-Tabela136[[#This Row],[Objetive value Similarity/H-R2]])/Tabela136[[#This Row],[Objetive value Similarity]]))*100</f>
        <v>10.373158062122338</v>
      </c>
    </row>
    <row r="96" spans="1:22" x14ac:dyDescent="0.25">
      <c r="A96" s="11" t="s">
        <v>205</v>
      </c>
      <c r="B96" s="12" t="s">
        <v>892</v>
      </c>
      <c r="C96" s="11">
        <v>1000</v>
      </c>
      <c r="D96" s="11">
        <v>0.05</v>
      </c>
      <c r="E96" s="11">
        <v>10</v>
      </c>
      <c r="F96" s="12" t="s">
        <v>18</v>
      </c>
      <c r="G96" s="12" t="s">
        <v>16</v>
      </c>
      <c r="H96" s="140">
        <v>11626</v>
      </c>
      <c r="I96" s="140">
        <v>6.8439999999245602</v>
      </c>
      <c r="J96" s="147">
        <v>0</v>
      </c>
      <c r="K96" s="151">
        <v>11498</v>
      </c>
      <c r="L96" s="153">
        <v>88</v>
      </c>
      <c r="M96" s="153">
        <v>38</v>
      </c>
      <c r="N96" s="145">
        <f>(((Tabela136[[#This Row],[Objetive value Similarity]]-Tabela136[[#This Row],[Objetive value Similarity/GATeS]])/Tabela136[[#This Row],[Objetive value Similarity]]))*100</f>
        <v>1.1009805608119732</v>
      </c>
      <c r="O96" s="23">
        <v>11625</v>
      </c>
      <c r="P96" s="53">
        <v>1.18</v>
      </c>
      <c r="Q96" s="53">
        <v>0</v>
      </c>
      <c r="R96" s="55">
        <f>(((Tabela136[[#This Row],[Objetive value Similarity]]-Tabela136[[#This Row],[Objetive value Similarity/H-R1    ]])/Tabela136[[#This Row],[Objetive value Similarity]]))*100</f>
        <v>8.6014106313435403E-3</v>
      </c>
      <c r="S96" s="96">
        <v>11625</v>
      </c>
      <c r="T96" s="21">
        <v>0.9</v>
      </c>
      <c r="U96" s="21">
        <v>0</v>
      </c>
      <c r="V96" s="144">
        <f>(((Tabela136[[#This Row],[Objetive value Similarity]]-Tabela136[[#This Row],[Objetive value Similarity/H-R2]])/Tabela136[[#This Row],[Objetive value Similarity]]))*100</f>
        <v>8.6014106313435403E-3</v>
      </c>
    </row>
    <row r="97" spans="1:22" x14ac:dyDescent="0.25">
      <c r="A97" s="11" t="s">
        <v>205</v>
      </c>
      <c r="B97" s="12" t="s">
        <v>893</v>
      </c>
      <c r="C97" s="11">
        <v>1000</v>
      </c>
      <c r="D97" s="11">
        <v>0.05</v>
      </c>
      <c r="E97" s="11">
        <v>10</v>
      </c>
      <c r="F97" s="12" t="s">
        <v>21</v>
      </c>
      <c r="G97" s="12" t="s">
        <v>14</v>
      </c>
      <c r="H97" s="140">
        <v>11676</v>
      </c>
      <c r="I97" s="140">
        <v>1.45299999997951</v>
      </c>
      <c r="J97" s="147">
        <v>0</v>
      </c>
      <c r="K97" s="151">
        <v>11404</v>
      </c>
      <c r="L97" s="153">
        <v>62</v>
      </c>
      <c r="M97" s="153">
        <v>9</v>
      </c>
      <c r="N97" s="145">
        <f>(((Tabela136[[#This Row],[Objetive value Similarity]]-Tabela136[[#This Row],[Objetive value Similarity/GATeS]])/Tabela136[[#This Row],[Objetive value Similarity]]))*100</f>
        <v>2.3295649194929773</v>
      </c>
      <c r="O97" s="23">
        <v>11415</v>
      </c>
      <c r="P97" s="53">
        <v>1.3</v>
      </c>
      <c r="Q97" s="53">
        <v>0</v>
      </c>
      <c r="R97" s="55">
        <f>(((Tabela136[[#This Row],[Objetive value Similarity]]-Tabela136[[#This Row],[Objetive value Similarity/H-R1    ]])/Tabela136[[#This Row],[Objetive value Similarity]]))*100</f>
        <v>2.2353545734840696</v>
      </c>
      <c r="S97" s="96">
        <v>11411</v>
      </c>
      <c r="T97" s="21">
        <v>1.01</v>
      </c>
      <c r="U97" s="21">
        <v>0</v>
      </c>
      <c r="V97" s="144">
        <f>(((Tabela136[[#This Row],[Objetive value Similarity]]-Tabela136[[#This Row],[Objetive value Similarity/H-R2]])/Tabela136[[#This Row],[Objetive value Similarity]]))*100</f>
        <v>2.2696128811236727</v>
      </c>
    </row>
    <row r="98" spans="1:22" x14ac:dyDescent="0.25">
      <c r="A98" s="11" t="s">
        <v>205</v>
      </c>
      <c r="B98" s="12" t="s">
        <v>894</v>
      </c>
      <c r="C98" s="11">
        <v>1000</v>
      </c>
      <c r="D98" s="11">
        <v>0.05</v>
      </c>
      <c r="E98" s="11">
        <v>10</v>
      </c>
      <c r="F98" s="12" t="s">
        <v>21</v>
      </c>
      <c r="G98" s="12" t="s">
        <v>16</v>
      </c>
      <c r="H98" s="140">
        <v>10623</v>
      </c>
      <c r="I98" s="140">
        <v>3.0929999999934799</v>
      </c>
      <c r="J98" s="147">
        <v>0</v>
      </c>
      <c r="K98" s="151">
        <v>9453</v>
      </c>
      <c r="L98" s="153">
        <v>59</v>
      </c>
      <c r="M98" s="153">
        <v>51</v>
      </c>
      <c r="N98" s="145">
        <f>(((Tabela136[[#This Row],[Objetive value Similarity]]-Tabela136[[#This Row],[Objetive value Similarity/GATeS]])/Tabela136[[#This Row],[Objetive value Similarity]]))*100</f>
        <v>11.013837898898617</v>
      </c>
      <c r="O98" s="23">
        <v>10081</v>
      </c>
      <c r="P98" s="53">
        <v>0.75</v>
      </c>
      <c r="Q98" s="53">
        <v>0</v>
      </c>
      <c r="R98" s="55">
        <f>(((Tabela136[[#This Row],[Objetive value Similarity]]-Tabela136[[#This Row],[Objetive value Similarity/H-R1    ]])/Tabela136[[#This Row],[Objetive value Similarity]]))*100</f>
        <v>5.1021368728231193</v>
      </c>
      <c r="S98" s="96">
        <v>10623</v>
      </c>
      <c r="T98" s="21">
        <v>0.63</v>
      </c>
      <c r="U98" s="21">
        <v>0</v>
      </c>
      <c r="V98" s="144">
        <f>(((Tabela136[[#This Row],[Objetive value Similarity]]-Tabela136[[#This Row],[Objetive value Similarity/H-R2]])/Tabela136[[#This Row],[Objetive value Similarity]]))*100</f>
        <v>0</v>
      </c>
    </row>
    <row r="99" spans="1:22" x14ac:dyDescent="0.25">
      <c r="A99" s="11" t="s">
        <v>224</v>
      </c>
      <c r="B99" s="30" t="s">
        <v>907</v>
      </c>
      <c r="C99" s="11">
        <v>1000</v>
      </c>
      <c r="D99" s="11">
        <v>0.05</v>
      </c>
      <c r="E99" s="11">
        <v>15</v>
      </c>
      <c r="F99" s="12" t="s">
        <v>13</v>
      </c>
      <c r="G99" s="12" t="s">
        <v>14</v>
      </c>
      <c r="H99" s="140">
        <v>27021</v>
      </c>
      <c r="I99" s="140">
        <v>15.765000000013901</v>
      </c>
      <c r="J99" s="147">
        <v>5.69</v>
      </c>
      <c r="K99" s="151">
        <v>25847</v>
      </c>
      <c r="L99" s="153">
        <v>250</v>
      </c>
      <c r="M99" s="153">
        <v>33</v>
      </c>
      <c r="N99" s="145">
        <f>(((Tabela136[[#This Row],[Objetive value Similarity]]-Tabela136[[#This Row],[Objetive value Similarity/GATeS]])/Tabela136[[#This Row],[Objetive value Similarity]]))*100</f>
        <v>4.3447688834610112</v>
      </c>
      <c r="O99" s="23">
        <v>24332</v>
      </c>
      <c r="P99" s="53">
        <v>0.48</v>
      </c>
      <c r="Q99" s="53">
        <v>0</v>
      </c>
      <c r="R99" s="55">
        <f>(((Tabela136[[#This Row],[Objetive value Similarity]]-Tabela136[[#This Row],[Objetive value Similarity/H-R1    ]])/Tabela136[[#This Row],[Objetive value Similarity]]))*100</f>
        <v>9.9515191887790984</v>
      </c>
      <c r="S99" s="96">
        <v>22124</v>
      </c>
      <c r="T99" s="21">
        <v>0.45</v>
      </c>
      <c r="U99" s="21">
        <v>0</v>
      </c>
      <c r="V99" s="144">
        <f>(((Tabela136[[#This Row],[Objetive value Similarity]]-Tabela136[[#This Row],[Objetive value Similarity/H-R2]])/Tabela136[[#This Row],[Objetive value Similarity]]))*100</f>
        <v>18.122941415935752</v>
      </c>
    </row>
    <row r="100" spans="1:22" x14ac:dyDescent="0.25">
      <c r="A100" s="11" t="s">
        <v>224</v>
      </c>
      <c r="B100" s="12" t="s">
        <v>908</v>
      </c>
      <c r="C100" s="11">
        <v>1000</v>
      </c>
      <c r="D100" s="11">
        <v>0.05</v>
      </c>
      <c r="E100" s="11">
        <v>15</v>
      </c>
      <c r="F100" s="12" t="s">
        <v>13</v>
      </c>
      <c r="G100" s="12" t="s">
        <v>16</v>
      </c>
      <c r="H100" s="140">
        <v>16910</v>
      </c>
      <c r="I100" s="140">
        <v>67.609999999986002</v>
      </c>
      <c r="J100" s="147">
        <v>0</v>
      </c>
      <c r="K100" s="151">
        <v>16774</v>
      </c>
      <c r="L100" s="153">
        <v>246</v>
      </c>
      <c r="M100" s="153">
        <v>55</v>
      </c>
      <c r="N100" s="145">
        <f>(((Tabela136[[#This Row],[Objetive value Similarity]]-Tabela136[[#This Row],[Objetive value Similarity/GATeS]])/Tabela136[[#This Row],[Objetive value Similarity]]))*100</f>
        <v>0.80425783560023645</v>
      </c>
      <c r="O100" s="23">
        <v>15833</v>
      </c>
      <c r="P100" s="53">
        <v>0.76</v>
      </c>
      <c r="Q100" s="53">
        <v>0</v>
      </c>
      <c r="R100" s="55">
        <f>(((Tabela136[[#This Row],[Objetive value Similarity]]-Tabela136[[#This Row],[Objetive value Similarity/H-R1    ]])/Tabela136[[#This Row],[Objetive value Similarity]]))*100</f>
        <v>6.3690124186871673</v>
      </c>
      <c r="S100" s="96">
        <v>16293</v>
      </c>
      <c r="T100" s="21">
        <v>0.72</v>
      </c>
      <c r="U100" s="21">
        <v>0</v>
      </c>
      <c r="V100" s="144">
        <f>(((Tabela136[[#This Row],[Objetive value Similarity]]-Tabela136[[#This Row],[Objetive value Similarity/H-R2]])/Tabela136[[#This Row],[Objetive value Similarity]]))*100</f>
        <v>3.6487285629804846</v>
      </c>
    </row>
    <row r="101" spans="1:22" x14ac:dyDescent="0.25">
      <c r="A101" s="11" t="s">
        <v>224</v>
      </c>
      <c r="B101" s="12" t="s">
        <v>909</v>
      </c>
      <c r="C101" s="11">
        <v>1000</v>
      </c>
      <c r="D101" s="11">
        <v>0.05</v>
      </c>
      <c r="E101" s="11">
        <v>15</v>
      </c>
      <c r="F101" s="12" t="s">
        <v>18</v>
      </c>
      <c r="G101" s="12" t="s">
        <v>14</v>
      </c>
      <c r="H101" s="140">
        <v>27964</v>
      </c>
      <c r="I101" s="140">
        <v>12.390999999945</v>
      </c>
      <c r="J101" s="147">
        <v>16.309999999999999</v>
      </c>
      <c r="K101" s="151">
        <v>27077</v>
      </c>
      <c r="L101" s="153">
        <v>304</v>
      </c>
      <c r="M101" s="153">
        <v>110</v>
      </c>
      <c r="N101" s="145">
        <f>(((Tabela136[[#This Row],[Objetive value Similarity]]-Tabela136[[#This Row],[Objetive value Similarity/GATeS]])/Tabela136[[#This Row],[Objetive value Similarity]]))*100</f>
        <v>3.1719353454441426</v>
      </c>
      <c r="O101" s="23">
        <v>26772</v>
      </c>
      <c r="P101" s="53">
        <v>0.49</v>
      </c>
      <c r="Q101" s="53">
        <v>0</v>
      </c>
      <c r="R101" s="55">
        <f>(((Tabela136[[#This Row],[Objetive value Similarity]]-Tabela136[[#This Row],[Objetive value Similarity/H-R1    ]])/Tabela136[[#This Row],[Objetive value Similarity]]))*100</f>
        <v>4.262623372908025</v>
      </c>
      <c r="S101" s="96">
        <v>25230</v>
      </c>
      <c r="T101" s="21">
        <v>0.63</v>
      </c>
      <c r="U101" s="21">
        <v>0</v>
      </c>
      <c r="V101" s="144">
        <f>(((Tabela136[[#This Row],[Objetive value Similarity]]-Tabela136[[#This Row],[Objetive value Similarity/H-R2]])/Tabela136[[#This Row],[Objetive value Similarity]]))*100</f>
        <v>9.7768559576598477</v>
      </c>
    </row>
    <row r="102" spans="1:22" x14ac:dyDescent="0.25">
      <c r="A102" s="11" t="s">
        <v>224</v>
      </c>
      <c r="B102" s="12" t="s">
        <v>910</v>
      </c>
      <c r="C102" s="11">
        <v>1000</v>
      </c>
      <c r="D102" s="11">
        <v>0.05</v>
      </c>
      <c r="E102" s="11">
        <v>15</v>
      </c>
      <c r="F102" s="12" t="s">
        <v>18</v>
      </c>
      <c r="G102" s="12" t="s">
        <v>16</v>
      </c>
      <c r="H102" s="140">
        <v>17149</v>
      </c>
      <c r="I102" s="140">
        <v>75.202999999979497</v>
      </c>
      <c r="J102" s="147">
        <v>0.59</v>
      </c>
      <c r="K102" s="151">
        <v>16982</v>
      </c>
      <c r="L102" s="153">
        <v>341</v>
      </c>
      <c r="M102" s="153">
        <v>52</v>
      </c>
      <c r="N102" s="145">
        <f>(((Tabela136[[#This Row],[Objetive value Similarity]]-Tabela136[[#This Row],[Objetive value Similarity/GATeS]])/Tabela136[[#This Row],[Objetive value Similarity]]))*100</f>
        <v>0.97381771531867745</v>
      </c>
      <c r="O102" s="23">
        <v>17144</v>
      </c>
      <c r="P102" s="53">
        <v>0.77</v>
      </c>
      <c r="Q102" s="53">
        <v>0</v>
      </c>
      <c r="R102" s="55">
        <f>(((Tabela136[[#This Row],[Objetive value Similarity]]-Tabela136[[#This Row],[Objetive value Similarity/H-R1    ]])/Tabela136[[#This Row],[Objetive value Similarity]]))*100</f>
        <v>2.9156219021517292E-2</v>
      </c>
      <c r="S102" s="96">
        <v>16982</v>
      </c>
      <c r="T102" s="21">
        <v>0.71</v>
      </c>
      <c r="U102" s="21">
        <v>0</v>
      </c>
      <c r="V102" s="144">
        <f>(((Tabela136[[#This Row],[Objetive value Similarity]]-Tabela136[[#This Row],[Objetive value Similarity/H-R2]])/Tabela136[[#This Row],[Objetive value Similarity]]))*100</f>
        <v>0.97381771531867745</v>
      </c>
    </row>
    <row r="103" spans="1:22" x14ac:dyDescent="0.25">
      <c r="A103" s="11" t="s">
        <v>224</v>
      </c>
      <c r="B103" s="12" t="s">
        <v>911</v>
      </c>
      <c r="C103" s="11">
        <v>1000</v>
      </c>
      <c r="D103" s="11">
        <v>0.05</v>
      </c>
      <c r="E103" s="11">
        <v>15</v>
      </c>
      <c r="F103" s="12" t="s">
        <v>21</v>
      </c>
      <c r="G103" s="12" t="s">
        <v>14</v>
      </c>
      <c r="H103" s="140">
        <v>16212</v>
      </c>
      <c r="I103" s="140">
        <v>2.48399999993853</v>
      </c>
      <c r="J103" s="147">
        <v>0</v>
      </c>
      <c r="K103" s="151">
        <v>16059</v>
      </c>
      <c r="L103" s="153">
        <v>108</v>
      </c>
      <c r="M103" s="153">
        <v>78</v>
      </c>
      <c r="N103" s="145">
        <f>(((Tabela136[[#This Row],[Objetive value Similarity]]-Tabela136[[#This Row],[Objetive value Similarity/GATeS]])/Tabela136[[#This Row],[Objetive value Similarity]]))*100</f>
        <v>0.94374537379718726</v>
      </c>
      <c r="O103" s="23">
        <v>1954</v>
      </c>
      <c r="P103" s="53">
        <v>2.76</v>
      </c>
      <c r="Q103" s="53">
        <v>0</v>
      </c>
      <c r="R103" s="55">
        <f>(((Tabela136[[#This Row],[Objetive value Similarity]]-Tabela136[[#This Row],[Objetive value Similarity/H-R1    ]])/Tabela136[[#This Row],[Objetive value Similarity]]))*100</f>
        <v>87.947199605230693</v>
      </c>
      <c r="S103" s="96">
        <v>14258</v>
      </c>
      <c r="T103" s="21">
        <v>1.5</v>
      </c>
      <c r="U103" s="21">
        <v>0</v>
      </c>
      <c r="V103" s="144">
        <f>(((Tabela136[[#This Row],[Objetive value Similarity]]-Tabela136[[#This Row],[Objetive value Similarity/H-R2]])/Tabela136[[#This Row],[Objetive value Similarity]]))*100</f>
        <v>12.052800394769307</v>
      </c>
    </row>
    <row r="104" spans="1:22" x14ac:dyDescent="0.25">
      <c r="A104" s="11" t="s">
        <v>224</v>
      </c>
      <c r="B104" s="12" t="s">
        <v>912</v>
      </c>
      <c r="C104" s="11">
        <v>1000</v>
      </c>
      <c r="D104" s="11">
        <v>0.05</v>
      </c>
      <c r="E104" s="11">
        <v>15</v>
      </c>
      <c r="F104" s="12" t="s">
        <v>21</v>
      </c>
      <c r="G104" s="12" t="s">
        <v>16</v>
      </c>
      <c r="H104" s="140">
        <v>15942</v>
      </c>
      <c r="I104" s="140">
        <v>53.467999999993403</v>
      </c>
      <c r="J104" s="147">
        <v>0</v>
      </c>
      <c r="K104" s="151">
        <v>15719</v>
      </c>
      <c r="L104" s="153">
        <v>134</v>
      </c>
      <c r="M104" s="153">
        <v>119</v>
      </c>
      <c r="N104" s="145">
        <f>(((Tabela136[[#This Row],[Objetive value Similarity]]-Tabela136[[#This Row],[Objetive value Similarity/GATeS]])/Tabela136[[#This Row],[Objetive value Similarity]]))*100</f>
        <v>1.3988207251285911</v>
      </c>
      <c r="O104" s="23">
        <v>15898</v>
      </c>
      <c r="P104" s="53">
        <v>0.89</v>
      </c>
      <c r="Q104" s="53">
        <v>0</v>
      </c>
      <c r="R104" s="55">
        <f>(((Tabela136[[#This Row],[Objetive value Similarity]]-Tabela136[[#This Row],[Objetive value Similarity/H-R1    ]])/Tabela136[[#This Row],[Objetive value Similarity]]))*100</f>
        <v>0.27600050181909419</v>
      </c>
      <c r="S104" s="96">
        <v>15929</v>
      </c>
      <c r="T104" s="21">
        <v>1.1100000000000001</v>
      </c>
      <c r="U104" s="21">
        <v>0</v>
      </c>
      <c r="V104" s="144">
        <f>(((Tabela136[[#This Row],[Objetive value Similarity]]-Tabela136[[#This Row],[Objetive value Similarity/H-R2]])/Tabela136[[#This Row],[Objetive value Similarity]]))*100</f>
        <v>8.1545602810186926E-2</v>
      </c>
    </row>
    <row r="105" spans="1:22" x14ac:dyDescent="0.25">
      <c r="A105" s="29" t="s">
        <v>186</v>
      </c>
      <c r="B105" s="12" t="s">
        <v>871</v>
      </c>
      <c r="C105" s="11">
        <v>1000</v>
      </c>
      <c r="D105" s="11">
        <v>0.05</v>
      </c>
      <c r="E105" s="11">
        <v>5</v>
      </c>
      <c r="F105" s="12" t="s">
        <v>13</v>
      </c>
      <c r="G105" s="12" t="s">
        <v>14</v>
      </c>
      <c r="H105" s="140">
        <v>10426</v>
      </c>
      <c r="I105" s="140">
        <v>0.56199999991804295</v>
      </c>
      <c r="J105" s="147">
        <v>0</v>
      </c>
      <c r="K105" s="151">
        <v>10398</v>
      </c>
      <c r="L105" s="153">
        <v>111</v>
      </c>
      <c r="M105" s="153">
        <v>10</v>
      </c>
      <c r="N105" s="145">
        <f>(((Tabela136[[#This Row],[Objetive value Similarity]]-Tabela136[[#This Row],[Objetive value Similarity/GATeS]])/Tabela136[[#This Row],[Objetive value Similarity]]))*100</f>
        <v>0.2685593708037598</v>
      </c>
      <c r="O105" s="23">
        <v>10425</v>
      </c>
      <c r="P105" s="53">
        <v>0.69</v>
      </c>
      <c r="Q105" s="53">
        <v>0</v>
      </c>
      <c r="R105" s="55">
        <f>(((Tabela136[[#This Row],[Objetive value Similarity]]-Tabela136[[#This Row],[Objetive value Similarity/H-R1    ]])/Tabela136[[#This Row],[Objetive value Similarity]]))*100</f>
        <v>9.5914061001342796E-3</v>
      </c>
      <c r="S105" s="96">
        <v>10082</v>
      </c>
      <c r="T105" s="21">
        <v>0.62</v>
      </c>
      <c r="U105" s="21">
        <v>0</v>
      </c>
      <c r="V105" s="144">
        <f>(((Tabela136[[#This Row],[Objetive value Similarity]]-Tabela136[[#This Row],[Objetive value Similarity/H-R2]])/Tabela136[[#This Row],[Objetive value Similarity]]))*100</f>
        <v>3.2994436984461926</v>
      </c>
    </row>
    <row r="106" spans="1:22" x14ac:dyDescent="0.25">
      <c r="A106" s="11" t="s">
        <v>186</v>
      </c>
      <c r="B106" s="12" t="s">
        <v>872</v>
      </c>
      <c r="C106" s="11">
        <v>1000</v>
      </c>
      <c r="D106" s="11">
        <v>0.05</v>
      </c>
      <c r="E106" s="11">
        <v>5</v>
      </c>
      <c r="F106" s="12" t="s">
        <v>13</v>
      </c>
      <c r="G106" s="12" t="s">
        <v>16</v>
      </c>
      <c r="H106" s="140">
        <v>7169</v>
      </c>
      <c r="I106" s="140">
        <v>0.81200000003445805</v>
      </c>
      <c r="J106" s="147">
        <v>0</v>
      </c>
      <c r="K106" s="151">
        <v>7168</v>
      </c>
      <c r="L106" s="153">
        <v>66</v>
      </c>
      <c r="M106" s="153">
        <v>10</v>
      </c>
      <c r="N106" s="145">
        <f>(((Tabela136[[#This Row],[Objetive value Similarity]]-Tabela136[[#This Row],[Objetive value Similarity/GATeS]])/Tabela136[[#This Row],[Objetive value Similarity]]))*100</f>
        <v>1.3948946854512484E-2</v>
      </c>
      <c r="O106" s="23">
        <v>7152</v>
      </c>
      <c r="P106" s="53">
        <v>0.57999999999999996</v>
      </c>
      <c r="Q106" s="53">
        <v>0</v>
      </c>
      <c r="R106" s="55">
        <f>(((Tabela136[[#This Row],[Objetive value Similarity]]-Tabela136[[#This Row],[Objetive value Similarity/H-R1    ]])/Tabela136[[#This Row],[Objetive value Similarity]]))*100</f>
        <v>0.23713209652671224</v>
      </c>
      <c r="S106" s="96">
        <v>7169</v>
      </c>
      <c r="T106" s="21">
        <v>0.61</v>
      </c>
      <c r="U106" s="21">
        <v>0</v>
      </c>
      <c r="V106" s="144">
        <f>(((Tabela136[[#This Row],[Objetive value Similarity]]-Tabela136[[#This Row],[Objetive value Similarity/H-R2]])/Tabela136[[#This Row],[Objetive value Similarity]]))*100</f>
        <v>0</v>
      </c>
    </row>
    <row r="107" spans="1:22" x14ac:dyDescent="0.25">
      <c r="A107" s="11" t="s">
        <v>186</v>
      </c>
      <c r="B107" s="12" t="s">
        <v>873</v>
      </c>
      <c r="C107" s="11">
        <v>1000</v>
      </c>
      <c r="D107" s="11">
        <v>0.05</v>
      </c>
      <c r="E107" s="11">
        <v>5</v>
      </c>
      <c r="F107" s="12" t="s">
        <v>18</v>
      </c>
      <c r="G107" s="12" t="s">
        <v>14</v>
      </c>
      <c r="H107" s="140">
        <v>9721</v>
      </c>
      <c r="I107" s="140">
        <v>0.45299999997951002</v>
      </c>
      <c r="J107" s="147">
        <v>0</v>
      </c>
      <c r="K107" s="151">
        <v>9700</v>
      </c>
      <c r="L107" s="153">
        <v>52</v>
      </c>
      <c r="M107" s="153">
        <v>47</v>
      </c>
      <c r="N107" s="145">
        <f>(((Tabela136[[#This Row],[Objetive value Similarity]]-Tabela136[[#This Row],[Objetive value Similarity/GATeS]])/Tabela136[[#This Row],[Objetive value Similarity]]))*100</f>
        <v>0.21602715769982514</v>
      </c>
      <c r="O107" s="23">
        <v>9721</v>
      </c>
      <c r="P107" s="53">
        <v>0.53</v>
      </c>
      <c r="Q107" s="53">
        <v>0</v>
      </c>
      <c r="R107" s="55">
        <f>(((Tabela136[[#This Row],[Objetive value Similarity]]-Tabela136[[#This Row],[Objetive value Similarity/H-R1    ]])/Tabela136[[#This Row],[Objetive value Similarity]]))*100</f>
        <v>0</v>
      </c>
      <c r="S107" s="96">
        <v>9210</v>
      </c>
      <c r="T107" s="21">
        <v>0.51</v>
      </c>
      <c r="U107" s="21">
        <v>0</v>
      </c>
      <c r="V107" s="144">
        <f>(((Tabela136[[#This Row],[Objetive value Similarity]]-Tabela136[[#This Row],[Objetive value Similarity/H-R2]])/Tabela136[[#This Row],[Objetive value Similarity]]))*100</f>
        <v>5.2566608373624115</v>
      </c>
    </row>
    <row r="108" spans="1:22" x14ac:dyDescent="0.25">
      <c r="A108" s="11" t="s">
        <v>186</v>
      </c>
      <c r="B108" s="12" t="s">
        <v>874</v>
      </c>
      <c r="C108" s="11">
        <v>1000</v>
      </c>
      <c r="D108" s="11">
        <v>0.05</v>
      </c>
      <c r="E108" s="11">
        <v>5</v>
      </c>
      <c r="F108" s="12" t="s">
        <v>18</v>
      </c>
      <c r="G108" s="12" t="s">
        <v>16</v>
      </c>
      <c r="H108" s="140">
        <v>7469</v>
      </c>
      <c r="I108" s="140">
        <v>0.42200000002048899</v>
      </c>
      <c r="J108" s="147">
        <v>0</v>
      </c>
      <c r="K108" s="151">
        <v>7467</v>
      </c>
      <c r="L108" s="153">
        <v>55</v>
      </c>
      <c r="M108" s="153">
        <v>15</v>
      </c>
      <c r="N108" s="145">
        <f>(((Tabela136[[#This Row],[Objetive value Similarity]]-Tabela136[[#This Row],[Objetive value Similarity/GATeS]])/Tabela136[[#This Row],[Objetive value Similarity]]))*100</f>
        <v>2.6777346364975228E-2</v>
      </c>
      <c r="O108" s="23">
        <v>7469</v>
      </c>
      <c r="P108" s="53">
        <v>0.46</v>
      </c>
      <c r="Q108" s="53">
        <v>0</v>
      </c>
      <c r="R108" s="55">
        <f>(((Tabela136[[#This Row],[Objetive value Similarity]]-Tabela136[[#This Row],[Objetive value Similarity/H-R1    ]])/Tabela136[[#This Row],[Objetive value Similarity]]))*100</f>
        <v>0</v>
      </c>
      <c r="S108" s="96">
        <v>7469</v>
      </c>
      <c r="T108" s="21">
        <v>0.55000000000000004</v>
      </c>
      <c r="U108" s="21">
        <v>0</v>
      </c>
      <c r="V108" s="144">
        <f>(((Tabela136[[#This Row],[Objetive value Similarity]]-Tabela136[[#This Row],[Objetive value Similarity/H-R2]])/Tabela136[[#This Row],[Objetive value Similarity]]))*100</f>
        <v>0</v>
      </c>
    </row>
    <row r="109" spans="1:22" x14ac:dyDescent="0.25">
      <c r="A109" s="11" t="s">
        <v>186</v>
      </c>
      <c r="B109" s="12" t="s">
        <v>875</v>
      </c>
      <c r="C109" s="11">
        <v>1000</v>
      </c>
      <c r="D109" s="11">
        <v>0.05</v>
      </c>
      <c r="E109" s="11">
        <v>5</v>
      </c>
      <c r="F109" s="12" t="s">
        <v>21</v>
      </c>
      <c r="G109" s="12" t="s">
        <v>14</v>
      </c>
      <c r="H109" s="140">
        <v>6520</v>
      </c>
      <c r="I109" s="140">
        <v>0.43799999996554101</v>
      </c>
      <c r="J109" s="147">
        <v>0</v>
      </c>
      <c r="K109" s="151">
        <v>6500</v>
      </c>
      <c r="L109" s="153">
        <v>53</v>
      </c>
      <c r="M109" s="153">
        <v>22</v>
      </c>
      <c r="N109" s="145">
        <f>(((Tabela136[[#This Row],[Objetive value Similarity]]-Tabela136[[#This Row],[Objetive value Similarity/GATeS]])/Tabela136[[#This Row],[Objetive value Similarity]]))*100</f>
        <v>0.30674846625766872</v>
      </c>
      <c r="O109" s="23">
        <v>6520</v>
      </c>
      <c r="P109" s="53">
        <v>0.56999999999999995</v>
      </c>
      <c r="Q109" s="53">
        <v>0</v>
      </c>
      <c r="R109" s="55">
        <f>(((Tabela136[[#This Row],[Objetive value Similarity]]-Tabela136[[#This Row],[Objetive value Similarity/H-R1    ]])/Tabela136[[#This Row],[Objetive value Similarity]]))*100</f>
        <v>0</v>
      </c>
      <c r="S109" s="96">
        <v>6520</v>
      </c>
      <c r="T109" s="21">
        <v>0.57999999999999996</v>
      </c>
      <c r="U109" s="21">
        <v>0</v>
      </c>
      <c r="V109" s="144">
        <f>(((Tabela136[[#This Row],[Objetive value Similarity]]-Tabela136[[#This Row],[Objetive value Similarity/H-R2]])/Tabela136[[#This Row],[Objetive value Similarity]]))*100</f>
        <v>0</v>
      </c>
    </row>
    <row r="110" spans="1:22" x14ac:dyDescent="0.25">
      <c r="A110" s="11" t="s">
        <v>186</v>
      </c>
      <c r="B110" s="12" t="s">
        <v>876</v>
      </c>
      <c r="C110" s="11">
        <v>1000</v>
      </c>
      <c r="D110" s="11">
        <v>0.05</v>
      </c>
      <c r="E110" s="11">
        <v>5</v>
      </c>
      <c r="F110" s="12" t="s">
        <v>21</v>
      </c>
      <c r="G110" s="12" t="s">
        <v>16</v>
      </c>
      <c r="H110" s="140">
        <v>7072</v>
      </c>
      <c r="I110" s="140">
        <v>0.54700000002048899</v>
      </c>
      <c r="J110" s="147">
        <v>0</v>
      </c>
      <c r="K110" s="151">
        <v>7066</v>
      </c>
      <c r="L110" s="153">
        <v>54</v>
      </c>
      <c r="M110" s="153">
        <v>36</v>
      </c>
      <c r="N110" s="145">
        <f>(((Tabela136[[#This Row],[Objetive value Similarity]]-Tabela136[[#This Row],[Objetive value Similarity/GATeS]])/Tabela136[[#This Row],[Objetive value Similarity]]))*100</f>
        <v>8.4841628959276022E-2</v>
      </c>
      <c r="O110" s="23">
        <v>7040</v>
      </c>
      <c r="P110" s="53">
        <v>0.7</v>
      </c>
      <c r="Q110" s="53">
        <v>0</v>
      </c>
      <c r="R110" s="55">
        <f>(((Tabela136[[#This Row],[Objetive value Similarity]]-Tabela136[[#This Row],[Objetive value Similarity/H-R1    ]])/Tabela136[[#This Row],[Objetive value Similarity]]))*100</f>
        <v>0.45248868778280549</v>
      </c>
      <c r="S110" s="96">
        <v>6483</v>
      </c>
      <c r="T110" s="21">
        <v>0.6</v>
      </c>
      <c r="U110" s="21">
        <v>0</v>
      </c>
      <c r="V110" s="144">
        <f>(((Tabela136[[#This Row],[Objetive value Similarity]]-Tabela136[[#This Row],[Objetive value Similarity/H-R2]])/Tabela136[[#This Row],[Objetive value Similarity]]))*100</f>
        <v>8.3286199095022617</v>
      </c>
    </row>
    <row r="111" spans="1:22" x14ac:dyDescent="0.25">
      <c r="A111" s="11" t="s">
        <v>262</v>
      </c>
      <c r="B111" s="30" t="s">
        <v>949</v>
      </c>
      <c r="C111" s="11">
        <v>2000</v>
      </c>
      <c r="D111" s="47">
        <v>0.1</v>
      </c>
      <c r="E111" s="11">
        <v>10</v>
      </c>
      <c r="F111" s="12" t="s">
        <v>13</v>
      </c>
      <c r="G111" s="12" t="s">
        <v>14</v>
      </c>
      <c r="H111" s="140">
        <v>29144</v>
      </c>
      <c r="I111" s="140">
        <v>12.0470000000204</v>
      </c>
      <c r="J111" s="147">
        <v>44.58</v>
      </c>
      <c r="K111" s="151">
        <v>29011</v>
      </c>
      <c r="L111" s="153">
        <v>170</v>
      </c>
      <c r="M111" s="153">
        <v>106</v>
      </c>
      <c r="N111" s="145">
        <f>(((Tabela136[[#This Row],[Objetive value Similarity]]-Tabela136[[#This Row],[Objetive value Similarity/GATeS]])/Tabela136[[#This Row],[Objetive value Similarity]]))*100</f>
        <v>0.45635465275871534</v>
      </c>
      <c r="O111" s="23">
        <v>28631</v>
      </c>
      <c r="P111" s="53">
        <v>1.08</v>
      </c>
      <c r="Q111" s="53">
        <v>0</v>
      </c>
      <c r="R111" s="55">
        <f>(((Tabela136[[#This Row],[Objetive value Similarity]]-Tabela136[[#This Row],[Objetive value Similarity/H-R1    ]])/Tabela136[[#This Row],[Objetive value Similarity]]))*100</f>
        <v>1.7602250892121876</v>
      </c>
      <c r="S111" s="96">
        <v>24887</v>
      </c>
      <c r="T111" s="21">
        <v>0.99</v>
      </c>
      <c r="U111" s="21">
        <v>0</v>
      </c>
      <c r="V111" s="144">
        <f>(((Tabela136[[#This Row],[Objetive value Similarity]]-Tabela136[[#This Row],[Objetive value Similarity/H-R2]])/Tabela136[[#This Row],[Objetive value Similarity]]))*100</f>
        <v>14.606780126269559</v>
      </c>
    </row>
    <row r="112" spans="1:22" x14ac:dyDescent="0.25">
      <c r="A112" s="11" t="s">
        <v>262</v>
      </c>
      <c r="B112" s="12" t="s">
        <v>950</v>
      </c>
      <c r="C112" s="11">
        <v>2000</v>
      </c>
      <c r="D112" s="47">
        <v>0.1</v>
      </c>
      <c r="E112" s="11">
        <v>10</v>
      </c>
      <c r="F112" s="12" t="s">
        <v>13</v>
      </c>
      <c r="G112" s="12" t="s">
        <v>16</v>
      </c>
      <c r="H112" s="140">
        <v>23079</v>
      </c>
      <c r="I112" s="140">
        <v>20.359000000054898</v>
      </c>
      <c r="J112" s="147">
        <v>0</v>
      </c>
      <c r="K112" s="151">
        <v>22823</v>
      </c>
      <c r="L112" s="153">
        <v>379</v>
      </c>
      <c r="M112" s="153">
        <v>323</v>
      </c>
      <c r="N112" s="145">
        <f>(((Tabela136[[#This Row],[Objetive value Similarity]]-Tabela136[[#This Row],[Objetive value Similarity/GATeS]])/Tabela136[[#This Row],[Objetive value Similarity]]))*100</f>
        <v>1.1092335023181248</v>
      </c>
      <c r="O112" s="23">
        <v>21519</v>
      </c>
      <c r="P112" s="53">
        <v>1.34</v>
      </c>
      <c r="Q112" s="53">
        <v>0</v>
      </c>
      <c r="R112" s="55">
        <f>(((Tabela136[[#This Row],[Objetive value Similarity]]-Tabela136[[#This Row],[Objetive value Similarity/H-R1    ]])/Tabela136[[#This Row],[Objetive value Similarity]]))*100</f>
        <v>6.759391654751072</v>
      </c>
      <c r="S112" s="96">
        <v>21734</v>
      </c>
      <c r="T112" s="21">
        <v>1.08</v>
      </c>
      <c r="U112" s="21">
        <v>0</v>
      </c>
      <c r="V112" s="144">
        <f>(((Tabela136[[#This Row],[Objetive value Similarity]]-Tabela136[[#This Row],[Objetive value Similarity/H-R2]])/Tabela136[[#This Row],[Objetive value Similarity]]))*100</f>
        <v>5.8278088305385847</v>
      </c>
    </row>
    <row r="113" spans="1:22" x14ac:dyDescent="0.25">
      <c r="A113" s="11" t="s">
        <v>262</v>
      </c>
      <c r="B113" s="12" t="s">
        <v>951</v>
      </c>
      <c r="C113" s="11">
        <v>2000</v>
      </c>
      <c r="D113" s="24">
        <v>0.1</v>
      </c>
      <c r="E113" s="11">
        <v>10</v>
      </c>
      <c r="F113" s="12" t="s">
        <v>18</v>
      </c>
      <c r="G113" s="12" t="s">
        <v>14</v>
      </c>
      <c r="H113" s="140">
        <v>42753</v>
      </c>
      <c r="I113" s="140">
        <v>7.1870000000344501</v>
      </c>
      <c r="J113" s="147">
        <v>0</v>
      </c>
      <c r="K113" s="151">
        <v>40253</v>
      </c>
      <c r="L113" s="153">
        <v>210</v>
      </c>
      <c r="M113" s="153">
        <v>25</v>
      </c>
      <c r="N113" s="145">
        <f>(((Tabela136[[#This Row],[Objetive value Similarity]]-Tabela136[[#This Row],[Objetive value Similarity/GATeS]])/Tabela136[[#This Row],[Objetive value Similarity]]))*100</f>
        <v>5.8475428624891821</v>
      </c>
      <c r="O113" s="23">
        <v>38504</v>
      </c>
      <c r="P113" s="53">
        <v>0.82</v>
      </c>
      <c r="Q113" s="53">
        <v>0</v>
      </c>
      <c r="R113" s="55">
        <f>(((Tabela136[[#This Row],[Objetive value Similarity]]-Tabela136[[#This Row],[Objetive value Similarity/H-R1    ]])/Tabela136[[#This Row],[Objetive value Similarity]]))*100</f>
        <v>9.9384838490866141</v>
      </c>
      <c r="S113" s="96">
        <v>38778</v>
      </c>
      <c r="T113" s="21">
        <v>1.2</v>
      </c>
      <c r="U113" s="21">
        <v>0</v>
      </c>
      <c r="V113" s="144">
        <f>(((Tabela136[[#This Row],[Objetive value Similarity]]-Tabela136[[#This Row],[Objetive value Similarity/H-R2]])/Tabela136[[#This Row],[Objetive value Similarity]]))*100</f>
        <v>9.2975931513578001</v>
      </c>
    </row>
    <row r="114" spans="1:22" x14ac:dyDescent="0.25">
      <c r="A114" s="11" t="s">
        <v>262</v>
      </c>
      <c r="B114" s="12" t="s">
        <v>952</v>
      </c>
      <c r="C114" s="11">
        <v>2000</v>
      </c>
      <c r="D114" s="24">
        <v>0.1</v>
      </c>
      <c r="E114" s="11">
        <v>10</v>
      </c>
      <c r="F114" s="12" t="s">
        <v>18</v>
      </c>
      <c r="G114" s="12" t="s">
        <v>16</v>
      </c>
      <c r="H114" s="140">
        <v>23414</v>
      </c>
      <c r="I114" s="140">
        <v>19.061999999918001</v>
      </c>
      <c r="J114" s="147">
        <v>0</v>
      </c>
      <c r="K114" s="151">
        <v>22849</v>
      </c>
      <c r="L114" s="153">
        <v>338</v>
      </c>
      <c r="M114" s="153">
        <v>105</v>
      </c>
      <c r="N114" s="145">
        <f>(((Tabela136[[#This Row],[Objetive value Similarity]]-Tabela136[[#This Row],[Objetive value Similarity/GATeS]])/Tabela136[[#This Row],[Objetive value Similarity]]))*100</f>
        <v>2.4130861877509182</v>
      </c>
      <c r="O114" s="23">
        <v>23413</v>
      </c>
      <c r="P114" s="53">
        <v>1.47</v>
      </c>
      <c r="Q114" s="53">
        <v>0</v>
      </c>
      <c r="R114" s="55">
        <f>(((Tabela136[[#This Row],[Objetive value Similarity]]-Tabela136[[#This Row],[Objetive value Similarity/H-R1    ]])/Tabela136[[#This Row],[Objetive value Similarity]]))*100</f>
        <v>4.2709490048688818E-3</v>
      </c>
      <c r="S114" s="96">
        <v>22391</v>
      </c>
      <c r="T114" s="21">
        <v>0.82</v>
      </c>
      <c r="U114" s="21">
        <v>0</v>
      </c>
      <c r="V114" s="144">
        <f>(((Tabela136[[#This Row],[Objetive value Similarity]]-Tabela136[[#This Row],[Objetive value Similarity/H-R2]])/Tabela136[[#This Row],[Objetive value Similarity]]))*100</f>
        <v>4.3691808319808665</v>
      </c>
    </row>
    <row r="115" spans="1:22" x14ac:dyDescent="0.25">
      <c r="A115" s="11" t="s">
        <v>262</v>
      </c>
      <c r="B115" s="12" t="s">
        <v>953</v>
      </c>
      <c r="C115" s="11">
        <v>2000</v>
      </c>
      <c r="D115" s="47">
        <v>0.1</v>
      </c>
      <c r="E115" s="11">
        <v>10</v>
      </c>
      <c r="F115" s="12" t="s">
        <v>21</v>
      </c>
      <c r="G115" s="12" t="s">
        <v>14</v>
      </c>
      <c r="H115" s="140">
        <v>32802</v>
      </c>
      <c r="I115" s="140">
        <v>5.6719999999040702</v>
      </c>
      <c r="J115" s="147">
        <v>0</v>
      </c>
      <c r="K115" s="151">
        <v>31838</v>
      </c>
      <c r="L115" s="153">
        <v>120</v>
      </c>
      <c r="M115" s="153">
        <v>86</v>
      </c>
      <c r="N115" s="145">
        <f>(((Tabela136[[#This Row],[Objetive value Similarity]]-Tabela136[[#This Row],[Objetive value Similarity/GATeS]])/Tabela136[[#This Row],[Objetive value Similarity]]))*100</f>
        <v>2.938845192366319</v>
      </c>
      <c r="O115" s="23">
        <v>27908</v>
      </c>
      <c r="P115" s="53">
        <v>2.13</v>
      </c>
      <c r="Q115" s="53">
        <v>0</v>
      </c>
      <c r="R115" s="55">
        <f>(((Tabela136[[#This Row],[Objetive value Similarity]]-Tabela136[[#This Row],[Objetive value Similarity/H-R1    ]])/Tabela136[[#This Row],[Objetive value Similarity]]))*100</f>
        <v>14.919821962075483</v>
      </c>
      <c r="S115" s="96">
        <v>32499</v>
      </c>
      <c r="T115" s="21">
        <v>0.85</v>
      </c>
      <c r="U115" s="21">
        <v>0</v>
      </c>
      <c r="V115" s="144">
        <f>(((Tabela136[[#This Row],[Objetive value Similarity]]-Tabela136[[#This Row],[Objetive value Similarity/H-R2]])/Tabela136[[#This Row],[Objetive value Similarity]]))*100</f>
        <v>0.92372416316078287</v>
      </c>
    </row>
    <row r="116" spans="1:22" x14ac:dyDescent="0.25">
      <c r="A116" s="11" t="s">
        <v>262</v>
      </c>
      <c r="B116" s="12" t="s">
        <v>954</v>
      </c>
      <c r="C116" s="11">
        <v>2000</v>
      </c>
      <c r="D116" s="47">
        <v>0.1</v>
      </c>
      <c r="E116" s="11">
        <v>10</v>
      </c>
      <c r="F116" s="12" t="s">
        <v>21</v>
      </c>
      <c r="G116" s="12" t="s">
        <v>16</v>
      </c>
      <c r="H116" s="140">
        <v>24514</v>
      </c>
      <c r="I116" s="140">
        <v>11.125</v>
      </c>
      <c r="J116" s="147">
        <v>0</v>
      </c>
      <c r="K116" s="151">
        <v>24366</v>
      </c>
      <c r="L116" s="153">
        <v>203</v>
      </c>
      <c r="M116" s="153">
        <v>21</v>
      </c>
      <c r="N116" s="145">
        <f>(((Tabela136[[#This Row],[Objetive value Similarity]]-Tabela136[[#This Row],[Objetive value Similarity/GATeS]])/Tabela136[[#This Row],[Objetive value Similarity]]))*100</f>
        <v>0.60373664028718288</v>
      </c>
      <c r="O116" s="23">
        <v>23152</v>
      </c>
      <c r="P116" s="53">
        <v>1.32</v>
      </c>
      <c r="Q116" s="53">
        <v>0</v>
      </c>
      <c r="R116" s="55">
        <f>(((Tabela136[[#This Row],[Objetive value Similarity]]-Tabela136[[#This Row],[Objetive value Similarity/H-R1    ]])/Tabela136[[#This Row],[Objetive value Similarity]]))*100</f>
        <v>5.5560088112915063</v>
      </c>
      <c r="S116" s="96">
        <v>22836</v>
      </c>
      <c r="T116" s="21">
        <v>0.88</v>
      </c>
      <c r="U116" s="21">
        <v>0</v>
      </c>
      <c r="V116" s="144">
        <f>(((Tabela136[[#This Row],[Objetive value Similarity]]-Tabela136[[#This Row],[Objetive value Similarity/H-R2]])/Tabela136[[#This Row],[Objetive value Similarity]]))*100</f>
        <v>6.8450681243371125</v>
      </c>
    </row>
    <row r="117" spans="1:22" x14ac:dyDescent="0.25">
      <c r="A117" s="11" t="s">
        <v>281</v>
      </c>
      <c r="B117" s="30" t="s">
        <v>967</v>
      </c>
      <c r="C117" s="11">
        <v>2000</v>
      </c>
      <c r="D117" s="24">
        <v>0.1</v>
      </c>
      <c r="E117" s="11">
        <v>15</v>
      </c>
      <c r="F117" s="12" t="s">
        <v>13</v>
      </c>
      <c r="G117" s="12" t="s">
        <v>14</v>
      </c>
      <c r="H117" s="140">
        <v>64307</v>
      </c>
      <c r="I117" s="140">
        <v>48.202999999979497</v>
      </c>
      <c r="J117" s="147">
        <v>2.8</v>
      </c>
      <c r="K117" s="151">
        <v>61634</v>
      </c>
      <c r="L117" s="153">
        <v>408</v>
      </c>
      <c r="M117" s="153">
        <v>139</v>
      </c>
      <c r="N117" s="145">
        <f>(((Tabela136[[#This Row],[Objetive value Similarity]]-Tabela136[[#This Row],[Objetive value Similarity/GATeS]])/Tabela136[[#This Row],[Objetive value Similarity]]))*100</f>
        <v>4.1566236957096425</v>
      </c>
      <c r="O117" s="23">
        <v>61754</v>
      </c>
      <c r="P117" s="53">
        <v>1.35</v>
      </c>
      <c r="Q117" s="53">
        <v>0</v>
      </c>
      <c r="R117" s="55">
        <f>(((Tabela136[[#This Row],[Objetive value Similarity]]-Tabela136[[#This Row],[Objetive value Similarity/H-R1    ]])/Tabela136[[#This Row],[Objetive value Similarity]]))*100</f>
        <v>3.970018815992038</v>
      </c>
      <c r="S117" s="96">
        <v>54954</v>
      </c>
      <c r="T117" s="21">
        <v>0.79</v>
      </c>
      <c r="U117" s="21">
        <v>0</v>
      </c>
      <c r="V117" s="144">
        <f>(((Tabela136[[#This Row],[Objetive value Similarity]]-Tabela136[[#This Row],[Objetive value Similarity/H-R2]])/Tabela136[[#This Row],[Objetive value Similarity]]))*100</f>
        <v>14.544295333322966</v>
      </c>
    </row>
    <row r="118" spans="1:22" x14ac:dyDescent="0.25">
      <c r="A118" s="11" t="s">
        <v>281</v>
      </c>
      <c r="B118" s="12" t="s">
        <v>968</v>
      </c>
      <c r="C118" s="11">
        <v>2000</v>
      </c>
      <c r="D118" s="24">
        <v>0.1</v>
      </c>
      <c r="E118" s="11">
        <v>15</v>
      </c>
      <c r="F118" s="12" t="s">
        <v>13</v>
      </c>
      <c r="G118" s="12" t="s">
        <v>16</v>
      </c>
      <c r="H118" s="140">
        <v>34506</v>
      </c>
      <c r="I118" s="140">
        <v>217.812000000034</v>
      </c>
      <c r="J118" s="147">
        <v>0.83</v>
      </c>
      <c r="K118" s="151">
        <v>33860</v>
      </c>
      <c r="L118" s="153">
        <v>423</v>
      </c>
      <c r="M118" s="153">
        <v>158</v>
      </c>
      <c r="N118" s="145">
        <f>(((Tabela136[[#This Row],[Objetive value Similarity]]-Tabela136[[#This Row],[Objetive value Similarity/GATeS]])/Tabela136[[#This Row],[Objetive value Similarity]]))*100</f>
        <v>1.8721381788674434</v>
      </c>
      <c r="O118" s="23">
        <v>32719</v>
      </c>
      <c r="P118" s="53">
        <v>1.3</v>
      </c>
      <c r="Q118" s="53">
        <v>0</v>
      </c>
      <c r="R118" s="55">
        <f>(((Tabela136[[#This Row],[Objetive value Similarity]]-Tabela136[[#This Row],[Objetive value Similarity/H-R1    ]])/Tabela136[[#This Row],[Objetive value Similarity]]))*100</f>
        <v>5.1788094824088562</v>
      </c>
      <c r="S118" s="96">
        <v>32987</v>
      </c>
      <c r="T118" s="21">
        <v>1.34</v>
      </c>
      <c r="U118" s="21">
        <v>0</v>
      </c>
      <c r="V118" s="144">
        <f>(((Tabela136[[#This Row],[Objetive value Similarity]]-Tabela136[[#This Row],[Objetive value Similarity/H-R2]])/Tabela136[[#This Row],[Objetive value Similarity]]))*100</f>
        <v>4.4021329623833534</v>
      </c>
    </row>
    <row r="119" spans="1:22" x14ac:dyDescent="0.25">
      <c r="A119" s="11" t="s">
        <v>281</v>
      </c>
      <c r="B119" s="12" t="s">
        <v>969</v>
      </c>
      <c r="C119" s="11">
        <v>2000</v>
      </c>
      <c r="D119" s="24">
        <v>0.1</v>
      </c>
      <c r="E119" s="11">
        <v>15</v>
      </c>
      <c r="F119" s="11" t="s">
        <v>18</v>
      </c>
      <c r="G119" s="12" t="s">
        <v>14</v>
      </c>
      <c r="H119" s="140">
        <v>65970</v>
      </c>
      <c r="I119" s="140">
        <v>23.625</v>
      </c>
      <c r="J119" s="147">
        <v>12.08</v>
      </c>
      <c r="K119" s="151">
        <v>63951</v>
      </c>
      <c r="L119" s="153">
        <v>374</v>
      </c>
      <c r="M119" s="153">
        <v>242</v>
      </c>
      <c r="N119" s="145">
        <f>(((Tabela136[[#This Row],[Objetive value Similarity]]-Tabela136[[#This Row],[Objetive value Similarity/GATeS]])/Tabela136[[#This Row],[Objetive value Similarity]]))*100</f>
        <v>3.060482037289677</v>
      </c>
      <c r="O119" s="23">
        <v>64039</v>
      </c>
      <c r="P119" s="53">
        <v>1.08</v>
      </c>
      <c r="Q119" s="53">
        <v>0</v>
      </c>
      <c r="R119" s="55">
        <f>(((Tabela136[[#This Row],[Objetive value Similarity]]-Tabela136[[#This Row],[Objetive value Similarity/H-R1    ]])/Tabela136[[#This Row],[Objetive value Similarity]]))*100</f>
        <v>2.9270880703350008</v>
      </c>
      <c r="S119" s="96">
        <v>63745</v>
      </c>
      <c r="T119" s="21">
        <v>1.1200000000000001</v>
      </c>
      <c r="U119" s="21">
        <v>0</v>
      </c>
      <c r="V119" s="144">
        <f>(((Tabela136[[#This Row],[Objetive value Similarity]]-Tabela136[[#This Row],[Objetive value Similarity/H-R2]])/Tabela136[[#This Row],[Objetive value Similarity]]))*100</f>
        <v>3.3727451872063061</v>
      </c>
    </row>
    <row r="120" spans="1:22" x14ac:dyDescent="0.25">
      <c r="A120" s="11" t="s">
        <v>281</v>
      </c>
      <c r="B120" s="12" t="s">
        <v>970</v>
      </c>
      <c r="C120" s="11">
        <v>2000</v>
      </c>
      <c r="D120" s="24">
        <v>0.1</v>
      </c>
      <c r="E120" s="11">
        <v>15</v>
      </c>
      <c r="F120" s="11" t="s">
        <v>18</v>
      </c>
      <c r="G120" s="12" t="s">
        <v>16</v>
      </c>
      <c r="H120" s="140">
        <v>33465</v>
      </c>
      <c r="I120" s="140">
        <v>219.18699999991799</v>
      </c>
      <c r="J120" s="147">
        <v>0</v>
      </c>
      <c r="K120" s="151">
        <v>32392</v>
      </c>
      <c r="L120" s="153">
        <v>741</v>
      </c>
      <c r="M120" s="153">
        <v>522</v>
      </c>
      <c r="N120" s="145">
        <f>(((Tabela136[[#This Row],[Objetive value Similarity]]-Tabela136[[#This Row],[Objetive value Similarity/GATeS]])/Tabela136[[#This Row],[Objetive value Similarity]]))*100</f>
        <v>3.2063349768414762</v>
      </c>
      <c r="O120" s="23">
        <v>32238</v>
      </c>
      <c r="P120" s="53">
        <v>1.7</v>
      </c>
      <c r="Q120" s="53">
        <v>0</v>
      </c>
      <c r="R120" s="55">
        <f>(((Tabela136[[#This Row],[Objetive value Similarity]]-Tabela136[[#This Row],[Objetive value Similarity/H-R1    ]])/Tabela136[[#This Row],[Objetive value Similarity]]))*100</f>
        <v>3.6665172568354998</v>
      </c>
      <c r="S120" s="96">
        <v>32728</v>
      </c>
      <c r="T120" s="21">
        <v>1.03</v>
      </c>
      <c r="U120" s="21">
        <v>0</v>
      </c>
      <c r="V120" s="144">
        <f>(((Tabela136[[#This Row],[Objetive value Similarity]]-Tabela136[[#This Row],[Objetive value Similarity/H-R2]])/Tabela136[[#This Row],[Objetive value Similarity]]))*100</f>
        <v>2.2023009113999703</v>
      </c>
    </row>
    <row r="121" spans="1:22" x14ac:dyDescent="0.25">
      <c r="A121" s="11" t="s">
        <v>281</v>
      </c>
      <c r="B121" s="12" t="s">
        <v>971</v>
      </c>
      <c r="C121" s="11">
        <v>2000</v>
      </c>
      <c r="D121" s="24">
        <v>0.1</v>
      </c>
      <c r="E121" s="11">
        <v>15</v>
      </c>
      <c r="F121" s="12" t="s">
        <v>21</v>
      </c>
      <c r="G121" s="12" t="s">
        <v>14</v>
      </c>
      <c r="H121" s="140">
        <v>46983</v>
      </c>
      <c r="I121" s="140">
        <v>7.9690000000409702</v>
      </c>
      <c r="J121" s="147">
        <v>0</v>
      </c>
      <c r="K121" s="151">
        <v>46815</v>
      </c>
      <c r="L121" s="153">
        <v>229</v>
      </c>
      <c r="M121" s="153">
        <v>33</v>
      </c>
      <c r="N121" s="145">
        <f>(((Tabela136[[#This Row],[Objetive value Similarity]]-Tabela136[[#This Row],[Objetive value Similarity/GATeS]])/Tabela136[[#This Row],[Objetive value Similarity]]))*100</f>
        <v>0.35757614456292702</v>
      </c>
      <c r="O121" s="23">
        <v>13537</v>
      </c>
      <c r="P121" s="53">
        <v>4.8</v>
      </c>
      <c r="Q121" s="53">
        <v>0</v>
      </c>
      <c r="R121" s="55">
        <f>(((Tabela136[[#This Row],[Objetive value Similarity]]-Tabela136[[#This Row],[Objetive value Similarity/H-R1    ]])/Tabela136[[#This Row],[Objetive value Similarity]]))*100</f>
        <v>71.187450780069383</v>
      </c>
      <c r="S121" s="96">
        <v>36286</v>
      </c>
      <c r="T121" s="21">
        <v>2.94</v>
      </c>
      <c r="U121" s="21">
        <v>0</v>
      </c>
      <c r="V121" s="144">
        <f>(((Tabela136[[#This Row],[Objetive value Similarity]]-Tabela136[[#This Row],[Objetive value Similarity/H-R2]])/Tabela136[[#This Row],[Objetive value Similarity]]))*100</f>
        <v>22.767809633271611</v>
      </c>
    </row>
    <row r="122" spans="1:22" x14ac:dyDescent="0.25">
      <c r="A122" s="11" t="s">
        <v>281</v>
      </c>
      <c r="B122" s="12" t="s">
        <v>972</v>
      </c>
      <c r="C122" s="11">
        <v>2000</v>
      </c>
      <c r="D122" s="24">
        <v>0.1</v>
      </c>
      <c r="E122" s="11">
        <v>15</v>
      </c>
      <c r="F122" s="12" t="s">
        <v>21</v>
      </c>
      <c r="G122" s="12" t="s">
        <v>16</v>
      </c>
      <c r="H122" s="140">
        <v>34958.000000000102</v>
      </c>
      <c r="I122" s="140">
        <v>164.827999999979</v>
      </c>
      <c r="J122" s="147">
        <v>0.23</v>
      </c>
      <c r="K122" s="151">
        <v>34549</v>
      </c>
      <c r="L122" s="153">
        <v>463</v>
      </c>
      <c r="M122" s="153">
        <v>382</v>
      </c>
      <c r="N122" s="145">
        <f>(((Tabela136[[#This Row],[Objetive value Similarity]]-Tabela136[[#This Row],[Objetive value Similarity/GATeS]])/Tabela136[[#This Row],[Objetive value Similarity]]))*100</f>
        <v>1.169975399050577</v>
      </c>
      <c r="O122" s="23">
        <v>34812</v>
      </c>
      <c r="P122" s="53">
        <v>1.34</v>
      </c>
      <c r="Q122" s="53">
        <v>0</v>
      </c>
      <c r="R122" s="55">
        <f>(((Tabela136[[#This Row],[Objetive value Similarity]]-Tabela136[[#This Row],[Objetive value Similarity/H-R1    ]])/Tabela136[[#This Row],[Objetive value Similarity]]))*100</f>
        <v>0.41764402997912187</v>
      </c>
      <c r="S122" s="96">
        <v>34958</v>
      </c>
      <c r="T122" s="21">
        <v>1.56</v>
      </c>
      <c r="U122" s="21">
        <v>0</v>
      </c>
      <c r="V122" s="144">
        <f>(((Tabela136[[#This Row],[Objetive value Similarity]]-Tabela136[[#This Row],[Objetive value Similarity/H-R2]])/Tabela136[[#This Row],[Objetive value Similarity]]))*100</f>
        <v>2.9138797013149398E-13</v>
      </c>
    </row>
    <row r="123" spans="1:22" x14ac:dyDescent="0.25">
      <c r="A123" s="11" t="s">
        <v>243</v>
      </c>
      <c r="B123" s="30" t="s">
        <v>931</v>
      </c>
      <c r="C123" s="11">
        <v>2000</v>
      </c>
      <c r="D123" s="24">
        <v>0.1</v>
      </c>
      <c r="E123" s="11">
        <v>5</v>
      </c>
      <c r="F123" s="12" t="s">
        <v>13</v>
      </c>
      <c r="G123" s="12" t="s">
        <v>14</v>
      </c>
      <c r="H123" s="140">
        <v>19216</v>
      </c>
      <c r="I123" s="140">
        <v>1.875</v>
      </c>
      <c r="J123" s="147">
        <v>0</v>
      </c>
      <c r="K123" s="151">
        <v>19180</v>
      </c>
      <c r="L123" s="153">
        <v>73</v>
      </c>
      <c r="M123" s="153">
        <v>23</v>
      </c>
      <c r="N123" s="145">
        <f>(((Tabela136[[#This Row],[Objetive value Similarity]]-Tabela136[[#This Row],[Objetive value Similarity/GATeS]])/Tabela136[[#This Row],[Objetive value Similarity]]))*100</f>
        <v>0.18734388009991673</v>
      </c>
      <c r="O123" s="23">
        <v>19215</v>
      </c>
      <c r="P123" s="53">
        <v>0.66</v>
      </c>
      <c r="Q123" s="53">
        <v>0</v>
      </c>
      <c r="R123" s="55">
        <f>(((Tabela136[[#This Row],[Objetive value Similarity]]-Tabela136[[#This Row],[Objetive value Similarity/H-R1    ]])/Tabela136[[#This Row],[Objetive value Similarity]]))*100</f>
        <v>5.2039966694421317E-3</v>
      </c>
      <c r="S123" s="96">
        <v>17278</v>
      </c>
      <c r="T123" s="21">
        <v>0.65</v>
      </c>
      <c r="U123" s="21">
        <v>0</v>
      </c>
      <c r="V123" s="144">
        <f>(((Tabela136[[#This Row],[Objetive value Similarity]]-Tabela136[[#This Row],[Objetive value Similarity/H-R2]])/Tabela136[[#This Row],[Objetive value Similarity]]))*100</f>
        <v>10.085345545378852</v>
      </c>
    </row>
    <row r="124" spans="1:22" x14ac:dyDescent="0.25">
      <c r="A124" s="11" t="s">
        <v>243</v>
      </c>
      <c r="B124" s="12" t="s">
        <v>932</v>
      </c>
      <c r="C124" s="11">
        <v>2000</v>
      </c>
      <c r="D124" s="24">
        <v>0.1</v>
      </c>
      <c r="E124" s="11">
        <v>5</v>
      </c>
      <c r="F124" s="12" t="s">
        <v>13</v>
      </c>
      <c r="G124" s="12" t="s">
        <v>16</v>
      </c>
      <c r="H124" s="140">
        <v>14399</v>
      </c>
      <c r="I124" s="140">
        <v>2.4370000000344501</v>
      </c>
      <c r="J124" s="147">
        <v>0</v>
      </c>
      <c r="K124" s="151">
        <v>14289</v>
      </c>
      <c r="L124" s="153">
        <v>78</v>
      </c>
      <c r="M124" s="153">
        <v>4</v>
      </c>
      <c r="N124" s="145">
        <f>(((Tabela136[[#This Row],[Objetive value Similarity]]-Tabela136[[#This Row],[Objetive value Similarity/GATeS]])/Tabela136[[#This Row],[Objetive value Similarity]]))*100</f>
        <v>0.76394194041252872</v>
      </c>
      <c r="O124" s="23">
        <v>14113</v>
      </c>
      <c r="P124" s="53">
        <v>0.81</v>
      </c>
      <c r="Q124" s="53">
        <v>0</v>
      </c>
      <c r="R124" s="55">
        <f>(((Tabela136[[#This Row],[Objetive value Similarity]]-Tabela136[[#This Row],[Objetive value Similarity/H-R1    ]])/Tabela136[[#This Row],[Objetive value Similarity]]))*100</f>
        <v>1.9862490450725745</v>
      </c>
      <c r="S124" s="96">
        <v>14384</v>
      </c>
      <c r="T124" s="21">
        <v>0.74</v>
      </c>
      <c r="U124" s="21">
        <v>0</v>
      </c>
      <c r="V124" s="144">
        <f>(((Tabela136[[#This Row],[Objetive value Similarity]]-Tabela136[[#This Row],[Objetive value Similarity/H-R2]])/Tabela136[[#This Row],[Objetive value Similarity]]))*100</f>
        <v>0.10417390096534483</v>
      </c>
    </row>
    <row r="125" spans="1:22" x14ac:dyDescent="0.25">
      <c r="A125" s="11" t="s">
        <v>243</v>
      </c>
      <c r="B125" s="12" t="s">
        <v>933</v>
      </c>
      <c r="C125" s="11">
        <v>2000</v>
      </c>
      <c r="D125" s="24">
        <v>0.1</v>
      </c>
      <c r="E125" s="11">
        <v>5</v>
      </c>
      <c r="F125" s="11" t="s">
        <v>18</v>
      </c>
      <c r="G125" s="12" t="s">
        <v>14</v>
      </c>
      <c r="H125" s="140">
        <v>18990</v>
      </c>
      <c r="I125" s="140">
        <v>2.4540000000269999</v>
      </c>
      <c r="J125" s="147">
        <v>0</v>
      </c>
      <c r="K125" s="151">
        <v>18936</v>
      </c>
      <c r="L125" s="153">
        <v>65</v>
      </c>
      <c r="M125" s="153">
        <v>28</v>
      </c>
      <c r="N125" s="145">
        <f>(((Tabela136[[#This Row],[Objetive value Similarity]]-Tabela136[[#This Row],[Objetive value Similarity/GATeS]])/Tabela136[[#This Row],[Objetive value Similarity]]))*100</f>
        <v>0.28436018957345971</v>
      </c>
      <c r="O125" s="23">
        <v>18990</v>
      </c>
      <c r="P125" s="53">
        <v>0.97</v>
      </c>
      <c r="Q125" s="53">
        <v>0</v>
      </c>
      <c r="R125" s="55">
        <f>(((Tabela136[[#This Row],[Objetive value Similarity]]-Tabela136[[#This Row],[Objetive value Similarity/H-R1    ]])/Tabela136[[#This Row],[Objetive value Similarity]]))*100</f>
        <v>0</v>
      </c>
      <c r="S125" s="96">
        <v>18990</v>
      </c>
      <c r="T125" s="21">
        <v>0.8</v>
      </c>
      <c r="U125" s="21">
        <v>0</v>
      </c>
      <c r="V125" s="144">
        <f>(((Tabela136[[#This Row],[Objetive value Similarity]]-Tabela136[[#This Row],[Objetive value Similarity/H-R2]])/Tabela136[[#This Row],[Objetive value Similarity]]))*100</f>
        <v>0</v>
      </c>
    </row>
    <row r="126" spans="1:22" x14ac:dyDescent="0.25">
      <c r="A126" s="11" t="s">
        <v>243</v>
      </c>
      <c r="B126" s="12" t="s">
        <v>934</v>
      </c>
      <c r="C126" s="11">
        <v>2000</v>
      </c>
      <c r="D126" s="24">
        <v>0.1</v>
      </c>
      <c r="E126" s="11">
        <v>5</v>
      </c>
      <c r="F126" s="11" t="s">
        <v>18</v>
      </c>
      <c r="G126" s="12" t="s">
        <v>16</v>
      </c>
      <c r="H126" s="140">
        <v>14732</v>
      </c>
      <c r="I126" s="140">
        <v>1.64100000006146</v>
      </c>
      <c r="J126" s="147">
        <v>0</v>
      </c>
      <c r="K126" s="151">
        <v>14714</v>
      </c>
      <c r="L126" s="153">
        <v>88</v>
      </c>
      <c r="M126" s="153">
        <v>46</v>
      </c>
      <c r="N126" s="145">
        <f>(((Tabela136[[#This Row],[Objetive value Similarity]]-Tabela136[[#This Row],[Objetive value Similarity/GATeS]])/Tabela136[[#This Row],[Objetive value Similarity]]))*100</f>
        <v>0.12218300298669563</v>
      </c>
      <c r="O126" s="23">
        <v>14732</v>
      </c>
      <c r="P126" s="53">
        <v>0.84</v>
      </c>
      <c r="Q126" s="53">
        <v>0</v>
      </c>
      <c r="R126" s="55">
        <f>(((Tabela136[[#This Row],[Objetive value Similarity]]-Tabela136[[#This Row],[Objetive value Similarity/H-R1    ]])/Tabela136[[#This Row],[Objetive value Similarity]]))*100</f>
        <v>0</v>
      </c>
      <c r="S126" s="96">
        <v>14732</v>
      </c>
      <c r="T126" s="21">
        <v>0.83</v>
      </c>
      <c r="U126" s="21">
        <v>0</v>
      </c>
      <c r="V126" s="144">
        <f>(((Tabela136[[#This Row],[Objetive value Similarity]]-Tabela136[[#This Row],[Objetive value Similarity/H-R2]])/Tabela136[[#This Row],[Objetive value Similarity]]))*100</f>
        <v>0</v>
      </c>
    </row>
    <row r="127" spans="1:22" x14ac:dyDescent="0.25">
      <c r="A127" s="11" t="s">
        <v>243</v>
      </c>
      <c r="B127" s="12" t="s">
        <v>935</v>
      </c>
      <c r="C127" s="11">
        <v>2000</v>
      </c>
      <c r="D127" s="24">
        <v>0.1</v>
      </c>
      <c r="E127" s="11">
        <v>5</v>
      </c>
      <c r="F127" s="12" t="s">
        <v>21</v>
      </c>
      <c r="G127" s="12" t="s">
        <v>14</v>
      </c>
      <c r="H127" s="140">
        <v>13057</v>
      </c>
      <c r="I127" s="140">
        <v>1.92200000002048</v>
      </c>
      <c r="J127" s="147">
        <v>0</v>
      </c>
      <c r="K127" s="151">
        <v>13057</v>
      </c>
      <c r="L127" s="153">
        <v>44</v>
      </c>
      <c r="M127" s="153">
        <v>0</v>
      </c>
      <c r="N127" s="145">
        <f>(((Tabela136[[#This Row],[Objetive value Similarity]]-Tabela136[[#This Row],[Objetive value Similarity/GATeS]])/Tabela136[[#This Row],[Objetive value Similarity]]))*100</f>
        <v>0</v>
      </c>
      <c r="O127" s="23">
        <v>13057</v>
      </c>
      <c r="P127" s="53">
        <v>1.1100000000000001</v>
      </c>
      <c r="Q127" s="53">
        <v>0</v>
      </c>
      <c r="R127" s="55">
        <f>(((Tabela136[[#This Row],[Objetive value Similarity]]-Tabela136[[#This Row],[Objetive value Similarity/H-R1    ]])/Tabela136[[#This Row],[Objetive value Similarity]]))*100</f>
        <v>0</v>
      </c>
      <c r="S127" s="96">
        <v>13057</v>
      </c>
      <c r="T127" s="21">
        <v>1.38</v>
      </c>
      <c r="U127" s="21">
        <v>0</v>
      </c>
      <c r="V127" s="144">
        <f>(((Tabela136[[#This Row],[Objetive value Similarity]]-Tabela136[[#This Row],[Objetive value Similarity/H-R2]])/Tabela136[[#This Row],[Objetive value Similarity]]))*100</f>
        <v>0</v>
      </c>
    </row>
    <row r="128" spans="1:22" x14ac:dyDescent="0.25">
      <c r="A128" s="11" t="s">
        <v>243</v>
      </c>
      <c r="B128" s="12" t="s">
        <v>936</v>
      </c>
      <c r="C128" s="11">
        <v>2000</v>
      </c>
      <c r="D128" s="24">
        <v>0.1</v>
      </c>
      <c r="E128" s="11">
        <v>5</v>
      </c>
      <c r="F128" s="12" t="s">
        <v>21</v>
      </c>
      <c r="G128" s="12" t="s">
        <v>16</v>
      </c>
      <c r="H128" s="140">
        <v>11927</v>
      </c>
      <c r="I128" s="140">
        <v>2.7190000000409702</v>
      </c>
      <c r="J128" s="147">
        <v>0</v>
      </c>
      <c r="K128" s="151">
        <v>11863</v>
      </c>
      <c r="L128" s="153">
        <v>45</v>
      </c>
      <c r="M128" s="153">
        <v>33</v>
      </c>
      <c r="N128" s="145">
        <f>(((Tabela136[[#This Row],[Objetive value Similarity]]-Tabela136[[#This Row],[Objetive value Similarity/GATeS]])/Tabela136[[#This Row],[Objetive value Similarity]]))*100</f>
        <v>0.53659763561666807</v>
      </c>
      <c r="O128" s="23">
        <v>11842</v>
      </c>
      <c r="P128" s="53">
        <v>0.82</v>
      </c>
      <c r="Q128" s="53">
        <v>0</v>
      </c>
      <c r="R128" s="55">
        <f>(((Tabela136[[#This Row],[Objetive value Similarity]]-Tabela136[[#This Row],[Objetive value Similarity/H-R1    ]])/Tabela136[[#This Row],[Objetive value Similarity]]))*100</f>
        <v>0.71266873480338733</v>
      </c>
      <c r="S128" s="96">
        <v>11926</v>
      </c>
      <c r="T128" s="21">
        <v>0.75</v>
      </c>
      <c r="U128" s="21">
        <v>0</v>
      </c>
      <c r="V128" s="144">
        <f>(((Tabela136[[#This Row],[Objetive value Similarity]]-Tabela136[[#This Row],[Objetive value Similarity/H-R2]])/Tabela136[[#This Row],[Objetive value Similarity]]))*100</f>
        <v>8.3843380565104385E-3</v>
      </c>
    </row>
    <row r="129" spans="1:22" x14ac:dyDescent="0.25">
      <c r="A129" s="11" t="s">
        <v>262</v>
      </c>
      <c r="B129" s="30" t="s">
        <v>955</v>
      </c>
      <c r="C129" s="11">
        <v>2000</v>
      </c>
      <c r="D129" s="11">
        <v>0.15</v>
      </c>
      <c r="E129" s="11">
        <v>10</v>
      </c>
      <c r="F129" s="12" t="s">
        <v>13</v>
      </c>
      <c r="G129" s="12" t="s">
        <v>14</v>
      </c>
      <c r="H129" s="140">
        <v>35696</v>
      </c>
      <c r="I129" s="140">
        <v>13</v>
      </c>
      <c r="J129" s="147">
        <v>0</v>
      </c>
      <c r="K129" s="151">
        <v>34419</v>
      </c>
      <c r="L129" s="153">
        <v>162</v>
      </c>
      <c r="M129" s="153">
        <v>95</v>
      </c>
      <c r="N129" s="145">
        <f>(((Tabela136[[#This Row],[Objetive value Similarity]]-Tabela136[[#This Row],[Objetive value Similarity/GATeS]])/Tabela136[[#This Row],[Objetive value Similarity]]))*100</f>
        <v>3.5774316450022408</v>
      </c>
      <c r="O129" s="23">
        <v>35042</v>
      </c>
      <c r="P129" s="53">
        <v>0.76</v>
      </c>
      <c r="Q129" s="53">
        <v>0</v>
      </c>
      <c r="R129" s="55">
        <f>(((Tabela136[[#This Row],[Objetive value Similarity]]-Tabela136[[#This Row],[Objetive value Similarity/H-R1    ]])/Tabela136[[#This Row],[Objetive value Similarity]]))*100</f>
        <v>1.832138054683998</v>
      </c>
      <c r="S129" s="96">
        <v>27729</v>
      </c>
      <c r="T129" s="21">
        <v>0.7</v>
      </c>
      <c r="U129" s="21">
        <v>0</v>
      </c>
      <c r="V129" s="144">
        <f>(((Tabela136[[#This Row],[Objetive value Similarity]]-Tabela136[[#This Row],[Objetive value Similarity/H-R2]])/Tabela136[[#This Row],[Objetive value Similarity]]))*100</f>
        <v>22.319027341999103</v>
      </c>
    </row>
    <row r="130" spans="1:22" x14ac:dyDescent="0.25">
      <c r="A130" s="11" t="s">
        <v>262</v>
      </c>
      <c r="B130" s="12" t="s">
        <v>956</v>
      </c>
      <c r="C130" s="11">
        <v>2000</v>
      </c>
      <c r="D130" s="11">
        <v>0.15</v>
      </c>
      <c r="E130" s="11">
        <v>10</v>
      </c>
      <c r="F130" s="12" t="s">
        <v>13</v>
      </c>
      <c r="G130" s="12" t="s">
        <v>16</v>
      </c>
      <c r="H130" s="140">
        <v>23821</v>
      </c>
      <c r="I130" s="140">
        <v>24.937000000034399</v>
      </c>
      <c r="J130" s="147">
        <v>5.88</v>
      </c>
      <c r="K130" s="151">
        <v>23772</v>
      </c>
      <c r="L130" s="153">
        <v>371</v>
      </c>
      <c r="M130" s="153">
        <v>145</v>
      </c>
      <c r="N130" s="145">
        <f>(((Tabela136[[#This Row],[Objetive value Similarity]]-Tabela136[[#This Row],[Objetive value Similarity/GATeS]])/Tabela136[[#This Row],[Objetive value Similarity]]))*100</f>
        <v>0.2057008521892448</v>
      </c>
      <c r="O130" s="23">
        <v>22458</v>
      </c>
      <c r="P130" s="53">
        <v>0.85</v>
      </c>
      <c r="Q130" s="53">
        <v>0</v>
      </c>
      <c r="R130" s="55">
        <f>(((Tabela136[[#This Row],[Objetive value Similarity]]-Tabela136[[#This Row],[Objetive value Similarity/H-R1    ]])/Tabela136[[#This Row],[Objetive value Similarity]]))*100</f>
        <v>5.7218420721212375</v>
      </c>
      <c r="S130" s="96">
        <v>22809</v>
      </c>
      <c r="T130" s="21">
        <v>1.07</v>
      </c>
      <c r="U130" s="21">
        <v>0</v>
      </c>
      <c r="V130" s="144">
        <f>(((Tabela136[[#This Row],[Objetive value Similarity]]-Tabela136[[#This Row],[Objetive value Similarity/H-R2]])/Tabela136[[#This Row],[Objetive value Similarity]]))*100</f>
        <v>4.2483522941941985</v>
      </c>
    </row>
    <row r="131" spans="1:22" x14ac:dyDescent="0.25">
      <c r="A131" s="11" t="s">
        <v>262</v>
      </c>
      <c r="B131" s="12" t="s">
        <v>957</v>
      </c>
      <c r="C131" s="11">
        <v>2000</v>
      </c>
      <c r="D131" s="11">
        <v>0.15</v>
      </c>
      <c r="E131" s="11">
        <v>10</v>
      </c>
      <c r="F131" s="12" t="s">
        <v>18</v>
      </c>
      <c r="G131" s="12" t="s">
        <v>14</v>
      </c>
      <c r="H131" s="140">
        <v>42341</v>
      </c>
      <c r="I131" s="140">
        <v>13.6570000000065</v>
      </c>
      <c r="J131" s="147">
        <v>0</v>
      </c>
      <c r="K131" s="151">
        <v>41262</v>
      </c>
      <c r="L131" s="153">
        <v>186</v>
      </c>
      <c r="M131" s="153">
        <v>22</v>
      </c>
      <c r="N131" s="145">
        <f>(((Tabela136[[#This Row],[Objetive value Similarity]]-Tabela136[[#This Row],[Objetive value Similarity/GATeS]])/Tabela136[[#This Row],[Objetive value Similarity]]))*100</f>
        <v>2.5483573840957936</v>
      </c>
      <c r="O131" s="23">
        <v>41372</v>
      </c>
      <c r="P131" s="53">
        <v>0.96</v>
      </c>
      <c r="Q131" s="53">
        <v>0</v>
      </c>
      <c r="R131" s="55">
        <f>(((Tabela136[[#This Row],[Objetive value Similarity]]-Tabela136[[#This Row],[Objetive value Similarity/H-R1    ]])/Tabela136[[#This Row],[Objetive value Similarity]]))*100</f>
        <v>2.2885619139840814</v>
      </c>
      <c r="S131" s="96">
        <v>41528</v>
      </c>
      <c r="T131" s="21">
        <v>0.83</v>
      </c>
      <c r="U131" s="21">
        <v>0</v>
      </c>
      <c r="V131" s="144">
        <f>(((Tabela136[[#This Row],[Objetive value Similarity]]-Tabela136[[#This Row],[Objetive value Similarity/H-R2]])/Tabela136[[#This Row],[Objetive value Similarity]]))*100</f>
        <v>1.9201247018256535</v>
      </c>
    </row>
    <row r="132" spans="1:22" x14ac:dyDescent="0.25">
      <c r="A132" s="11" t="s">
        <v>262</v>
      </c>
      <c r="B132" s="12" t="s">
        <v>958</v>
      </c>
      <c r="C132" s="11">
        <v>2000</v>
      </c>
      <c r="D132" s="11">
        <v>0.15</v>
      </c>
      <c r="E132" s="11">
        <v>10</v>
      </c>
      <c r="F132" s="12" t="s">
        <v>18</v>
      </c>
      <c r="G132" s="12" t="s">
        <v>16</v>
      </c>
      <c r="H132" s="140">
        <v>24321</v>
      </c>
      <c r="I132" s="140">
        <v>18.4220000000204</v>
      </c>
      <c r="J132" s="147">
        <v>6.89</v>
      </c>
      <c r="K132" s="151">
        <v>23801</v>
      </c>
      <c r="L132" s="153">
        <v>239</v>
      </c>
      <c r="M132" s="153">
        <v>84</v>
      </c>
      <c r="N132" s="145">
        <f>(((Tabela136[[#This Row],[Objetive value Similarity]]-Tabela136[[#This Row],[Objetive value Similarity/GATeS]])/Tabela136[[#This Row],[Objetive value Similarity]]))*100</f>
        <v>2.1380699806751369</v>
      </c>
      <c r="O132" s="23">
        <v>24320</v>
      </c>
      <c r="P132" s="53">
        <v>0.95</v>
      </c>
      <c r="Q132" s="53">
        <v>0</v>
      </c>
      <c r="R132" s="55">
        <f>(((Tabela136[[#This Row],[Objetive value Similarity]]-Tabela136[[#This Row],[Objetive value Similarity/H-R1    ]])/Tabela136[[#This Row],[Objetive value Similarity]]))*100</f>
        <v>4.1116730397598783E-3</v>
      </c>
      <c r="S132" s="96">
        <v>24163</v>
      </c>
      <c r="T132" s="21">
        <v>0.93</v>
      </c>
      <c r="U132" s="21">
        <v>0</v>
      </c>
      <c r="V132" s="144">
        <f>(((Tabela136[[#This Row],[Objetive value Similarity]]-Tabela136[[#This Row],[Objetive value Similarity/H-R2]])/Tabela136[[#This Row],[Objetive value Similarity]]))*100</f>
        <v>0.64964434028206075</v>
      </c>
    </row>
    <row r="133" spans="1:22" x14ac:dyDescent="0.25">
      <c r="A133" s="11" t="s">
        <v>262</v>
      </c>
      <c r="B133" s="12" t="s">
        <v>959</v>
      </c>
      <c r="C133" s="11">
        <v>2000</v>
      </c>
      <c r="D133" s="11">
        <v>0.15</v>
      </c>
      <c r="E133" s="11">
        <v>10</v>
      </c>
      <c r="F133" s="12" t="s">
        <v>21</v>
      </c>
      <c r="G133" s="12" t="s">
        <v>14</v>
      </c>
      <c r="H133" s="140">
        <v>19848</v>
      </c>
      <c r="I133" s="140">
        <v>6.03099999995902</v>
      </c>
      <c r="J133" s="147">
        <v>0</v>
      </c>
      <c r="K133" s="151">
        <v>19848</v>
      </c>
      <c r="L133" s="153">
        <v>72</v>
      </c>
      <c r="M133" s="153">
        <v>0</v>
      </c>
      <c r="N133" s="145">
        <f>(((Tabela136[[#This Row],[Objetive value Similarity]]-Tabela136[[#This Row],[Objetive value Similarity/GATeS]])/Tabela136[[#This Row],[Objetive value Similarity]]))*100</f>
        <v>0</v>
      </c>
      <c r="O133" s="80"/>
      <c r="P133" s="79"/>
      <c r="Q133" s="79"/>
      <c r="R133" s="81">
        <v>100</v>
      </c>
      <c r="S133" s="96">
        <v>19425</v>
      </c>
      <c r="T133" s="21">
        <v>1.25</v>
      </c>
      <c r="U133" s="21">
        <v>0</v>
      </c>
      <c r="V133" s="144">
        <f>(((Tabela136[[#This Row],[Objetive value Similarity]]-Tabela136[[#This Row],[Objetive value Similarity/H-R2]])/Tabela136[[#This Row],[Objetive value Similarity]]))*100</f>
        <v>2.1311970979443773</v>
      </c>
    </row>
    <row r="134" spans="1:22" x14ac:dyDescent="0.25">
      <c r="A134" s="11" t="s">
        <v>262</v>
      </c>
      <c r="B134" s="12" t="s">
        <v>960</v>
      </c>
      <c r="C134" s="11">
        <v>2000</v>
      </c>
      <c r="D134" s="11">
        <v>0.15</v>
      </c>
      <c r="E134" s="11">
        <v>10</v>
      </c>
      <c r="F134" s="12" t="s">
        <v>21</v>
      </c>
      <c r="G134" s="12" t="s">
        <v>16</v>
      </c>
      <c r="H134" s="140">
        <v>24775</v>
      </c>
      <c r="I134" s="140">
        <v>21.9690000000409</v>
      </c>
      <c r="J134" s="147">
        <v>0</v>
      </c>
      <c r="K134" s="151">
        <v>24106</v>
      </c>
      <c r="L134" s="153">
        <v>125</v>
      </c>
      <c r="M134" s="153">
        <v>35</v>
      </c>
      <c r="N134" s="145">
        <f>(((Tabela136[[#This Row],[Objetive value Similarity]]-Tabela136[[#This Row],[Objetive value Similarity/GATeS]])/Tabela136[[#This Row],[Objetive value Similarity]]))*100</f>
        <v>2.7003027245206859</v>
      </c>
      <c r="O134" s="23">
        <v>24773</v>
      </c>
      <c r="P134" s="53">
        <v>1.26</v>
      </c>
      <c r="Q134" s="53">
        <v>0</v>
      </c>
      <c r="R134" s="55">
        <f>(((Tabela136[[#This Row],[Objetive value Similarity]]-Tabela136[[#This Row],[Objetive value Similarity/H-R1    ]])/Tabela136[[#This Row],[Objetive value Similarity]]))*100</f>
        <v>8.0726538849646822E-3</v>
      </c>
      <c r="S134" s="96">
        <v>23416</v>
      </c>
      <c r="T134" s="21">
        <v>1.1100000000000001</v>
      </c>
      <c r="U134" s="21">
        <v>0</v>
      </c>
      <c r="V134" s="144">
        <f>(((Tabela136[[#This Row],[Objetive value Similarity]]-Tabela136[[#This Row],[Objetive value Similarity/H-R2]])/Tabela136[[#This Row],[Objetive value Similarity]]))*100</f>
        <v>5.4853683148335017</v>
      </c>
    </row>
    <row r="135" spans="1:22" x14ac:dyDescent="0.25">
      <c r="A135" s="11" t="s">
        <v>281</v>
      </c>
      <c r="B135" s="12" t="s">
        <v>973</v>
      </c>
      <c r="C135" s="11">
        <v>2000</v>
      </c>
      <c r="D135" s="11">
        <v>0.15</v>
      </c>
      <c r="E135" s="11">
        <v>15</v>
      </c>
      <c r="F135" s="12" t="s">
        <v>13</v>
      </c>
      <c r="G135" s="12" t="s">
        <v>14</v>
      </c>
      <c r="H135" s="140">
        <v>58835</v>
      </c>
      <c r="I135" s="140">
        <v>30.842999999993399</v>
      </c>
      <c r="J135" s="147">
        <v>2.4</v>
      </c>
      <c r="K135" s="151">
        <v>56901</v>
      </c>
      <c r="L135" s="153">
        <v>440</v>
      </c>
      <c r="M135" s="153">
        <v>341</v>
      </c>
      <c r="N135" s="145">
        <f>(((Tabela136[[#This Row],[Objetive value Similarity]]-Tabela136[[#This Row],[Objetive value Similarity/GATeS]])/Tabela136[[#This Row],[Objetive value Similarity]]))*100</f>
        <v>3.2871590039942209</v>
      </c>
      <c r="O135" s="23">
        <v>53303</v>
      </c>
      <c r="P135" s="53">
        <v>1.19</v>
      </c>
      <c r="Q135" s="53">
        <v>0</v>
      </c>
      <c r="R135" s="55">
        <f>(((Tabela136[[#This Row],[Objetive value Similarity]]-Tabela136[[#This Row],[Objetive value Similarity/H-R1    ]])/Tabela136[[#This Row],[Objetive value Similarity]]))*100</f>
        <v>9.4025664995325915</v>
      </c>
      <c r="S135" s="96">
        <v>52306</v>
      </c>
      <c r="T135" s="21">
        <v>1.2</v>
      </c>
      <c r="U135" s="21">
        <v>0</v>
      </c>
      <c r="V135" s="144">
        <f>(((Tabela136[[#This Row],[Objetive value Similarity]]-Tabela136[[#This Row],[Objetive value Similarity/H-R2]])/Tabela136[[#This Row],[Objetive value Similarity]]))*100</f>
        <v>11.097136058468598</v>
      </c>
    </row>
    <row r="136" spans="1:22" x14ac:dyDescent="0.25">
      <c r="A136" s="11" t="s">
        <v>281</v>
      </c>
      <c r="B136" s="12" t="s">
        <v>974</v>
      </c>
      <c r="C136" s="11">
        <v>2000</v>
      </c>
      <c r="D136" s="11">
        <v>0.15</v>
      </c>
      <c r="E136" s="11">
        <v>15</v>
      </c>
      <c r="F136" s="12" t="s">
        <v>13</v>
      </c>
      <c r="G136" s="12" t="s">
        <v>16</v>
      </c>
      <c r="H136" s="140">
        <v>34346</v>
      </c>
      <c r="I136" s="140">
        <v>159.952999999979</v>
      </c>
      <c r="J136" s="147">
        <v>0</v>
      </c>
      <c r="K136" s="151">
        <v>33528</v>
      </c>
      <c r="L136" s="153">
        <v>721</v>
      </c>
      <c r="M136" s="153">
        <v>195</v>
      </c>
      <c r="N136" s="145">
        <f>(((Tabela136[[#This Row],[Objetive value Similarity]]-Tabela136[[#This Row],[Objetive value Similarity/GATeS]])/Tabela136[[#This Row],[Objetive value Similarity]]))*100</f>
        <v>2.3816456064752809</v>
      </c>
      <c r="O136" s="23">
        <v>32689</v>
      </c>
      <c r="P136" s="53">
        <v>1.52</v>
      </c>
      <c r="Q136" s="53">
        <v>0</v>
      </c>
      <c r="R136" s="55">
        <f>(((Tabela136[[#This Row],[Objetive value Similarity]]-Tabela136[[#This Row],[Objetive value Similarity/H-R1    ]])/Tabela136[[#This Row],[Objetive value Similarity]]))*100</f>
        <v>4.8244337040703433</v>
      </c>
      <c r="S136" s="96">
        <v>30984</v>
      </c>
      <c r="T136" s="21">
        <v>1.0900000000000001</v>
      </c>
      <c r="U136" s="21">
        <v>0</v>
      </c>
      <c r="V136" s="144">
        <f>(((Tabela136[[#This Row],[Objetive value Similarity]]-Tabela136[[#This Row],[Objetive value Similarity/H-R2]])/Tabela136[[#This Row],[Objetive value Similarity]]))*100</f>
        <v>9.7886216735573282</v>
      </c>
    </row>
    <row r="137" spans="1:22" x14ac:dyDescent="0.25">
      <c r="A137" s="11" t="s">
        <v>281</v>
      </c>
      <c r="B137" s="12" t="s">
        <v>975</v>
      </c>
      <c r="C137" s="11">
        <v>2000</v>
      </c>
      <c r="D137" s="11">
        <v>0.15</v>
      </c>
      <c r="E137" s="11">
        <v>15</v>
      </c>
      <c r="F137" s="12" t="s">
        <v>18</v>
      </c>
      <c r="G137" s="12" t="s">
        <v>14</v>
      </c>
      <c r="H137" s="140">
        <v>55738</v>
      </c>
      <c r="I137" s="140">
        <v>40.265999999945002</v>
      </c>
      <c r="J137" s="147">
        <v>10.61</v>
      </c>
      <c r="K137" s="151">
        <v>54337</v>
      </c>
      <c r="L137" s="153">
        <v>293</v>
      </c>
      <c r="M137" s="153">
        <v>85</v>
      </c>
      <c r="N137" s="145">
        <f>(((Tabela136[[#This Row],[Objetive value Similarity]]-Tabela136[[#This Row],[Objetive value Similarity/GATeS]])/Tabela136[[#This Row],[Objetive value Similarity]]))*100</f>
        <v>2.5135455165237359</v>
      </c>
      <c r="O137" s="23">
        <v>51895</v>
      </c>
      <c r="P137" s="53">
        <v>1.18</v>
      </c>
      <c r="Q137" s="53">
        <v>0</v>
      </c>
      <c r="R137" s="55">
        <f>(((Tabela136[[#This Row],[Objetive value Similarity]]-Tabela136[[#This Row],[Objetive value Similarity/H-R1    ]])/Tabela136[[#This Row],[Objetive value Similarity]]))*100</f>
        <v>6.894757615989092</v>
      </c>
      <c r="S137" s="96">
        <v>51588</v>
      </c>
      <c r="T137" s="21">
        <v>1.04</v>
      </c>
      <c r="U137" s="21">
        <v>0</v>
      </c>
      <c r="V137" s="144">
        <f>(((Tabela136[[#This Row],[Objetive value Similarity]]-Tabela136[[#This Row],[Objetive value Similarity/H-R2]])/Tabela136[[#This Row],[Objetive value Similarity]]))*100</f>
        <v>7.44554881768273</v>
      </c>
    </row>
    <row r="138" spans="1:22" x14ac:dyDescent="0.25">
      <c r="A138" s="11" t="s">
        <v>281</v>
      </c>
      <c r="B138" s="12" t="s">
        <v>976</v>
      </c>
      <c r="C138" s="11">
        <v>2000</v>
      </c>
      <c r="D138" s="11">
        <v>0.15</v>
      </c>
      <c r="E138" s="11">
        <v>15</v>
      </c>
      <c r="F138" s="12" t="s">
        <v>18</v>
      </c>
      <c r="G138" s="12" t="s">
        <v>16</v>
      </c>
      <c r="H138" s="140">
        <v>34249</v>
      </c>
      <c r="I138" s="140">
        <v>385.10899999993802</v>
      </c>
      <c r="J138" s="147">
        <v>0.47</v>
      </c>
      <c r="K138" s="151">
        <v>34125</v>
      </c>
      <c r="L138" s="153">
        <v>690</v>
      </c>
      <c r="M138" s="153">
        <v>339</v>
      </c>
      <c r="N138" s="145">
        <f>(((Tabela136[[#This Row],[Objetive value Similarity]]-Tabela136[[#This Row],[Objetive value Similarity/GATeS]])/Tabela136[[#This Row],[Objetive value Similarity]]))*100</f>
        <v>0.36205436655084822</v>
      </c>
      <c r="O138" s="23">
        <v>34248</v>
      </c>
      <c r="P138" s="53">
        <v>1.63</v>
      </c>
      <c r="Q138" s="53">
        <v>0</v>
      </c>
      <c r="R138" s="55">
        <f>(((Tabela136[[#This Row],[Objetive value Similarity]]-Tabela136[[#This Row],[Objetive value Similarity/H-R1    ]])/Tabela136[[#This Row],[Objetive value Similarity]]))*100</f>
        <v>2.9197932786358726E-3</v>
      </c>
      <c r="S138" s="96">
        <v>32885</v>
      </c>
      <c r="T138" s="21">
        <v>1.05</v>
      </c>
      <c r="U138" s="21">
        <v>0</v>
      </c>
      <c r="V138" s="144">
        <f>(((Tabela136[[#This Row],[Objetive value Similarity]]-Tabela136[[#This Row],[Objetive value Similarity/H-R2]])/Tabela136[[#This Row],[Objetive value Similarity]]))*100</f>
        <v>3.9825980320593297</v>
      </c>
    </row>
    <row r="139" spans="1:22" x14ac:dyDescent="0.25">
      <c r="A139" s="11" t="s">
        <v>281</v>
      </c>
      <c r="B139" s="12" t="s">
        <v>977</v>
      </c>
      <c r="C139" s="11">
        <v>2000</v>
      </c>
      <c r="D139" s="11">
        <v>0.15</v>
      </c>
      <c r="E139" s="11">
        <v>15</v>
      </c>
      <c r="F139" s="12" t="s">
        <v>21</v>
      </c>
      <c r="G139" s="12" t="s">
        <v>14</v>
      </c>
      <c r="H139" s="140">
        <v>56847</v>
      </c>
      <c r="I139" s="140">
        <v>7.70299999997951</v>
      </c>
      <c r="J139" s="147">
        <v>91.1</v>
      </c>
      <c r="K139" s="151">
        <v>56373</v>
      </c>
      <c r="L139" s="153">
        <v>276</v>
      </c>
      <c r="M139" s="153">
        <v>161</v>
      </c>
      <c r="N139" s="145">
        <f>(((Tabela136[[#This Row],[Objetive value Similarity]]-Tabela136[[#This Row],[Objetive value Similarity/GATeS]])/Tabela136[[#This Row],[Objetive value Similarity]]))*100</f>
        <v>0.83381708797298015</v>
      </c>
      <c r="O139" s="23">
        <v>44948</v>
      </c>
      <c r="P139" s="53">
        <v>2.93</v>
      </c>
      <c r="Q139" s="53">
        <v>0</v>
      </c>
      <c r="R139" s="55">
        <f>(((Tabela136[[#This Row],[Objetive value Similarity]]-Tabela136[[#This Row],[Objetive value Similarity/H-R1    ]])/Tabela136[[#This Row],[Objetive value Similarity]]))*100</f>
        <v>20.931623480570654</v>
      </c>
      <c r="S139" s="96">
        <v>56437</v>
      </c>
      <c r="T139" s="21">
        <v>1.71</v>
      </c>
      <c r="U139" s="21">
        <v>0</v>
      </c>
      <c r="V139" s="144">
        <f>(((Tabela136[[#This Row],[Objetive value Similarity]]-Tabela136[[#This Row],[Objetive value Similarity/H-R2]])/Tabela136[[#This Row],[Objetive value Similarity]]))*100</f>
        <v>0.7212341900188225</v>
      </c>
    </row>
    <row r="140" spans="1:22" x14ac:dyDescent="0.25">
      <c r="A140" s="11" t="s">
        <v>281</v>
      </c>
      <c r="B140" s="12" t="s">
        <v>978</v>
      </c>
      <c r="C140" s="11">
        <v>2000</v>
      </c>
      <c r="D140" s="11">
        <v>0.15</v>
      </c>
      <c r="E140" s="11">
        <v>15</v>
      </c>
      <c r="F140" s="12" t="s">
        <v>21</v>
      </c>
      <c r="G140" s="12" t="s">
        <v>16</v>
      </c>
      <c r="H140" s="140">
        <v>35218</v>
      </c>
      <c r="I140" s="140">
        <v>86.859999999986002</v>
      </c>
      <c r="J140" s="147">
        <v>0</v>
      </c>
      <c r="K140" s="151">
        <v>35105</v>
      </c>
      <c r="L140" s="153">
        <v>566</v>
      </c>
      <c r="M140" s="153">
        <v>349</v>
      </c>
      <c r="N140" s="145">
        <f>(((Tabela136[[#This Row],[Objetive value Similarity]]-Tabela136[[#This Row],[Objetive value Similarity/GATeS]])/Tabela136[[#This Row],[Objetive value Similarity]]))*100</f>
        <v>0.32085865182577089</v>
      </c>
      <c r="O140" s="23">
        <v>35184</v>
      </c>
      <c r="P140" s="53">
        <v>1.48</v>
      </c>
      <c r="Q140" s="53">
        <v>0</v>
      </c>
      <c r="R140" s="55">
        <f>(((Tabela136[[#This Row],[Objetive value Similarity]]-Tabela136[[#This Row],[Objetive value Similarity/H-R1    ]])/Tabela136[[#This Row],[Objetive value Similarity]]))*100</f>
        <v>9.6541541257311597E-2</v>
      </c>
      <c r="S140" s="96">
        <v>35218</v>
      </c>
      <c r="T140" s="21">
        <v>1.08</v>
      </c>
      <c r="U140" s="21">
        <v>0</v>
      </c>
      <c r="V140" s="144">
        <f>(((Tabela136[[#This Row],[Objetive value Similarity]]-Tabela136[[#This Row],[Objetive value Similarity/H-R2]])/Tabela136[[#This Row],[Objetive value Similarity]]))*100</f>
        <v>0</v>
      </c>
    </row>
    <row r="141" spans="1:22" x14ac:dyDescent="0.25">
      <c r="A141" s="11" t="s">
        <v>243</v>
      </c>
      <c r="B141" s="30" t="s">
        <v>937</v>
      </c>
      <c r="C141" s="11">
        <v>2000</v>
      </c>
      <c r="D141" s="11">
        <v>0.15</v>
      </c>
      <c r="E141" s="11">
        <v>5</v>
      </c>
      <c r="F141" s="12" t="s">
        <v>13</v>
      </c>
      <c r="G141" s="12" t="s">
        <v>14</v>
      </c>
      <c r="H141" s="140">
        <v>18820</v>
      </c>
      <c r="I141" s="140">
        <v>2.5159999999450502</v>
      </c>
      <c r="J141" s="147">
        <v>0</v>
      </c>
      <c r="K141" s="151">
        <v>18796</v>
      </c>
      <c r="L141" s="153">
        <v>140</v>
      </c>
      <c r="M141" s="153">
        <v>22</v>
      </c>
      <c r="N141" s="145">
        <f>(((Tabela136[[#This Row],[Objetive value Similarity]]-Tabela136[[#This Row],[Objetive value Similarity/GATeS]])/Tabela136[[#This Row],[Objetive value Similarity]]))*100</f>
        <v>0.1275239107332625</v>
      </c>
      <c r="O141" s="23">
        <v>18539</v>
      </c>
      <c r="P141" s="53">
        <v>0.78</v>
      </c>
      <c r="Q141" s="53">
        <v>0</v>
      </c>
      <c r="R141" s="55">
        <f>(((Tabela136[[#This Row],[Objetive value Similarity]]-Tabela136[[#This Row],[Objetive value Similarity/H-R1    ]])/Tabela136[[#This Row],[Objetive value Similarity]]))*100</f>
        <v>1.4930924548352815</v>
      </c>
      <c r="S141" s="96">
        <v>16872</v>
      </c>
      <c r="T141" s="21">
        <v>0.88</v>
      </c>
      <c r="U141" s="21">
        <v>0</v>
      </c>
      <c r="V141" s="144">
        <f>(((Tabela136[[#This Row],[Objetive value Similarity]]-Tabela136[[#This Row],[Objetive value Similarity/H-R2]])/Tabela136[[#This Row],[Objetive value Similarity]]))*100</f>
        <v>10.350690754516471</v>
      </c>
    </row>
    <row r="142" spans="1:22" x14ac:dyDescent="0.25">
      <c r="A142" s="11" t="s">
        <v>243</v>
      </c>
      <c r="B142" s="12" t="s">
        <v>938</v>
      </c>
      <c r="C142" s="11">
        <v>2000</v>
      </c>
      <c r="D142" s="11">
        <v>0.15</v>
      </c>
      <c r="E142" s="11">
        <v>5</v>
      </c>
      <c r="F142" s="12" t="s">
        <v>13</v>
      </c>
      <c r="G142" s="12" t="s">
        <v>16</v>
      </c>
      <c r="H142" s="140">
        <v>13244</v>
      </c>
      <c r="I142" s="140">
        <v>1.9369999999180401</v>
      </c>
      <c r="J142" s="147">
        <v>0</v>
      </c>
      <c r="K142" s="151">
        <v>13110</v>
      </c>
      <c r="L142" s="153">
        <v>88</v>
      </c>
      <c r="M142" s="153">
        <v>66</v>
      </c>
      <c r="N142" s="145">
        <f>(((Tabela136[[#This Row],[Objetive value Similarity]]-Tabela136[[#This Row],[Objetive value Similarity/GATeS]])/Tabela136[[#This Row],[Objetive value Similarity]]))*100</f>
        <v>1.0117789187556629</v>
      </c>
      <c r="O142" s="23">
        <v>13244</v>
      </c>
      <c r="P142" s="53">
        <v>0.91</v>
      </c>
      <c r="Q142" s="53">
        <v>0</v>
      </c>
      <c r="R142" s="55">
        <f>(((Tabela136[[#This Row],[Objetive value Similarity]]-Tabela136[[#This Row],[Objetive value Similarity/H-R1    ]])/Tabela136[[#This Row],[Objetive value Similarity]]))*100</f>
        <v>0</v>
      </c>
      <c r="S142" s="96">
        <v>13135</v>
      </c>
      <c r="T142" s="21">
        <v>1.21</v>
      </c>
      <c r="U142" s="21">
        <v>0</v>
      </c>
      <c r="V142" s="144">
        <f>(((Tabela136[[#This Row],[Objetive value Similarity]]-Tabela136[[#This Row],[Objetive value Similarity/H-R2]])/Tabela136[[#This Row],[Objetive value Similarity]]))*100</f>
        <v>0.8230141951072184</v>
      </c>
    </row>
    <row r="143" spans="1:22" x14ac:dyDescent="0.25">
      <c r="A143" s="11" t="s">
        <v>243</v>
      </c>
      <c r="B143" s="12" t="s">
        <v>939</v>
      </c>
      <c r="C143" s="11">
        <v>2000</v>
      </c>
      <c r="D143" s="11">
        <v>0.15</v>
      </c>
      <c r="E143" s="11">
        <v>5</v>
      </c>
      <c r="F143" s="12" t="s">
        <v>18</v>
      </c>
      <c r="G143" s="12" t="s">
        <v>14</v>
      </c>
      <c r="H143" s="140">
        <v>18326</v>
      </c>
      <c r="I143" s="140">
        <v>2.45299999997951</v>
      </c>
      <c r="J143" s="147">
        <v>0</v>
      </c>
      <c r="K143" s="151">
        <v>18261</v>
      </c>
      <c r="L143" s="153">
        <v>56</v>
      </c>
      <c r="M143" s="153">
        <v>42</v>
      </c>
      <c r="N143" s="145">
        <f>(((Tabela136[[#This Row],[Objetive value Similarity]]-Tabela136[[#This Row],[Objetive value Similarity/GATeS]])/Tabela136[[#This Row],[Objetive value Similarity]]))*100</f>
        <v>0.35468732947724546</v>
      </c>
      <c r="O143" s="23">
        <v>18326</v>
      </c>
      <c r="P143" s="53">
        <v>0.64</v>
      </c>
      <c r="Q143" s="53">
        <v>0</v>
      </c>
      <c r="R143" s="55">
        <f>(((Tabela136[[#This Row],[Objetive value Similarity]]-Tabela136[[#This Row],[Objetive value Similarity/H-R1    ]])/Tabela136[[#This Row],[Objetive value Similarity]]))*100</f>
        <v>0</v>
      </c>
      <c r="S143" s="96">
        <v>18326</v>
      </c>
      <c r="T143" s="21">
        <v>0.66</v>
      </c>
      <c r="U143" s="21">
        <v>0</v>
      </c>
      <c r="V143" s="144">
        <f>(((Tabela136[[#This Row],[Objetive value Similarity]]-Tabela136[[#This Row],[Objetive value Similarity/H-R2]])/Tabela136[[#This Row],[Objetive value Similarity]]))*100</f>
        <v>0</v>
      </c>
    </row>
    <row r="144" spans="1:22" x14ac:dyDescent="0.25">
      <c r="A144" s="11" t="s">
        <v>243</v>
      </c>
      <c r="B144" s="12" t="s">
        <v>940</v>
      </c>
      <c r="C144" s="11">
        <v>2000</v>
      </c>
      <c r="D144" s="11">
        <v>0.15</v>
      </c>
      <c r="E144" s="11">
        <v>5</v>
      </c>
      <c r="F144" s="12" t="s">
        <v>18</v>
      </c>
      <c r="G144" s="12" t="s">
        <v>16</v>
      </c>
      <c r="H144" s="140">
        <v>14167</v>
      </c>
      <c r="I144" s="140">
        <v>1.9209999999729901</v>
      </c>
      <c r="J144" s="147">
        <v>0</v>
      </c>
      <c r="K144" s="151">
        <v>14165</v>
      </c>
      <c r="L144" s="153">
        <v>125</v>
      </c>
      <c r="M144" s="153">
        <v>11</v>
      </c>
      <c r="N144" s="145">
        <f>(((Tabela136[[#This Row],[Objetive value Similarity]]-Tabela136[[#This Row],[Objetive value Similarity/GATeS]])/Tabela136[[#This Row],[Objetive value Similarity]]))*100</f>
        <v>1.4117314886708549E-2</v>
      </c>
      <c r="O144" s="23">
        <v>14167</v>
      </c>
      <c r="P144" s="53">
        <v>0.8</v>
      </c>
      <c r="Q144" s="53">
        <v>0</v>
      </c>
      <c r="R144" s="55">
        <f>(((Tabela136[[#This Row],[Objetive value Similarity]]-Tabela136[[#This Row],[Objetive value Similarity/H-R1    ]])/Tabela136[[#This Row],[Objetive value Similarity]]))*100</f>
        <v>0</v>
      </c>
      <c r="S144" s="96">
        <v>13753</v>
      </c>
      <c r="T144" s="21">
        <v>0.78</v>
      </c>
      <c r="U144" s="21">
        <v>0</v>
      </c>
      <c r="V144" s="144">
        <f>(((Tabela136[[#This Row],[Objetive value Similarity]]-Tabela136[[#This Row],[Objetive value Similarity/H-R2]])/Tabela136[[#This Row],[Objetive value Similarity]]))*100</f>
        <v>2.9222841815486693</v>
      </c>
    </row>
    <row r="145" spans="1:22" x14ac:dyDescent="0.25">
      <c r="A145" s="11" t="s">
        <v>243</v>
      </c>
      <c r="B145" s="12" t="s">
        <v>941</v>
      </c>
      <c r="C145" s="11">
        <v>2000</v>
      </c>
      <c r="D145" s="11">
        <v>0.15</v>
      </c>
      <c r="E145" s="11">
        <v>5</v>
      </c>
      <c r="F145" s="12" t="s">
        <v>21</v>
      </c>
      <c r="G145" s="12" t="s">
        <v>14</v>
      </c>
      <c r="H145" s="140">
        <v>20298</v>
      </c>
      <c r="I145" s="140">
        <v>1.64099999994505</v>
      </c>
      <c r="J145" s="147">
        <v>0</v>
      </c>
      <c r="K145" s="151">
        <v>20225</v>
      </c>
      <c r="L145" s="153">
        <v>83</v>
      </c>
      <c r="M145" s="153">
        <v>74</v>
      </c>
      <c r="N145" s="145">
        <f>(((Tabela136[[#This Row],[Objetive value Similarity]]-Tabela136[[#This Row],[Objetive value Similarity/GATeS]])/Tabela136[[#This Row],[Objetive value Similarity]]))*100</f>
        <v>0.35964134397477582</v>
      </c>
      <c r="O145" s="23">
        <v>20239</v>
      </c>
      <c r="P145" s="53">
        <v>1.08</v>
      </c>
      <c r="Q145" s="53">
        <v>0</v>
      </c>
      <c r="R145" s="55">
        <f>(((Tabela136[[#This Row],[Objetive value Similarity]]-Tabela136[[#This Row],[Objetive value Similarity/H-R1    ]])/Tabela136[[#This Row],[Objetive value Similarity]]))*100</f>
        <v>0.29066903143166817</v>
      </c>
      <c r="S145" s="96">
        <v>20298</v>
      </c>
      <c r="T145" s="21">
        <v>1.06</v>
      </c>
      <c r="U145" s="21">
        <v>0</v>
      </c>
      <c r="V145" s="144">
        <f>(((Tabela136[[#This Row],[Objetive value Similarity]]-Tabela136[[#This Row],[Objetive value Similarity/H-R2]])/Tabela136[[#This Row],[Objetive value Similarity]]))*100</f>
        <v>0</v>
      </c>
    </row>
    <row r="146" spans="1:22" x14ac:dyDescent="0.25">
      <c r="A146" s="11" t="s">
        <v>243</v>
      </c>
      <c r="B146" s="12" t="s">
        <v>942</v>
      </c>
      <c r="C146" s="11">
        <v>2000</v>
      </c>
      <c r="D146" s="11">
        <v>0.15</v>
      </c>
      <c r="E146" s="11">
        <v>5</v>
      </c>
      <c r="F146" s="12" t="s">
        <v>21</v>
      </c>
      <c r="G146" s="12" t="s">
        <v>16</v>
      </c>
      <c r="H146" s="140">
        <v>13602</v>
      </c>
      <c r="I146" s="140">
        <v>2.1409999999450502</v>
      </c>
      <c r="J146" s="147">
        <v>0</v>
      </c>
      <c r="K146" s="151">
        <v>13551</v>
      </c>
      <c r="L146" s="153">
        <v>44</v>
      </c>
      <c r="M146" s="153">
        <v>39</v>
      </c>
      <c r="N146" s="145">
        <f>(((Tabela136[[#This Row],[Objetive value Similarity]]-Tabela136[[#This Row],[Objetive value Similarity/GATeS]])/Tabela136[[#This Row],[Objetive value Similarity]]))*100</f>
        <v>0.37494486104984565</v>
      </c>
      <c r="O146" s="23">
        <v>13211</v>
      </c>
      <c r="P146" s="53">
        <v>0.89</v>
      </c>
      <c r="Q146" s="53">
        <v>0</v>
      </c>
      <c r="R146" s="55">
        <f>(((Tabela136[[#This Row],[Objetive value Similarity]]-Tabela136[[#This Row],[Objetive value Similarity/H-R1    ]])/Tabela136[[#This Row],[Objetive value Similarity]]))*100</f>
        <v>2.8745772680488164</v>
      </c>
      <c r="S146" s="96">
        <v>13602</v>
      </c>
      <c r="T146" s="21">
        <v>0.84</v>
      </c>
      <c r="U146" s="21">
        <v>0</v>
      </c>
      <c r="V146" s="144">
        <f>(((Tabela136[[#This Row],[Objetive value Similarity]]-Tabela136[[#This Row],[Objetive value Similarity/H-R2]])/Tabela136[[#This Row],[Objetive value Similarity]]))*100</f>
        <v>0</v>
      </c>
    </row>
    <row r="147" spans="1:22" x14ac:dyDescent="0.25">
      <c r="A147" s="11" t="s">
        <v>262</v>
      </c>
      <c r="B147" s="30" t="s">
        <v>943</v>
      </c>
      <c r="C147" s="11">
        <v>2000</v>
      </c>
      <c r="D147" s="11">
        <v>0.05</v>
      </c>
      <c r="E147" s="11">
        <v>10</v>
      </c>
      <c r="F147" s="12" t="s">
        <v>13</v>
      </c>
      <c r="G147" s="12" t="s">
        <v>14</v>
      </c>
      <c r="H147" s="140">
        <v>36959</v>
      </c>
      <c r="I147" s="140">
        <v>11.6720000000204</v>
      </c>
      <c r="J147" s="147">
        <v>0</v>
      </c>
      <c r="K147" s="151">
        <v>36849</v>
      </c>
      <c r="L147" s="153">
        <v>239</v>
      </c>
      <c r="M147" s="153">
        <v>216</v>
      </c>
      <c r="N147" s="145">
        <f>(((Tabela136[[#This Row],[Objetive value Similarity]]-Tabela136[[#This Row],[Objetive value Similarity/GATeS]])/Tabela136[[#This Row],[Objetive value Similarity]]))*100</f>
        <v>0.29762710030033279</v>
      </c>
      <c r="O147" s="23">
        <v>36958</v>
      </c>
      <c r="P147" s="53">
        <v>1.17</v>
      </c>
      <c r="Q147" s="53">
        <v>0</v>
      </c>
      <c r="R147" s="55">
        <f>(((Tabela136[[#This Row],[Objetive value Similarity]]-Tabela136[[#This Row],[Objetive value Similarity/H-R1    ]])/Tabela136[[#This Row],[Objetive value Similarity]]))*100</f>
        <v>2.7057009118212072E-3</v>
      </c>
      <c r="S147" s="96">
        <v>33917</v>
      </c>
      <c r="T147" s="21">
        <v>1.35</v>
      </c>
      <c r="U147" s="21">
        <v>0</v>
      </c>
      <c r="V147" s="144">
        <f>(((Tabela136[[#This Row],[Objetive value Similarity]]-Tabela136[[#This Row],[Objetive value Similarity/H-R2]])/Tabela136[[#This Row],[Objetive value Similarity]]))*100</f>
        <v>8.2307421737601132</v>
      </c>
    </row>
    <row r="148" spans="1:22" x14ac:dyDescent="0.25">
      <c r="A148" s="11" t="s">
        <v>262</v>
      </c>
      <c r="B148" s="12" t="s">
        <v>944</v>
      </c>
      <c r="C148" s="11">
        <v>2000</v>
      </c>
      <c r="D148" s="11">
        <v>0.05</v>
      </c>
      <c r="E148" s="11">
        <v>10</v>
      </c>
      <c r="F148" s="12" t="s">
        <v>13</v>
      </c>
      <c r="G148" s="12" t="s">
        <v>16</v>
      </c>
      <c r="H148" s="140">
        <v>23346</v>
      </c>
      <c r="I148" s="140">
        <v>23.6720000000204</v>
      </c>
      <c r="J148" s="147">
        <v>5.97</v>
      </c>
      <c r="K148" s="151">
        <v>23306</v>
      </c>
      <c r="L148" s="153">
        <v>214</v>
      </c>
      <c r="M148" s="153">
        <v>196</v>
      </c>
      <c r="N148" s="145">
        <f>(((Tabela136[[#This Row],[Objetive value Similarity]]-Tabela136[[#This Row],[Objetive value Similarity/GATeS]])/Tabela136[[#This Row],[Objetive value Similarity]]))*100</f>
        <v>0.17133556069562236</v>
      </c>
      <c r="O148" s="23">
        <v>21974</v>
      </c>
      <c r="P148" s="53">
        <v>1.24</v>
      </c>
      <c r="Q148" s="53">
        <v>0</v>
      </c>
      <c r="R148" s="55">
        <f>(((Tabela136[[#This Row],[Objetive value Similarity]]-Tabela136[[#This Row],[Objetive value Similarity/H-R1    ]])/Tabela136[[#This Row],[Objetive value Similarity]]))*100</f>
        <v>5.8768097318598471</v>
      </c>
      <c r="S148" s="96">
        <v>20199</v>
      </c>
      <c r="T148" s="21">
        <v>1.03</v>
      </c>
      <c r="U148" s="21">
        <v>0</v>
      </c>
      <c r="V148" s="144">
        <f>(((Tabela136[[#This Row],[Objetive value Similarity]]-Tabela136[[#This Row],[Objetive value Similarity/H-R2]])/Tabela136[[#This Row],[Objetive value Similarity]]))*100</f>
        <v>13.479825237728091</v>
      </c>
    </row>
    <row r="149" spans="1:22" x14ac:dyDescent="0.25">
      <c r="A149" s="11" t="s">
        <v>262</v>
      </c>
      <c r="B149" s="12" t="s">
        <v>945</v>
      </c>
      <c r="C149" s="11">
        <v>2000</v>
      </c>
      <c r="D149" s="11">
        <v>0.05</v>
      </c>
      <c r="E149" s="11">
        <v>10</v>
      </c>
      <c r="F149" s="12" t="s">
        <v>18</v>
      </c>
      <c r="G149" s="12" t="s">
        <v>14</v>
      </c>
      <c r="H149" s="140">
        <v>35971</v>
      </c>
      <c r="I149" s="140">
        <v>11.655999999959</v>
      </c>
      <c r="J149" s="147">
        <v>0</v>
      </c>
      <c r="K149" s="151">
        <v>33090</v>
      </c>
      <c r="L149" s="153">
        <v>116</v>
      </c>
      <c r="M149" s="153">
        <v>84</v>
      </c>
      <c r="N149" s="145">
        <f>(((Tabela136[[#This Row],[Objetive value Similarity]]-Tabela136[[#This Row],[Objetive value Similarity/GATeS]])/Tabela136[[#This Row],[Objetive value Similarity]]))*100</f>
        <v>8.0092296572238748</v>
      </c>
      <c r="O149" s="23">
        <v>33130</v>
      </c>
      <c r="P149" s="53">
        <v>0.78</v>
      </c>
      <c r="Q149" s="53">
        <v>0</v>
      </c>
      <c r="R149" s="55">
        <f>(((Tabela136[[#This Row],[Objetive value Similarity]]-Tabela136[[#This Row],[Objetive value Similarity/H-R1    ]])/Tabela136[[#This Row],[Objetive value Similarity]]))*100</f>
        <v>7.8980289677796005</v>
      </c>
      <c r="S149" s="96">
        <v>33130</v>
      </c>
      <c r="T149" s="21">
        <v>0.92</v>
      </c>
      <c r="U149" s="21">
        <v>0</v>
      </c>
      <c r="V149" s="144">
        <f>(((Tabela136[[#This Row],[Objetive value Similarity]]-Tabela136[[#This Row],[Objetive value Similarity/H-R2]])/Tabela136[[#This Row],[Objetive value Similarity]]))*100</f>
        <v>7.8980289677796005</v>
      </c>
    </row>
    <row r="150" spans="1:22" x14ac:dyDescent="0.25">
      <c r="A150" s="11" t="s">
        <v>262</v>
      </c>
      <c r="B150" s="12" t="s">
        <v>946</v>
      </c>
      <c r="C150" s="11">
        <v>2000</v>
      </c>
      <c r="D150" s="11">
        <v>0.05</v>
      </c>
      <c r="E150" s="11">
        <v>10</v>
      </c>
      <c r="F150" s="12" t="s">
        <v>18</v>
      </c>
      <c r="G150" s="12" t="s">
        <v>16</v>
      </c>
      <c r="H150" s="140">
        <v>23270</v>
      </c>
      <c r="I150" s="140">
        <v>20.515999999944999</v>
      </c>
      <c r="J150" s="147">
        <v>0</v>
      </c>
      <c r="K150" s="151">
        <v>23168</v>
      </c>
      <c r="L150" s="153">
        <v>311</v>
      </c>
      <c r="M150" s="153">
        <v>249</v>
      </c>
      <c r="N150" s="145">
        <f>(((Tabela136[[#This Row],[Objetive value Similarity]]-Tabela136[[#This Row],[Objetive value Similarity/GATeS]])/Tabela136[[#This Row],[Objetive value Similarity]]))*100</f>
        <v>0.4383326171035668</v>
      </c>
      <c r="O150" s="23">
        <v>23043</v>
      </c>
      <c r="P150" s="53">
        <v>1.1599999999999999</v>
      </c>
      <c r="Q150" s="53">
        <v>0</v>
      </c>
      <c r="R150" s="55">
        <f>(((Tabela136[[#This Row],[Objetive value Similarity]]-Tabela136[[#This Row],[Objetive value Similarity/H-R1    ]])/Tabela136[[#This Row],[Objetive value Similarity]]))*100</f>
        <v>0.97550494198538895</v>
      </c>
      <c r="S150" s="96">
        <v>23269</v>
      </c>
      <c r="T150" s="21">
        <v>1.05</v>
      </c>
      <c r="U150" s="21">
        <v>0</v>
      </c>
      <c r="V150" s="144">
        <f>(((Tabela136[[#This Row],[Objetive value Similarity]]-Tabela136[[#This Row],[Objetive value Similarity/H-R2]])/Tabela136[[#This Row],[Objetive value Similarity]]))*100</f>
        <v>4.297378599054576E-3</v>
      </c>
    </row>
    <row r="151" spans="1:22" x14ac:dyDescent="0.25">
      <c r="A151" s="11" t="s">
        <v>262</v>
      </c>
      <c r="B151" s="12" t="s">
        <v>947</v>
      </c>
      <c r="C151" s="11">
        <v>2000</v>
      </c>
      <c r="D151" s="11">
        <v>0.05</v>
      </c>
      <c r="E151" s="11">
        <v>10</v>
      </c>
      <c r="F151" s="12" t="s">
        <v>21</v>
      </c>
      <c r="G151" s="12" t="s">
        <v>14</v>
      </c>
      <c r="H151" s="140">
        <v>30180</v>
      </c>
      <c r="I151" s="140">
        <v>5.5150000000139698</v>
      </c>
      <c r="J151" s="147">
        <v>0</v>
      </c>
      <c r="K151" s="151">
        <v>30081</v>
      </c>
      <c r="L151" s="153">
        <v>180</v>
      </c>
      <c r="M151" s="153">
        <v>105</v>
      </c>
      <c r="N151" s="145">
        <f>(((Tabela136[[#This Row],[Objetive value Similarity]]-Tabela136[[#This Row],[Objetive value Similarity/GATeS]])/Tabela136[[#This Row],[Objetive value Similarity]]))*100</f>
        <v>0.32803180914512925</v>
      </c>
      <c r="O151" s="23">
        <v>7158</v>
      </c>
      <c r="P151" s="53">
        <v>3.17</v>
      </c>
      <c r="Q151" s="53">
        <v>0</v>
      </c>
      <c r="R151" s="55">
        <f>(((Tabela136[[#This Row],[Objetive value Similarity]]-Tabela136[[#This Row],[Objetive value Similarity/H-R1    ]])/Tabela136[[#This Row],[Objetive value Similarity]]))*100</f>
        <v>76.282306163021872</v>
      </c>
      <c r="S151" s="96">
        <v>27300</v>
      </c>
      <c r="T151" s="21">
        <v>1.5</v>
      </c>
      <c r="U151" s="21">
        <v>0</v>
      </c>
      <c r="V151" s="144">
        <f>(((Tabela136[[#This Row],[Objetive value Similarity]]-Tabela136[[#This Row],[Objetive value Similarity/H-R2]])/Tabela136[[#This Row],[Objetive value Similarity]]))*100</f>
        <v>9.5427435387673949</v>
      </c>
    </row>
    <row r="152" spans="1:22" x14ac:dyDescent="0.25">
      <c r="A152" s="11" t="s">
        <v>262</v>
      </c>
      <c r="B152" s="12" t="s">
        <v>948</v>
      </c>
      <c r="C152" s="11">
        <v>2000</v>
      </c>
      <c r="D152" s="11">
        <v>0.05</v>
      </c>
      <c r="E152" s="11">
        <v>10</v>
      </c>
      <c r="F152" s="12" t="s">
        <v>21</v>
      </c>
      <c r="G152" s="12" t="s">
        <v>16</v>
      </c>
      <c r="H152" s="140">
        <v>24003</v>
      </c>
      <c r="I152" s="140">
        <v>15.1870000000344</v>
      </c>
      <c r="J152" s="147">
        <v>0</v>
      </c>
      <c r="K152" s="151">
        <v>23921</v>
      </c>
      <c r="L152" s="153">
        <v>390</v>
      </c>
      <c r="M152" s="153">
        <v>163</v>
      </c>
      <c r="N152" s="145">
        <f>(((Tabela136[[#This Row],[Objetive value Similarity]]-Tabela136[[#This Row],[Objetive value Similarity/GATeS]])/Tabela136[[#This Row],[Objetive value Similarity]]))*100</f>
        <v>0.34162396367120779</v>
      </c>
      <c r="O152" s="23">
        <v>24003</v>
      </c>
      <c r="P152" s="53">
        <v>1.64</v>
      </c>
      <c r="Q152" s="53">
        <v>0</v>
      </c>
      <c r="R152" s="55">
        <f>(((Tabela136[[#This Row],[Objetive value Similarity]]-Tabela136[[#This Row],[Objetive value Similarity/H-R1    ]])/Tabela136[[#This Row],[Objetive value Similarity]]))*100</f>
        <v>0</v>
      </c>
      <c r="S152" s="96">
        <v>22852</v>
      </c>
      <c r="T152" s="21">
        <v>1.28</v>
      </c>
      <c r="U152" s="21">
        <v>0</v>
      </c>
      <c r="V152" s="144">
        <f>(((Tabela136[[#This Row],[Objetive value Similarity]]-Tabela136[[#This Row],[Objetive value Similarity/H-R2]])/Tabela136[[#This Row],[Objetive value Similarity]]))*100</f>
        <v>4.7952339290921975</v>
      </c>
    </row>
    <row r="153" spans="1:22" x14ac:dyDescent="0.25">
      <c r="A153" s="11" t="s">
        <v>281</v>
      </c>
      <c r="B153" s="30" t="s">
        <v>961</v>
      </c>
      <c r="C153" s="11">
        <v>2000</v>
      </c>
      <c r="D153" s="11">
        <v>0.05</v>
      </c>
      <c r="E153" s="11">
        <v>15</v>
      </c>
      <c r="F153" s="12" t="s">
        <v>13</v>
      </c>
      <c r="G153" s="12" t="s">
        <v>14</v>
      </c>
      <c r="H153" s="140">
        <v>45317</v>
      </c>
      <c r="I153" s="140">
        <v>37.405999999959</v>
      </c>
      <c r="J153" s="147">
        <v>10.77</v>
      </c>
      <c r="K153" s="151">
        <v>44712</v>
      </c>
      <c r="L153" s="153">
        <v>322</v>
      </c>
      <c r="M153" s="153">
        <v>131</v>
      </c>
      <c r="N153" s="145">
        <f>(((Tabela136[[#This Row],[Objetive value Similarity]]-Tabela136[[#This Row],[Objetive value Similarity/GATeS]])/Tabela136[[#This Row],[Objetive value Similarity]]))*100</f>
        <v>1.3350398305271751</v>
      </c>
      <c r="O153" s="23">
        <v>44873</v>
      </c>
      <c r="P153" s="53">
        <v>0.94</v>
      </c>
      <c r="Q153" s="53">
        <v>0</v>
      </c>
      <c r="R153" s="55">
        <f>(((Tabela136[[#This Row],[Objetive value Similarity]]-Tabela136[[#This Row],[Objetive value Similarity/H-R1    ]])/Tabela136[[#This Row],[Objetive value Similarity]]))*100</f>
        <v>0.97976476818853842</v>
      </c>
      <c r="S153" s="96">
        <v>44429</v>
      </c>
      <c r="T153" s="21">
        <v>1.18</v>
      </c>
      <c r="U153" s="21">
        <v>0</v>
      </c>
      <c r="V153" s="144">
        <f>(((Tabela136[[#This Row],[Objetive value Similarity]]-Tabela136[[#This Row],[Objetive value Similarity/H-R2]])/Tabela136[[#This Row],[Objetive value Similarity]]))*100</f>
        <v>1.9595295363770768</v>
      </c>
    </row>
    <row r="154" spans="1:22" x14ac:dyDescent="0.25">
      <c r="A154" s="11" t="s">
        <v>281</v>
      </c>
      <c r="B154" s="12" t="s">
        <v>962</v>
      </c>
      <c r="C154" s="11">
        <v>2000</v>
      </c>
      <c r="D154" s="11">
        <v>0.05</v>
      </c>
      <c r="E154" s="11">
        <v>15</v>
      </c>
      <c r="F154" s="12" t="s">
        <v>13</v>
      </c>
      <c r="G154" s="12" t="s">
        <v>16</v>
      </c>
      <c r="H154" s="140">
        <v>33046</v>
      </c>
      <c r="I154" s="140">
        <v>212.437000000034</v>
      </c>
      <c r="J154" s="147">
        <v>0</v>
      </c>
      <c r="K154" s="151">
        <v>32623</v>
      </c>
      <c r="L154" s="153">
        <v>758</v>
      </c>
      <c r="M154" s="153">
        <v>639</v>
      </c>
      <c r="N154" s="145">
        <f>(((Tabela136[[#This Row],[Objetive value Similarity]]-Tabela136[[#This Row],[Objetive value Similarity/GATeS]])/Tabela136[[#This Row],[Objetive value Similarity]]))*100</f>
        <v>1.280033892150336</v>
      </c>
      <c r="O154" s="23">
        <v>32539</v>
      </c>
      <c r="P154" s="53">
        <v>1.2</v>
      </c>
      <c r="Q154" s="53">
        <v>0</v>
      </c>
      <c r="R154" s="55">
        <f>(((Tabela136[[#This Row],[Objetive value Similarity]]-Tabela136[[#This Row],[Objetive value Similarity/H-R1    ]])/Tabela136[[#This Row],[Objetive value Similarity]]))*100</f>
        <v>1.5342250196695515</v>
      </c>
      <c r="S154" s="96">
        <v>32539</v>
      </c>
      <c r="T154" s="21">
        <v>1.35</v>
      </c>
      <c r="U154" s="21">
        <v>0</v>
      </c>
      <c r="V154" s="144">
        <f>(((Tabela136[[#This Row],[Objetive value Similarity]]-Tabela136[[#This Row],[Objetive value Similarity/H-R2]])/Tabela136[[#This Row],[Objetive value Similarity]]))*100</f>
        <v>1.5342250196695515</v>
      </c>
    </row>
    <row r="155" spans="1:22" x14ac:dyDescent="0.25">
      <c r="A155" s="11" t="s">
        <v>281</v>
      </c>
      <c r="B155" s="12" t="s">
        <v>963</v>
      </c>
      <c r="C155" s="11">
        <v>2000</v>
      </c>
      <c r="D155" s="11">
        <v>0.05</v>
      </c>
      <c r="E155" s="11">
        <v>15</v>
      </c>
      <c r="F155" s="12" t="s">
        <v>18</v>
      </c>
      <c r="G155" s="12" t="s">
        <v>14</v>
      </c>
      <c r="H155" s="140">
        <v>58165</v>
      </c>
      <c r="I155" s="140">
        <v>24.4529999999795</v>
      </c>
      <c r="J155" s="147">
        <v>12.79</v>
      </c>
      <c r="K155" s="151">
        <v>58044</v>
      </c>
      <c r="L155" s="153">
        <v>285</v>
      </c>
      <c r="M155" s="153">
        <v>209</v>
      </c>
      <c r="N155" s="145">
        <f>(((Tabela136[[#This Row],[Objetive value Similarity]]-Tabela136[[#This Row],[Objetive value Similarity/GATeS]])/Tabela136[[#This Row],[Objetive value Similarity]]))*100</f>
        <v>0.20802888334909309</v>
      </c>
      <c r="O155" s="23">
        <v>58165</v>
      </c>
      <c r="P155" s="53">
        <v>1.4</v>
      </c>
      <c r="Q155" s="53">
        <v>0</v>
      </c>
      <c r="R155" s="55">
        <f>(((Tabela136[[#This Row],[Objetive value Similarity]]-Tabela136[[#This Row],[Objetive value Similarity/H-R1    ]])/Tabela136[[#This Row],[Objetive value Similarity]]))*100</f>
        <v>0</v>
      </c>
      <c r="S155" s="96">
        <v>58165</v>
      </c>
      <c r="T155" s="21">
        <v>0.88</v>
      </c>
      <c r="U155" s="21">
        <v>0</v>
      </c>
      <c r="V155" s="144">
        <f>(((Tabela136[[#This Row],[Objetive value Similarity]]-Tabela136[[#This Row],[Objetive value Similarity/H-R2]])/Tabela136[[#This Row],[Objetive value Similarity]]))*100</f>
        <v>0</v>
      </c>
    </row>
    <row r="156" spans="1:22" x14ac:dyDescent="0.25">
      <c r="A156" s="11" t="s">
        <v>281</v>
      </c>
      <c r="B156" s="12" t="s">
        <v>964</v>
      </c>
      <c r="C156" s="11">
        <v>2000</v>
      </c>
      <c r="D156" s="11">
        <v>0.05</v>
      </c>
      <c r="E156" s="11">
        <v>15</v>
      </c>
      <c r="F156" s="12" t="s">
        <v>18</v>
      </c>
      <c r="G156" s="12" t="s">
        <v>16</v>
      </c>
      <c r="H156" s="140">
        <v>33799</v>
      </c>
      <c r="I156" s="140">
        <v>142.84399999992399</v>
      </c>
      <c r="J156" s="147">
        <v>1.98</v>
      </c>
      <c r="K156" s="151">
        <v>32820</v>
      </c>
      <c r="L156" s="153">
        <v>776</v>
      </c>
      <c r="M156" s="153">
        <v>433</v>
      </c>
      <c r="N156" s="145">
        <f>(((Tabela136[[#This Row],[Objetive value Similarity]]-Tabela136[[#This Row],[Objetive value Similarity/GATeS]])/Tabela136[[#This Row],[Objetive value Similarity]]))*100</f>
        <v>2.8965354004556345</v>
      </c>
      <c r="O156" s="23">
        <v>33750</v>
      </c>
      <c r="P156" s="53">
        <v>1.23</v>
      </c>
      <c r="Q156" s="53">
        <v>0</v>
      </c>
      <c r="R156" s="55">
        <f>(((Tabela136[[#This Row],[Objetive value Similarity]]-Tabela136[[#This Row],[Objetive value Similarity/H-R1    ]])/Tabela136[[#This Row],[Objetive value Similarity]]))*100</f>
        <v>0.14497470339359153</v>
      </c>
      <c r="S156" s="96">
        <v>33610</v>
      </c>
      <c r="T156" s="21">
        <v>1.02</v>
      </c>
      <c r="U156" s="21">
        <v>0</v>
      </c>
      <c r="V156" s="144">
        <f>(((Tabela136[[#This Row],[Objetive value Similarity]]-Tabela136[[#This Row],[Objetive value Similarity/H-R2]])/Tabela136[[#This Row],[Objetive value Similarity]]))*100</f>
        <v>0.55918814166099595</v>
      </c>
    </row>
    <row r="157" spans="1:22" x14ac:dyDescent="0.25">
      <c r="A157" s="11" t="s">
        <v>281</v>
      </c>
      <c r="B157" s="12" t="s">
        <v>965</v>
      </c>
      <c r="C157" s="11">
        <v>2000</v>
      </c>
      <c r="D157" s="11">
        <v>0.05</v>
      </c>
      <c r="E157" s="11">
        <v>15</v>
      </c>
      <c r="F157" s="12" t="s">
        <v>21</v>
      </c>
      <c r="G157" s="12" t="s">
        <v>14</v>
      </c>
      <c r="H157" s="140">
        <v>45646</v>
      </c>
      <c r="I157" s="140">
        <v>13.4690000000409</v>
      </c>
      <c r="J157" s="147">
        <v>0</v>
      </c>
      <c r="K157" s="151">
        <v>45166</v>
      </c>
      <c r="L157" s="153">
        <v>186</v>
      </c>
      <c r="M157" s="153">
        <v>164</v>
      </c>
      <c r="N157" s="145">
        <f>(((Tabela136[[#This Row],[Objetive value Similarity]]-Tabela136[[#This Row],[Objetive value Similarity/GATeS]])/Tabela136[[#This Row],[Objetive value Similarity]]))*100</f>
        <v>1.0515707838583885</v>
      </c>
      <c r="O157" s="23">
        <v>43423</v>
      </c>
      <c r="P157" s="53">
        <v>2.62</v>
      </c>
      <c r="Q157" s="53">
        <v>0</v>
      </c>
      <c r="R157" s="55">
        <f>(((Tabela136[[#This Row],[Objetive value Similarity]]-Tabela136[[#This Row],[Objetive value Similarity/H-R1    ]])/Tabela136[[#This Row],[Objetive value Similarity]]))*100</f>
        <v>4.8700871927441618</v>
      </c>
      <c r="S157" s="96">
        <v>45393</v>
      </c>
      <c r="T157" s="21">
        <v>1.92</v>
      </c>
      <c r="U157" s="21">
        <v>0</v>
      </c>
      <c r="V157" s="144">
        <f>(((Tabela136[[#This Row],[Objetive value Similarity]]-Tabela136[[#This Row],[Objetive value Similarity/H-R2]])/Tabela136[[#This Row],[Objetive value Similarity]]))*100</f>
        <v>0.55426543399202566</v>
      </c>
    </row>
    <row r="158" spans="1:22" x14ac:dyDescent="0.25">
      <c r="A158" s="11" t="s">
        <v>281</v>
      </c>
      <c r="B158" s="12" t="s">
        <v>966</v>
      </c>
      <c r="C158" s="11">
        <v>2000</v>
      </c>
      <c r="D158" s="11">
        <v>0.05</v>
      </c>
      <c r="E158" s="11">
        <v>15</v>
      </c>
      <c r="F158" s="12" t="s">
        <v>21</v>
      </c>
      <c r="G158" s="12" t="s">
        <v>16</v>
      </c>
      <c r="H158" s="140">
        <v>29094</v>
      </c>
      <c r="I158" s="140">
        <v>201.702999999979</v>
      </c>
      <c r="J158" s="147">
        <v>2.66</v>
      </c>
      <c r="K158" s="151">
        <v>27564</v>
      </c>
      <c r="L158" s="153">
        <v>208</v>
      </c>
      <c r="M158" s="153">
        <v>7</v>
      </c>
      <c r="N158" s="145">
        <f>(((Tabela136[[#This Row],[Objetive value Similarity]]-Tabela136[[#This Row],[Objetive value Similarity/GATeS]])/Tabela136[[#This Row],[Objetive value Similarity]]))*100</f>
        <v>5.2588162507733553</v>
      </c>
      <c r="O158" s="23">
        <v>26359</v>
      </c>
      <c r="P158" s="53">
        <v>1.23</v>
      </c>
      <c r="Q158" s="53">
        <v>0</v>
      </c>
      <c r="R158" s="55">
        <f>(((Tabela136[[#This Row],[Objetive value Similarity]]-Tabela136[[#This Row],[Objetive value Similarity/H-R1    ]])/Tabela136[[#This Row],[Objetive value Similarity]]))*100</f>
        <v>9.4005636901079264</v>
      </c>
      <c r="S158" s="96">
        <v>27482</v>
      </c>
      <c r="T158" s="21">
        <v>1.19</v>
      </c>
      <c r="U158" s="21">
        <v>0</v>
      </c>
      <c r="V158" s="144">
        <f>(((Tabela136[[#This Row],[Objetive value Similarity]]-Tabela136[[#This Row],[Objetive value Similarity/H-R2]])/Tabela136[[#This Row],[Objetive value Similarity]]))*100</f>
        <v>5.5406613047363713</v>
      </c>
    </row>
    <row r="159" spans="1:22" x14ac:dyDescent="0.25">
      <c r="A159" s="11" t="s">
        <v>243</v>
      </c>
      <c r="B159" s="30" t="s">
        <v>925</v>
      </c>
      <c r="C159" s="11">
        <v>2000</v>
      </c>
      <c r="D159" s="11">
        <v>0.05</v>
      </c>
      <c r="E159" s="11">
        <v>5</v>
      </c>
      <c r="F159" s="12" t="s">
        <v>13</v>
      </c>
      <c r="G159" s="12" t="s">
        <v>14</v>
      </c>
      <c r="H159" s="140">
        <v>19818</v>
      </c>
      <c r="I159" s="140">
        <v>2.1720000000204802</v>
      </c>
      <c r="J159" s="147">
        <v>0</v>
      </c>
      <c r="K159" s="151">
        <v>19749</v>
      </c>
      <c r="L159" s="153">
        <v>100</v>
      </c>
      <c r="M159" s="153">
        <v>80</v>
      </c>
      <c r="N159" s="145">
        <f>(((Tabela136[[#This Row],[Objetive value Similarity]]-Tabela136[[#This Row],[Objetive value Similarity/GATeS]])/Tabela136[[#This Row],[Objetive value Similarity]]))*100</f>
        <v>0.34816833181955797</v>
      </c>
      <c r="O159" s="23">
        <v>19241</v>
      </c>
      <c r="P159" s="53">
        <v>0.6</v>
      </c>
      <c r="Q159" s="53">
        <v>0</v>
      </c>
      <c r="R159" s="55">
        <f>(((Tabela136[[#This Row],[Objetive value Similarity]]-Tabela136[[#This Row],[Objetive value Similarity/H-R1    ]])/Tabela136[[#This Row],[Objetive value Similarity]]))*100</f>
        <v>2.9114946008678979</v>
      </c>
      <c r="S159" s="96">
        <v>19818</v>
      </c>
      <c r="T159" s="21">
        <v>0.6</v>
      </c>
      <c r="U159" s="21">
        <v>0</v>
      </c>
      <c r="V159" s="144">
        <f>(((Tabela136[[#This Row],[Objetive value Similarity]]-Tabela136[[#This Row],[Objetive value Similarity/H-R2]])/Tabela136[[#This Row],[Objetive value Similarity]]))*100</f>
        <v>0</v>
      </c>
    </row>
    <row r="160" spans="1:22" x14ac:dyDescent="0.25">
      <c r="A160" s="11" t="s">
        <v>243</v>
      </c>
      <c r="B160" s="12" t="s">
        <v>926</v>
      </c>
      <c r="C160" s="11">
        <v>2000</v>
      </c>
      <c r="D160" s="11">
        <v>0.05</v>
      </c>
      <c r="E160" s="11">
        <v>5</v>
      </c>
      <c r="F160" s="12" t="s">
        <v>13</v>
      </c>
      <c r="G160" s="12" t="s">
        <v>16</v>
      </c>
      <c r="H160" s="140">
        <v>14571</v>
      </c>
      <c r="I160" s="140">
        <v>2.2970000000204802</v>
      </c>
      <c r="J160" s="147">
        <v>0</v>
      </c>
      <c r="K160" s="151">
        <v>14314</v>
      </c>
      <c r="L160" s="153">
        <v>66</v>
      </c>
      <c r="M160" s="153">
        <v>24</v>
      </c>
      <c r="N160" s="145">
        <f>(((Tabela136[[#This Row],[Objetive value Similarity]]-Tabela136[[#This Row],[Objetive value Similarity/GATeS]])/Tabela136[[#This Row],[Objetive value Similarity]]))*100</f>
        <v>1.7637773660009608</v>
      </c>
      <c r="O160" s="23">
        <v>14570</v>
      </c>
      <c r="P160" s="53">
        <v>0.68</v>
      </c>
      <c r="Q160" s="53">
        <v>0</v>
      </c>
      <c r="R160" s="55">
        <f>(((Tabela136[[#This Row],[Objetive value Similarity]]-Tabela136[[#This Row],[Objetive value Similarity/H-R1    ]])/Tabela136[[#This Row],[Objetive value Similarity]]))*100</f>
        <v>6.8629469494200807E-3</v>
      </c>
      <c r="S160" s="96">
        <v>14570</v>
      </c>
      <c r="T160" s="21">
        <v>0.76</v>
      </c>
      <c r="U160" s="21">
        <v>0</v>
      </c>
      <c r="V160" s="144">
        <f>(((Tabela136[[#This Row],[Objetive value Similarity]]-Tabela136[[#This Row],[Objetive value Similarity/H-R2]])/Tabela136[[#This Row],[Objetive value Similarity]]))*100</f>
        <v>6.8629469494200807E-3</v>
      </c>
    </row>
    <row r="161" spans="1:22" x14ac:dyDescent="0.25">
      <c r="A161" s="11" t="s">
        <v>243</v>
      </c>
      <c r="B161" s="12" t="s">
        <v>927</v>
      </c>
      <c r="C161" s="11">
        <v>2000</v>
      </c>
      <c r="D161" s="11">
        <v>0.05</v>
      </c>
      <c r="E161" s="11">
        <v>5</v>
      </c>
      <c r="F161" s="12" t="s">
        <v>18</v>
      </c>
      <c r="G161" s="12" t="s">
        <v>14</v>
      </c>
      <c r="H161" s="140">
        <v>18158</v>
      </c>
      <c r="I161" s="140">
        <v>2.15600000007543</v>
      </c>
      <c r="J161" s="147">
        <v>0</v>
      </c>
      <c r="K161" s="151">
        <v>18152</v>
      </c>
      <c r="L161" s="153">
        <v>160</v>
      </c>
      <c r="M161" s="153">
        <v>151</v>
      </c>
      <c r="N161" s="145">
        <f>(((Tabela136[[#This Row],[Objetive value Similarity]]-Tabela136[[#This Row],[Objetive value Similarity/GATeS]])/Tabela136[[#This Row],[Objetive value Similarity]]))*100</f>
        <v>3.3043286705584318E-2</v>
      </c>
      <c r="O161" s="23">
        <v>18158</v>
      </c>
      <c r="P161" s="53">
        <v>0.77</v>
      </c>
      <c r="Q161" s="53">
        <v>0</v>
      </c>
      <c r="R161" s="55">
        <f>(((Tabela136[[#This Row],[Objetive value Similarity]]-Tabela136[[#This Row],[Objetive value Similarity/H-R1    ]])/Tabela136[[#This Row],[Objetive value Similarity]]))*100</f>
        <v>0</v>
      </c>
      <c r="S161" s="96">
        <v>16328</v>
      </c>
      <c r="T161" s="21">
        <v>1.07</v>
      </c>
      <c r="U161" s="21">
        <v>0</v>
      </c>
      <c r="V161" s="144">
        <f>(((Tabela136[[#This Row],[Objetive value Similarity]]-Tabela136[[#This Row],[Objetive value Similarity/H-R2]])/Tabela136[[#This Row],[Objetive value Similarity]]))*100</f>
        <v>10.078202445203216</v>
      </c>
    </row>
    <row r="162" spans="1:22" x14ac:dyDescent="0.25">
      <c r="A162" s="11" t="s">
        <v>243</v>
      </c>
      <c r="B162" s="12" t="s">
        <v>928</v>
      </c>
      <c r="C162" s="11">
        <v>2000</v>
      </c>
      <c r="D162" s="11">
        <v>0.05</v>
      </c>
      <c r="E162" s="11">
        <v>5</v>
      </c>
      <c r="F162" s="12" t="s">
        <v>18</v>
      </c>
      <c r="G162" s="12" t="s">
        <v>16</v>
      </c>
      <c r="H162" s="140">
        <v>12842</v>
      </c>
      <c r="I162" s="140">
        <v>2.10900000005494</v>
      </c>
      <c r="J162" s="147">
        <v>0</v>
      </c>
      <c r="K162" s="151">
        <v>12832</v>
      </c>
      <c r="L162" s="153">
        <v>91</v>
      </c>
      <c r="M162" s="153">
        <v>34</v>
      </c>
      <c r="N162" s="145">
        <f>(((Tabela136[[#This Row],[Objetive value Similarity]]-Tabela136[[#This Row],[Objetive value Similarity/GATeS]])/Tabela136[[#This Row],[Objetive value Similarity]]))*100</f>
        <v>7.7869490733530597E-2</v>
      </c>
      <c r="O162" s="23">
        <v>12842</v>
      </c>
      <c r="P162" s="53">
        <v>0.72</v>
      </c>
      <c r="Q162" s="53">
        <v>0</v>
      </c>
      <c r="R162" s="55">
        <f>(((Tabela136[[#This Row],[Objetive value Similarity]]-Tabela136[[#This Row],[Objetive value Similarity/H-R1    ]])/Tabela136[[#This Row],[Objetive value Similarity]]))*100</f>
        <v>0</v>
      </c>
      <c r="S162" s="96">
        <v>12842</v>
      </c>
      <c r="T162" s="21">
        <v>0.93</v>
      </c>
      <c r="U162" s="21">
        <v>0</v>
      </c>
      <c r="V162" s="144">
        <f>(((Tabela136[[#This Row],[Objetive value Similarity]]-Tabela136[[#This Row],[Objetive value Similarity/H-R2]])/Tabela136[[#This Row],[Objetive value Similarity]]))*100</f>
        <v>0</v>
      </c>
    </row>
    <row r="163" spans="1:22" x14ac:dyDescent="0.25">
      <c r="A163" s="11" t="s">
        <v>243</v>
      </c>
      <c r="B163" s="12" t="s">
        <v>929</v>
      </c>
      <c r="C163" s="11">
        <v>2000</v>
      </c>
      <c r="D163" s="11">
        <v>0.05</v>
      </c>
      <c r="E163" s="11">
        <v>5</v>
      </c>
      <c r="F163" s="12" t="s">
        <v>21</v>
      </c>
      <c r="G163" s="12" t="s">
        <v>14</v>
      </c>
      <c r="H163" s="140">
        <v>5216</v>
      </c>
      <c r="I163" s="140">
        <v>1.5620000000344501</v>
      </c>
      <c r="J163" s="147">
        <v>0</v>
      </c>
      <c r="K163" s="151">
        <v>5162</v>
      </c>
      <c r="L163" s="153">
        <v>0</v>
      </c>
      <c r="M163" s="153">
        <v>0</v>
      </c>
      <c r="N163" s="145">
        <f>(((Tabela136[[#This Row],[Objetive value Similarity]]-Tabela136[[#This Row],[Objetive value Similarity/GATeS]])/Tabela136[[#This Row],[Objetive value Similarity]]))*100</f>
        <v>1.0352760736196318</v>
      </c>
      <c r="O163" s="23">
        <v>5063</v>
      </c>
      <c r="P163" s="53">
        <v>1.3</v>
      </c>
      <c r="Q163" s="53">
        <v>0</v>
      </c>
      <c r="R163" s="55">
        <f>(((Tabela136[[#This Row],[Objetive value Similarity]]-Tabela136[[#This Row],[Objetive value Similarity/H-R1    ]])/Tabela136[[#This Row],[Objetive value Similarity]]))*100</f>
        <v>2.9332822085889569</v>
      </c>
      <c r="S163" s="96">
        <v>5063</v>
      </c>
      <c r="T163" s="21">
        <v>1.71</v>
      </c>
      <c r="U163" s="21">
        <v>0</v>
      </c>
      <c r="V163" s="144">
        <f>(((Tabela136[[#This Row],[Objetive value Similarity]]-Tabela136[[#This Row],[Objetive value Similarity/H-R2]])/Tabela136[[#This Row],[Objetive value Similarity]]))*100</f>
        <v>2.9332822085889569</v>
      </c>
    </row>
    <row r="164" spans="1:22" x14ac:dyDescent="0.25">
      <c r="A164" s="11" t="s">
        <v>243</v>
      </c>
      <c r="B164" s="12" t="s">
        <v>930</v>
      </c>
      <c r="C164" s="11">
        <v>2000</v>
      </c>
      <c r="D164" s="11">
        <v>0.05</v>
      </c>
      <c r="E164" s="11">
        <v>5</v>
      </c>
      <c r="F164" s="12" t="s">
        <v>21</v>
      </c>
      <c r="G164" s="12" t="s">
        <v>16</v>
      </c>
      <c r="H164" s="140">
        <v>7835</v>
      </c>
      <c r="I164" s="140">
        <v>1.07799999997951</v>
      </c>
      <c r="J164" s="147">
        <v>0</v>
      </c>
      <c r="K164" s="151">
        <v>6779</v>
      </c>
      <c r="L164" s="153">
        <v>0</v>
      </c>
      <c r="M164" s="153">
        <v>0</v>
      </c>
      <c r="N164" s="145">
        <f>(((Tabela136[[#This Row],[Objetive value Similarity]]-Tabela136[[#This Row],[Objetive value Similarity/GATeS]])/Tabela136[[#This Row],[Objetive value Similarity]]))*100</f>
        <v>13.477983407785576</v>
      </c>
      <c r="O164" s="23">
        <v>7835</v>
      </c>
      <c r="P164" s="53">
        <v>1.37</v>
      </c>
      <c r="Q164" s="53">
        <v>0</v>
      </c>
      <c r="R164" s="55">
        <f>(((Tabela136[[#This Row],[Objetive value Similarity]]-Tabela136[[#This Row],[Objetive value Similarity/H-R1    ]])/Tabela136[[#This Row],[Objetive value Similarity]]))*100</f>
        <v>0</v>
      </c>
      <c r="S164" s="96">
        <v>7574</v>
      </c>
      <c r="T164" s="21">
        <v>1.4</v>
      </c>
      <c r="U164" s="21">
        <v>0</v>
      </c>
      <c r="V164" s="144">
        <f>(((Tabela136[[#This Row],[Objetive value Similarity]]-Tabela136[[#This Row],[Objetive value Similarity/H-R2]])/Tabela136[[#This Row],[Objetive value Similarity]]))*100</f>
        <v>3.3312061263560948</v>
      </c>
    </row>
    <row r="165" spans="1:22" x14ac:dyDescent="0.25">
      <c r="A165" s="11" t="s">
        <v>35</v>
      </c>
      <c r="B165" s="12" t="s">
        <v>733</v>
      </c>
      <c r="C165" s="11">
        <v>100</v>
      </c>
      <c r="D165" s="24">
        <v>0.1</v>
      </c>
      <c r="E165" s="11">
        <v>10</v>
      </c>
      <c r="F165" s="12" t="s">
        <v>13</v>
      </c>
      <c r="G165" s="12" t="s">
        <v>14</v>
      </c>
      <c r="H165" s="140">
        <v>1954</v>
      </c>
      <c r="I165" s="140">
        <v>0.155999999959021</v>
      </c>
      <c r="J165" s="147">
        <v>0</v>
      </c>
      <c r="K165" s="151">
        <v>1883</v>
      </c>
      <c r="L165" s="153">
        <v>25</v>
      </c>
      <c r="M165" s="153">
        <v>25</v>
      </c>
      <c r="N165" s="145">
        <f>(((Tabela136[[#This Row],[Objetive value Similarity]]-Tabela136[[#This Row],[Objetive value Similarity/GATeS]])/Tabela136[[#This Row],[Objetive value Similarity]]))*100</f>
        <v>3.6335721596724664</v>
      </c>
      <c r="O165" s="23">
        <v>1814</v>
      </c>
      <c r="P165" s="53">
        <v>0.32</v>
      </c>
      <c r="Q165" s="53">
        <v>0</v>
      </c>
      <c r="R165" s="55">
        <f>(((Tabela136[[#This Row],[Objetive value Similarity]]-Tabela136[[#This Row],[Objetive value Similarity/H-R1    ]])/Tabela136[[#This Row],[Objetive value Similarity]]))*100</f>
        <v>7.1647901740020474</v>
      </c>
      <c r="S165" s="96">
        <v>1919</v>
      </c>
      <c r="T165" s="21">
        <v>0.81</v>
      </c>
      <c r="U165" s="21">
        <v>0</v>
      </c>
      <c r="V165" s="144">
        <f>(((Tabela136[[#This Row],[Objetive value Similarity]]-Tabela136[[#This Row],[Objetive value Similarity/H-R2]])/Tabela136[[#This Row],[Objetive value Similarity]]))*100</f>
        <v>1.7911975435005119</v>
      </c>
    </row>
    <row r="166" spans="1:22" x14ac:dyDescent="0.25">
      <c r="A166" s="11" t="s">
        <v>35</v>
      </c>
      <c r="B166" s="12" t="s">
        <v>734</v>
      </c>
      <c r="C166" s="11">
        <v>100</v>
      </c>
      <c r="D166" s="24">
        <v>0.1</v>
      </c>
      <c r="E166" s="11">
        <v>10</v>
      </c>
      <c r="F166" s="12" t="s">
        <v>13</v>
      </c>
      <c r="G166" s="12" t="s">
        <v>16</v>
      </c>
      <c r="H166" s="140">
        <v>1098</v>
      </c>
      <c r="I166" s="140">
        <v>0.51599999994505197</v>
      </c>
      <c r="J166" s="147">
        <v>0</v>
      </c>
      <c r="K166" s="151">
        <v>1079</v>
      </c>
      <c r="L166" s="153">
        <v>5</v>
      </c>
      <c r="M166" s="153">
        <v>3</v>
      </c>
      <c r="N166" s="145">
        <f>(((Tabela136[[#This Row],[Objetive value Similarity]]-Tabela136[[#This Row],[Objetive value Similarity/GATeS]])/Tabela136[[#This Row],[Objetive value Similarity]]))*100</f>
        <v>1.7304189435336976</v>
      </c>
      <c r="O166" s="23">
        <v>1060</v>
      </c>
      <c r="P166" s="53">
        <v>0.42</v>
      </c>
      <c r="Q166" s="53">
        <v>0</v>
      </c>
      <c r="R166" s="55">
        <f>(((Tabela136[[#This Row],[Objetive value Similarity]]-Tabela136[[#This Row],[Objetive value Similarity/H-R1    ]])/Tabela136[[#This Row],[Objetive value Similarity]]))*100</f>
        <v>3.4608378870673953</v>
      </c>
      <c r="S166" s="96">
        <v>1048</v>
      </c>
      <c r="T166" s="21">
        <v>0.44</v>
      </c>
      <c r="U166" s="21">
        <v>0</v>
      </c>
      <c r="V166" s="144">
        <f>(((Tabela136[[#This Row],[Objetive value Similarity]]-Tabela136[[#This Row],[Objetive value Similarity/H-R2]])/Tabela136[[#This Row],[Objetive value Similarity]]))*100</f>
        <v>4.5537340619307827</v>
      </c>
    </row>
    <row r="167" spans="1:22" x14ac:dyDescent="0.25">
      <c r="A167" s="29" t="s">
        <v>35</v>
      </c>
      <c r="B167" s="30" t="s">
        <v>735</v>
      </c>
      <c r="C167" s="29">
        <v>100</v>
      </c>
      <c r="D167" s="31">
        <v>0.1</v>
      </c>
      <c r="E167" s="29">
        <v>10</v>
      </c>
      <c r="F167" s="30" t="s">
        <v>18</v>
      </c>
      <c r="G167" s="30" t="s">
        <v>14</v>
      </c>
      <c r="H167" s="140">
        <v>2074</v>
      </c>
      <c r="I167" s="140">
        <v>0.14000000001396901</v>
      </c>
      <c r="J167" s="147">
        <v>0</v>
      </c>
      <c r="K167" s="151">
        <v>2040</v>
      </c>
      <c r="L167" s="153">
        <v>3</v>
      </c>
      <c r="M167" s="153">
        <v>1</v>
      </c>
      <c r="N167" s="145">
        <f>(((Tabela136[[#This Row],[Objetive value Similarity]]-Tabela136[[#This Row],[Objetive value Similarity/GATeS]])/Tabela136[[#This Row],[Objetive value Similarity]]))*100</f>
        <v>1.639344262295082</v>
      </c>
      <c r="O167" s="23">
        <v>2046</v>
      </c>
      <c r="P167" s="53">
        <v>0.31</v>
      </c>
      <c r="Q167" s="53">
        <v>0</v>
      </c>
      <c r="R167" s="55">
        <f>(((Tabela136[[#This Row],[Objetive value Similarity]]-Tabela136[[#This Row],[Objetive value Similarity/H-R1    ]])/Tabela136[[#This Row],[Objetive value Similarity]]))*100</f>
        <v>1.3500482160077145</v>
      </c>
      <c r="S167" s="96">
        <v>1951</v>
      </c>
      <c r="T167" s="21">
        <v>0.42</v>
      </c>
      <c r="U167" s="21">
        <v>0</v>
      </c>
      <c r="V167" s="144">
        <f>(((Tabela136[[#This Row],[Objetive value Similarity]]-Tabela136[[#This Row],[Objetive value Similarity/H-R2]])/Tabela136[[#This Row],[Objetive value Similarity]]))*100</f>
        <v>5.9305689488910316</v>
      </c>
    </row>
    <row r="168" spans="1:22" x14ac:dyDescent="0.25">
      <c r="A168" s="11" t="s">
        <v>35</v>
      </c>
      <c r="B168" s="12" t="s">
        <v>736</v>
      </c>
      <c r="C168" s="11">
        <v>100</v>
      </c>
      <c r="D168" s="24">
        <v>0.1</v>
      </c>
      <c r="E168" s="11">
        <v>10</v>
      </c>
      <c r="F168" s="12" t="s">
        <v>18</v>
      </c>
      <c r="G168" s="12" t="s">
        <v>16</v>
      </c>
      <c r="H168" s="140">
        <v>1321</v>
      </c>
      <c r="I168" s="140">
        <v>0.32799999997951002</v>
      </c>
      <c r="J168" s="147">
        <v>0</v>
      </c>
      <c r="K168" s="151">
        <v>1308</v>
      </c>
      <c r="L168" s="153">
        <v>7</v>
      </c>
      <c r="M168" s="153">
        <v>3</v>
      </c>
      <c r="N168" s="145">
        <f>(((Tabela136[[#This Row],[Objetive value Similarity]]-Tabela136[[#This Row],[Objetive value Similarity/GATeS]])/Tabela136[[#This Row],[Objetive value Similarity]]))*100</f>
        <v>0.98410295230885703</v>
      </c>
      <c r="O168" s="23">
        <v>1293</v>
      </c>
      <c r="P168" s="53">
        <v>0.42</v>
      </c>
      <c r="Q168" s="53">
        <v>0</v>
      </c>
      <c r="R168" s="55">
        <f>(((Tabela136[[#This Row],[Objetive value Similarity]]-Tabela136[[#This Row],[Objetive value Similarity/H-R1    ]])/Tabela136[[#This Row],[Objetive value Similarity]]))*100</f>
        <v>2.1196063588190763</v>
      </c>
      <c r="S168" s="96">
        <v>1296</v>
      </c>
      <c r="T168" s="21">
        <v>0.33</v>
      </c>
      <c r="U168" s="21">
        <v>0</v>
      </c>
      <c r="V168" s="144">
        <f>(((Tabela136[[#This Row],[Objetive value Similarity]]-Tabela136[[#This Row],[Objetive value Similarity/H-R2]])/Tabela136[[#This Row],[Objetive value Similarity]]))*100</f>
        <v>1.8925056775170326</v>
      </c>
    </row>
    <row r="169" spans="1:22" x14ac:dyDescent="0.25">
      <c r="A169" s="11" t="s">
        <v>35</v>
      </c>
      <c r="B169" s="12" t="s">
        <v>737</v>
      </c>
      <c r="C169" s="11">
        <v>100</v>
      </c>
      <c r="D169" s="24">
        <v>0.1</v>
      </c>
      <c r="E169" s="11">
        <v>10</v>
      </c>
      <c r="F169" s="32" t="s">
        <v>21</v>
      </c>
      <c r="G169" s="32" t="s">
        <v>14</v>
      </c>
      <c r="H169" s="140">
        <v>1561</v>
      </c>
      <c r="I169" s="140">
        <v>0.109000000054948</v>
      </c>
      <c r="J169" s="147">
        <v>0</v>
      </c>
      <c r="K169" s="151">
        <v>1493</v>
      </c>
      <c r="L169" s="153">
        <v>3</v>
      </c>
      <c r="M169" s="153">
        <v>0</v>
      </c>
      <c r="N169" s="145">
        <f>(((Tabela136[[#This Row],[Objetive value Similarity]]-Tabela136[[#This Row],[Objetive value Similarity/GATeS]])/Tabela136[[#This Row],[Objetive value Similarity]]))*100</f>
        <v>4.356181934657271</v>
      </c>
      <c r="O169" s="23">
        <v>657</v>
      </c>
      <c r="P169" s="53">
        <v>1.62</v>
      </c>
      <c r="Q169" s="53">
        <v>0</v>
      </c>
      <c r="R169" s="55">
        <f>(((Tabela136[[#This Row],[Objetive value Similarity]]-Tabela136[[#This Row],[Objetive value Similarity/H-R1    ]])/Tabela136[[#This Row],[Objetive value Similarity]]))*100</f>
        <v>57.911595131326074</v>
      </c>
      <c r="S169" s="96">
        <v>1214</v>
      </c>
      <c r="T169" s="21">
        <v>0.75</v>
      </c>
      <c r="U169" s="21">
        <v>0</v>
      </c>
      <c r="V169" s="144">
        <f>(((Tabela136[[#This Row],[Objetive value Similarity]]-Tabela136[[#This Row],[Objetive value Similarity/H-R2]])/Tabela136[[#This Row],[Objetive value Similarity]]))*100</f>
        <v>22.229340166559897</v>
      </c>
    </row>
    <row r="170" spans="1:22" x14ac:dyDescent="0.25">
      <c r="A170" s="11" t="s">
        <v>35</v>
      </c>
      <c r="B170" s="12" t="s">
        <v>738</v>
      </c>
      <c r="C170" s="11">
        <v>100</v>
      </c>
      <c r="D170" s="24">
        <v>0.1</v>
      </c>
      <c r="E170" s="11">
        <v>10</v>
      </c>
      <c r="F170" s="32" t="s">
        <v>21</v>
      </c>
      <c r="G170" s="32" t="s">
        <v>16</v>
      </c>
      <c r="H170" s="140">
        <v>1279</v>
      </c>
      <c r="I170" s="140">
        <v>0.375</v>
      </c>
      <c r="J170" s="147">
        <v>0</v>
      </c>
      <c r="K170" s="151">
        <v>1255</v>
      </c>
      <c r="L170" s="153">
        <v>4</v>
      </c>
      <c r="M170" s="153">
        <v>0</v>
      </c>
      <c r="N170" s="145">
        <f>(((Tabela136[[#This Row],[Objetive value Similarity]]-Tabela136[[#This Row],[Objetive value Similarity/GATeS]])/Tabela136[[#This Row],[Objetive value Similarity]]))*100</f>
        <v>1.8764659890539486</v>
      </c>
      <c r="O170" s="23">
        <v>1227</v>
      </c>
      <c r="P170" s="53">
        <v>0.56999999999999995</v>
      </c>
      <c r="Q170" s="53">
        <v>0</v>
      </c>
      <c r="R170" s="55">
        <f>(((Tabela136[[#This Row],[Objetive value Similarity]]-Tabela136[[#This Row],[Objetive value Similarity/H-R1    ]])/Tabela136[[#This Row],[Objetive value Similarity]]))*100</f>
        <v>4.0656763096168884</v>
      </c>
      <c r="S170" s="96">
        <v>1239</v>
      </c>
      <c r="T170" s="21">
        <v>0.28000000000000003</v>
      </c>
      <c r="U170" s="21">
        <v>0</v>
      </c>
      <c r="V170" s="144">
        <f>(((Tabela136[[#This Row],[Objetive value Similarity]]-Tabela136[[#This Row],[Objetive value Similarity/H-R2]])/Tabela136[[#This Row],[Objetive value Similarity]]))*100</f>
        <v>3.1274433150899137</v>
      </c>
    </row>
    <row r="171" spans="1:22" x14ac:dyDescent="0.25">
      <c r="A171" s="11" t="s">
        <v>54</v>
      </c>
      <c r="B171" s="30" t="s">
        <v>751</v>
      </c>
      <c r="C171" s="11">
        <v>100</v>
      </c>
      <c r="D171" s="24">
        <v>0.1</v>
      </c>
      <c r="E171" s="11">
        <v>15</v>
      </c>
      <c r="F171" s="12" t="s">
        <v>13</v>
      </c>
      <c r="G171" s="12" t="s">
        <v>14</v>
      </c>
      <c r="H171" s="140">
        <v>3016</v>
      </c>
      <c r="I171" s="140">
        <v>1.17200000002048</v>
      </c>
      <c r="J171" s="147">
        <v>2.76</v>
      </c>
      <c r="K171" s="151">
        <v>2903</v>
      </c>
      <c r="L171" s="153">
        <v>28</v>
      </c>
      <c r="M171" s="153">
        <v>14</v>
      </c>
      <c r="N171" s="145">
        <f>(((Tabela136[[#This Row],[Objetive value Similarity]]-Tabela136[[#This Row],[Objetive value Similarity/GATeS]])/Tabela136[[#This Row],[Objetive value Similarity]]))*100</f>
        <v>3.7466843501326257</v>
      </c>
      <c r="O171" s="23">
        <v>2902</v>
      </c>
      <c r="P171" s="53">
        <v>0.3</v>
      </c>
      <c r="Q171" s="53">
        <v>0</v>
      </c>
      <c r="R171" s="55">
        <f>(((Tabela136[[#This Row],[Objetive value Similarity]]-Tabela136[[#This Row],[Objetive value Similarity/H-R1    ]])/Tabela136[[#This Row],[Objetive value Similarity]]))*100</f>
        <v>3.7798408488063657</v>
      </c>
      <c r="S171" s="96">
        <v>2299</v>
      </c>
      <c r="T171" s="21">
        <v>0.38</v>
      </c>
      <c r="U171" s="21">
        <v>0</v>
      </c>
      <c r="V171" s="144">
        <f>(((Tabela136[[#This Row],[Objetive value Similarity]]-Tabela136[[#This Row],[Objetive value Similarity/H-R2]])/Tabela136[[#This Row],[Objetive value Similarity]]))*100</f>
        <v>23.773209549071616</v>
      </c>
    </row>
    <row r="172" spans="1:22" x14ac:dyDescent="0.25">
      <c r="A172" s="11" t="s">
        <v>54</v>
      </c>
      <c r="B172" s="12" t="s">
        <v>752</v>
      </c>
      <c r="C172" s="11">
        <v>100</v>
      </c>
      <c r="D172" s="24">
        <v>0.1</v>
      </c>
      <c r="E172" s="11">
        <v>15</v>
      </c>
      <c r="F172" s="12" t="s">
        <v>13</v>
      </c>
      <c r="G172" s="12" t="s">
        <v>16</v>
      </c>
      <c r="H172" s="140">
        <v>1744.99999999999</v>
      </c>
      <c r="I172" s="140">
        <v>2.48399999993853</v>
      </c>
      <c r="J172" s="147">
        <v>0</v>
      </c>
      <c r="K172" s="151">
        <v>1698</v>
      </c>
      <c r="L172" s="153">
        <v>18</v>
      </c>
      <c r="M172" s="153">
        <v>3</v>
      </c>
      <c r="N172" s="145">
        <f>(((Tabela136[[#This Row],[Objetive value Similarity]]-Tabela136[[#This Row],[Objetive value Similarity/GATeS]])/Tabela136[[#This Row],[Objetive value Similarity]]))*100</f>
        <v>2.693409742119786</v>
      </c>
      <c r="O172" s="23">
        <v>1705</v>
      </c>
      <c r="P172" s="53">
        <v>0.38</v>
      </c>
      <c r="Q172" s="53">
        <v>0</v>
      </c>
      <c r="R172" s="55">
        <f>(((Tabela136[[#This Row],[Objetive value Similarity]]-Tabela136[[#This Row],[Objetive value Similarity/H-R1    ]])/Tabela136[[#This Row],[Objetive value Similarity]]))*100</f>
        <v>2.2922636103146261</v>
      </c>
      <c r="S172" s="96">
        <v>1643</v>
      </c>
      <c r="T172" s="21">
        <v>0.57999999999999996</v>
      </c>
      <c r="U172" s="21">
        <v>0</v>
      </c>
      <c r="V172" s="144">
        <f>(((Tabela136[[#This Row],[Objetive value Similarity]]-Tabela136[[#This Row],[Objetive value Similarity/H-R2]])/Tabela136[[#This Row],[Objetive value Similarity]]))*100</f>
        <v>5.8452722063031848</v>
      </c>
    </row>
    <row r="173" spans="1:22" x14ac:dyDescent="0.25">
      <c r="A173" s="11" t="s">
        <v>54</v>
      </c>
      <c r="B173" s="12" t="s">
        <v>753</v>
      </c>
      <c r="C173" s="11">
        <v>100</v>
      </c>
      <c r="D173" s="24">
        <v>0.1</v>
      </c>
      <c r="E173" s="11">
        <v>15</v>
      </c>
      <c r="F173" s="12" t="s">
        <v>18</v>
      </c>
      <c r="G173" s="12" t="s">
        <v>14</v>
      </c>
      <c r="H173" s="140">
        <v>3188</v>
      </c>
      <c r="I173" s="140">
        <v>1.03099999995902</v>
      </c>
      <c r="J173" s="147">
        <v>0</v>
      </c>
      <c r="K173" s="151">
        <v>3045</v>
      </c>
      <c r="L173" s="153">
        <v>7</v>
      </c>
      <c r="M173" s="153">
        <v>2</v>
      </c>
      <c r="N173" s="145">
        <f>(((Tabela136[[#This Row],[Objetive value Similarity]]-Tabela136[[#This Row],[Objetive value Similarity/GATeS]])/Tabela136[[#This Row],[Objetive value Similarity]]))*100</f>
        <v>4.4855708908406529</v>
      </c>
      <c r="O173" s="23">
        <v>2774</v>
      </c>
      <c r="P173" s="53">
        <v>0.31</v>
      </c>
      <c r="Q173" s="53">
        <v>0</v>
      </c>
      <c r="R173" s="55">
        <f>(((Tabela136[[#This Row],[Objetive value Similarity]]-Tabela136[[#This Row],[Objetive value Similarity/H-R1    ]])/Tabela136[[#This Row],[Objetive value Similarity]]))*100</f>
        <v>12.986198243412797</v>
      </c>
      <c r="S173" s="96">
        <v>3054</v>
      </c>
      <c r="T173" s="21">
        <v>0.42</v>
      </c>
      <c r="U173" s="21">
        <v>0</v>
      </c>
      <c r="V173" s="144">
        <f>(((Tabela136[[#This Row],[Objetive value Similarity]]-Tabela136[[#This Row],[Objetive value Similarity/H-R2]])/Tabela136[[#This Row],[Objetive value Similarity]]))*100</f>
        <v>4.203262233375157</v>
      </c>
    </row>
    <row r="174" spans="1:22" x14ac:dyDescent="0.25">
      <c r="A174" s="11" t="s">
        <v>54</v>
      </c>
      <c r="B174" s="12" t="s">
        <v>754</v>
      </c>
      <c r="C174" s="11">
        <v>100</v>
      </c>
      <c r="D174" s="24">
        <v>0.1</v>
      </c>
      <c r="E174" s="11">
        <v>15</v>
      </c>
      <c r="F174" s="12" t="s">
        <v>18</v>
      </c>
      <c r="G174" s="12" t="s">
        <v>16</v>
      </c>
      <c r="H174" s="140">
        <v>1698</v>
      </c>
      <c r="I174" s="140">
        <v>1.2820000000065099</v>
      </c>
      <c r="J174" s="147">
        <v>0.46</v>
      </c>
      <c r="K174" s="151">
        <v>1657</v>
      </c>
      <c r="L174" s="153">
        <v>10</v>
      </c>
      <c r="M174" s="153">
        <v>0</v>
      </c>
      <c r="N174" s="145">
        <f>(((Tabela136[[#This Row],[Objetive value Similarity]]-Tabela136[[#This Row],[Objetive value Similarity/GATeS]])/Tabela136[[#This Row],[Objetive value Similarity]]))*100</f>
        <v>2.4146054181389873</v>
      </c>
      <c r="O174" s="23">
        <v>1662</v>
      </c>
      <c r="P174" s="53">
        <v>0.27</v>
      </c>
      <c r="Q174" s="53">
        <v>0</v>
      </c>
      <c r="R174" s="55">
        <f>(((Tabela136[[#This Row],[Objetive value Similarity]]-Tabela136[[#This Row],[Objetive value Similarity/H-R1    ]])/Tabela136[[#This Row],[Objetive value Similarity]]))*100</f>
        <v>2.1201413427561837</v>
      </c>
      <c r="S174" s="96">
        <v>1665</v>
      </c>
      <c r="T174" s="21">
        <v>0.3</v>
      </c>
      <c r="U174" s="21">
        <v>0</v>
      </c>
      <c r="V174" s="144">
        <f>(((Tabela136[[#This Row],[Objetive value Similarity]]-Tabela136[[#This Row],[Objetive value Similarity/H-R2]])/Tabela136[[#This Row],[Objetive value Similarity]]))*100</f>
        <v>1.9434628975265018</v>
      </c>
    </row>
    <row r="175" spans="1:22" x14ac:dyDescent="0.25">
      <c r="A175" s="11" t="s">
        <v>54</v>
      </c>
      <c r="B175" s="12" t="s">
        <v>755</v>
      </c>
      <c r="C175" s="11">
        <v>100</v>
      </c>
      <c r="D175" s="24">
        <v>0.1</v>
      </c>
      <c r="E175" s="11">
        <v>15</v>
      </c>
      <c r="F175" s="12" t="s">
        <v>21</v>
      </c>
      <c r="G175" s="12" t="s">
        <v>14</v>
      </c>
      <c r="H175" s="140">
        <v>2379</v>
      </c>
      <c r="I175" s="140">
        <v>0.26599999994505102</v>
      </c>
      <c r="J175" s="147">
        <v>0</v>
      </c>
      <c r="K175" s="151">
        <v>2167</v>
      </c>
      <c r="L175" s="153">
        <v>4</v>
      </c>
      <c r="M175" s="153">
        <v>3</v>
      </c>
      <c r="N175" s="145">
        <f>(((Tabela136[[#This Row],[Objetive value Similarity]]-Tabela136[[#This Row],[Objetive value Similarity/GATeS]])/Tabela136[[#This Row],[Objetive value Similarity]]))*100</f>
        <v>8.9113072719630093</v>
      </c>
      <c r="O175" s="23">
        <v>1891</v>
      </c>
      <c r="P175" s="53">
        <v>0.91</v>
      </c>
      <c r="Q175" s="53">
        <v>0</v>
      </c>
      <c r="R175" s="55">
        <f>(((Tabela136[[#This Row],[Objetive value Similarity]]-Tabela136[[#This Row],[Objetive value Similarity/H-R1    ]])/Tabela136[[#This Row],[Objetive value Similarity]]))*100</f>
        <v>20.512820512820511</v>
      </c>
      <c r="S175" s="96">
        <v>1766</v>
      </c>
      <c r="T175" s="21">
        <v>0.81</v>
      </c>
      <c r="U175" s="21">
        <v>0</v>
      </c>
      <c r="V175" s="144">
        <f>(((Tabela136[[#This Row],[Objetive value Similarity]]-Tabela136[[#This Row],[Objetive value Similarity/H-R2]])/Tabela136[[#This Row],[Objetive value Similarity]]))*100</f>
        <v>25.767129045817573</v>
      </c>
    </row>
    <row r="176" spans="1:22" x14ac:dyDescent="0.25">
      <c r="A176" s="11" t="s">
        <v>54</v>
      </c>
      <c r="B176" s="12" t="s">
        <v>756</v>
      </c>
      <c r="C176" s="11">
        <v>100</v>
      </c>
      <c r="D176" s="24">
        <v>0.1</v>
      </c>
      <c r="E176" s="11">
        <v>15</v>
      </c>
      <c r="F176" s="12" t="s">
        <v>21</v>
      </c>
      <c r="G176" s="12" t="s">
        <v>16</v>
      </c>
      <c r="H176" s="140">
        <v>1530</v>
      </c>
      <c r="I176" s="140">
        <v>1.60900000005494</v>
      </c>
      <c r="J176" s="147">
        <v>0</v>
      </c>
      <c r="K176" s="151">
        <v>1485</v>
      </c>
      <c r="L176" s="153">
        <v>17</v>
      </c>
      <c r="M176" s="153">
        <v>3</v>
      </c>
      <c r="N176" s="145">
        <f>(((Tabela136[[#This Row],[Objetive value Similarity]]-Tabela136[[#This Row],[Objetive value Similarity/GATeS]])/Tabela136[[#This Row],[Objetive value Similarity]]))*100</f>
        <v>2.9411764705882351</v>
      </c>
      <c r="O176" s="23">
        <v>1464</v>
      </c>
      <c r="P176" s="53">
        <v>0.34</v>
      </c>
      <c r="Q176" s="53">
        <v>0</v>
      </c>
      <c r="R176" s="55">
        <f>(((Tabela136[[#This Row],[Objetive value Similarity]]-Tabela136[[#This Row],[Objetive value Similarity/H-R1    ]])/Tabela136[[#This Row],[Objetive value Similarity]]))*100</f>
        <v>4.3137254901960782</v>
      </c>
      <c r="S176" s="96">
        <v>1530</v>
      </c>
      <c r="T176" s="21">
        <v>0.37</v>
      </c>
      <c r="U176" s="21">
        <v>0</v>
      </c>
      <c r="V176" s="144">
        <f>(((Tabela136[[#This Row],[Objetive value Similarity]]-Tabela136[[#This Row],[Objetive value Similarity/H-R2]])/Tabela136[[#This Row],[Objetive value Similarity]]))*100</f>
        <v>0</v>
      </c>
    </row>
    <row r="177" spans="1:22" x14ac:dyDescent="0.25">
      <c r="A177" s="11" t="s">
        <v>11</v>
      </c>
      <c r="B177" s="12" t="s">
        <v>715</v>
      </c>
      <c r="C177" s="11">
        <v>100</v>
      </c>
      <c r="D177" s="24">
        <v>0.1</v>
      </c>
      <c r="E177" s="11">
        <v>5</v>
      </c>
      <c r="F177" s="12" t="s">
        <v>13</v>
      </c>
      <c r="G177" s="12" t="s">
        <v>14</v>
      </c>
      <c r="H177" s="140">
        <v>601</v>
      </c>
      <c r="I177" s="140">
        <v>0.125</v>
      </c>
      <c r="J177" s="147">
        <v>0</v>
      </c>
      <c r="K177" s="151">
        <v>598</v>
      </c>
      <c r="L177" s="153">
        <v>2</v>
      </c>
      <c r="M177" s="153">
        <v>0</v>
      </c>
      <c r="N177" s="145">
        <f>(((Tabela136[[#This Row],[Objetive value Similarity]]-Tabela136[[#This Row],[Objetive value Similarity/GATeS]])/Tabela136[[#This Row],[Objetive value Similarity]]))*100</f>
        <v>0.49916805324459235</v>
      </c>
      <c r="O177" s="23">
        <v>601</v>
      </c>
      <c r="P177" s="53">
        <v>0.31</v>
      </c>
      <c r="Q177" s="53">
        <v>0</v>
      </c>
      <c r="R177" s="55">
        <f>(((Tabela136[[#This Row],[Objetive value Similarity]]-Tabela136[[#This Row],[Objetive value Similarity/H-R1    ]])/Tabela136[[#This Row],[Objetive value Similarity]]))*100</f>
        <v>0</v>
      </c>
      <c r="S177" s="96">
        <v>598</v>
      </c>
      <c r="T177" s="21">
        <v>0.57999999999999996</v>
      </c>
      <c r="U177" s="21">
        <v>0</v>
      </c>
      <c r="V177" s="144">
        <f>(((Tabela136[[#This Row],[Objetive value Similarity]]-Tabela136[[#This Row],[Objetive value Similarity/H-R2]])/Tabela136[[#This Row],[Objetive value Similarity]]))*100</f>
        <v>0.49916805324459235</v>
      </c>
    </row>
    <row r="178" spans="1:22" x14ac:dyDescent="0.25">
      <c r="A178" s="11" t="s">
        <v>11</v>
      </c>
      <c r="B178" s="12" t="s">
        <v>716</v>
      </c>
      <c r="C178" s="11">
        <v>100</v>
      </c>
      <c r="D178" s="24">
        <v>0.1</v>
      </c>
      <c r="E178" s="11">
        <v>5</v>
      </c>
      <c r="F178" s="12" t="s">
        <v>13</v>
      </c>
      <c r="G178" s="12" t="s">
        <v>16</v>
      </c>
      <c r="H178" s="140">
        <v>709</v>
      </c>
      <c r="I178" s="140">
        <v>0.18700000003445799</v>
      </c>
      <c r="J178" s="147">
        <v>0</v>
      </c>
      <c r="K178" s="151">
        <v>678</v>
      </c>
      <c r="L178" s="153">
        <v>2</v>
      </c>
      <c r="M178" s="153">
        <v>0</v>
      </c>
      <c r="N178" s="145">
        <f>(((Tabela136[[#This Row],[Objetive value Similarity]]-Tabela136[[#This Row],[Objetive value Similarity/GATeS]])/Tabela136[[#This Row],[Objetive value Similarity]]))*100</f>
        <v>4.3723554301833572</v>
      </c>
      <c r="O178" s="23">
        <v>694</v>
      </c>
      <c r="P178" s="53">
        <v>0.35</v>
      </c>
      <c r="Q178" s="53">
        <v>0</v>
      </c>
      <c r="R178" s="55">
        <f>(((Tabela136[[#This Row],[Objetive value Similarity]]-Tabela136[[#This Row],[Objetive value Similarity/H-R1    ]])/Tabela136[[#This Row],[Objetive value Similarity]]))*100</f>
        <v>2.1156558533145273</v>
      </c>
      <c r="S178" s="96">
        <v>709</v>
      </c>
      <c r="T178" s="21">
        <v>0.5</v>
      </c>
      <c r="U178" s="21">
        <v>0</v>
      </c>
      <c r="V178" s="144">
        <f>(((Tabela136[[#This Row],[Objetive value Similarity]]-Tabela136[[#This Row],[Objetive value Similarity/H-R2]])/Tabela136[[#This Row],[Objetive value Similarity]]))*100</f>
        <v>0</v>
      </c>
    </row>
    <row r="179" spans="1:22" x14ac:dyDescent="0.25">
      <c r="A179" s="11" t="s">
        <v>11</v>
      </c>
      <c r="B179" s="25" t="s">
        <v>717</v>
      </c>
      <c r="C179" s="26">
        <v>100</v>
      </c>
      <c r="D179" s="27">
        <v>0.1</v>
      </c>
      <c r="E179" s="26">
        <v>5</v>
      </c>
      <c r="F179" s="28" t="s">
        <v>18</v>
      </c>
      <c r="G179" s="28" t="s">
        <v>14</v>
      </c>
      <c r="H179" s="140">
        <v>987</v>
      </c>
      <c r="I179" s="140">
        <v>6.2000000034458901E-2</v>
      </c>
      <c r="J179" s="147">
        <v>0</v>
      </c>
      <c r="K179" s="151">
        <v>987</v>
      </c>
      <c r="L179" s="153">
        <v>2</v>
      </c>
      <c r="M179" s="153">
        <v>0</v>
      </c>
      <c r="N179" s="145">
        <f>(((Tabela136[[#This Row],[Objetive value Similarity]]-Tabela136[[#This Row],[Objetive value Similarity/GATeS]])/Tabela136[[#This Row],[Objetive value Similarity]]))*100</f>
        <v>0</v>
      </c>
      <c r="O179" s="23">
        <v>987</v>
      </c>
      <c r="P179" s="53">
        <v>0.54</v>
      </c>
      <c r="Q179" s="53">
        <v>0</v>
      </c>
      <c r="R179" s="55">
        <f>(((Tabela136[[#This Row],[Objetive value Similarity]]-Tabela136[[#This Row],[Objetive value Similarity/H-R1    ]])/Tabela136[[#This Row],[Objetive value Similarity]]))*100</f>
        <v>0</v>
      </c>
      <c r="S179" s="96">
        <v>881</v>
      </c>
      <c r="T179" s="21">
        <v>0.43</v>
      </c>
      <c r="U179" s="21">
        <v>0</v>
      </c>
      <c r="V179" s="144">
        <f>(((Tabela136[[#This Row],[Objetive value Similarity]]-Tabela136[[#This Row],[Objetive value Similarity/H-R2]])/Tabela136[[#This Row],[Objetive value Similarity]]))*100</f>
        <v>10.739614994934144</v>
      </c>
    </row>
    <row r="180" spans="1:22" x14ac:dyDescent="0.25">
      <c r="A180" s="11" t="s">
        <v>11</v>
      </c>
      <c r="B180" s="25" t="s">
        <v>718</v>
      </c>
      <c r="C180" s="11">
        <v>100</v>
      </c>
      <c r="D180" s="24">
        <v>0.1</v>
      </c>
      <c r="E180" s="11">
        <v>5</v>
      </c>
      <c r="F180" s="12" t="s">
        <v>18</v>
      </c>
      <c r="G180" s="12" t="s">
        <v>16</v>
      </c>
      <c r="H180" s="140">
        <v>731</v>
      </c>
      <c r="I180" s="140">
        <v>0.140999999945051</v>
      </c>
      <c r="J180" s="147">
        <v>0</v>
      </c>
      <c r="K180" s="151">
        <v>730</v>
      </c>
      <c r="L180" s="153">
        <v>2</v>
      </c>
      <c r="M180" s="153">
        <v>0</v>
      </c>
      <c r="N180" s="145">
        <f>(((Tabela136[[#This Row],[Objetive value Similarity]]-Tabela136[[#This Row],[Objetive value Similarity/GATeS]])/Tabela136[[#This Row],[Objetive value Similarity]]))*100</f>
        <v>0.13679890560875513</v>
      </c>
      <c r="O180" s="23">
        <v>695</v>
      </c>
      <c r="P180" s="53">
        <v>0.31</v>
      </c>
      <c r="Q180" s="53">
        <v>0</v>
      </c>
      <c r="R180" s="55">
        <f>(((Tabela136[[#This Row],[Objetive value Similarity]]-Tabela136[[#This Row],[Objetive value Similarity/H-R1    ]])/Tabela136[[#This Row],[Objetive value Similarity]]))*100</f>
        <v>4.9247606019151844</v>
      </c>
      <c r="S180" s="96">
        <v>731</v>
      </c>
      <c r="T180" s="21">
        <v>0.53</v>
      </c>
      <c r="U180" s="21">
        <v>0</v>
      </c>
      <c r="V180" s="144">
        <f>(((Tabela136[[#This Row],[Objetive value Similarity]]-Tabela136[[#This Row],[Objetive value Similarity/H-R2]])/Tabela136[[#This Row],[Objetive value Similarity]]))*100</f>
        <v>0</v>
      </c>
    </row>
    <row r="181" spans="1:22" x14ac:dyDescent="0.25">
      <c r="A181" s="11" t="s">
        <v>11</v>
      </c>
      <c r="B181" s="25" t="s">
        <v>719</v>
      </c>
      <c r="C181" s="11">
        <v>100</v>
      </c>
      <c r="D181" s="24">
        <v>0.1</v>
      </c>
      <c r="E181" s="11">
        <v>5</v>
      </c>
      <c r="F181" s="12" t="s">
        <v>21</v>
      </c>
      <c r="G181" s="12" t="s">
        <v>14</v>
      </c>
      <c r="H181" s="140">
        <v>603</v>
      </c>
      <c r="I181" s="140">
        <v>0.125</v>
      </c>
      <c r="J181" s="147">
        <v>0</v>
      </c>
      <c r="K181" s="151">
        <v>603</v>
      </c>
      <c r="L181" s="153">
        <v>1</v>
      </c>
      <c r="M181" s="153">
        <v>1</v>
      </c>
      <c r="N181" s="145">
        <f>(((Tabela136[[#This Row],[Objetive value Similarity]]-Tabela136[[#This Row],[Objetive value Similarity/GATeS]])/Tabela136[[#This Row],[Objetive value Similarity]]))*100</f>
        <v>0</v>
      </c>
      <c r="O181" s="23">
        <v>578</v>
      </c>
      <c r="P181" s="53">
        <v>0.71</v>
      </c>
      <c r="Q181" s="53">
        <v>0</v>
      </c>
      <c r="R181" s="55">
        <f>(((Tabela136[[#This Row],[Objetive value Similarity]]-Tabela136[[#This Row],[Objetive value Similarity/H-R1    ]])/Tabela136[[#This Row],[Objetive value Similarity]]))*100</f>
        <v>4.1459369817578775</v>
      </c>
      <c r="S181" s="96">
        <v>603</v>
      </c>
      <c r="T181" s="21">
        <v>0.62</v>
      </c>
      <c r="U181" s="21">
        <v>0</v>
      </c>
      <c r="V181" s="144">
        <f>(((Tabela136[[#This Row],[Objetive value Similarity]]-Tabela136[[#This Row],[Objetive value Similarity/H-R2]])/Tabela136[[#This Row],[Objetive value Similarity]]))*100</f>
        <v>0</v>
      </c>
    </row>
    <row r="182" spans="1:22" x14ac:dyDescent="0.25">
      <c r="A182" s="11" t="s">
        <v>11</v>
      </c>
      <c r="B182" s="25" t="s">
        <v>720</v>
      </c>
      <c r="C182" s="11">
        <v>100</v>
      </c>
      <c r="D182" s="24">
        <v>0.1</v>
      </c>
      <c r="E182" s="11">
        <v>5</v>
      </c>
      <c r="F182" s="12" t="s">
        <v>21</v>
      </c>
      <c r="G182" s="12" t="s">
        <v>16</v>
      </c>
      <c r="H182" s="140">
        <v>751</v>
      </c>
      <c r="I182" s="140">
        <v>0.125</v>
      </c>
      <c r="J182" s="147">
        <v>0</v>
      </c>
      <c r="K182" s="151">
        <v>744</v>
      </c>
      <c r="L182" s="153">
        <v>2</v>
      </c>
      <c r="M182" s="153">
        <v>0</v>
      </c>
      <c r="N182" s="145">
        <f>(((Tabela136[[#This Row],[Objetive value Similarity]]-Tabela136[[#This Row],[Objetive value Similarity/GATeS]])/Tabela136[[#This Row],[Objetive value Similarity]]))*100</f>
        <v>0.9320905459387484</v>
      </c>
      <c r="O182" s="23">
        <v>693</v>
      </c>
      <c r="P182" s="53">
        <v>0.4</v>
      </c>
      <c r="Q182" s="53">
        <v>0</v>
      </c>
      <c r="R182" s="55">
        <f>(((Tabela136[[#This Row],[Objetive value Similarity]]-Tabela136[[#This Row],[Objetive value Similarity/H-R1    ]])/Tabela136[[#This Row],[Objetive value Similarity]]))*100</f>
        <v>7.7230359520639142</v>
      </c>
      <c r="S182" s="96">
        <v>693</v>
      </c>
      <c r="T182" s="21">
        <v>0.51</v>
      </c>
      <c r="U182" s="21">
        <v>0</v>
      </c>
      <c r="V182" s="144">
        <f>(((Tabela136[[#This Row],[Objetive value Similarity]]-Tabela136[[#This Row],[Objetive value Similarity/H-R2]])/Tabela136[[#This Row],[Objetive value Similarity]]))*100</f>
        <v>7.7230359520639142</v>
      </c>
    </row>
    <row r="183" spans="1:22" x14ac:dyDescent="0.25">
      <c r="A183" s="11" t="s">
        <v>35</v>
      </c>
      <c r="B183" s="12" t="s">
        <v>739</v>
      </c>
      <c r="C183" s="11">
        <v>100</v>
      </c>
      <c r="D183" s="11">
        <v>0.15</v>
      </c>
      <c r="E183" s="11">
        <v>10</v>
      </c>
      <c r="F183" s="32" t="s">
        <v>13</v>
      </c>
      <c r="G183" s="32" t="s">
        <v>14</v>
      </c>
      <c r="H183" s="140">
        <v>1798</v>
      </c>
      <c r="I183" s="140">
        <v>0.15600000007543699</v>
      </c>
      <c r="J183" s="147">
        <v>0</v>
      </c>
      <c r="K183" s="151">
        <v>1721</v>
      </c>
      <c r="L183" s="153">
        <v>4</v>
      </c>
      <c r="M183" s="153">
        <v>2</v>
      </c>
      <c r="N183" s="145">
        <f>(((Tabela136[[#This Row],[Objetive value Similarity]]-Tabela136[[#This Row],[Objetive value Similarity/GATeS]])/Tabela136[[#This Row],[Objetive value Similarity]]))*100</f>
        <v>4.2825361512791993</v>
      </c>
      <c r="O183" s="23">
        <v>1538</v>
      </c>
      <c r="P183" s="53">
        <v>0.51</v>
      </c>
      <c r="Q183" s="53">
        <v>0</v>
      </c>
      <c r="R183" s="55">
        <f>(((Tabela136[[#This Row],[Objetive value Similarity]]-Tabela136[[#This Row],[Objetive value Similarity/H-R1    ]])/Tabela136[[#This Row],[Objetive value Similarity]]))*100</f>
        <v>14.46051167964405</v>
      </c>
      <c r="S183" s="96">
        <v>1698</v>
      </c>
      <c r="T183" s="21">
        <v>0.3</v>
      </c>
      <c r="U183" s="21">
        <v>0</v>
      </c>
      <c r="V183" s="144">
        <f>(((Tabela136[[#This Row],[Objetive value Similarity]]-Tabela136[[#This Row],[Objetive value Similarity/H-R2]])/Tabela136[[#This Row],[Objetive value Similarity]]))*100</f>
        <v>5.5617352614015569</v>
      </c>
    </row>
    <row r="184" spans="1:22" x14ac:dyDescent="0.25">
      <c r="A184" s="11" t="s">
        <v>35</v>
      </c>
      <c r="B184" s="12" t="s">
        <v>740</v>
      </c>
      <c r="C184" s="11">
        <v>100</v>
      </c>
      <c r="D184" s="11">
        <v>0.15</v>
      </c>
      <c r="E184" s="11">
        <v>10</v>
      </c>
      <c r="F184" s="32" t="s">
        <v>13</v>
      </c>
      <c r="G184" s="32" t="s">
        <v>16</v>
      </c>
      <c r="H184" s="140">
        <v>1283</v>
      </c>
      <c r="I184" s="140">
        <v>0.35999999998602999</v>
      </c>
      <c r="J184" s="147">
        <v>0</v>
      </c>
      <c r="K184" s="151">
        <v>1249</v>
      </c>
      <c r="L184" s="153">
        <v>5</v>
      </c>
      <c r="M184" s="153">
        <v>3</v>
      </c>
      <c r="N184" s="145">
        <f>(((Tabela136[[#This Row],[Objetive value Similarity]]-Tabela136[[#This Row],[Objetive value Similarity/GATeS]])/Tabela136[[#This Row],[Objetive value Similarity]]))*100</f>
        <v>2.6500389711613406</v>
      </c>
      <c r="O184" s="23">
        <v>1233</v>
      </c>
      <c r="P184" s="53">
        <v>0.7</v>
      </c>
      <c r="Q184" s="53">
        <v>0</v>
      </c>
      <c r="R184" s="55">
        <f>(((Tabela136[[#This Row],[Objetive value Similarity]]-Tabela136[[#This Row],[Objetive value Similarity/H-R1    ]])/Tabela136[[#This Row],[Objetive value Similarity]]))*100</f>
        <v>3.8971161340607949</v>
      </c>
      <c r="S184" s="96">
        <v>1233</v>
      </c>
      <c r="T184" s="21">
        <v>0.38</v>
      </c>
      <c r="U184" s="21">
        <v>0</v>
      </c>
      <c r="V184" s="144">
        <f>(((Tabela136[[#This Row],[Objetive value Similarity]]-Tabela136[[#This Row],[Objetive value Similarity/H-R2]])/Tabela136[[#This Row],[Objetive value Similarity]]))*100</f>
        <v>3.8971161340607949</v>
      </c>
    </row>
    <row r="185" spans="1:22" x14ac:dyDescent="0.25">
      <c r="A185" s="11" t="s">
        <v>35</v>
      </c>
      <c r="B185" s="12" t="s">
        <v>741</v>
      </c>
      <c r="C185" s="11">
        <v>100</v>
      </c>
      <c r="D185" s="11">
        <v>0.15</v>
      </c>
      <c r="E185" s="11">
        <v>10</v>
      </c>
      <c r="F185" s="32" t="s">
        <v>18</v>
      </c>
      <c r="G185" s="32" t="s">
        <v>14</v>
      </c>
      <c r="H185" s="140">
        <v>2067</v>
      </c>
      <c r="I185" s="140">
        <v>0.15700000000651901</v>
      </c>
      <c r="J185" s="147">
        <v>0</v>
      </c>
      <c r="K185" s="151">
        <v>2020</v>
      </c>
      <c r="L185" s="153">
        <v>3</v>
      </c>
      <c r="M185" s="153">
        <v>1</v>
      </c>
      <c r="N185" s="145">
        <f>(((Tabela136[[#This Row],[Objetive value Similarity]]-Tabela136[[#This Row],[Objetive value Similarity/GATeS]])/Tabela136[[#This Row],[Objetive value Similarity]]))*100</f>
        <v>2.2738268021286889</v>
      </c>
      <c r="O185" s="23">
        <v>2025</v>
      </c>
      <c r="P185" s="53">
        <v>0.34</v>
      </c>
      <c r="Q185" s="53">
        <v>0</v>
      </c>
      <c r="R185" s="55">
        <f>(((Tabela136[[#This Row],[Objetive value Similarity]]-Tabela136[[#This Row],[Objetive value Similarity/H-R1    ]])/Tabela136[[#This Row],[Objetive value Similarity]]))*100</f>
        <v>2.0319303338171264</v>
      </c>
      <c r="S185" s="96">
        <v>2004</v>
      </c>
      <c r="T185" s="21">
        <v>0.31</v>
      </c>
      <c r="U185" s="21">
        <v>0</v>
      </c>
      <c r="V185" s="144">
        <f>(((Tabela136[[#This Row],[Objetive value Similarity]]-Tabela136[[#This Row],[Objetive value Similarity/H-R2]])/Tabela136[[#This Row],[Objetive value Similarity]]))*100</f>
        <v>3.0478955007256894</v>
      </c>
    </row>
    <row r="186" spans="1:22" x14ac:dyDescent="0.25">
      <c r="A186" s="11" t="s">
        <v>35</v>
      </c>
      <c r="B186" s="12" t="s">
        <v>742</v>
      </c>
      <c r="C186" s="11">
        <v>100</v>
      </c>
      <c r="D186" s="11">
        <v>0.15</v>
      </c>
      <c r="E186" s="11">
        <v>10</v>
      </c>
      <c r="F186" s="32" t="s">
        <v>18</v>
      </c>
      <c r="G186" s="32" t="s">
        <v>16</v>
      </c>
      <c r="H186" s="140">
        <v>1319</v>
      </c>
      <c r="I186" s="140">
        <v>0.34400000004097803</v>
      </c>
      <c r="J186" s="147">
        <v>0</v>
      </c>
      <c r="K186" s="151">
        <v>1318</v>
      </c>
      <c r="L186" s="153">
        <v>3</v>
      </c>
      <c r="M186" s="153">
        <v>0</v>
      </c>
      <c r="N186" s="145">
        <f>(((Tabela136[[#This Row],[Objetive value Similarity]]-Tabela136[[#This Row],[Objetive value Similarity/GATeS]])/Tabela136[[#This Row],[Objetive value Similarity]]))*100</f>
        <v>7.5815011372251703E-2</v>
      </c>
      <c r="O186" s="23">
        <v>1291</v>
      </c>
      <c r="P186" s="53">
        <v>0.37</v>
      </c>
      <c r="Q186" s="53">
        <v>0</v>
      </c>
      <c r="R186" s="55">
        <f>(((Tabela136[[#This Row],[Objetive value Similarity]]-Tabela136[[#This Row],[Objetive value Similarity/H-R1    ]])/Tabela136[[#This Row],[Objetive value Similarity]]))*100</f>
        <v>2.1228203184230479</v>
      </c>
      <c r="S186" s="96">
        <v>1278</v>
      </c>
      <c r="T186" s="21">
        <v>0.68</v>
      </c>
      <c r="U186" s="21">
        <v>0</v>
      </c>
      <c r="V186" s="144">
        <f>(((Tabela136[[#This Row],[Objetive value Similarity]]-Tabela136[[#This Row],[Objetive value Similarity/H-R2]])/Tabela136[[#This Row],[Objetive value Similarity]]))*100</f>
        <v>3.1084154662623198</v>
      </c>
    </row>
    <row r="187" spans="1:22" x14ac:dyDescent="0.25">
      <c r="A187" s="11" t="s">
        <v>35</v>
      </c>
      <c r="B187" s="12" t="s">
        <v>743</v>
      </c>
      <c r="C187" s="11">
        <v>100</v>
      </c>
      <c r="D187" s="11">
        <v>0.15</v>
      </c>
      <c r="E187" s="11">
        <v>10</v>
      </c>
      <c r="F187" s="32" t="s">
        <v>21</v>
      </c>
      <c r="G187" s="32" t="s">
        <v>14</v>
      </c>
      <c r="H187" s="140">
        <v>1909</v>
      </c>
      <c r="I187" s="140">
        <v>0.125</v>
      </c>
      <c r="J187" s="147">
        <v>0</v>
      </c>
      <c r="K187" s="151">
        <v>1900</v>
      </c>
      <c r="L187" s="153">
        <v>3</v>
      </c>
      <c r="M187" s="153">
        <v>3</v>
      </c>
      <c r="N187" s="145">
        <f>(((Tabela136[[#This Row],[Objetive value Similarity]]-Tabela136[[#This Row],[Objetive value Similarity/GATeS]])/Tabela136[[#This Row],[Objetive value Similarity]]))*100</f>
        <v>0.47145102147721324</v>
      </c>
      <c r="O187" s="23">
        <v>1909</v>
      </c>
      <c r="P187" s="53">
        <v>0.41</v>
      </c>
      <c r="Q187" s="53">
        <v>0</v>
      </c>
      <c r="R187" s="55">
        <f>(((Tabela136[[#This Row],[Objetive value Similarity]]-Tabela136[[#This Row],[Objetive value Similarity/H-R1    ]])/Tabela136[[#This Row],[Objetive value Similarity]]))*100</f>
        <v>0</v>
      </c>
      <c r="S187" s="96">
        <v>1657</v>
      </c>
      <c r="T187" s="21">
        <v>0.34</v>
      </c>
      <c r="U187" s="21">
        <v>0</v>
      </c>
      <c r="V187" s="144">
        <f>(((Tabela136[[#This Row],[Objetive value Similarity]]-Tabela136[[#This Row],[Objetive value Similarity/H-R2]])/Tabela136[[#This Row],[Objetive value Similarity]]))*100</f>
        <v>13.200628601361968</v>
      </c>
    </row>
    <row r="188" spans="1:22" x14ac:dyDescent="0.25">
      <c r="A188" s="11" t="s">
        <v>35</v>
      </c>
      <c r="B188" s="12" t="s">
        <v>744</v>
      </c>
      <c r="C188" s="11">
        <v>100</v>
      </c>
      <c r="D188" s="11">
        <v>0.15</v>
      </c>
      <c r="E188" s="11">
        <v>10</v>
      </c>
      <c r="F188" s="32" t="s">
        <v>21</v>
      </c>
      <c r="G188" s="32" t="s">
        <v>16</v>
      </c>
      <c r="H188" s="140">
        <v>1127</v>
      </c>
      <c r="I188" s="140">
        <v>0.40600000007543702</v>
      </c>
      <c r="J188" s="147">
        <v>0</v>
      </c>
      <c r="K188" s="151">
        <v>1112</v>
      </c>
      <c r="L188" s="153">
        <v>6</v>
      </c>
      <c r="M188" s="153">
        <v>2</v>
      </c>
      <c r="N188" s="145">
        <f>(((Tabela136[[#This Row],[Objetive value Similarity]]-Tabela136[[#This Row],[Objetive value Similarity/GATeS]])/Tabela136[[#This Row],[Objetive value Similarity]]))*100</f>
        <v>1.3309671694764862</v>
      </c>
      <c r="O188" s="23">
        <v>1126</v>
      </c>
      <c r="P188" s="53">
        <v>0.73</v>
      </c>
      <c r="Q188" s="53">
        <v>0</v>
      </c>
      <c r="R188" s="55">
        <f>(((Tabela136[[#This Row],[Objetive value Similarity]]-Tabela136[[#This Row],[Objetive value Similarity/H-R1    ]])/Tabela136[[#This Row],[Objetive value Similarity]]))*100</f>
        <v>8.8731144631765749E-2</v>
      </c>
      <c r="S188" s="96">
        <v>1115</v>
      </c>
      <c r="T188" s="21">
        <v>0.57999999999999996</v>
      </c>
      <c r="U188" s="21">
        <v>0</v>
      </c>
      <c r="V188" s="144">
        <f>(((Tabela136[[#This Row],[Objetive value Similarity]]-Tabela136[[#This Row],[Objetive value Similarity/H-R2]])/Tabela136[[#This Row],[Objetive value Similarity]]))*100</f>
        <v>1.064773735581189</v>
      </c>
    </row>
    <row r="189" spans="1:22" x14ac:dyDescent="0.25">
      <c r="A189" s="11" t="s">
        <v>54</v>
      </c>
      <c r="B189" s="30" t="s">
        <v>757</v>
      </c>
      <c r="C189" s="11">
        <v>100</v>
      </c>
      <c r="D189" s="11">
        <v>0.15</v>
      </c>
      <c r="E189" s="11">
        <v>15</v>
      </c>
      <c r="F189" s="12" t="s">
        <v>13</v>
      </c>
      <c r="G189" s="12" t="s">
        <v>14</v>
      </c>
      <c r="H189" s="140">
        <v>3198</v>
      </c>
      <c r="I189" s="140">
        <v>0.65700000000651904</v>
      </c>
      <c r="J189" s="147">
        <v>0.57999999999999996</v>
      </c>
      <c r="K189" s="151">
        <v>3061</v>
      </c>
      <c r="L189" s="153">
        <v>16</v>
      </c>
      <c r="M189" s="153">
        <v>12</v>
      </c>
      <c r="N189" s="145">
        <f>(((Tabela136[[#This Row],[Objetive value Similarity]]-Tabela136[[#This Row],[Objetive value Similarity/GATeS]])/Tabela136[[#This Row],[Objetive value Similarity]]))*100</f>
        <v>4.2839274546591621</v>
      </c>
      <c r="O189" s="23">
        <v>2897</v>
      </c>
      <c r="P189" s="53">
        <v>0.39</v>
      </c>
      <c r="Q189" s="53">
        <v>0</v>
      </c>
      <c r="R189" s="55">
        <f>(((Tabela136[[#This Row],[Objetive value Similarity]]-Tabela136[[#This Row],[Objetive value Similarity/H-R1    ]])/Tabela136[[#This Row],[Objetive value Similarity]]))*100</f>
        <v>9.4121325828642899</v>
      </c>
      <c r="S189" s="96">
        <v>2587</v>
      </c>
      <c r="T189" s="21">
        <v>0.33</v>
      </c>
      <c r="U189" s="21">
        <v>0</v>
      </c>
      <c r="V189" s="144">
        <f>(((Tabela136[[#This Row],[Objetive value Similarity]]-Tabela136[[#This Row],[Objetive value Similarity/H-R2]])/Tabela136[[#This Row],[Objetive value Similarity]]))*100</f>
        <v>19.105691056910569</v>
      </c>
    </row>
    <row r="190" spans="1:22" x14ac:dyDescent="0.25">
      <c r="A190" s="11" t="s">
        <v>54</v>
      </c>
      <c r="B190" s="12" t="s">
        <v>758</v>
      </c>
      <c r="C190" s="11">
        <v>100</v>
      </c>
      <c r="D190" s="11">
        <v>0.15</v>
      </c>
      <c r="E190" s="11">
        <v>15</v>
      </c>
      <c r="F190" s="12" t="s">
        <v>13</v>
      </c>
      <c r="G190" s="12" t="s">
        <v>16</v>
      </c>
      <c r="H190" s="140">
        <v>1766</v>
      </c>
      <c r="I190" s="140">
        <v>1.25</v>
      </c>
      <c r="J190" s="147">
        <v>0</v>
      </c>
      <c r="K190" s="151">
        <v>1715</v>
      </c>
      <c r="L190" s="153">
        <v>7</v>
      </c>
      <c r="M190" s="153">
        <v>3</v>
      </c>
      <c r="N190" s="145">
        <f>(((Tabela136[[#This Row],[Objetive value Similarity]]-Tabela136[[#This Row],[Objetive value Similarity/GATeS]])/Tabela136[[#This Row],[Objetive value Similarity]]))*100</f>
        <v>2.8878822197055491</v>
      </c>
      <c r="O190" s="23">
        <v>1743</v>
      </c>
      <c r="P190" s="53">
        <v>0.48</v>
      </c>
      <c r="Q190" s="53">
        <v>0</v>
      </c>
      <c r="R190" s="55">
        <f>(((Tabela136[[#This Row],[Objetive value Similarity]]-Tabela136[[#This Row],[Objetive value Similarity/H-R1    ]])/Tabela136[[#This Row],[Objetive value Similarity]]))*100</f>
        <v>1.3023782559456398</v>
      </c>
      <c r="S190" s="96">
        <v>1660</v>
      </c>
      <c r="T190" s="21">
        <v>0.48</v>
      </c>
      <c r="U190" s="21">
        <v>0</v>
      </c>
      <c r="V190" s="144">
        <f>(((Tabela136[[#This Row],[Objetive value Similarity]]-Tabela136[[#This Row],[Objetive value Similarity/H-R2]])/Tabela136[[#This Row],[Objetive value Similarity]]))*100</f>
        <v>6.0022650056625135</v>
      </c>
    </row>
    <row r="191" spans="1:22" s="33" customFormat="1" x14ac:dyDescent="0.25">
      <c r="A191" s="11" t="s">
        <v>54</v>
      </c>
      <c r="B191" s="12" t="s">
        <v>759</v>
      </c>
      <c r="C191" s="11">
        <v>100</v>
      </c>
      <c r="D191" s="11">
        <v>0.15</v>
      </c>
      <c r="E191" s="11">
        <v>15</v>
      </c>
      <c r="F191" s="12" t="s">
        <v>18</v>
      </c>
      <c r="G191" s="12" t="s">
        <v>14</v>
      </c>
      <c r="H191" s="140">
        <v>3416</v>
      </c>
      <c r="I191" s="140">
        <v>0.67200000002048899</v>
      </c>
      <c r="J191" s="147">
        <v>0</v>
      </c>
      <c r="K191" s="151">
        <v>3289</v>
      </c>
      <c r="L191" s="153">
        <v>5</v>
      </c>
      <c r="M191" s="153">
        <v>3</v>
      </c>
      <c r="N191" s="145">
        <f>(((Tabela136[[#This Row],[Objetive value Similarity]]-Tabela136[[#This Row],[Objetive value Similarity/GATeS]])/Tabela136[[#This Row],[Objetive value Similarity]]))*100</f>
        <v>3.7177985948477752</v>
      </c>
      <c r="O191" s="23">
        <v>3306</v>
      </c>
      <c r="P191" s="53">
        <v>0.24</v>
      </c>
      <c r="Q191" s="53">
        <v>0</v>
      </c>
      <c r="R191" s="55">
        <f>(((Tabela136[[#This Row],[Objetive value Similarity]]-Tabela136[[#This Row],[Objetive value Similarity/H-R1    ]])/Tabela136[[#This Row],[Objetive value Similarity]]))*100</f>
        <v>3.2201405152224827</v>
      </c>
      <c r="S191" s="96">
        <v>3150</v>
      </c>
      <c r="T191" s="21">
        <v>0.28000000000000003</v>
      </c>
      <c r="U191" s="21">
        <v>0</v>
      </c>
      <c r="V191" s="144">
        <f>(((Tabela136[[#This Row],[Objetive value Similarity]]-Tabela136[[#This Row],[Objetive value Similarity/H-R2]])/Tabela136[[#This Row],[Objetive value Similarity]]))*100</f>
        <v>7.7868852459016393</v>
      </c>
    </row>
    <row r="192" spans="1:22" s="34" customFormat="1" x14ac:dyDescent="0.25">
      <c r="A192" s="11" t="s">
        <v>54</v>
      </c>
      <c r="B192" s="12" t="s">
        <v>760</v>
      </c>
      <c r="C192" s="11">
        <v>100</v>
      </c>
      <c r="D192" s="11">
        <v>0.15</v>
      </c>
      <c r="E192" s="11">
        <v>15</v>
      </c>
      <c r="F192" s="12" t="s">
        <v>18</v>
      </c>
      <c r="G192" s="12" t="s">
        <v>16</v>
      </c>
      <c r="H192" s="140">
        <v>1944</v>
      </c>
      <c r="I192" s="140">
        <v>1.04700000002048</v>
      </c>
      <c r="J192" s="147">
        <v>0</v>
      </c>
      <c r="K192" s="151">
        <v>1904</v>
      </c>
      <c r="L192" s="153">
        <v>10</v>
      </c>
      <c r="M192" s="153">
        <v>3</v>
      </c>
      <c r="N192" s="145">
        <f>(((Tabela136[[#This Row],[Objetive value Similarity]]-Tabela136[[#This Row],[Objetive value Similarity/GATeS]])/Tabela136[[#This Row],[Objetive value Similarity]]))*100</f>
        <v>2.0576131687242798</v>
      </c>
      <c r="O192" s="23">
        <v>1910</v>
      </c>
      <c r="P192" s="53">
        <v>0.28000000000000003</v>
      </c>
      <c r="Q192" s="53">
        <v>0</v>
      </c>
      <c r="R192" s="55">
        <f>(((Tabela136[[#This Row],[Objetive value Similarity]]-Tabela136[[#This Row],[Objetive value Similarity/H-R1    ]])/Tabela136[[#This Row],[Objetive value Similarity]]))*100</f>
        <v>1.7489711934156378</v>
      </c>
      <c r="S192" s="96">
        <v>1935</v>
      </c>
      <c r="T192" s="21">
        <v>0.35</v>
      </c>
      <c r="U192" s="21">
        <v>0</v>
      </c>
      <c r="V192" s="144">
        <f>(((Tabela136[[#This Row],[Objetive value Similarity]]-Tabela136[[#This Row],[Objetive value Similarity/H-R2]])/Tabela136[[#This Row],[Objetive value Similarity]]))*100</f>
        <v>0.46296296296296291</v>
      </c>
    </row>
    <row r="193" spans="1:22" s="34" customFormat="1" x14ac:dyDescent="0.25">
      <c r="A193" s="11" t="s">
        <v>54</v>
      </c>
      <c r="B193" s="12" t="s">
        <v>761</v>
      </c>
      <c r="C193" s="11">
        <v>100</v>
      </c>
      <c r="D193" s="11">
        <v>0.15</v>
      </c>
      <c r="E193" s="11">
        <v>15</v>
      </c>
      <c r="F193" s="12" t="s">
        <v>21</v>
      </c>
      <c r="G193" s="12" t="s">
        <v>14</v>
      </c>
      <c r="H193" s="140">
        <v>2908</v>
      </c>
      <c r="I193" s="140">
        <v>0.18799999996554101</v>
      </c>
      <c r="J193" s="147">
        <v>0</v>
      </c>
      <c r="K193" s="151">
        <v>2616</v>
      </c>
      <c r="L193" s="153">
        <v>5</v>
      </c>
      <c r="M193" s="153">
        <v>0</v>
      </c>
      <c r="N193" s="145">
        <f>(((Tabela136[[#This Row],[Objetive value Similarity]]-Tabela136[[#This Row],[Objetive value Similarity/GATeS]])/Tabela136[[#This Row],[Objetive value Similarity]]))*100</f>
        <v>10.041265474552958</v>
      </c>
      <c r="O193" s="23">
        <v>2836</v>
      </c>
      <c r="P193" s="53">
        <v>0.36</v>
      </c>
      <c r="Q193" s="53">
        <v>0</v>
      </c>
      <c r="R193" s="55">
        <f>(((Tabela136[[#This Row],[Objetive value Similarity]]-Tabela136[[#This Row],[Objetive value Similarity/H-R1    ]])/Tabela136[[#This Row],[Objetive value Similarity]]))*100</f>
        <v>2.4759284731774414</v>
      </c>
      <c r="S193" s="96">
        <v>2856</v>
      </c>
      <c r="T193" s="21">
        <v>0.4</v>
      </c>
      <c r="U193" s="21">
        <v>0</v>
      </c>
      <c r="V193" s="144">
        <f>(((Tabela136[[#This Row],[Objetive value Similarity]]-Tabela136[[#This Row],[Objetive value Similarity/H-R2]])/Tabela136[[#This Row],[Objetive value Similarity]]))*100</f>
        <v>1.7881705639614855</v>
      </c>
    </row>
    <row r="194" spans="1:22" s="34" customFormat="1" x14ac:dyDescent="0.25">
      <c r="A194" s="11" t="s">
        <v>54</v>
      </c>
      <c r="B194" s="12" t="s">
        <v>762</v>
      </c>
      <c r="C194" s="11">
        <v>100</v>
      </c>
      <c r="D194" s="11">
        <v>0.15</v>
      </c>
      <c r="E194" s="11">
        <v>15</v>
      </c>
      <c r="F194" s="12" t="s">
        <v>21</v>
      </c>
      <c r="G194" s="12" t="s">
        <v>16</v>
      </c>
      <c r="H194" s="140">
        <v>1719.99999999999</v>
      </c>
      <c r="I194" s="140">
        <v>1.5620000000344501</v>
      </c>
      <c r="J194" s="147">
        <v>0</v>
      </c>
      <c r="K194" s="151">
        <v>1679</v>
      </c>
      <c r="L194" s="153">
        <v>8</v>
      </c>
      <c r="M194" s="153">
        <v>6</v>
      </c>
      <c r="N194" s="145">
        <f>(((Tabela136[[#This Row],[Objetive value Similarity]]-Tabela136[[#This Row],[Objetive value Similarity/GATeS]])/Tabela136[[#This Row],[Objetive value Similarity]]))*100</f>
        <v>2.3837209302319904</v>
      </c>
      <c r="O194" s="23">
        <v>1671</v>
      </c>
      <c r="P194" s="53">
        <v>0.36</v>
      </c>
      <c r="Q194" s="53">
        <v>0</v>
      </c>
      <c r="R194" s="55">
        <f>(((Tabela136[[#This Row],[Objetive value Similarity]]-Tabela136[[#This Row],[Objetive value Similarity/H-R1    ]])/Tabela136[[#This Row],[Objetive value Similarity]]))*100</f>
        <v>2.8488372093017604</v>
      </c>
      <c r="S194" s="96">
        <v>1668</v>
      </c>
      <c r="T194" s="21">
        <v>0.48</v>
      </c>
      <c r="U194" s="21">
        <v>0</v>
      </c>
      <c r="V194" s="144">
        <f>(((Tabela136[[#This Row],[Objetive value Similarity]]-Tabela136[[#This Row],[Objetive value Similarity/H-R2]])/Tabela136[[#This Row],[Objetive value Similarity]]))*100</f>
        <v>3.0232558139529244</v>
      </c>
    </row>
    <row r="195" spans="1:22" s="34" customFormat="1" x14ac:dyDescent="0.25">
      <c r="A195" s="11" t="s">
        <v>11</v>
      </c>
      <c r="B195" s="25" t="s">
        <v>721</v>
      </c>
      <c r="C195" s="11">
        <v>100</v>
      </c>
      <c r="D195" s="11">
        <v>0.15</v>
      </c>
      <c r="E195" s="11">
        <v>5</v>
      </c>
      <c r="F195" s="12" t="s">
        <v>13</v>
      </c>
      <c r="G195" s="12" t="s">
        <v>14</v>
      </c>
      <c r="H195" s="140">
        <v>956</v>
      </c>
      <c r="I195" s="140">
        <v>0.14100000006146701</v>
      </c>
      <c r="J195" s="147">
        <v>0</v>
      </c>
      <c r="K195" s="151">
        <v>953</v>
      </c>
      <c r="L195" s="153">
        <v>2</v>
      </c>
      <c r="M195" s="153">
        <v>0</v>
      </c>
      <c r="N195" s="145">
        <f>(((Tabela136[[#This Row],[Objetive value Similarity]]-Tabela136[[#This Row],[Objetive value Similarity/GATeS]])/Tabela136[[#This Row],[Objetive value Similarity]]))*100</f>
        <v>0.31380753138075312</v>
      </c>
      <c r="O195" s="23">
        <v>956</v>
      </c>
      <c r="P195" s="53">
        <v>0.38</v>
      </c>
      <c r="Q195" s="53">
        <v>0</v>
      </c>
      <c r="R195" s="55">
        <f>(((Tabela136[[#This Row],[Objetive value Similarity]]-Tabela136[[#This Row],[Objetive value Similarity/H-R1    ]])/Tabela136[[#This Row],[Objetive value Similarity]]))*100</f>
        <v>0</v>
      </c>
      <c r="S195" s="96">
        <v>904</v>
      </c>
      <c r="T195" s="21">
        <v>0.37</v>
      </c>
      <c r="U195" s="21">
        <v>0</v>
      </c>
      <c r="V195" s="144">
        <f>(((Tabela136[[#This Row],[Objetive value Similarity]]-Tabela136[[#This Row],[Objetive value Similarity/H-R2]])/Tabela136[[#This Row],[Objetive value Similarity]]))*100</f>
        <v>5.439330543933055</v>
      </c>
    </row>
    <row r="196" spans="1:22" s="34" customFormat="1" x14ac:dyDescent="0.25">
      <c r="A196" s="11" t="s">
        <v>11</v>
      </c>
      <c r="B196" s="25" t="s">
        <v>722</v>
      </c>
      <c r="C196" s="11">
        <v>100</v>
      </c>
      <c r="D196" s="11">
        <v>0.15</v>
      </c>
      <c r="E196" s="11">
        <v>5</v>
      </c>
      <c r="F196" s="12" t="s">
        <v>13</v>
      </c>
      <c r="G196" s="12" t="s">
        <v>16</v>
      </c>
      <c r="H196" s="140">
        <v>756</v>
      </c>
      <c r="I196" s="140">
        <v>9.29999999934807E-2</v>
      </c>
      <c r="J196" s="147">
        <v>0</v>
      </c>
      <c r="K196" s="151">
        <v>747</v>
      </c>
      <c r="L196" s="153">
        <v>2</v>
      </c>
      <c r="M196" s="153">
        <v>0</v>
      </c>
      <c r="N196" s="145">
        <f>(((Tabela136[[#This Row],[Objetive value Similarity]]-Tabela136[[#This Row],[Objetive value Similarity/GATeS]])/Tabela136[[#This Row],[Objetive value Similarity]]))*100</f>
        <v>1.1904761904761905</v>
      </c>
      <c r="O196" s="23">
        <v>756</v>
      </c>
      <c r="P196" s="53">
        <v>0.56999999999999995</v>
      </c>
      <c r="Q196" s="53">
        <v>0</v>
      </c>
      <c r="R196" s="55">
        <f>(((Tabela136[[#This Row],[Objetive value Similarity]]-Tabela136[[#This Row],[Objetive value Similarity/H-R1    ]])/Tabela136[[#This Row],[Objetive value Similarity]]))*100</f>
        <v>0</v>
      </c>
      <c r="S196" s="96">
        <v>756</v>
      </c>
      <c r="T196" s="21">
        <v>0.59</v>
      </c>
      <c r="U196" s="21">
        <v>0</v>
      </c>
      <c r="V196" s="144">
        <f>(((Tabela136[[#This Row],[Objetive value Similarity]]-Tabela136[[#This Row],[Objetive value Similarity/H-R2]])/Tabela136[[#This Row],[Objetive value Similarity]]))*100</f>
        <v>0</v>
      </c>
    </row>
    <row r="197" spans="1:22" s="34" customFormat="1" x14ac:dyDescent="0.25">
      <c r="A197" s="11" t="s">
        <v>11</v>
      </c>
      <c r="B197" s="12" t="s">
        <v>723</v>
      </c>
      <c r="C197" s="11">
        <v>100</v>
      </c>
      <c r="D197" s="11">
        <v>0.15</v>
      </c>
      <c r="E197" s="11">
        <v>5</v>
      </c>
      <c r="F197" s="12" t="s">
        <v>18</v>
      </c>
      <c r="G197" s="12" t="s">
        <v>14</v>
      </c>
      <c r="H197" s="140">
        <v>849</v>
      </c>
      <c r="I197" s="140">
        <v>7.7999999979510903E-2</v>
      </c>
      <c r="J197" s="147">
        <v>0</v>
      </c>
      <c r="K197" s="151">
        <v>829</v>
      </c>
      <c r="L197" s="153">
        <v>2</v>
      </c>
      <c r="M197" s="153">
        <v>0</v>
      </c>
      <c r="N197" s="145">
        <f>(((Tabela136[[#This Row],[Objetive value Similarity]]-Tabela136[[#This Row],[Objetive value Similarity/GATeS]])/Tabela136[[#This Row],[Objetive value Similarity]]))*100</f>
        <v>2.3557126030624262</v>
      </c>
      <c r="O197" s="23">
        <v>822</v>
      </c>
      <c r="P197" s="53">
        <v>0.45</v>
      </c>
      <c r="Q197" s="53">
        <v>0</v>
      </c>
      <c r="R197" s="55">
        <f>(((Tabela136[[#This Row],[Objetive value Similarity]]-Tabela136[[#This Row],[Objetive value Similarity/H-R1    ]])/Tabela136[[#This Row],[Objetive value Similarity]]))*100</f>
        <v>3.1802120141342751</v>
      </c>
      <c r="S197" s="96">
        <v>849</v>
      </c>
      <c r="T197" s="21">
        <v>0.4</v>
      </c>
      <c r="U197" s="21">
        <v>0</v>
      </c>
      <c r="V197" s="144">
        <f>(((Tabela136[[#This Row],[Objetive value Similarity]]-Tabela136[[#This Row],[Objetive value Similarity/H-R2]])/Tabela136[[#This Row],[Objetive value Similarity]]))*100</f>
        <v>0</v>
      </c>
    </row>
    <row r="198" spans="1:22" s="34" customFormat="1" x14ac:dyDescent="0.25">
      <c r="A198" s="11" t="s">
        <v>11</v>
      </c>
      <c r="B198" s="12" t="s">
        <v>724</v>
      </c>
      <c r="C198" s="11">
        <v>100</v>
      </c>
      <c r="D198" s="11">
        <v>0.15</v>
      </c>
      <c r="E198" s="11">
        <v>5</v>
      </c>
      <c r="F198" s="12" t="s">
        <v>18</v>
      </c>
      <c r="G198" s="12" t="s">
        <v>16</v>
      </c>
      <c r="H198" s="140">
        <v>741</v>
      </c>
      <c r="I198" s="140">
        <v>0.125</v>
      </c>
      <c r="J198" s="147">
        <v>0</v>
      </c>
      <c r="K198" s="151">
        <v>739</v>
      </c>
      <c r="L198" s="153">
        <v>3</v>
      </c>
      <c r="M198" s="153">
        <v>3</v>
      </c>
      <c r="N198" s="145">
        <f>(((Tabela136[[#This Row],[Objetive value Similarity]]-Tabela136[[#This Row],[Objetive value Similarity/GATeS]])/Tabela136[[#This Row],[Objetive value Similarity]]))*100</f>
        <v>0.26990553306342779</v>
      </c>
      <c r="O198" s="23">
        <v>735</v>
      </c>
      <c r="P198" s="53">
        <v>0.45</v>
      </c>
      <c r="Q198" s="53">
        <v>0</v>
      </c>
      <c r="R198" s="55">
        <f>(((Tabela136[[#This Row],[Objetive value Similarity]]-Tabela136[[#This Row],[Objetive value Similarity/H-R1    ]])/Tabela136[[#This Row],[Objetive value Similarity]]))*100</f>
        <v>0.80971659919028338</v>
      </c>
      <c r="S198" s="96">
        <v>716</v>
      </c>
      <c r="T198" s="21">
        <v>0.27</v>
      </c>
      <c r="U198" s="21">
        <v>0</v>
      </c>
      <c r="V198" s="144">
        <f>(((Tabela136[[#This Row],[Objetive value Similarity]]-Tabela136[[#This Row],[Objetive value Similarity/H-R2]])/Tabela136[[#This Row],[Objetive value Similarity]]))*100</f>
        <v>3.3738191632928474</v>
      </c>
    </row>
    <row r="199" spans="1:22" s="34" customFormat="1" x14ac:dyDescent="0.25">
      <c r="A199" s="11" t="s">
        <v>11</v>
      </c>
      <c r="B199" s="12" t="s">
        <v>725</v>
      </c>
      <c r="C199" s="11">
        <v>100</v>
      </c>
      <c r="D199" s="11">
        <v>0.15</v>
      </c>
      <c r="E199" s="11">
        <v>5</v>
      </c>
      <c r="F199" s="12" t="s">
        <v>21</v>
      </c>
      <c r="G199" s="12" t="s">
        <v>14</v>
      </c>
      <c r="H199" s="140">
        <v>754</v>
      </c>
      <c r="I199" s="140">
        <v>0.109000000054948</v>
      </c>
      <c r="J199" s="147">
        <v>0</v>
      </c>
      <c r="K199" s="151">
        <v>727</v>
      </c>
      <c r="L199" s="153">
        <v>1</v>
      </c>
      <c r="M199" s="153">
        <v>0</v>
      </c>
      <c r="N199" s="145">
        <f>(((Tabela136[[#This Row],[Objetive value Similarity]]-Tabela136[[#This Row],[Objetive value Similarity/GATeS]])/Tabela136[[#This Row],[Objetive value Similarity]]))*100</f>
        <v>3.5809018567639259</v>
      </c>
      <c r="O199" s="23">
        <v>754</v>
      </c>
      <c r="P199" s="53">
        <v>0.45</v>
      </c>
      <c r="Q199" s="53">
        <v>0</v>
      </c>
      <c r="R199" s="55">
        <f>(((Tabela136[[#This Row],[Objetive value Similarity]]-Tabela136[[#This Row],[Objetive value Similarity/H-R1    ]])/Tabela136[[#This Row],[Objetive value Similarity]]))*100</f>
        <v>0</v>
      </c>
      <c r="S199" s="96">
        <v>754</v>
      </c>
      <c r="T199" s="21">
        <v>0.56999999999999995</v>
      </c>
      <c r="U199" s="21">
        <v>0</v>
      </c>
      <c r="V199" s="144">
        <f>(((Tabela136[[#This Row],[Objetive value Similarity]]-Tabela136[[#This Row],[Objetive value Similarity/H-R2]])/Tabela136[[#This Row],[Objetive value Similarity]]))*100</f>
        <v>0</v>
      </c>
    </row>
    <row r="200" spans="1:22" s="34" customFormat="1" x14ac:dyDescent="0.25">
      <c r="A200" s="11" t="s">
        <v>11</v>
      </c>
      <c r="B200" s="12" t="s">
        <v>726</v>
      </c>
      <c r="C200" s="11">
        <v>100</v>
      </c>
      <c r="D200" s="11">
        <v>0.15</v>
      </c>
      <c r="E200" s="11">
        <v>5</v>
      </c>
      <c r="F200" s="12" t="s">
        <v>21</v>
      </c>
      <c r="G200" s="12" t="s">
        <v>16</v>
      </c>
      <c r="H200" s="140">
        <v>750</v>
      </c>
      <c r="I200" s="140">
        <v>0.10999999998602999</v>
      </c>
      <c r="J200" s="147">
        <v>0</v>
      </c>
      <c r="K200" s="151">
        <v>742</v>
      </c>
      <c r="L200" s="153">
        <v>12</v>
      </c>
      <c r="M200" s="153">
        <v>0</v>
      </c>
      <c r="N200" s="145">
        <f>(((Tabela136[[#This Row],[Objetive value Similarity]]-Tabela136[[#This Row],[Objetive value Similarity/GATeS]])/Tabela136[[#This Row],[Objetive value Similarity]]))*100</f>
        <v>1.0666666666666667</v>
      </c>
      <c r="O200" s="23">
        <v>712</v>
      </c>
      <c r="P200" s="53">
        <v>0.45</v>
      </c>
      <c r="Q200" s="53">
        <v>0</v>
      </c>
      <c r="R200" s="55">
        <f>(((Tabela136[[#This Row],[Objetive value Similarity]]-Tabela136[[#This Row],[Objetive value Similarity/H-R1    ]])/Tabela136[[#This Row],[Objetive value Similarity]]))*100</f>
        <v>5.0666666666666664</v>
      </c>
      <c r="S200" s="96">
        <v>750</v>
      </c>
      <c r="T200" s="21">
        <v>0.36</v>
      </c>
      <c r="U200" s="21">
        <v>0</v>
      </c>
      <c r="V200" s="144">
        <f>(((Tabela136[[#This Row],[Objetive value Similarity]]-Tabela136[[#This Row],[Objetive value Similarity/H-R2]])/Tabela136[[#This Row],[Objetive value Similarity]]))*100</f>
        <v>0</v>
      </c>
    </row>
    <row r="201" spans="1:22" s="34" customFormat="1" x14ac:dyDescent="0.25">
      <c r="A201" s="11" t="s">
        <v>35</v>
      </c>
      <c r="B201" s="12" t="s">
        <v>727</v>
      </c>
      <c r="C201" s="11">
        <v>100</v>
      </c>
      <c r="D201" s="11">
        <v>0.05</v>
      </c>
      <c r="E201" s="11">
        <v>10</v>
      </c>
      <c r="F201" s="12" t="s">
        <v>13</v>
      </c>
      <c r="G201" s="12" t="s">
        <v>14</v>
      </c>
      <c r="H201" s="140">
        <v>2013</v>
      </c>
      <c r="I201" s="140">
        <v>0.155999999959021</v>
      </c>
      <c r="J201" s="147">
        <v>0</v>
      </c>
      <c r="K201" s="151">
        <v>1993</v>
      </c>
      <c r="L201" s="153">
        <v>15</v>
      </c>
      <c r="M201" s="153">
        <v>12</v>
      </c>
      <c r="N201" s="145">
        <f>(((Tabela136[[#This Row],[Objetive value Similarity]]-Tabela136[[#This Row],[Objetive value Similarity/GATeS]])/Tabela136[[#This Row],[Objetive value Similarity]]))*100</f>
        <v>0.99354197714853454</v>
      </c>
      <c r="O201" s="23">
        <v>2008</v>
      </c>
      <c r="P201" s="53">
        <v>0.45</v>
      </c>
      <c r="Q201" s="53">
        <v>0</v>
      </c>
      <c r="R201" s="55">
        <f>(((Tabela136[[#This Row],[Objetive value Similarity]]-Tabela136[[#This Row],[Objetive value Similarity/H-R1    ]])/Tabela136[[#This Row],[Objetive value Similarity]]))*100</f>
        <v>0.24838549428713363</v>
      </c>
      <c r="S201" s="96">
        <v>2008</v>
      </c>
      <c r="T201" s="21">
        <v>0.61</v>
      </c>
      <c r="U201" s="21">
        <v>0</v>
      </c>
      <c r="V201" s="144">
        <f>(((Tabela136[[#This Row],[Objetive value Similarity]]-Tabela136[[#This Row],[Objetive value Similarity/H-R2]])/Tabela136[[#This Row],[Objetive value Similarity]]))*100</f>
        <v>0.24838549428713363</v>
      </c>
    </row>
    <row r="202" spans="1:22" s="34" customFormat="1" x14ac:dyDescent="0.25">
      <c r="A202" s="11" t="s">
        <v>35</v>
      </c>
      <c r="B202" s="12" t="s">
        <v>728</v>
      </c>
      <c r="C202" s="11">
        <v>100</v>
      </c>
      <c r="D202" s="11">
        <v>0.05</v>
      </c>
      <c r="E202" s="11">
        <v>10</v>
      </c>
      <c r="F202" s="12" t="s">
        <v>13</v>
      </c>
      <c r="G202" s="12" t="s">
        <v>16</v>
      </c>
      <c r="H202" s="140">
        <v>1160</v>
      </c>
      <c r="I202" s="140">
        <v>0.39000000001396901</v>
      </c>
      <c r="J202" s="147">
        <v>0</v>
      </c>
      <c r="K202" s="151">
        <v>1104</v>
      </c>
      <c r="L202" s="153">
        <v>4</v>
      </c>
      <c r="M202" s="153">
        <v>1</v>
      </c>
      <c r="N202" s="145">
        <f>(((Tabela136[[#This Row],[Objetive value Similarity]]-Tabela136[[#This Row],[Objetive value Similarity/GATeS]])/Tabela136[[#This Row],[Objetive value Similarity]]))*100</f>
        <v>4.8275862068965516</v>
      </c>
      <c r="O202" s="23">
        <v>1082</v>
      </c>
      <c r="P202" s="53">
        <v>0.51</v>
      </c>
      <c r="Q202" s="53">
        <v>0</v>
      </c>
      <c r="R202" s="55">
        <f>(((Tabela136[[#This Row],[Objetive value Similarity]]-Tabela136[[#This Row],[Objetive value Similarity/H-R1    ]])/Tabela136[[#This Row],[Objetive value Similarity]]))*100</f>
        <v>6.7241379310344822</v>
      </c>
      <c r="S202" s="96">
        <v>1082</v>
      </c>
      <c r="T202" s="21">
        <v>0.49</v>
      </c>
      <c r="U202" s="21">
        <v>0</v>
      </c>
      <c r="V202" s="144">
        <f>(((Tabela136[[#This Row],[Objetive value Similarity]]-Tabela136[[#This Row],[Objetive value Similarity/H-R2]])/Tabela136[[#This Row],[Objetive value Similarity]]))*100</f>
        <v>6.7241379310344822</v>
      </c>
    </row>
    <row r="203" spans="1:22" s="34" customFormat="1" x14ac:dyDescent="0.25">
      <c r="A203" s="29" t="s">
        <v>35</v>
      </c>
      <c r="B203" s="30" t="s">
        <v>729</v>
      </c>
      <c r="C203" s="29">
        <v>100</v>
      </c>
      <c r="D203" s="29">
        <v>0.05</v>
      </c>
      <c r="E203" s="29">
        <v>10</v>
      </c>
      <c r="F203" s="30" t="s">
        <v>18</v>
      </c>
      <c r="G203" s="12" t="s">
        <v>14</v>
      </c>
      <c r="H203" s="140">
        <v>1649</v>
      </c>
      <c r="I203" s="140">
        <v>0.15600000007543699</v>
      </c>
      <c r="J203" s="147">
        <v>0</v>
      </c>
      <c r="K203" s="151">
        <v>1530</v>
      </c>
      <c r="L203" s="153">
        <v>4</v>
      </c>
      <c r="M203" s="153">
        <v>0</v>
      </c>
      <c r="N203" s="145">
        <f>(((Tabela136[[#This Row],[Objetive value Similarity]]-Tabela136[[#This Row],[Objetive value Similarity/GATeS]])/Tabela136[[#This Row],[Objetive value Similarity]]))*100</f>
        <v>7.216494845360824</v>
      </c>
      <c r="O203" s="23">
        <v>1495</v>
      </c>
      <c r="P203" s="53">
        <v>0.35</v>
      </c>
      <c r="Q203" s="53">
        <v>0</v>
      </c>
      <c r="R203" s="55">
        <f>(((Tabela136[[#This Row],[Objetive value Similarity]]-Tabela136[[#This Row],[Objetive value Similarity/H-R1    ]])/Tabela136[[#This Row],[Objetive value Similarity]]))*100</f>
        <v>9.3389933292904797</v>
      </c>
      <c r="S203" s="96">
        <v>1532</v>
      </c>
      <c r="T203" s="21">
        <v>0.37</v>
      </c>
      <c r="U203" s="21">
        <v>0</v>
      </c>
      <c r="V203" s="144">
        <f>(((Tabela136[[#This Row],[Objetive value Similarity]]-Tabela136[[#This Row],[Objetive value Similarity/H-R2]])/Tabela136[[#This Row],[Objetive value Similarity]]))*100</f>
        <v>7.0952092177077013</v>
      </c>
    </row>
    <row r="204" spans="1:22" s="34" customFormat="1" x14ac:dyDescent="0.25">
      <c r="A204" s="11" t="s">
        <v>35</v>
      </c>
      <c r="B204" s="12" t="s">
        <v>730</v>
      </c>
      <c r="C204" s="11">
        <v>100</v>
      </c>
      <c r="D204" s="11">
        <v>0.05</v>
      </c>
      <c r="E204" s="11">
        <v>10</v>
      </c>
      <c r="F204" s="12" t="s">
        <v>18</v>
      </c>
      <c r="G204" s="12" t="s">
        <v>16</v>
      </c>
      <c r="H204" s="140">
        <v>1370</v>
      </c>
      <c r="I204" s="140">
        <v>0.17200000002048901</v>
      </c>
      <c r="J204" s="147">
        <v>0</v>
      </c>
      <c r="K204" s="151">
        <v>1365</v>
      </c>
      <c r="L204" s="153">
        <v>6</v>
      </c>
      <c r="M204" s="153">
        <v>5</v>
      </c>
      <c r="N204" s="145">
        <f>(((Tabela136[[#This Row],[Objetive value Similarity]]-Tabela136[[#This Row],[Objetive value Similarity/GATeS]])/Tabela136[[#This Row],[Objetive value Similarity]]))*100</f>
        <v>0.36496350364963503</v>
      </c>
      <c r="O204" s="23">
        <v>1323</v>
      </c>
      <c r="P204" s="53">
        <v>0.38</v>
      </c>
      <c r="Q204" s="53">
        <v>0</v>
      </c>
      <c r="R204" s="55">
        <f>(((Tabela136[[#This Row],[Objetive value Similarity]]-Tabela136[[#This Row],[Objetive value Similarity/H-R1    ]])/Tabela136[[#This Row],[Objetive value Similarity]]))*100</f>
        <v>3.4306569343065698</v>
      </c>
      <c r="S204" s="96">
        <v>1323</v>
      </c>
      <c r="T204" s="21">
        <v>0.35</v>
      </c>
      <c r="U204" s="21">
        <v>0</v>
      </c>
      <c r="V204" s="144">
        <f>(((Tabela136[[#This Row],[Objetive value Similarity]]-Tabela136[[#This Row],[Objetive value Similarity/H-R2]])/Tabela136[[#This Row],[Objetive value Similarity]]))*100</f>
        <v>3.4306569343065698</v>
      </c>
    </row>
    <row r="205" spans="1:22" s="34" customFormat="1" x14ac:dyDescent="0.25">
      <c r="A205" s="11" t="s">
        <v>35</v>
      </c>
      <c r="B205" s="12" t="s">
        <v>731</v>
      </c>
      <c r="C205" s="11">
        <v>100</v>
      </c>
      <c r="D205" s="11">
        <v>0.05</v>
      </c>
      <c r="E205" s="11">
        <v>10</v>
      </c>
      <c r="F205" s="12" t="s">
        <v>21</v>
      </c>
      <c r="G205" s="12" t="s">
        <v>14</v>
      </c>
      <c r="H205" s="140">
        <v>1480</v>
      </c>
      <c r="I205" s="140">
        <v>0.14100000006146701</v>
      </c>
      <c r="J205" s="147">
        <v>0</v>
      </c>
      <c r="K205" s="151">
        <v>1410</v>
      </c>
      <c r="L205" s="153">
        <v>24</v>
      </c>
      <c r="M205" s="153">
        <v>12</v>
      </c>
      <c r="N205" s="145">
        <f>(((Tabela136[[#This Row],[Objetive value Similarity]]-Tabela136[[#This Row],[Objetive value Similarity/GATeS]])/Tabela136[[#This Row],[Objetive value Similarity]]))*100</f>
        <v>4.7297297297297298</v>
      </c>
      <c r="O205" s="23">
        <v>1480</v>
      </c>
      <c r="P205" s="53">
        <v>0.32</v>
      </c>
      <c r="Q205" s="53">
        <v>0</v>
      </c>
      <c r="R205" s="55">
        <f>(((Tabela136[[#This Row],[Objetive value Similarity]]-Tabela136[[#This Row],[Objetive value Similarity/H-R1    ]])/Tabela136[[#This Row],[Objetive value Similarity]]))*100</f>
        <v>0</v>
      </c>
      <c r="S205" s="96">
        <v>1480</v>
      </c>
      <c r="T205" s="21">
        <v>0.47</v>
      </c>
      <c r="U205" s="21">
        <v>0</v>
      </c>
      <c r="V205" s="144">
        <f>(((Tabela136[[#This Row],[Objetive value Similarity]]-Tabela136[[#This Row],[Objetive value Similarity/H-R2]])/Tabela136[[#This Row],[Objetive value Similarity]]))*100</f>
        <v>0</v>
      </c>
    </row>
    <row r="206" spans="1:22" s="34" customFormat="1" x14ac:dyDescent="0.25">
      <c r="A206" s="11" t="s">
        <v>35</v>
      </c>
      <c r="B206" s="30" t="s">
        <v>732</v>
      </c>
      <c r="C206" s="11">
        <v>100</v>
      </c>
      <c r="D206" s="11">
        <v>0.05</v>
      </c>
      <c r="E206" s="11">
        <v>10</v>
      </c>
      <c r="F206" s="12" t="s">
        <v>21</v>
      </c>
      <c r="G206" s="12" t="s">
        <v>16</v>
      </c>
      <c r="H206" s="140">
        <v>1035</v>
      </c>
      <c r="I206" s="140">
        <v>0.375</v>
      </c>
      <c r="J206" s="147">
        <v>0</v>
      </c>
      <c r="K206" s="151">
        <v>990</v>
      </c>
      <c r="L206" s="153">
        <v>4</v>
      </c>
      <c r="M206" s="153">
        <v>0</v>
      </c>
      <c r="N206" s="145">
        <f>(((Tabela136[[#This Row],[Objetive value Similarity]]-Tabela136[[#This Row],[Objetive value Similarity/GATeS]])/Tabela136[[#This Row],[Objetive value Similarity]]))*100</f>
        <v>4.3478260869565215</v>
      </c>
      <c r="O206" s="23">
        <v>1008</v>
      </c>
      <c r="P206" s="53">
        <v>0.56000000000000005</v>
      </c>
      <c r="Q206" s="53">
        <v>0</v>
      </c>
      <c r="R206" s="55">
        <f>(((Tabela136[[#This Row],[Objetive value Similarity]]-Tabela136[[#This Row],[Objetive value Similarity/H-R1    ]])/Tabela136[[#This Row],[Objetive value Similarity]]))*100</f>
        <v>2.6086956521739131</v>
      </c>
      <c r="S206" s="96">
        <v>1005</v>
      </c>
      <c r="T206" s="21">
        <v>0.31</v>
      </c>
      <c r="U206" s="21">
        <v>0</v>
      </c>
      <c r="V206" s="144">
        <f>(((Tabela136[[#This Row],[Objetive value Similarity]]-Tabela136[[#This Row],[Objetive value Similarity/H-R2]])/Tabela136[[#This Row],[Objetive value Similarity]]))*100</f>
        <v>2.8985507246376812</v>
      </c>
    </row>
    <row r="207" spans="1:22" s="34" customFormat="1" x14ac:dyDescent="0.25">
      <c r="A207" s="11" t="s">
        <v>54</v>
      </c>
      <c r="B207" s="30" t="s">
        <v>745</v>
      </c>
      <c r="C207" s="11">
        <v>100</v>
      </c>
      <c r="D207" s="11">
        <v>0.05</v>
      </c>
      <c r="E207" s="11">
        <v>15</v>
      </c>
      <c r="F207" s="32" t="s">
        <v>13</v>
      </c>
      <c r="G207" s="32" t="s">
        <v>14</v>
      </c>
      <c r="H207" s="140">
        <v>2765</v>
      </c>
      <c r="I207" s="140">
        <v>1.06299999996554</v>
      </c>
      <c r="J207" s="147">
        <v>0</v>
      </c>
      <c r="K207" s="151">
        <v>2581</v>
      </c>
      <c r="L207" s="153">
        <v>15</v>
      </c>
      <c r="M207" s="153">
        <v>4</v>
      </c>
      <c r="N207" s="145">
        <f>(((Tabela136[[#This Row],[Objetive value Similarity]]-Tabela136[[#This Row],[Objetive value Similarity/GATeS]])/Tabela136[[#This Row],[Objetive value Similarity]]))*100</f>
        <v>6.6546112115732372</v>
      </c>
      <c r="O207" s="23">
        <v>2638</v>
      </c>
      <c r="P207" s="53">
        <v>0.42</v>
      </c>
      <c r="Q207" s="53">
        <v>0</v>
      </c>
      <c r="R207" s="55">
        <f>(((Tabela136[[#This Row],[Objetive value Similarity]]-Tabela136[[#This Row],[Objetive value Similarity/H-R1    ]])/Tabela136[[#This Row],[Objetive value Similarity]]))*100</f>
        <v>4.5931283905967453</v>
      </c>
      <c r="S207" s="96">
        <v>2155</v>
      </c>
      <c r="T207" s="21">
        <v>0.55000000000000004</v>
      </c>
      <c r="U207" s="21">
        <v>0</v>
      </c>
      <c r="V207" s="144">
        <f>(((Tabela136[[#This Row],[Objetive value Similarity]]-Tabela136[[#This Row],[Objetive value Similarity/H-R2]])/Tabela136[[#This Row],[Objetive value Similarity]]))*100</f>
        <v>22.06148282097649</v>
      </c>
    </row>
    <row r="208" spans="1:22" s="34" customFormat="1" x14ac:dyDescent="0.25">
      <c r="A208" s="11" t="s">
        <v>54</v>
      </c>
      <c r="B208" s="12" t="s">
        <v>746</v>
      </c>
      <c r="C208" s="11">
        <v>100</v>
      </c>
      <c r="D208" s="11">
        <v>0.05</v>
      </c>
      <c r="E208" s="11">
        <v>15</v>
      </c>
      <c r="F208" s="32" t="s">
        <v>13</v>
      </c>
      <c r="G208" s="32" t="s">
        <v>16</v>
      </c>
      <c r="H208" s="140">
        <v>1774</v>
      </c>
      <c r="I208" s="140">
        <v>0.89100000006146696</v>
      </c>
      <c r="J208" s="147">
        <v>0.23</v>
      </c>
      <c r="K208" s="151">
        <v>1707</v>
      </c>
      <c r="L208" s="153">
        <v>10</v>
      </c>
      <c r="M208" s="153">
        <v>4</v>
      </c>
      <c r="N208" s="145">
        <f>(((Tabela136[[#This Row],[Objetive value Similarity]]-Tabela136[[#This Row],[Objetive value Similarity/GATeS]])/Tabela136[[#This Row],[Objetive value Similarity]]))*100</f>
        <v>3.7767756482525368</v>
      </c>
      <c r="O208" s="23">
        <v>1706</v>
      </c>
      <c r="P208" s="53">
        <v>0.65</v>
      </c>
      <c r="Q208" s="53">
        <v>0</v>
      </c>
      <c r="R208" s="55">
        <f>(((Tabela136[[#This Row],[Objetive value Similarity]]-Tabela136[[#This Row],[Objetive value Similarity/H-R1    ]])/Tabela136[[#This Row],[Objetive value Similarity]]))*100</f>
        <v>3.8331454340473505</v>
      </c>
      <c r="S208" s="96">
        <v>1726</v>
      </c>
      <c r="T208" s="21">
        <v>1</v>
      </c>
      <c r="U208" s="21">
        <v>0</v>
      </c>
      <c r="V208" s="144">
        <f>(((Tabela136[[#This Row],[Objetive value Similarity]]-Tabela136[[#This Row],[Objetive value Similarity/H-R2]])/Tabela136[[#This Row],[Objetive value Similarity]]))*100</f>
        <v>2.705749718151071</v>
      </c>
    </row>
    <row r="209" spans="1:22" s="34" customFormat="1" x14ac:dyDescent="0.25">
      <c r="A209" s="11" t="s">
        <v>54</v>
      </c>
      <c r="B209" s="12" t="s">
        <v>747</v>
      </c>
      <c r="C209" s="11">
        <v>100</v>
      </c>
      <c r="D209" s="11">
        <v>0.05</v>
      </c>
      <c r="E209" s="11">
        <v>15</v>
      </c>
      <c r="F209" s="32" t="s">
        <v>18</v>
      </c>
      <c r="G209" s="32" t="s">
        <v>14</v>
      </c>
      <c r="H209" s="140">
        <v>2254</v>
      </c>
      <c r="I209" s="140">
        <v>1.03099999995902</v>
      </c>
      <c r="J209" s="147">
        <v>10.69</v>
      </c>
      <c r="K209" s="151">
        <v>2160</v>
      </c>
      <c r="L209" s="153">
        <v>6</v>
      </c>
      <c r="M209" s="153">
        <v>3</v>
      </c>
      <c r="N209" s="145">
        <f>(((Tabela136[[#This Row],[Objetive value Similarity]]-Tabela136[[#This Row],[Objetive value Similarity/GATeS]])/Tabela136[[#This Row],[Objetive value Similarity]]))*100</f>
        <v>4.1703637976929899</v>
      </c>
      <c r="O209" s="23">
        <v>2173</v>
      </c>
      <c r="P209" s="53">
        <v>0.45</v>
      </c>
      <c r="Q209" s="53">
        <v>0</v>
      </c>
      <c r="R209" s="55">
        <f>(((Tabela136[[#This Row],[Objetive value Similarity]]-Tabela136[[#This Row],[Objetive value Similarity/H-R1    ]])/Tabela136[[#This Row],[Objetive value Similarity]]))*100</f>
        <v>3.5936113575865134</v>
      </c>
      <c r="S209" s="96">
        <v>2135</v>
      </c>
      <c r="T209" s="21">
        <v>0.35</v>
      </c>
      <c r="U209" s="21">
        <v>0</v>
      </c>
      <c r="V209" s="144">
        <f>(((Tabela136[[#This Row],[Objetive value Similarity]]-Tabela136[[#This Row],[Objetive value Similarity/H-R2]])/Tabela136[[#This Row],[Objetive value Similarity]]))*100</f>
        <v>5.2795031055900621</v>
      </c>
    </row>
    <row r="210" spans="1:22" s="34" customFormat="1" x14ac:dyDescent="0.25">
      <c r="A210" s="11" t="s">
        <v>54</v>
      </c>
      <c r="B210" s="12" t="s">
        <v>748</v>
      </c>
      <c r="C210" s="11">
        <v>100</v>
      </c>
      <c r="D210" s="11">
        <v>0.05</v>
      </c>
      <c r="E210" s="11">
        <v>15</v>
      </c>
      <c r="F210" s="32" t="s">
        <v>18</v>
      </c>
      <c r="G210" s="32" t="s">
        <v>16</v>
      </c>
      <c r="H210" s="140">
        <v>1819</v>
      </c>
      <c r="I210" s="140">
        <v>1.21900000004097</v>
      </c>
      <c r="J210" s="147">
        <v>0.42</v>
      </c>
      <c r="K210" s="151">
        <v>1794</v>
      </c>
      <c r="L210" s="153">
        <v>11</v>
      </c>
      <c r="M210" s="153">
        <v>7</v>
      </c>
      <c r="N210" s="145">
        <f>(((Tabela136[[#This Row],[Objetive value Similarity]]-Tabela136[[#This Row],[Objetive value Similarity/GATeS]])/Tabela136[[#This Row],[Objetive value Similarity]]))*100</f>
        <v>1.3743815283122593</v>
      </c>
      <c r="O210" s="23">
        <v>1795</v>
      </c>
      <c r="P210" s="53">
        <v>0.66</v>
      </c>
      <c r="Q210" s="53">
        <v>0</v>
      </c>
      <c r="R210" s="55">
        <f>(((Tabela136[[#This Row],[Objetive value Similarity]]-Tabela136[[#This Row],[Objetive value Similarity/H-R1    ]])/Tabela136[[#This Row],[Objetive value Similarity]]))*100</f>
        <v>1.3194062671797691</v>
      </c>
      <c r="S210" s="96">
        <v>1786</v>
      </c>
      <c r="T210" s="21">
        <v>0.48</v>
      </c>
      <c r="U210" s="21">
        <v>0</v>
      </c>
      <c r="V210" s="144">
        <f>(((Tabela136[[#This Row],[Objetive value Similarity]]-Tabela136[[#This Row],[Objetive value Similarity/H-R2]])/Tabela136[[#This Row],[Objetive value Similarity]]))*100</f>
        <v>1.8141836173721826</v>
      </c>
    </row>
    <row r="211" spans="1:22" s="34" customFormat="1" x14ac:dyDescent="0.25">
      <c r="A211" s="11" t="s">
        <v>54</v>
      </c>
      <c r="B211" s="12" t="s">
        <v>749</v>
      </c>
      <c r="C211" s="11">
        <v>100</v>
      </c>
      <c r="D211" s="11">
        <v>0.05</v>
      </c>
      <c r="E211" s="11">
        <v>15</v>
      </c>
      <c r="F211" s="32" t="s">
        <v>21</v>
      </c>
      <c r="G211" s="32" t="s">
        <v>14</v>
      </c>
      <c r="H211" s="140">
        <v>2120</v>
      </c>
      <c r="I211" s="140">
        <v>0.14100000006146701</v>
      </c>
      <c r="J211" s="147">
        <v>0</v>
      </c>
      <c r="K211" s="151">
        <v>2108</v>
      </c>
      <c r="L211" s="153">
        <v>16</v>
      </c>
      <c r="M211" s="153">
        <v>14</v>
      </c>
      <c r="N211" s="145">
        <f>(((Tabela136[[#This Row],[Objetive value Similarity]]-Tabela136[[#This Row],[Objetive value Similarity/GATeS]])/Tabela136[[#This Row],[Objetive value Similarity]]))*100</f>
        <v>0.56603773584905659</v>
      </c>
      <c r="O211" s="23">
        <v>420</v>
      </c>
      <c r="P211" s="53">
        <v>1.9</v>
      </c>
      <c r="Q211" s="53">
        <v>0</v>
      </c>
      <c r="R211" s="55">
        <f>(((Tabela136[[#This Row],[Objetive value Similarity]]-Tabela136[[#This Row],[Objetive value Similarity/H-R1    ]])/Tabela136[[#This Row],[Objetive value Similarity]]))*100</f>
        <v>80.188679245283026</v>
      </c>
      <c r="S211" s="96">
        <v>1718</v>
      </c>
      <c r="T211" s="21">
        <v>0.81</v>
      </c>
      <c r="U211" s="21">
        <v>0</v>
      </c>
      <c r="V211" s="144">
        <f>(((Tabela136[[#This Row],[Objetive value Similarity]]-Tabela136[[#This Row],[Objetive value Similarity/H-R2]])/Tabela136[[#This Row],[Objetive value Similarity]]))*100</f>
        <v>18.962264150943398</v>
      </c>
    </row>
    <row r="212" spans="1:22" s="34" customFormat="1" x14ac:dyDescent="0.25">
      <c r="A212" s="11" t="s">
        <v>54</v>
      </c>
      <c r="B212" s="12" t="s">
        <v>750</v>
      </c>
      <c r="C212" s="11">
        <v>100</v>
      </c>
      <c r="D212" s="11">
        <v>0.05</v>
      </c>
      <c r="E212" s="11">
        <v>15</v>
      </c>
      <c r="F212" s="32" t="s">
        <v>21</v>
      </c>
      <c r="G212" s="32" t="s">
        <v>16</v>
      </c>
      <c r="H212" s="140">
        <v>1774</v>
      </c>
      <c r="I212" s="140">
        <v>0.76600000006146696</v>
      </c>
      <c r="J212" s="147">
        <v>0</v>
      </c>
      <c r="K212" s="151">
        <v>1758</v>
      </c>
      <c r="L212" s="153">
        <v>12</v>
      </c>
      <c r="M212" s="153">
        <v>5</v>
      </c>
      <c r="N212" s="145">
        <f>(((Tabela136[[#This Row],[Objetive value Similarity]]-Tabela136[[#This Row],[Objetive value Similarity/GATeS]])/Tabela136[[#This Row],[Objetive value Similarity]]))*100</f>
        <v>0.90191657271702363</v>
      </c>
      <c r="O212" s="23">
        <v>1745</v>
      </c>
      <c r="P212" s="53">
        <v>0.28999999999999998</v>
      </c>
      <c r="Q212" s="53">
        <v>0</v>
      </c>
      <c r="R212" s="55">
        <f>(((Tabela136[[#This Row],[Objetive value Similarity]]-Tabela136[[#This Row],[Objetive value Similarity/H-R1    ]])/Tabela136[[#This Row],[Objetive value Similarity]]))*100</f>
        <v>1.6347237880496055</v>
      </c>
      <c r="S212" s="96">
        <v>1697</v>
      </c>
      <c r="T212" s="21">
        <v>0.27</v>
      </c>
      <c r="U212" s="21">
        <v>0</v>
      </c>
      <c r="V212" s="144">
        <f>(((Tabela136[[#This Row],[Objetive value Similarity]]-Tabela136[[#This Row],[Objetive value Similarity/H-R2]])/Tabela136[[#This Row],[Objetive value Similarity]]))*100</f>
        <v>4.3404735062006772</v>
      </c>
    </row>
    <row r="213" spans="1:22" s="34" customFormat="1" x14ac:dyDescent="0.25">
      <c r="A213" s="11" t="s">
        <v>11</v>
      </c>
      <c r="B213" s="12" t="s">
        <v>709</v>
      </c>
      <c r="C213" s="11">
        <v>100</v>
      </c>
      <c r="D213" s="11">
        <v>0.05</v>
      </c>
      <c r="E213" s="11">
        <v>5</v>
      </c>
      <c r="F213" s="12" t="s">
        <v>13</v>
      </c>
      <c r="G213" s="12" t="s">
        <v>14</v>
      </c>
      <c r="H213" s="140">
        <v>705</v>
      </c>
      <c r="I213" s="140">
        <v>0.125</v>
      </c>
      <c r="J213" s="147">
        <v>0</v>
      </c>
      <c r="K213" s="151">
        <v>699</v>
      </c>
      <c r="L213" s="153">
        <v>6</v>
      </c>
      <c r="M213" s="153">
        <v>0</v>
      </c>
      <c r="N213" s="145">
        <f>(((Tabela136[[#This Row],[Objetive value Similarity]]-Tabela136[[#This Row],[Objetive value Similarity/GATeS]])/Tabela136[[#This Row],[Objetive value Similarity]]))*100</f>
        <v>0.85106382978723405</v>
      </c>
      <c r="O213" s="23">
        <v>704</v>
      </c>
      <c r="P213" s="53">
        <v>0.57999999999999996</v>
      </c>
      <c r="Q213" s="53">
        <v>0</v>
      </c>
      <c r="R213" s="55">
        <f>(((Tabela136[[#This Row],[Objetive value Similarity]]-Tabela136[[#This Row],[Objetive value Similarity/H-R1    ]])/Tabela136[[#This Row],[Objetive value Similarity]]))*100</f>
        <v>0.14184397163120568</v>
      </c>
      <c r="S213" s="96">
        <v>705</v>
      </c>
      <c r="T213" s="21">
        <v>0.48</v>
      </c>
      <c r="U213" s="21">
        <v>0</v>
      </c>
      <c r="V213" s="144">
        <f>(((Tabela136[[#This Row],[Objetive value Similarity]]-Tabela136[[#This Row],[Objetive value Similarity/H-R2]])/Tabela136[[#This Row],[Objetive value Similarity]]))*100</f>
        <v>0</v>
      </c>
    </row>
    <row r="214" spans="1:22" s="34" customFormat="1" x14ac:dyDescent="0.25">
      <c r="A214" s="11" t="s">
        <v>11</v>
      </c>
      <c r="B214" s="12" t="s">
        <v>710</v>
      </c>
      <c r="C214" s="11">
        <v>100</v>
      </c>
      <c r="D214" s="11">
        <v>0.05</v>
      </c>
      <c r="E214" s="11">
        <v>5</v>
      </c>
      <c r="F214" s="12" t="s">
        <v>13</v>
      </c>
      <c r="G214" s="12" t="s">
        <v>16</v>
      </c>
      <c r="H214" s="140">
        <v>700</v>
      </c>
      <c r="I214" s="140">
        <v>0.14000000001396901</v>
      </c>
      <c r="J214" s="147">
        <v>0</v>
      </c>
      <c r="K214" s="151">
        <v>690</v>
      </c>
      <c r="L214" s="153">
        <v>13</v>
      </c>
      <c r="M214" s="153">
        <v>1</v>
      </c>
      <c r="N214" s="145">
        <f>(((Tabela136[[#This Row],[Objetive value Similarity]]-Tabela136[[#This Row],[Objetive value Similarity/GATeS]])/Tabela136[[#This Row],[Objetive value Similarity]]))*100</f>
        <v>1.4285714285714286</v>
      </c>
      <c r="O214" s="23">
        <v>668</v>
      </c>
      <c r="P214" s="53">
        <v>0.59</v>
      </c>
      <c r="Q214" s="53">
        <v>0</v>
      </c>
      <c r="R214" s="55">
        <f>(((Tabela136[[#This Row],[Objetive value Similarity]]-Tabela136[[#This Row],[Objetive value Similarity/H-R1    ]])/Tabela136[[#This Row],[Objetive value Similarity]]))*100</f>
        <v>4.5714285714285712</v>
      </c>
      <c r="S214" s="96">
        <v>668</v>
      </c>
      <c r="T214" s="21">
        <v>0.52</v>
      </c>
      <c r="U214" s="21">
        <v>0</v>
      </c>
      <c r="V214" s="144">
        <f>(((Tabela136[[#This Row],[Objetive value Similarity]]-Tabela136[[#This Row],[Objetive value Similarity/H-R2]])/Tabela136[[#This Row],[Objetive value Similarity]]))*100</f>
        <v>4.5714285714285712</v>
      </c>
    </row>
    <row r="215" spans="1:22" s="34" customFormat="1" x14ac:dyDescent="0.25">
      <c r="A215" s="11" t="s">
        <v>11</v>
      </c>
      <c r="B215" s="12" t="s">
        <v>711</v>
      </c>
      <c r="C215" s="11">
        <v>100</v>
      </c>
      <c r="D215" s="11">
        <v>0.05</v>
      </c>
      <c r="E215" s="11">
        <v>5</v>
      </c>
      <c r="F215" s="12" t="s">
        <v>18</v>
      </c>
      <c r="G215" s="12" t="s">
        <v>14</v>
      </c>
      <c r="H215" s="140">
        <v>838</v>
      </c>
      <c r="I215" s="140">
        <v>7.7999999979510903E-2</v>
      </c>
      <c r="J215" s="147">
        <v>0.39</v>
      </c>
      <c r="K215" s="151">
        <v>835</v>
      </c>
      <c r="L215" s="153">
        <v>2</v>
      </c>
      <c r="M215" s="153">
        <v>1</v>
      </c>
      <c r="N215" s="145">
        <f>(((Tabela136[[#This Row],[Objetive value Similarity]]-Tabela136[[#This Row],[Objetive value Similarity/GATeS]])/Tabela136[[#This Row],[Objetive value Similarity]]))*100</f>
        <v>0.35799522673031026</v>
      </c>
      <c r="O215" s="23">
        <v>838</v>
      </c>
      <c r="P215" s="53">
        <v>0.41</v>
      </c>
      <c r="Q215" s="53">
        <v>0</v>
      </c>
      <c r="R215" s="55">
        <f>(((Tabela136[[#This Row],[Objetive value Similarity]]-Tabela136[[#This Row],[Objetive value Similarity/H-R1    ]])/Tabela136[[#This Row],[Objetive value Similarity]]))*100</f>
        <v>0</v>
      </c>
      <c r="S215" s="96">
        <v>838</v>
      </c>
      <c r="T215" s="21">
        <v>0.34</v>
      </c>
      <c r="U215" s="21">
        <v>0</v>
      </c>
      <c r="V215" s="144">
        <f>(((Tabela136[[#This Row],[Objetive value Similarity]]-Tabela136[[#This Row],[Objetive value Similarity/H-R2]])/Tabela136[[#This Row],[Objetive value Similarity]]))*100</f>
        <v>0</v>
      </c>
    </row>
    <row r="216" spans="1:22" s="34" customFormat="1" x14ac:dyDescent="0.25">
      <c r="A216" s="11" t="s">
        <v>11</v>
      </c>
      <c r="B216" s="12" t="s">
        <v>712</v>
      </c>
      <c r="C216" s="11">
        <v>100</v>
      </c>
      <c r="D216" s="11">
        <v>0.05</v>
      </c>
      <c r="E216" s="11">
        <v>5</v>
      </c>
      <c r="F216" s="12" t="s">
        <v>18</v>
      </c>
      <c r="G216" s="12" t="s">
        <v>16</v>
      </c>
      <c r="H216" s="140">
        <v>659</v>
      </c>
      <c r="I216" s="140">
        <v>0.125</v>
      </c>
      <c r="J216" s="147">
        <v>0</v>
      </c>
      <c r="K216" s="151">
        <v>659</v>
      </c>
      <c r="L216" s="153">
        <v>3</v>
      </c>
      <c r="M216" s="153">
        <v>0</v>
      </c>
      <c r="N216" s="145">
        <f>(((Tabela136[[#This Row],[Objetive value Similarity]]-Tabela136[[#This Row],[Objetive value Similarity/GATeS]])/Tabela136[[#This Row],[Objetive value Similarity]]))*100</f>
        <v>0</v>
      </c>
      <c r="O216" s="23">
        <v>652</v>
      </c>
      <c r="P216" s="53">
        <v>0.32</v>
      </c>
      <c r="Q216" s="53">
        <v>0</v>
      </c>
      <c r="R216" s="55">
        <f>(((Tabela136[[#This Row],[Objetive value Similarity]]-Tabela136[[#This Row],[Objetive value Similarity/H-R1    ]])/Tabela136[[#This Row],[Objetive value Similarity]]))*100</f>
        <v>1.062215477996965</v>
      </c>
      <c r="S216" s="96">
        <v>652</v>
      </c>
      <c r="T216" s="21">
        <v>0.41</v>
      </c>
      <c r="U216" s="21">
        <v>0</v>
      </c>
      <c r="V216" s="144">
        <f>(((Tabela136[[#This Row],[Objetive value Similarity]]-Tabela136[[#This Row],[Objetive value Similarity/H-R2]])/Tabela136[[#This Row],[Objetive value Similarity]]))*100</f>
        <v>1.062215477996965</v>
      </c>
    </row>
    <row r="217" spans="1:22" s="34" customFormat="1" x14ac:dyDescent="0.25">
      <c r="A217" s="11" t="s">
        <v>11</v>
      </c>
      <c r="B217" s="12" t="s">
        <v>713</v>
      </c>
      <c r="C217" s="11">
        <v>100</v>
      </c>
      <c r="D217" s="11">
        <v>0.05</v>
      </c>
      <c r="E217" s="11">
        <v>5</v>
      </c>
      <c r="F217" s="12" t="s">
        <v>21</v>
      </c>
      <c r="G217" s="12" t="s">
        <v>14</v>
      </c>
      <c r="H217" s="140">
        <v>671</v>
      </c>
      <c r="I217" s="140">
        <v>9.4000000040978193E-2</v>
      </c>
      <c r="J217" s="147">
        <v>0</v>
      </c>
      <c r="K217" s="151">
        <v>671</v>
      </c>
      <c r="L217" s="153">
        <v>1</v>
      </c>
      <c r="M217" s="153">
        <v>0</v>
      </c>
      <c r="N217" s="145">
        <f>(((Tabela136[[#This Row],[Objetive value Similarity]]-Tabela136[[#This Row],[Objetive value Similarity/GATeS]])/Tabela136[[#This Row],[Objetive value Similarity]]))*100</f>
        <v>0</v>
      </c>
      <c r="O217" s="23">
        <v>350</v>
      </c>
      <c r="P217" s="53">
        <v>0.87</v>
      </c>
      <c r="Q217" s="53">
        <v>0</v>
      </c>
      <c r="R217" s="55">
        <f>(((Tabela136[[#This Row],[Objetive value Similarity]]-Tabela136[[#This Row],[Objetive value Similarity/H-R1    ]])/Tabela136[[#This Row],[Objetive value Similarity]]))*100</f>
        <v>47.83904619970194</v>
      </c>
      <c r="S217" s="96">
        <v>630</v>
      </c>
      <c r="T217" s="21">
        <v>0.83</v>
      </c>
      <c r="U217" s="21">
        <v>0</v>
      </c>
      <c r="V217" s="144">
        <f>(((Tabela136[[#This Row],[Objetive value Similarity]]-Tabela136[[#This Row],[Objetive value Similarity/H-R2]])/Tabela136[[#This Row],[Objetive value Similarity]]))*100</f>
        <v>6.1102831594634877</v>
      </c>
    </row>
    <row r="218" spans="1:22" s="34" customFormat="1" x14ac:dyDescent="0.25">
      <c r="A218" s="11" t="s">
        <v>11</v>
      </c>
      <c r="B218" s="12" t="s">
        <v>714</v>
      </c>
      <c r="C218" s="11">
        <v>100</v>
      </c>
      <c r="D218" s="11">
        <v>0.05</v>
      </c>
      <c r="E218" s="11">
        <v>5</v>
      </c>
      <c r="F218" s="12" t="s">
        <v>21</v>
      </c>
      <c r="G218" s="12" t="s">
        <v>16</v>
      </c>
      <c r="H218" s="140">
        <v>697</v>
      </c>
      <c r="I218" s="140">
        <v>0.15600000007543699</v>
      </c>
      <c r="J218" s="147">
        <v>0</v>
      </c>
      <c r="K218" s="151">
        <v>697</v>
      </c>
      <c r="L218" s="153">
        <v>2</v>
      </c>
      <c r="M218" s="153">
        <v>0</v>
      </c>
      <c r="N218" s="145">
        <f>(((Tabela136[[#This Row],[Objetive value Similarity]]-Tabela136[[#This Row],[Objetive value Similarity/GATeS]])/Tabela136[[#This Row],[Objetive value Similarity]]))*100</f>
        <v>0</v>
      </c>
      <c r="O218" s="23">
        <v>697</v>
      </c>
      <c r="P218" s="53">
        <v>0.3</v>
      </c>
      <c r="Q218" s="53">
        <v>0</v>
      </c>
      <c r="R218" s="55">
        <f>(((Tabela136[[#This Row],[Objetive value Similarity]]-Tabela136[[#This Row],[Objetive value Similarity/H-R1    ]])/Tabela136[[#This Row],[Objetive value Similarity]]))*100</f>
        <v>0</v>
      </c>
      <c r="S218" s="96">
        <v>697</v>
      </c>
      <c r="T218" s="21">
        <v>0.4</v>
      </c>
      <c r="U218" s="21">
        <v>0</v>
      </c>
      <c r="V218" s="144">
        <f>(((Tabela136[[#This Row],[Objetive value Similarity]]-Tabela136[[#This Row],[Objetive value Similarity/H-R2]])/Tabela136[[#This Row],[Objetive value Similarity]]))*100</f>
        <v>0</v>
      </c>
    </row>
    <row r="219" spans="1:22" s="34" customFormat="1" x14ac:dyDescent="0.25">
      <c r="A219" s="11" t="s">
        <v>91</v>
      </c>
      <c r="B219" s="30" t="s">
        <v>787</v>
      </c>
      <c r="C219" s="11">
        <v>200</v>
      </c>
      <c r="D219" s="24">
        <v>0.1</v>
      </c>
      <c r="E219" s="11">
        <v>10</v>
      </c>
      <c r="F219" s="12" t="s">
        <v>13</v>
      </c>
      <c r="G219" s="12" t="s">
        <v>14</v>
      </c>
      <c r="H219" s="140">
        <v>4182</v>
      </c>
      <c r="I219" s="140">
        <v>0.32799999997951002</v>
      </c>
      <c r="J219" s="147">
        <v>0</v>
      </c>
      <c r="K219" s="151">
        <v>3889</v>
      </c>
      <c r="L219" s="153">
        <v>117</v>
      </c>
      <c r="M219" s="153">
        <v>0</v>
      </c>
      <c r="N219" s="145">
        <f>(((Tabela136[[#This Row],[Objetive value Similarity]]-Tabela136[[#This Row],[Objetive value Similarity/GATeS]])/Tabela136[[#This Row],[Objetive value Similarity]]))*100</f>
        <v>7.0062171209947399</v>
      </c>
      <c r="O219" s="23">
        <v>3911</v>
      </c>
      <c r="P219" s="53">
        <v>0.37</v>
      </c>
      <c r="Q219" s="53">
        <v>0</v>
      </c>
      <c r="R219" s="55">
        <f>(((Tabela136[[#This Row],[Objetive value Similarity]]-Tabela136[[#This Row],[Objetive value Similarity/H-R1    ]])/Tabela136[[#This Row],[Objetive value Similarity]]))*100</f>
        <v>6.4801530368244862</v>
      </c>
      <c r="S219" s="96">
        <v>3641</v>
      </c>
      <c r="T219" s="21">
        <v>0.4</v>
      </c>
      <c r="U219" s="21">
        <v>0</v>
      </c>
      <c r="V219" s="144">
        <f>(((Tabela136[[#This Row],[Objetive value Similarity]]-Tabela136[[#This Row],[Objetive value Similarity/H-R2]])/Tabela136[[#This Row],[Objetive value Similarity]]))*100</f>
        <v>12.93639406982305</v>
      </c>
    </row>
    <row r="220" spans="1:22" s="34" customFormat="1" x14ac:dyDescent="0.25">
      <c r="A220" s="11" t="s">
        <v>91</v>
      </c>
      <c r="B220" s="12" t="s">
        <v>788</v>
      </c>
      <c r="C220" s="11">
        <v>200</v>
      </c>
      <c r="D220" s="24">
        <v>0.1</v>
      </c>
      <c r="E220" s="11">
        <v>10</v>
      </c>
      <c r="F220" s="12" t="s">
        <v>13</v>
      </c>
      <c r="G220" s="12" t="s">
        <v>16</v>
      </c>
      <c r="H220" s="140">
        <v>2486</v>
      </c>
      <c r="I220" s="140">
        <v>0.875</v>
      </c>
      <c r="J220" s="147">
        <v>0</v>
      </c>
      <c r="K220" s="151">
        <v>2446</v>
      </c>
      <c r="L220" s="153">
        <v>6</v>
      </c>
      <c r="M220" s="153">
        <v>0</v>
      </c>
      <c r="N220" s="145">
        <f>(((Tabela136[[#This Row],[Objetive value Similarity]]-Tabela136[[#This Row],[Objetive value Similarity/GATeS]])/Tabela136[[#This Row],[Objetive value Similarity]]))*100</f>
        <v>1.6090104585679808</v>
      </c>
      <c r="O220" s="23">
        <v>2486</v>
      </c>
      <c r="P220" s="53">
        <v>0.42</v>
      </c>
      <c r="Q220" s="53">
        <v>0</v>
      </c>
      <c r="R220" s="55">
        <f>(((Tabela136[[#This Row],[Objetive value Similarity]]-Tabela136[[#This Row],[Objetive value Similarity/H-R1    ]])/Tabela136[[#This Row],[Objetive value Similarity]]))*100</f>
        <v>0</v>
      </c>
      <c r="S220" s="96">
        <v>2393</v>
      </c>
      <c r="T220" s="21">
        <v>0.48</v>
      </c>
      <c r="U220" s="21">
        <v>0</v>
      </c>
      <c r="V220" s="144">
        <f>(((Tabela136[[#This Row],[Objetive value Similarity]]-Tabela136[[#This Row],[Objetive value Similarity/H-R2]])/Tabela136[[#This Row],[Objetive value Similarity]]))*100</f>
        <v>3.7409493161705552</v>
      </c>
    </row>
    <row r="221" spans="1:22" s="34" customFormat="1" x14ac:dyDescent="0.25">
      <c r="A221" s="11" t="s">
        <v>91</v>
      </c>
      <c r="B221" s="12" t="s">
        <v>789</v>
      </c>
      <c r="C221" s="11">
        <v>200</v>
      </c>
      <c r="D221" s="24">
        <v>0.1</v>
      </c>
      <c r="E221" s="11">
        <v>10</v>
      </c>
      <c r="F221" s="11" t="s">
        <v>18</v>
      </c>
      <c r="G221" s="12" t="s">
        <v>14</v>
      </c>
      <c r="H221" s="140">
        <v>3219</v>
      </c>
      <c r="I221" s="140">
        <v>0.29700000002048899</v>
      </c>
      <c r="J221" s="147">
        <v>0</v>
      </c>
      <c r="K221" s="151">
        <v>3199</v>
      </c>
      <c r="L221" s="153">
        <v>8</v>
      </c>
      <c r="M221" s="153">
        <v>6</v>
      </c>
      <c r="N221" s="145">
        <f>(((Tabela136[[#This Row],[Objetive value Similarity]]-Tabela136[[#This Row],[Objetive value Similarity/GATeS]])/Tabela136[[#This Row],[Objetive value Similarity]]))*100</f>
        <v>0.6213109661385523</v>
      </c>
      <c r="O221" s="23">
        <v>3194</v>
      </c>
      <c r="P221" s="53">
        <v>0.38</v>
      </c>
      <c r="Q221" s="53">
        <v>0</v>
      </c>
      <c r="R221" s="55">
        <f>(((Tabela136[[#This Row],[Objetive value Similarity]]-Tabela136[[#This Row],[Objetive value Similarity/H-R1    ]])/Tabela136[[#This Row],[Objetive value Similarity]]))*100</f>
        <v>0.77663870767319043</v>
      </c>
      <c r="S221" s="96">
        <v>3194</v>
      </c>
      <c r="T221" s="21">
        <v>0.51</v>
      </c>
      <c r="U221" s="21">
        <v>0</v>
      </c>
      <c r="V221" s="144">
        <f>(((Tabela136[[#This Row],[Objetive value Similarity]]-Tabela136[[#This Row],[Objetive value Similarity/H-R2]])/Tabela136[[#This Row],[Objetive value Similarity]]))*100</f>
        <v>0.77663870767319043</v>
      </c>
    </row>
    <row r="222" spans="1:22" s="34" customFormat="1" x14ac:dyDescent="0.25">
      <c r="A222" s="11" t="s">
        <v>91</v>
      </c>
      <c r="B222" s="12" t="s">
        <v>790</v>
      </c>
      <c r="C222" s="11">
        <v>200</v>
      </c>
      <c r="D222" s="24">
        <v>0.1</v>
      </c>
      <c r="E222" s="11">
        <v>10</v>
      </c>
      <c r="F222" s="11" t="s">
        <v>18</v>
      </c>
      <c r="G222" s="12" t="s">
        <v>16</v>
      </c>
      <c r="H222" s="140">
        <v>2380</v>
      </c>
      <c r="I222" s="140">
        <v>0.875</v>
      </c>
      <c r="J222" s="147">
        <v>0</v>
      </c>
      <c r="K222" s="151">
        <v>2377</v>
      </c>
      <c r="L222" s="153">
        <v>9</v>
      </c>
      <c r="M222" s="153">
        <v>8</v>
      </c>
      <c r="N222" s="145">
        <f>(((Tabela136[[#This Row],[Objetive value Similarity]]-Tabela136[[#This Row],[Objetive value Similarity/GATeS]])/Tabela136[[#This Row],[Objetive value Similarity]]))*100</f>
        <v>0.12605042016806722</v>
      </c>
      <c r="O222" s="23">
        <v>2280</v>
      </c>
      <c r="P222" s="53">
        <v>0.28999999999999998</v>
      </c>
      <c r="Q222" s="53">
        <v>0</v>
      </c>
      <c r="R222" s="55">
        <f>(((Tabela136[[#This Row],[Objetive value Similarity]]-Tabela136[[#This Row],[Objetive value Similarity/H-R1    ]])/Tabela136[[#This Row],[Objetive value Similarity]]))*100</f>
        <v>4.2016806722689077</v>
      </c>
      <c r="S222" s="96">
        <v>2295</v>
      </c>
      <c r="T222" s="21">
        <v>0.4</v>
      </c>
      <c r="U222" s="21">
        <v>0</v>
      </c>
      <c r="V222" s="144">
        <f>(((Tabela136[[#This Row],[Objetive value Similarity]]-Tabela136[[#This Row],[Objetive value Similarity/H-R2]])/Tabela136[[#This Row],[Objetive value Similarity]]))*100</f>
        <v>3.5714285714285712</v>
      </c>
    </row>
    <row r="223" spans="1:22" s="34" customFormat="1" x14ac:dyDescent="0.25">
      <c r="A223" s="11" t="s">
        <v>91</v>
      </c>
      <c r="B223" s="12" t="s">
        <v>791</v>
      </c>
      <c r="C223" s="11">
        <v>200</v>
      </c>
      <c r="D223" s="24">
        <v>0.1</v>
      </c>
      <c r="E223" s="11">
        <v>10</v>
      </c>
      <c r="F223" s="12" t="s">
        <v>21</v>
      </c>
      <c r="G223" s="12" t="s">
        <v>14</v>
      </c>
      <c r="H223" s="140">
        <v>3460</v>
      </c>
      <c r="I223" s="140">
        <v>0.17200000002048901</v>
      </c>
      <c r="J223" s="147">
        <v>0</v>
      </c>
      <c r="K223" s="151">
        <v>3460</v>
      </c>
      <c r="L223" s="153">
        <v>6</v>
      </c>
      <c r="M223" s="153">
        <v>0</v>
      </c>
      <c r="N223" s="145">
        <f>(((Tabela136[[#This Row],[Objetive value Similarity]]-Tabela136[[#This Row],[Objetive value Similarity/GATeS]])/Tabela136[[#This Row],[Objetive value Similarity]]))*100</f>
        <v>0</v>
      </c>
      <c r="O223" s="23">
        <v>3460</v>
      </c>
      <c r="P223" s="53">
        <v>0.61</v>
      </c>
      <c r="Q223" s="53">
        <v>0</v>
      </c>
      <c r="R223" s="55">
        <f>(((Tabela136[[#This Row],[Objetive value Similarity]]-Tabela136[[#This Row],[Objetive value Similarity/H-R1    ]])/Tabela136[[#This Row],[Objetive value Similarity]]))*100</f>
        <v>0</v>
      </c>
      <c r="S223" s="96">
        <v>3460</v>
      </c>
      <c r="T223" s="84">
        <v>0.78</v>
      </c>
      <c r="U223" s="84">
        <v>0</v>
      </c>
      <c r="V223" s="144">
        <f>(((Tabela136[[#This Row],[Objetive value Similarity]]-Tabela136[[#This Row],[Objetive value Similarity/H-R2]])/Tabela136[[#This Row],[Objetive value Similarity]]))*100</f>
        <v>0</v>
      </c>
    </row>
    <row r="224" spans="1:22" s="34" customFormat="1" x14ac:dyDescent="0.25">
      <c r="A224" s="11" t="s">
        <v>91</v>
      </c>
      <c r="B224" s="12" t="s">
        <v>792</v>
      </c>
      <c r="C224" s="11">
        <v>200</v>
      </c>
      <c r="D224" s="24">
        <v>0.1</v>
      </c>
      <c r="E224" s="11">
        <v>10</v>
      </c>
      <c r="F224" s="12" t="s">
        <v>21</v>
      </c>
      <c r="G224" s="12" t="s">
        <v>16</v>
      </c>
      <c r="H224" s="140">
        <v>2523</v>
      </c>
      <c r="I224" s="140">
        <v>0.46900000004097803</v>
      </c>
      <c r="J224" s="147">
        <v>0</v>
      </c>
      <c r="K224" s="151">
        <v>2465</v>
      </c>
      <c r="L224" s="153">
        <v>9</v>
      </c>
      <c r="M224" s="153">
        <v>7</v>
      </c>
      <c r="N224" s="145">
        <f>(((Tabela136[[#This Row],[Objetive value Similarity]]-Tabela136[[#This Row],[Objetive value Similarity/GATeS]])/Tabela136[[#This Row],[Objetive value Similarity]]))*100</f>
        <v>2.2988505747126435</v>
      </c>
      <c r="O224" s="23">
        <v>2510</v>
      </c>
      <c r="P224" s="53">
        <v>0.37</v>
      </c>
      <c r="Q224" s="53">
        <v>0</v>
      </c>
      <c r="R224" s="55">
        <f>(((Tabela136[[#This Row],[Objetive value Similarity]]-Tabela136[[#This Row],[Objetive value Similarity/H-R1    ]])/Tabela136[[#This Row],[Objetive value Similarity]]))*100</f>
        <v>0.51525961157352362</v>
      </c>
      <c r="S224" s="96">
        <v>2464</v>
      </c>
      <c r="T224" s="21">
        <v>0.45</v>
      </c>
      <c r="U224" s="21">
        <v>0</v>
      </c>
      <c r="V224" s="144">
        <f>(((Tabela136[[#This Row],[Objetive value Similarity]]-Tabela136[[#This Row],[Objetive value Similarity/H-R2]])/Tabela136[[#This Row],[Objetive value Similarity]]))*100</f>
        <v>2.3384859294490687</v>
      </c>
    </row>
    <row r="225" spans="1:22" s="34" customFormat="1" x14ac:dyDescent="0.25">
      <c r="A225" s="11" t="s">
        <v>110</v>
      </c>
      <c r="B225" s="30" t="s">
        <v>805</v>
      </c>
      <c r="C225" s="11">
        <v>200</v>
      </c>
      <c r="D225" s="24">
        <v>0.1</v>
      </c>
      <c r="E225" s="11">
        <v>15</v>
      </c>
      <c r="F225" s="12" t="s">
        <v>13</v>
      </c>
      <c r="G225" s="12" t="s">
        <v>14</v>
      </c>
      <c r="H225" s="140">
        <v>5506</v>
      </c>
      <c r="I225" s="140">
        <v>1.1870000000344501</v>
      </c>
      <c r="J225" s="147">
        <v>24.25</v>
      </c>
      <c r="K225" s="151">
        <v>5343</v>
      </c>
      <c r="L225" s="153">
        <v>228</v>
      </c>
      <c r="M225" s="153">
        <v>116</v>
      </c>
      <c r="N225" s="145">
        <f>(((Tabela136[[#This Row],[Objetive value Similarity]]-Tabela136[[#This Row],[Objetive value Similarity/GATeS]])/Tabela136[[#This Row],[Objetive value Similarity]]))*100</f>
        <v>2.960406828913912</v>
      </c>
      <c r="O225" s="23">
        <v>5258</v>
      </c>
      <c r="P225" s="53">
        <v>0.59</v>
      </c>
      <c r="Q225" s="53">
        <v>0</v>
      </c>
      <c r="R225" s="55">
        <f>(((Tabela136[[#This Row],[Objetive value Similarity]]-Tabela136[[#This Row],[Objetive value Similarity/H-R1    ]])/Tabela136[[#This Row],[Objetive value Similarity]]))*100</f>
        <v>4.5041772611696329</v>
      </c>
      <c r="S225" s="96">
        <v>5030</v>
      </c>
      <c r="T225" s="21">
        <v>0.5</v>
      </c>
      <c r="U225" s="21">
        <v>0</v>
      </c>
      <c r="V225" s="144">
        <f>(((Tabela136[[#This Row],[Objetive value Similarity]]-Tabela136[[#This Row],[Objetive value Similarity/H-R2]])/Tabela136[[#This Row],[Objetive value Similarity]]))*100</f>
        <v>8.6451144206320372</v>
      </c>
    </row>
    <row r="226" spans="1:22" s="34" customFormat="1" x14ac:dyDescent="0.25">
      <c r="A226" s="11" t="s">
        <v>110</v>
      </c>
      <c r="B226" s="12" t="s">
        <v>806</v>
      </c>
      <c r="C226" s="11">
        <v>200</v>
      </c>
      <c r="D226" s="24">
        <v>0.1</v>
      </c>
      <c r="E226" s="11">
        <v>15</v>
      </c>
      <c r="F226" s="12" t="s">
        <v>13</v>
      </c>
      <c r="G226" s="12" t="s">
        <v>16</v>
      </c>
      <c r="H226" s="140">
        <v>3330.99999999999</v>
      </c>
      <c r="I226" s="140">
        <v>6.5619999999180401</v>
      </c>
      <c r="J226" s="147">
        <v>0.24</v>
      </c>
      <c r="K226" s="151">
        <v>3300</v>
      </c>
      <c r="L226" s="153">
        <v>18</v>
      </c>
      <c r="M226" s="153">
        <v>8</v>
      </c>
      <c r="N226" s="145">
        <f>(((Tabela136[[#This Row],[Objetive value Similarity]]-Tabela136[[#This Row],[Objetive value Similarity/GATeS]])/Tabela136[[#This Row],[Objetive value Similarity]]))*100</f>
        <v>0.93065145601891586</v>
      </c>
      <c r="O226" s="23">
        <v>3260</v>
      </c>
      <c r="P226" s="53">
        <v>0.54</v>
      </c>
      <c r="Q226" s="53">
        <v>0</v>
      </c>
      <c r="R226" s="55">
        <f>(((Tabela136[[#This Row],[Objetive value Similarity]]-Tabela136[[#This Row],[Objetive value Similarity/H-R1    ]])/Tabela136[[#This Row],[Objetive value Similarity]]))*100</f>
        <v>2.1314920444308076</v>
      </c>
      <c r="S226" s="96">
        <v>3259</v>
      </c>
      <c r="T226" s="21">
        <v>0.68</v>
      </c>
      <c r="U226" s="21">
        <v>0</v>
      </c>
      <c r="V226" s="144">
        <f>(((Tabela136[[#This Row],[Objetive value Similarity]]-Tabela136[[#This Row],[Objetive value Similarity/H-R2]])/Tabela136[[#This Row],[Objetive value Similarity]]))*100</f>
        <v>2.1615130591411051</v>
      </c>
    </row>
    <row r="227" spans="1:22" s="34" customFormat="1" x14ac:dyDescent="0.25">
      <c r="A227" s="11" t="s">
        <v>110</v>
      </c>
      <c r="B227" s="12" t="s">
        <v>807</v>
      </c>
      <c r="C227" s="11">
        <v>200</v>
      </c>
      <c r="D227" s="24">
        <v>0.1</v>
      </c>
      <c r="E227" s="11">
        <v>15</v>
      </c>
      <c r="F227" s="11" t="s">
        <v>18</v>
      </c>
      <c r="G227" s="12" t="s">
        <v>14</v>
      </c>
      <c r="H227" s="140">
        <v>5174</v>
      </c>
      <c r="I227" s="140">
        <v>1.54700000002048</v>
      </c>
      <c r="J227" s="147">
        <v>18.510000000000002</v>
      </c>
      <c r="K227" s="151">
        <v>5046</v>
      </c>
      <c r="L227" s="153">
        <v>9</v>
      </c>
      <c r="M227" s="153">
        <v>6</v>
      </c>
      <c r="N227" s="145">
        <f>(((Tabela136[[#This Row],[Objetive value Similarity]]-Tabela136[[#This Row],[Objetive value Similarity/GATeS]])/Tabela136[[#This Row],[Objetive value Similarity]]))*100</f>
        <v>2.4739080015461923</v>
      </c>
      <c r="O227" s="23">
        <v>4884</v>
      </c>
      <c r="P227" s="53">
        <v>0.42</v>
      </c>
      <c r="Q227" s="53">
        <v>0</v>
      </c>
      <c r="R227" s="55">
        <f>(((Tabela136[[#This Row],[Objetive value Similarity]]-Tabela136[[#This Row],[Objetive value Similarity/H-R1    ]])/Tabela136[[#This Row],[Objetive value Similarity]]))*100</f>
        <v>5.6049478160030928</v>
      </c>
      <c r="S227" s="96">
        <v>4492</v>
      </c>
      <c r="T227" s="21">
        <v>0.43</v>
      </c>
      <c r="U227" s="21">
        <v>0</v>
      </c>
      <c r="V227" s="144">
        <f>(((Tabela136[[#This Row],[Objetive value Similarity]]-Tabela136[[#This Row],[Objetive value Similarity/H-R2]])/Tabela136[[#This Row],[Objetive value Similarity]]))*100</f>
        <v>13.181291070738308</v>
      </c>
    </row>
    <row r="228" spans="1:22" s="34" customFormat="1" x14ac:dyDescent="0.25">
      <c r="A228" s="11" t="s">
        <v>110</v>
      </c>
      <c r="B228" s="12" t="s">
        <v>808</v>
      </c>
      <c r="C228" s="11">
        <v>200</v>
      </c>
      <c r="D228" s="24">
        <v>0.1</v>
      </c>
      <c r="E228" s="11">
        <v>15</v>
      </c>
      <c r="F228" s="11" t="s">
        <v>18</v>
      </c>
      <c r="G228" s="12" t="s">
        <v>16</v>
      </c>
      <c r="H228" s="140">
        <v>3602</v>
      </c>
      <c r="I228" s="140">
        <v>7.2349999999860302</v>
      </c>
      <c r="J228" s="147">
        <v>0.03</v>
      </c>
      <c r="K228" s="151">
        <v>3569</v>
      </c>
      <c r="L228" s="153">
        <v>17</v>
      </c>
      <c r="M228" s="153">
        <v>7</v>
      </c>
      <c r="N228" s="145">
        <f>(((Tabela136[[#This Row],[Objetive value Similarity]]-Tabela136[[#This Row],[Objetive value Similarity/GATeS]])/Tabela136[[#This Row],[Objetive value Similarity]]))*100</f>
        <v>0.91615769017212667</v>
      </c>
      <c r="O228" s="23">
        <v>3568</v>
      </c>
      <c r="P228" s="53">
        <v>0.56000000000000005</v>
      </c>
      <c r="Q228" s="53">
        <v>0</v>
      </c>
      <c r="R228" s="55">
        <f>(((Tabela136[[#This Row],[Objetive value Similarity]]-Tabela136[[#This Row],[Objetive value Similarity/H-R1    ]])/Tabela136[[#This Row],[Objetive value Similarity]]))*100</f>
        <v>0.94392004441976685</v>
      </c>
      <c r="S228" s="96">
        <v>3565</v>
      </c>
      <c r="T228" s="21">
        <v>0.6</v>
      </c>
      <c r="U228" s="21">
        <v>0</v>
      </c>
      <c r="V228" s="144">
        <f>(((Tabela136[[#This Row],[Objetive value Similarity]]-Tabela136[[#This Row],[Objetive value Similarity/H-R2]])/Tabela136[[#This Row],[Objetive value Similarity]]))*100</f>
        <v>1.0272071071626874</v>
      </c>
    </row>
    <row r="229" spans="1:22" s="34" customFormat="1" x14ac:dyDescent="0.25">
      <c r="A229" s="11" t="s">
        <v>110</v>
      </c>
      <c r="B229" s="12" t="s">
        <v>809</v>
      </c>
      <c r="C229" s="11">
        <v>200</v>
      </c>
      <c r="D229" s="24">
        <v>0.1</v>
      </c>
      <c r="E229" s="11">
        <v>15</v>
      </c>
      <c r="F229" s="12" t="s">
        <v>21</v>
      </c>
      <c r="G229" s="12" t="s">
        <v>14</v>
      </c>
      <c r="H229" s="140">
        <v>4901</v>
      </c>
      <c r="I229" s="140">
        <v>0.34400000004097803</v>
      </c>
      <c r="J229" s="147">
        <v>0</v>
      </c>
      <c r="K229" s="151">
        <v>4852</v>
      </c>
      <c r="L229" s="153">
        <v>118</v>
      </c>
      <c r="M229" s="153">
        <v>2</v>
      </c>
      <c r="N229" s="145">
        <f>(((Tabela136[[#This Row],[Objetive value Similarity]]-Tabela136[[#This Row],[Objetive value Similarity/GATeS]])/Tabela136[[#This Row],[Objetive value Similarity]]))*100</f>
        <v>0.99979596000816151</v>
      </c>
      <c r="O229" s="23">
        <v>4901</v>
      </c>
      <c r="P229" s="53">
        <v>1.31</v>
      </c>
      <c r="Q229" s="53">
        <v>0</v>
      </c>
      <c r="R229" s="55">
        <f>(((Tabela136[[#This Row],[Objetive value Similarity]]-Tabela136[[#This Row],[Objetive value Similarity/H-R1    ]])/Tabela136[[#This Row],[Objetive value Similarity]]))*100</f>
        <v>0</v>
      </c>
      <c r="S229" s="96">
        <v>4441</v>
      </c>
      <c r="T229" s="21">
        <v>1.87</v>
      </c>
      <c r="U229" s="21">
        <v>0</v>
      </c>
      <c r="V229" s="144">
        <f>(((Tabela136[[#This Row],[Objetive value Similarity]]-Tabela136[[#This Row],[Objetive value Similarity/H-R2]])/Tabela136[[#This Row],[Objetive value Similarity]]))*100</f>
        <v>9.3858396245664153</v>
      </c>
    </row>
    <row r="230" spans="1:22" s="34" customFormat="1" x14ac:dyDescent="0.25">
      <c r="A230" s="11" t="s">
        <v>110</v>
      </c>
      <c r="B230" s="12" t="s">
        <v>810</v>
      </c>
      <c r="C230" s="11">
        <v>200</v>
      </c>
      <c r="D230" s="24">
        <v>0.1</v>
      </c>
      <c r="E230" s="11">
        <v>15</v>
      </c>
      <c r="F230" s="12" t="s">
        <v>21</v>
      </c>
      <c r="G230" s="12" t="s">
        <v>16</v>
      </c>
      <c r="H230" s="140">
        <v>3159</v>
      </c>
      <c r="I230" s="140">
        <v>5.20299999997951</v>
      </c>
      <c r="J230" s="147">
        <v>0</v>
      </c>
      <c r="K230" s="151">
        <v>3010</v>
      </c>
      <c r="L230" s="153">
        <v>120</v>
      </c>
      <c r="M230" s="153">
        <v>9</v>
      </c>
      <c r="N230" s="145">
        <f>(((Tabela136[[#This Row],[Objetive value Similarity]]-Tabela136[[#This Row],[Objetive value Similarity/GATeS]])/Tabela136[[#This Row],[Objetive value Similarity]]))*100</f>
        <v>4.7166824944602723</v>
      </c>
      <c r="O230" s="23">
        <v>3107</v>
      </c>
      <c r="P230" s="53">
        <v>0.56000000000000005</v>
      </c>
      <c r="Q230" s="53">
        <v>0</v>
      </c>
      <c r="R230" s="55">
        <f>(((Tabela136[[#This Row],[Objetive value Similarity]]-Tabela136[[#This Row],[Objetive value Similarity/H-R1    ]])/Tabela136[[#This Row],[Objetive value Similarity]]))*100</f>
        <v>1.6460905349794239</v>
      </c>
      <c r="S230" s="96">
        <v>3060</v>
      </c>
      <c r="T230" s="21">
        <v>0.7</v>
      </c>
      <c r="U230" s="21">
        <v>0</v>
      </c>
      <c r="V230" s="144">
        <f>(((Tabela136[[#This Row],[Objetive value Similarity]]-Tabela136[[#This Row],[Objetive value Similarity/H-R2]])/Tabela136[[#This Row],[Objetive value Similarity]]))*100</f>
        <v>3.133903133903134</v>
      </c>
    </row>
    <row r="231" spans="1:22" s="34" customFormat="1" x14ac:dyDescent="0.25">
      <c r="A231" s="11" t="s">
        <v>73</v>
      </c>
      <c r="B231" s="30" t="s">
        <v>769</v>
      </c>
      <c r="C231" s="11">
        <v>200</v>
      </c>
      <c r="D231" s="24">
        <v>0.1</v>
      </c>
      <c r="E231" s="11">
        <v>5</v>
      </c>
      <c r="F231" s="12" t="s">
        <v>13</v>
      </c>
      <c r="G231" s="12" t="s">
        <v>14</v>
      </c>
      <c r="H231" s="140">
        <v>1901</v>
      </c>
      <c r="I231" s="140">
        <v>0.109000000054948</v>
      </c>
      <c r="J231" s="147">
        <v>0</v>
      </c>
      <c r="K231" s="151">
        <v>1893</v>
      </c>
      <c r="L231" s="153">
        <v>4</v>
      </c>
      <c r="M231" s="153">
        <v>3</v>
      </c>
      <c r="N231" s="145">
        <f>(((Tabela136[[#This Row],[Objetive value Similarity]]-Tabela136[[#This Row],[Objetive value Similarity/GATeS]])/Tabela136[[#This Row],[Objetive value Similarity]]))*100</f>
        <v>0.42083114150447132</v>
      </c>
      <c r="O231" s="23">
        <v>1901</v>
      </c>
      <c r="P231" s="53">
        <v>0.33</v>
      </c>
      <c r="Q231" s="53">
        <v>0</v>
      </c>
      <c r="R231" s="55">
        <f>(((Tabela136[[#This Row],[Objetive value Similarity]]-Tabela136[[#This Row],[Objetive value Similarity/H-R1    ]])/Tabela136[[#This Row],[Objetive value Similarity]]))*100</f>
        <v>0</v>
      </c>
      <c r="S231" s="96">
        <v>1658</v>
      </c>
      <c r="T231" s="21">
        <v>0.3</v>
      </c>
      <c r="U231" s="21">
        <v>0</v>
      </c>
      <c r="V231" s="144">
        <f>(((Tabela136[[#This Row],[Objetive value Similarity]]-Tabela136[[#This Row],[Objetive value Similarity/H-R2]])/Tabela136[[#This Row],[Objetive value Similarity]]))*100</f>
        <v>12.782745923198316</v>
      </c>
    </row>
    <row r="232" spans="1:22" s="34" customFormat="1" x14ac:dyDescent="0.25">
      <c r="A232" s="11" t="s">
        <v>73</v>
      </c>
      <c r="B232" s="30" t="s">
        <v>770</v>
      </c>
      <c r="C232" s="11">
        <v>200</v>
      </c>
      <c r="D232" s="24">
        <v>0.1</v>
      </c>
      <c r="E232" s="11">
        <v>5</v>
      </c>
      <c r="F232" s="12" t="s">
        <v>13</v>
      </c>
      <c r="G232" s="12" t="s">
        <v>16</v>
      </c>
      <c r="H232" s="140">
        <v>1365</v>
      </c>
      <c r="I232" s="140">
        <v>0.125</v>
      </c>
      <c r="J232" s="147">
        <v>0</v>
      </c>
      <c r="K232" s="151">
        <v>1157</v>
      </c>
      <c r="L232" s="153">
        <v>3</v>
      </c>
      <c r="M232" s="153">
        <v>1</v>
      </c>
      <c r="N232" s="145">
        <f>(((Tabela136[[#This Row],[Objetive value Similarity]]-Tabela136[[#This Row],[Objetive value Similarity/GATeS]])/Tabela136[[#This Row],[Objetive value Similarity]]))*100</f>
        <v>15.238095238095239</v>
      </c>
      <c r="O232" s="23">
        <v>1365</v>
      </c>
      <c r="P232" s="53">
        <v>0.24</v>
      </c>
      <c r="Q232" s="53">
        <v>0</v>
      </c>
      <c r="R232" s="55">
        <f>(((Tabela136[[#This Row],[Objetive value Similarity]]-Tabela136[[#This Row],[Objetive value Similarity/H-R1    ]])/Tabela136[[#This Row],[Objetive value Similarity]]))*100</f>
        <v>0</v>
      </c>
      <c r="S232" s="96">
        <v>1164</v>
      </c>
      <c r="T232" s="21">
        <v>0.3</v>
      </c>
      <c r="U232" s="21">
        <v>0</v>
      </c>
      <c r="V232" s="144">
        <f>(((Tabela136[[#This Row],[Objetive value Similarity]]-Tabela136[[#This Row],[Objetive value Similarity/H-R2]])/Tabela136[[#This Row],[Objetive value Similarity]]))*100</f>
        <v>14.725274725274726</v>
      </c>
    </row>
    <row r="233" spans="1:22" s="34" customFormat="1" x14ac:dyDescent="0.25">
      <c r="A233" s="11" t="s">
        <v>73</v>
      </c>
      <c r="B233" s="30" t="s">
        <v>771</v>
      </c>
      <c r="C233" s="11">
        <v>200</v>
      </c>
      <c r="D233" s="24">
        <v>0.1</v>
      </c>
      <c r="E233" s="11">
        <v>5</v>
      </c>
      <c r="F233" s="11" t="s">
        <v>18</v>
      </c>
      <c r="G233" s="12" t="s">
        <v>14</v>
      </c>
      <c r="H233" s="140">
        <v>2324</v>
      </c>
      <c r="I233" s="140">
        <v>0.109000000054948</v>
      </c>
      <c r="J233" s="147">
        <v>0</v>
      </c>
      <c r="K233" s="151">
        <v>2318</v>
      </c>
      <c r="L233" s="153">
        <v>5</v>
      </c>
      <c r="M233" s="153">
        <v>1</v>
      </c>
      <c r="N233" s="145">
        <f>(((Tabela136[[#This Row],[Objetive value Similarity]]-Tabela136[[#This Row],[Objetive value Similarity/GATeS]])/Tabela136[[#This Row],[Objetive value Similarity]]))*100</f>
        <v>0.25817555938037867</v>
      </c>
      <c r="O233" s="23">
        <v>2191</v>
      </c>
      <c r="P233" s="53">
        <v>0.28999999999999998</v>
      </c>
      <c r="Q233" s="53">
        <v>0</v>
      </c>
      <c r="R233" s="55">
        <f>(((Tabela136[[#This Row],[Objetive value Similarity]]-Tabela136[[#This Row],[Objetive value Similarity/H-R1    ]])/Tabela136[[#This Row],[Objetive value Similarity]]))*100</f>
        <v>5.7228915662650603</v>
      </c>
      <c r="S233" s="96">
        <v>2324</v>
      </c>
      <c r="T233" s="21">
        <v>0.38</v>
      </c>
      <c r="U233" s="21">
        <v>0</v>
      </c>
      <c r="V233" s="144">
        <f>(((Tabela136[[#This Row],[Objetive value Similarity]]-Tabela136[[#This Row],[Objetive value Similarity/H-R2]])/Tabela136[[#This Row],[Objetive value Similarity]]))*100</f>
        <v>0</v>
      </c>
    </row>
    <row r="234" spans="1:22" s="34" customFormat="1" x14ac:dyDescent="0.25">
      <c r="A234" s="11" t="s">
        <v>73</v>
      </c>
      <c r="B234" s="30" t="s">
        <v>772</v>
      </c>
      <c r="C234" s="11">
        <v>200</v>
      </c>
      <c r="D234" s="24">
        <v>0.1</v>
      </c>
      <c r="E234" s="11">
        <v>5</v>
      </c>
      <c r="F234" s="11" t="s">
        <v>18</v>
      </c>
      <c r="G234" s="12" t="s">
        <v>16</v>
      </c>
      <c r="H234" s="140">
        <v>1445</v>
      </c>
      <c r="I234" s="140">
        <v>0.15600000007543699</v>
      </c>
      <c r="J234" s="147">
        <v>0</v>
      </c>
      <c r="K234" s="151">
        <v>1445</v>
      </c>
      <c r="L234" s="153">
        <v>3</v>
      </c>
      <c r="M234" s="153">
        <v>0</v>
      </c>
      <c r="N234" s="145">
        <f>(((Tabela136[[#This Row],[Objetive value Similarity]]-Tabela136[[#This Row],[Objetive value Similarity/GATeS]])/Tabela136[[#This Row],[Objetive value Similarity]]))*100</f>
        <v>0</v>
      </c>
      <c r="O234" s="23">
        <v>1445</v>
      </c>
      <c r="P234" s="53">
        <v>0.26</v>
      </c>
      <c r="Q234" s="53">
        <v>0</v>
      </c>
      <c r="R234" s="55">
        <f>(((Tabela136[[#This Row],[Objetive value Similarity]]-Tabela136[[#This Row],[Objetive value Similarity/H-R1    ]])/Tabela136[[#This Row],[Objetive value Similarity]]))*100</f>
        <v>0</v>
      </c>
      <c r="S234" s="96">
        <v>1445</v>
      </c>
      <c r="T234" s="21">
        <v>0.28999999999999998</v>
      </c>
      <c r="U234" s="21">
        <v>0</v>
      </c>
      <c r="V234" s="144">
        <f>(((Tabela136[[#This Row],[Objetive value Similarity]]-Tabela136[[#This Row],[Objetive value Similarity/H-R2]])/Tabela136[[#This Row],[Objetive value Similarity]]))*100</f>
        <v>0</v>
      </c>
    </row>
    <row r="235" spans="1:22" s="34" customFormat="1" x14ac:dyDescent="0.25">
      <c r="A235" s="11" t="s">
        <v>73</v>
      </c>
      <c r="B235" s="30" t="s">
        <v>773</v>
      </c>
      <c r="C235" s="11">
        <v>200</v>
      </c>
      <c r="D235" s="24">
        <v>0.1</v>
      </c>
      <c r="E235" s="11">
        <v>5</v>
      </c>
      <c r="F235" s="12" t="s">
        <v>21</v>
      </c>
      <c r="G235" s="12" t="s">
        <v>14</v>
      </c>
      <c r="H235" s="140">
        <v>490</v>
      </c>
      <c r="I235" s="140">
        <v>0.171999999904073</v>
      </c>
      <c r="J235" s="147">
        <v>0</v>
      </c>
      <c r="K235" s="151">
        <v>490</v>
      </c>
      <c r="L235" s="153">
        <v>0</v>
      </c>
      <c r="M235" s="153">
        <v>0</v>
      </c>
      <c r="N235" s="145">
        <f>(((Tabela136[[#This Row],[Objetive value Similarity]]-Tabela136[[#This Row],[Objetive value Similarity/GATeS]])/Tabela136[[#This Row],[Objetive value Similarity]]))*100</f>
        <v>0</v>
      </c>
      <c r="O235" s="80"/>
      <c r="P235" s="79"/>
      <c r="Q235" s="79"/>
      <c r="R235" s="81">
        <v>100</v>
      </c>
      <c r="S235" s="96">
        <v>464</v>
      </c>
      <c r="T235" s="21">
        <v>0.73</v>
      </c>
      <c r="U235" s="21">
        <v>0</v>
      </c>
      <c r="V235" s="144">
        <f>(((Tabela136[[#This Row],[Objetive value Similarity]]-Tabela136[[#This Row],[Objetive value Similarity/H-R2]])/Tabela136[[#This Row],[Objetive value Similarity]]))*100</f>
        <v>5.3061224489795915</v>
      </c>
    </row>
    <row r="236" spans="1:22" s="34" customFormat="1" x14ac:dyDescent="0.25">
      <c r="A236" s="11" t="s">
        <v>73</v>
      </c>
      <c r="B236" s="30" t="s">
        <v>774</v>
      </c>
      <c r="C236" s="11">
        <v>200</v>
      </c>
      <c r="D236" s="24">
        <v>0.1</v>
      </c>
      <c r="E236" s="11">
        <v>5</v>
      </c>
      <c r="F236" s="12" t="s">
        <v>21</v>
      </c>
      <c r="G236" s="12" t="s">
        <v>16</v>
      </c>
      <c r="H236" s="140">
        <v>1152</v>
      </c>
      <c r="I236" s="140">
        <v>0.155999999959021</v>
      </c>
      <c r="J236" s="147">
        <v>0</v>
      </c>
      <c r="K236" s="151">
        <v>1151</v>
      </c>
      <c r="L236" s="153">
        <v>5</v>
      </c>
      <c r="M236" s="153">
        <v>4</v>
      </c>
      <c r="N236" s="145">
        <f>(((Tabela136[[#This Row],[Objetive value Similarity]]-Tabela136[[#This Row],[Objetive value Similarity/GATeS]])/Tabela136[[#This Row],[Objetive value Similarity]]))*100</f>
        <v>8.6805555555555552E-2</v>
      </c>
      <c r="O236" s="23">
        <v>927</v>
      </c>
      <c r="P236" s="53">
        <v>0.25</v>
      </c>
      <c r="Q236" s="53">
        <v>0</v>
      </c>
      <c r="R236" s="55">
        <f>(((Tabela136[[#This Row],[Objetive value Similarity]]-Tabela136[[#This Row],[Objetive value Similarity/H-R1    ]])/Tabela136[[#This Row],[Objetive value Similarity]]))*100</f>
        <v>19.53125</v>
      </c>
      <c r="S236" s="96">
        <v>1152</v>
      </c>
      <c r="T236" s="21">
        <v>0.51</v>
      </c>
      <c r="U236" s="21">
        <v>0</v>
      </c>
      <c r="V236" s="144">
        <f>(((Tabela136[[#This Row],[Objetive value Similarity]]-Tabela136[[#This Row],[Objetive value Similarity/H-R2]])/Tabela136[[#This Row],[Objetive value Similarity]]))*100</f>
        <v>0</v>
      </c>
    </row>
    <row r="237" spans="1:22" s="34" customFormat="1" x14ac:dyDescent="0.25">
      <c r="A237" s="11" t="s">
        <v>91</v>
      </c>
      <c r="B237" s="30" t="s">
        <v>793</v>
      </c>
      <c r="C237" s="11">
        <v>200</v>
      </c>
      <c r="D237" s="11">
        <v>0.15</v>
      </c>
      <c r="E237" s="11">
        <v>10</v>
      </c>
      <c r="F237" s="12" t="s">
        <v>13</v>
      </c>
      <c r="G237" s="12" t="s">
        <v>14</v>
      </c>
      <c r="H237" s="140">
        <v>4020</v>
      </c>
      <c r="I237" s="140">
        <v>0.28100000007543702</v>
      </c>
      <c r="J237" s="147">
        <v>0</v>
      </c>
      <c r="K237" s="151">
        <v>3877</v>
      </c>
      <c r="L237" s="153">
        <v>10</v>
      </c>
      <c r="M237" s="153">
        <v>3</v>
      </c>
      <c r="N237" s="145">
        <f>(((Tabela136[[#This Row],[Objetive value Similarity]]-Tabela136[[#This Row],[Objetive value Similarity/GATeS]])/Tabela136[[#This Row],[Objetive value Similarity]]))*100</f>
        <v>3.5572139303482588</v>
      </c>
      <c r="O237" s="23">
        <v>3889</v>
      </c>
      <c r="P237" s="53">
        <v>0.38</v>
      </c>
      <c r="Q237" s="53">
        <v>0</v>
      </c>
      <c r="R237" s="55">
        <f>(((Tabela136[[#This Row],[Objetive value Similarity]]-Tabela136[[#This Row],[Objetive value Similarity/H-R1    ]])/Tabela136[[#This Row],[Objetive value Similarity]]))*100</f>
        <v>3.2587064676616913</v>
      </c>
      <c r="S237" s="96">
        <v>3889</v>
      </c>
      <c r="T237" s="21">
        <v>0.35</v>
      </c>
      <c r="U237" s="21">
        <v>0</v>
      </c>
      <c r="V237" s="144">
        <f>(((Tabela136[[#This Row],[Objetive value Similarity]]-Tabela136[[#This Row],[Objetive value Similarity/H-R2]])/Tabela136[[#This Row],[Objetive value Similarity]]))*100</f>
        <v>3.2587064676616913</v>
      </c>
    </row>
    <row r="238" spans="1:22" s="34" customFormat="1" x14ac:dyDescent="0.25">
      <c r="A238" s="11" t="s">
        <v>91</v>
      </c>
      <c r="B238" s="12" t="s">
        <v>794</v>
      </c>
      <c r="C238" s="11">
        <v>200</v>
      </c>
      <c r="D238" s="11">
        <v>0.15</v>
      </c>
      <c r="E238" s="11">
        <v>10</v>
      </c>
      <c r="F238" s="12" t="s">
        <v>13</v>
      </c>
      <c r="G238" s="12" t="s">
        <v>16</v>
      </c>
      <c r="H238" s="140">
        <v>2459</v>
      </c>
      <c r="I238" s="140">
        <v>0.85899999993853204</v>
      </c>
      <c r="J238" s="147">
        <v>0</v>
      </c>
      <c r="K238" s="151">
        <v>2419</v>
      </c>
      <c r="L238" s="153">
        <v>11</v>
      </c>
      <c r="M238" s="153">
        <v>11</v>
      </c>
      <c r="N238" s="145">
        <f>(((Tabela136[[#This Row],[Objetive value Similarity]]-Tabela136[[#This Row],[Objetive value Similarity/GATeS]])/Tabela136[[#This Row],[Objetive value Similarity]]))*100</f>
        <v>1.6266775111834078</v>
      </c>
      <c r="O238" s="23">
        <v>2440</v>
      </c>
      <c r="P238" s="53">
        <v>0.35</v>
      </c>
      <c r="Q238" s="53">
        <v>0</v>
      </c>
      <c r="R238" s="55">
        <f>(((Tabela136[[#This Row],[Objetive value Similarity]]-Tabela136[[#This Row],[Objetive value Similarity/H-R1    ]])/Tabela136[[#This Row],[Objetive value Similarity]]))*100</f>
        <v>0.7726718178121188</v>
      </c>
      <c r="S238" s="96">
        <v>2281</v>
      </c>
      <c r="T238" s="21">
        <v>0.34</v>
      </c>
      <c r="U238" s="21">
        <v>0</v>
      </c>
      <c r="V238" s="144">
        <f>(((Tabela136[[#This Row],[Objetive value Similarity]]-Tabela136[[#This Row],[Objetive value Similarity/H-R2]])/Tabela136[[#This Row],[Objetive value Similarity]]))*100</f>
        <v>7.2387149247661657</v>
      </c>
    </row>
    <row r="239" spans="1:22" s="34" customFormat="1" x14ac:dyDescent="0.25">
      <c r="A239" s="11" t="s">
        <v>91</v>
      </c>
      <c r="B239" s="12" t="s">
        <v>795</v>
      </c>
      <c r="C239" s="11">
        <v>200</v>
      </c>
      <c r="D239" s="11">
        <v>0.15</v>
      </c>
      <c r="E239" s="11">
        <v>10</v>
      </c>
      <c r="F239" s="12" t="s">
        <v>18</v>
      </c>
      <c r="G239" s="12" t="s">
        <v>14</v>
      </c>
      <c r="H239" s="140">
        <v>4233</v>
      </c>
      <c r="I239" s="140">
        <v>0.18700000003445799</v>
      </c>
      <c r="J239" s="147">
        <v>0</v>
      </c>
      <c r="K239" s="151">
        <v>4136</v>
      </c>
      <c r="L239" s="153">
        <v>6</v>
      </c>
      <c r="M239" s="153">
        <v>3</v>
      </c>
      <c r="N239" s="145">
        <f>(((Tabela136[[#This Row],[Objetive value Similarity]]-Tabela136[[#This Row],[Objetive value Similarity/GATeS]])/Tabela136[[#This Row],[Objetive value Similarity]]))*100</f>
        <v>2.2915190172454523</v>
      </c>
      <c r="O239" s="23">
        <v>4139</v>
      </c>
      <c r="P239" s="53">
        <v>0.3</v>
      </c>
      <c r="Q239" s="53">
        <v>0</v>
      </c>
      <c r="R239" s="55">
        <f>(((Tabela136[[#This Row],[Objetive value Similarity]]-Tabela136[[#This Row],[Objetive value Similarity/H-R1    ]])/Tabela136[[#This Row],[Objetive value Similarity]]))*100</f>
        <v>2.2206472950626033</v>
      </c>
      <c r="S239" s="96">
        <v>4102</v>
      </c>
      <c r="T239" s="21">
        <v>0.25</v>
      </c>
      <c r="U239" s="21">
        <v>0</v>
      </c>
      <c r="V239" s="144">
        <f>(((Tabela136[[#This Row],[Objetive value Similarity]]-Tabela136[[#This Row],[Objetive value Similarity/H-R2]])/Tabela136[[#This Row],[Objetive value Similarity]]))*100</f>
        <v>3.094731868651075</v>
      </c>
    </row>
    <row r="240" spans="1:22" s="34" customFormat="1" x14ac:dyDescent="0.25">
      <c r="A240" s="11" t="s">
        <v>91</v>
      </c>
      <c r="B240" s="12" t="s">
        <v>796</v>
      </c>
      <c r="C240" s="11">
        <v>200</v>
      </c>
      <c r="D240" s="11">
        <v>0.15</v>
      </c>
      <c r="E240" s="11">
        <v>10</v>
      </c>
      <c r="F240" s="12" t="s">
        <v>18</v>
      </c>
      <c r="G240" s="12" t="s">
        <v>16</v>
      </c>
      <c r="H240" s="140">
        <v>2495</v>
      </c>
      <c r="I240" s="140">
        <v>0.65700000000651904</v>
      </c>
      <c r="J240" s="147">
        <v>0</v>
      </c>
      <c r="K240" s="151">
        <v>2492</v>
      </c>
      <c r="L240" s="153">
        <v>8</v>
      </c>
      <c r="M240" s="153">
        <v>2</v>
      </c>
      <c r="N240" s="145">
        <f>(((Tabela136[[#This Row],[Objetive value Similarity]]-Tabela136[[#This Row],[Objetive value Similarity/GATeS]])/Tabela136[[#This Row],[Objetive value Similarity]]))*100</f>
        <v>0.12024048096192384</v>
      </c>
      <c r="O240" s="23">
        <v>2457</v>
      </c>
      <c r="P240" s="53">
        <v>0.34</v>
      </c>
      <c r="Q240" s="53">
        <v>0</v>
      </c>
      <c r="R240" s="55">
        <f>(((Tabela136[[#This Row],[Objetive value Similarity]]-Tabela136[[#This Row],[Objetive value Similarity/H-R1    ]])/Tabela136[[#This Row],[Objetive value Similarity]]))*100</f>
        <v>1.5230460921843687</v>
      </c>
      <c r="S240" s="96">
        <v>2422</v>
      </c>
      <c r="T240" s="21">
        <v>0.39</v>
      </c>
      <c r="U240" s="21">
        <v>0</v>
      </c>
      <c r="V240" s="144">
        <f>(((Tabela136[[#This Row],[Objetive value Similarity]]-Tabela136[[#This Row],[Objetive value Similarity/H-R2]])/Tabela136[[#This Row],[Objetive value Similarity]]))*100</f>
        <v>2.9258517034068134</v>
      </c>
    </row>
    <row r="241" spans="1:22" s="34" customFormat="1" x14ac:dyDescent="0.25">
      <c r="A241" s="11" t="s">
        <v>91</v>
      </c>
      <c r="B241" s="12" t="s">
        <v>797</v>
      </c>
      <c r="C241" s="11">
        <v>200</v>
      </c>
      <c r="D241" s="11">
        <v>0.15</v>
      </c>
      <c r="E241" s="11">
        <v>10</v>
      </c>
      <c r="F241" s="12" t="s">
        <v>21</v>
      </c>
      <c r="G241" s="12" t="s">
        <v>14</v>
      </c>
      <c r="H241" s="140">
        <v>3442</v>
      </c>
      <c r="I241" s="140">
        <v>0.17200000002048901</v>
      </c>
      <c r="J241" s="147">
        <v>0</v>
      </c>
      <c r="K241" s="151">
        <v>3429</v>
      </c>
      <c r="L241" s="153">
        <v>116</v>
      </c>
      <c r="M241" s="153">
        <v>2</v>
      </c>
      <c r="N241" s="145">
        <f>(((Tabela136[[#This Row],[Objetive value Similarity]]-Tabela136[[#This Row],[Objetive value Similarity/GATeS]])/Tabela136[[#This Row],[Objetive value Similarity]]))*100</f>
        <v>0.37768739105171412</v>
      </c>
      <c r="O241" s="23">
        <v>3440</v>
      </c>
      <c r="P241" s="53">
        <v>0.77</v>
      </c>
      <c r="Q241" s="53">
        <v>0</v>
      </c>
      <c r="R241" s="55">
        <f>(((Tabela136[[#This Row],[Objetive value Similarity]]-Tabela136[[#This Row],[Objetive value Similarity/H-R1    ]])/Tabela136[[#This Row],[Objetive value Similarity]]))*100</f>
        <v>5.8105752469494475E-2</v>
      </c>
      <c r="S241" s="96">
        <v>3442</v>
      </c>
      <c r="T241" s="21">
        <v>0.73</v>
      </c>
      <c r="U241" s="21">
        <v>0</v>
      </c>
      <c r="V241" s="144">
        <f>(((Tabela136[[#This Row],[Objetive value Similarity]]-Tabela136[[#This Row],[Objetive value Similarity/H-R2]])/Tabela136[[#This Row],[Objetive value Similarity]]))*100</f>
        <v>0</v>
      </c>
    </row>
    <row r="242" spans="1:22" s="34" customFormat="1" x14ac:dyDescent="0.25">
      <c r="A242" s="11" t="s">
        <v>91</v>
      </c>
      <c r="B242" s="12" t="s">
        <v>798</v>
      </c>
      <c r="C242" s="11">
        <v>200</v>
      </c>
      <c r="D242" s="11">
        <v>0.15</v>
      </c>
      <c r="E242" s="11">
        <v>10</v>
      </c>
      <c r="F242" s="12" t="s">
        <v>21</v>
      </c>
      <c r="G242" s="12" t="s">
        <v>16</v>
      </c>
      <c r="H242" s="140">
        <v>2367</v>
      </c>
      <c r="I242" s="140">
        <v>0.48499999998602999</v>
      </c>
      <c r="J242" s="147">
        <v>0</v>
      </c>
      <c r="K242" s="151">
        <v>2312</v>
      </c>
      <c r="L242" s="153">
        <v>7</v>
      </c>
      <c r="M242" s="153">
        <v>7</v>
      </c>
      <c r="N242" s="145">
        <f>(((Tabela136[[#This Row],[Objetive value Similarity]]-Tabela136[[#This Row],[Objetive value Similarity/GATeS]])/Tabela136[[#This Row],[Objetive value Similarity]]))*100</f>
        <v>2.3236163920574571</v>
      </c>
      <c r="O242" s="23">
        <v>2336</v>
      </c>
      <c r="P242" s="53">
        <v>0.65</v>
      </c>
      <c r="Q242" s="53">
        <v>0</v>
      </c>
      <c r="R242" s="55">
        <f>(((Tabela136[[#This Row],[Objetive value Similarity]]-Tabela136[[#This Row],[Objetive value Similarity/H-R1    ]])/Tabela136[[#This Row],[Objetive value Similarity]]))*100</f>
        <v>1.309674693705112</v>
      </c>
      <c r="S242" s="96">
        <v>2367</v>
      </c>
      <c r="T242" s="21">
        <v>0.42</v>
      </c>
      <c r="U242" s="21">
        <v>0</v>
      </c>
      <c r="V242" s="144">
        <f>(((Tabela136[[#This Row],[Objetive value Similarity]]-Tabela136[[#This Row],[Objetive value Similarity/H-R2]])/Tabela136[[#This Row],[Objetive value Similarity]]))*100</f>
        <v>0</v>
      </c>
    </row>
    <row r="243" spans="1:22" s="34" customFormat="1" x14ac:dyDescent="0.25">
      <c r="A243" s="11" t="s">
        <v>110</v>
      </c>
      <c r="B243" s="30" t="s">
        <v>811</v>
      </c>
      <c r="C243" s="11">
        <v>200</v>
      </c>
      <c r="D243" s="11">
        <v>0.15</v>
      </c>
      <c r="E243" s="11">
        <v>15</v>
      </c>
      <c r="F243" s="12" t="s">
        <v>13</v>
      </c>
      <c r="G243" s="12" t="s">
        <v>14</v>
      </c>
      <c r="H243" s="140">
        <v>6370</v>
      </c>
      <c r="I243" s="140">
        <v>1.79700000002048</v>
      </c>
      <c r="J243" s="147">
        <v>0.02</v>
      </c>
      <c r="K243" s="151">
        <v>6156</v>
      </c>
      <c r="L243" s="153">
        <v>121</v>
      </c>
      <c r="M243" s="153">
        <v>4</v>
      </c>
      <c r="N243" s="145">
        <f>(((Tabela136[[#This Row],[Objetive value Similarity]]-Tabela136[[#This Row],[Objetive value Similarity/GATeS]])/Tabela136[[#This Row],[Objetive value Similarity]]))*100</f>
        <v>3.3594976452119307</v>
      </c>
      <c r="O243" s="23">
        <v>5905</v>
      </c>
      <c r="P243" s="53">
        <v>0.62</v>
      </c>
      <c r="Q243" s="53">
        <v>0</v>
      </c>
      <c r="R243" s="55">
        <f>(((Tabela136[[#This Row],[Objetive value Similarity]]-Tabela136[[#This Row],[Objetive value Similarity/H-R1    ]])/Tabela136[[#This Row],[Objetive value Similarity]]))*100</f>
        <v>7.2998430141287294</v>
      </c>
      <c r="S243" s="96">
        <v>5770</v>
      </c>
      <c r="T243" s="21">
        <v>0.49</v>
      </c>
      <c r="U243" s="21">
        <v>0</v>
      </c>
      <c r="V243" s="144">
        <f>(((Tabela136[[#This Row],[Objetive value Similarity]]-Tabela136[[#This Row],[Objetive value Similarity/H-R2]])/Tabela136[[#This Row],[Objetive value Similarity]]))*100</f>
        <v>9.4191522762951347</v>
      </c>
    </row>
    <row r="244" spans="1:22" s="34" customFormat="1" x14ac:dyDescent="0.25">
      <c r="A244" s="11" t="s">
        <v>110</v>
      </c>
      <c r="B244" s="12" t="s">
        <v>812</v>
      </c>
      <c r="C244" s="11">
        <v>200</v>
      </c>
      <c r="D244" s="11">
        <v>0.15</v>
      </c>
      <c r="E244" s="11">
        <v>15</v>
      </c>
      <c r="F244" s="12" t="s">
        <v>13</v>
      </c>
      <c r="G244" s="12" t="s">
        <v>16</v>
      </c>
      <c r="H244" s="140">
        <v>3568</v>
      </c>
      <c r="I244" s="140">
        <v>6.6879999999655402</v>
      </c>
      <c r="J244" s="147">
        <v>0.03</v>
      </c>
      <c r="K244" s="151">
        <v>3523</v>
      </c>
      <c r="L244" s="153">
        <v>14</v>
      </c>
      <c r="M244" s="153">
        <v>4</v>
      </c>
      <c r="N244" s="145">
        <f>(((Tabela136[[#This Row],[Objetive value Similarity]]-Tabela136[[#This Row],[Objetive value Similarity/GATeS]])/Tabela136[[#This Row],[Objetive value Similarity]]))*100</f>
        <v>1.2612107623318385</v>
      </c>
      <c r="O244" s="23">
        <v>3551</v>
      </c>
      <c r="P244" s="53">
        <v>0.63</v>
      </c>
      <c r="Q244" s="53">
        <v>0</v>
      </c>
      <c r="R244" s="55">
        <f>(((Tabela136[[#This Row],[Objetive value Similarity]]-Tabela136[[#This Row],[Objetive value Similarity/H-R1    ]])/Tabela136[[#This Row],[Objetive value Similarity]]))*100</f>
        <v>0.476457399103139</v>
      </c>
      <c r="S244" s="96">
        <v>3443</v>
      </c>
      <c r="T244" s="21">
        <v>0.55000000000000004</v>
      </c>
      <c r="U244" s="21">
        <v>0</v>
      </c>
      <c r="V244" s="144">
        <f>(((Tabela136[[#This Row],[Objetive value Similarity]]-Tabela136[[#This Row],[Objetive value Similarity/H-R2]])/Tabela136[[#This Row],[Objetive value Similarity]]))*100</f>
        <v>3.5033632286995511</v>
      </c>
    </row>
    <row r="245" spans="1:22" s="34" customFormat="1" x14ac:dyDescent="0.25">
      <c r="A245" s="11" t="s">
        <v>110</v>
      </c>
      <c r="B245" s="12" t="s">
        <v>813</v>
      </c>
      <c r="C245" s="11">
        <v>200</v>
      </c>
      <c r="D245" s="11">
        <v>0.15</v>
      </c>
      <c r="E245" s="11">
        <v>15</v>
      </c>
      <c r="F245" s="12" t="s">
        <v>18</v>
      </c>
      <c r="G245" s="12" t="s">
        <v>14</v>
      </c>
      <c r="H245" s="140">
        <v>6031</v>
      </c>
      <c r="I245" s="140">
        <v>1.875</v>
      </c>
      <c r="J245" s="147">
        <v>7.59</v>
      </c>
      <c r="K245" s="151">
        <v>5905</v>
      </c>
      <c r="L245" s="153">
        <v>121</v>
      </c>
      <c r="M245" s="153">
        <v>3</v>
      </c>
      <c r="N245" s="145">
        <f>(((Tabela136[[#This Row],[Objetive value Similarity]]-Tabela136[[#This Row],[Objetive value Similarity/GATeS]])/Tabela136[[#This Row],[Objetive value Similarity]]))*100</f>
        <v>2.0892057701873652</v>
      </c>
      <c r="O245" s="23">
        <v>5506</v>
      </c>
      <c r="P245" s="53">
        <v>0.53</v>
      </c>
      <c r="Q245" s="53">
        <v>0</v>
      </c>
      <c r="R245" s="55">
        <f>(((Tabela136[[#This Row],[Objetive value Similarity]]-Tabela136[[#This Row],[Objetive value Similarity/H-R1    ]])/Tabela136[[#This Row],[Objetive value Similarity]]))*100</f>
        <v>8.7050240424473557</v>
      </c>
      <c r="S245" s="96">
        <v>5091</v>
      </c>
      <c r="T245" s="21">
        <v>0.37</v>
      </c>
      <c r="U245" s="21">
        <v>0</v>
      </c>
      <c r="V245" s="144">
        <f>(((Tabela136[[#This Row],[Objetive value Similarity]]-Tabela136[[#This Row],[Objetive value Similarity/H-R2]])/Tabela136[[#This Row],[Objetive value Similarity]]))*100</f>
        <v>15.58613828552479</v>
      </c>
    </row>
    <row r="246" spans="1:22" s="34" customFormat="1" x14ac:dyDescent="0.25">
      <c r="A246" s="11" t="s">
        <v>110</v>
      </c>
      <c r="B246" s="12" t="s">
        <v>814</v>
      </c>
      <c r="C246" s="11">
        <v>200</v>
      </c>
      <c r="D246" s="11">
        <v>0.15</v>
      </c>
      <c r="E246" s="11">
        <v>15</v>
      </c>
      <c r="F246" s="12" t="s">
        <v>18</v>
      </c>
      <c r="G246" s="12" t="s">
        <v>16</v>
      </c>
      <c r="H246" s="140">
        <v>3290</v>
      </c>
      <c r="I246" s="140">
        <v>6.4679999999934799</v>
      </c>
      <c r="J246" s="147">
        <v>0.02</v>
      </c>
      <c r="K246" s="151">
        <v>3153</v>
      </c>
      <c r="L246" s="153">
        <v>14</v>
      </c>
      <c r="M246" s="153">
        <v>7</v>
      </c>
      <c r="N246" s="145">
        <f>(((Tabela136[[#This Row],[Objetive value Similarity]]-Tabela136[[#This Row],[Objetive value Similarity/GATeS]])/Tabela136[[#This Row],[Objetive value Similarity]]))*100</f>
        <v>4.1641337386018238</v>
      </c>
      <c r="O246" s="23">
        <v>3290</v>
      </c>
      <c r="P246" s="53">
        <v>0.51</v>
      </c>
      <c r="Q246" s="53">
        <v>0</v>
      </c>
      <c r="R246" s="55">
        <f>(((Tabela136[[#This Row],[Objetive value Similarity]]-Tabela136[[#This Row],[Objetive value Similarity/H-R1    ]])/Tabela136[[#This Row],[Objetive value Similarity]]))*100</f>
        <v>0</v>
      </c>
      <c r="S246" s="96">
        <v>3267</v>
      </c>
      <c r="T246" s="21">
        <v>0.5</v>
      </c>
      <c r="U246" s="21">
        <v>0</v>
      </c>
      <c r="V246" s="144">
        <f>(((Tabela136[[#This Row],[Objetive value Similarity]]-Tabela136[[#This Row],[Objetive value Similarity/H-R2]])/Tabela136[[#This Row],[Objetive value Similarity]]))*100</f>
        <v>0.69908814589665658</v>
      </c>
    </row>
    <row r="247" spans="1:22" s="34" customFormat="1" x14ac:dyDescent="0.25">
      <c r="A247" s="11" t="s">
        <v>110</v>
      </c>
      <c r="B247" s="12" t="s">
        <v>815</v>
      </c>
      <c r="C247" s="11">
        <v>200</v>
      </c>
      <c r="D247" s="11">
        <v>0.15</v>
      </c>
      <c r="E247" s="11">
        <v>15</v>
      </c>
      <c r="F247" s="12" t="s">
        <v>21</v>
      </c>
      <c r="G247" s="12" t="s">
        <v>14</v>
      </c>
      <c r="H247" s="140">
        <v>3424</v>
      </c>
      <c r="I247" s="140">
        <v>0.23399999993853199</v>
      </c>
      <c r="J247" s="147">
        <v>0</v>
      </c>
      <c r="K247" s="151">
        <v>3421</v>
      </c>
      <c r="L247" s="153">
        <v>7</v>
      </c>
      <c r="M247" s="153">
        <v>5</v>
      </c>
      <c r="N247" s="145">
        <f>(((Tabela136[[#This Row],[Objetive value Similarity]]-Tabela136[[#This Row],[Objetive value Similarity/GATeS]])/Tabela136[[#This Row],[Objetive value Similarity]]))*100</f>
        <v>8.7616822429906538E-2</v>
      </c>
      <c r="O247" s="23">
        <v>2884</v>
      </c>
      <c r="P247" s="53">
        <v>1.61</v>
      </c>
      <c r="Q247" s="53">
        <v>0</v>
      </c>
      <c r="R247" s="55">
        <f>(((Tabela136[[#This Row],[Objetive value Similarity]]-Tabela136[[#This Row],[Objetive value Similarity/H-R1    ]])/Tabela136[[#This Row],[Objetive value Similarity]]))*100</f>
        <v>15.771028037383179</v>
      </c>
      <c r="S247" s="96">
        <v>2783</v>
      </c>
      <c r="T247" s="21">
        <v>2.1800000000000002</v>
      </c>
      <c r="U247" s="21">
        <v>0</v>
      </c>
      <c r="V247" s="144">
        <f>(((Tabela136[[#This Row],[Objetive value Similarity]]-Tabela136[[#This Row],[Objetive value Similarity/H-R2]])/Tabela136[[#This Row],[Objetive value Similarity]]))*100</f>
        <v>18.720794392523366</v>
      </c>
    </row>
    <row r="248" spans="1:22" s="34" customFormat="1" x14ac:dyDescent="0.25">
      <c r="A248" s="11" t="s">
        <v>110</v>
      </c>
      <c r="B248" s="12" t="s">
        <v>816</v>
      </c>
      <c r="C248" s="11">
        <v>200</v>
      </c>
      <c r="D248" s="11">
        <v>0.15</v>
      </c>
      <c r="E248" s="11">
        <v>15</v>
      </c>
      <c r="F248" s="12" t="s">
        <v>21</v>
      </c>
      <c r="G248" s="12" t="s">
        <v>16</v>
      </c>
      <c r="H248" s="140">
        <v>3462</v>
      </c>
      <c r="I248" s="140">
        <v>5.3129999999655402</v>
      </c>
      <c r="J248" s="147">
        <v>0.52</v>
      </c>
      <c r="K248" s="151">
        <v>3386</v>
      </c>
      <c r="L248" s="153">
        <v>7</v>
      </c>
      <c r="M248" s="153">
        <v>5</v>
      </c>
      <c r="N248" s="145">
        <f>(((Tabela136[[#This Row],[Objetive value Similarity]]-Tabela136[[#This Row],[Objetive value Similarity/GATeS]])/Tabela136[[#This Row],[Objetive value Similarity]]))*100</f>
        <v>2.1952628538417103</v>
      </c>
      <c r="O248" s="23">
        <v>3184</v>
      </c>
      <c r="P248" s="53">
        <v>0.41</v>
      </c>
      <c r="Q248" s="53">
        <v>0</v>
      </c>
      <c r="R248" s="55">
        <f>(((Tabela136[[#This Row],[Objetive value Similarity]]-Tabela136[[#This Row],[Objetive value Similarity/H-R1    ]])/Tabela136[[#This Row],[Objetive value Similarity]]))*100</f>
        <v>8.0300404390525699</v>
      </c>
      <c r="S248" s="96">
        <v>3462</v>
      </c>
      <c r="T248" s="21">
        <v>0.87</v>
      </c>
      <c r="U248" s="21">
        <v>0</v>
      </c>
      <c r="V248" s="144">
        <f>(((Tabela136[[#This Row],[Objetive value Similarity]]-Tabela136[[#This Row],[Objetive value Similarity/H-R2]])/Tabela136[[#This Row],[Objetive value Similarity]]))*100</f>
        <v>0</v>
      </c>
    </row>
    <row r="249" spans="1:22" s="34" customFormat="1" x14ac:dyDescent="0.25">
      <c r="A249" s="11" t="s">
        <v>73</v>
      </c>
      <c r="B249" s="12" t="s">
        <v>775</v>
      </c>
      <c r="C249" s="11">
        <v>200</v>
      </c>
      <c r="D249" s="11">
        <v>0.15</v>
      </c>
      <c r="E249" s="11">
        <v>5</v>
      </c>
      <c r="F249" s="12" t="s">
        <v>13</v>
      </c>
      <c r="G249" s="12" t="s">
        <v>14</v>
      </c>
      <c r="H249" s="140">
        <v>2213</v>
      </c>
      <c r="I249" s="140">
        <v>0.140999999945051</v>
      </c>
      <c r="J249" s="147">
        <v>0</v>
      </c>
      <c r="K249" s="151">
        <v>2209</v>
      </c>
      <c r="L249" s="153">
        <v>5</v>
      </c>
      <c r="M249" s="153">
        <v>3</v>
      </c>
      <c r="N249" s="145">
        <f>(((Tabela136[[#This Row],[Objetive value Similarity]]-Tabela136[[#This Row],[Objetive value Similarity/GATeS]])/Tabela136[[#This Row],[Objetive value Similarity]]))*100</f>
        <v>0.18075011296882063</v>
      </c>
      <c r="O249" s="23">
        <v>2213</v>
      </c>
      <c r="P249" s="53">
        <v>0.3</v>
      </c>
      <c r="Q249" s="53">
        <v>0</v>
      </c>
      <c r="R249" s="55">
        <f>(((Tabela136[[#This Row],[Objetive value Similarity]]-Tabela136[[#This Row],[Objetive value Similarity/H-R1    ]])/Tabela136[[#This Row],[Objetive value Similarity]]))*100</f>
        <v>0</v>
      </c>
      <c r="S249" s="96">
        <v>2130</v>
      </c>
      <c r="T249" s="21">
        <v>0.31</v>
      </c>
      <c r="U249" s="21">
        <v>0</v>
      </c>
      <c r="V249" s="144">
        <f>(((Tabela136[[#This Row],[Objetive value Similarity]]-Tabela136[[#This Row],[Objetive value Similarity/H-R2]])/Tabela136[[#This Row],[Objetive value Similarity]]))*100</f>
        <v>3.7505648441030277</v>
      </c>
    </row>
    <row r="250" spans="1:22" s="34" customFormat="1" x14ac:dyDescent="0.25">
      <c r="A250" s="11" t="s">
        <v>73</v>
      </c>
      <c r="B250" s="12" t="s">
        <v>776</v>
      </c>
      <c r="C250" s="11">
        <v>200</v>
      </c>
      <c r="D250" s="11">
        <v>0.15</v>
      </c>
      <c r="E250" s="11">
        <v>5</v>
      </c>
      <c r="F250" s="12" t="s">
        <v>13</v>
      </c>
      <c r="G250" s="12" t="s">
        <v>16</v>
      </c>
      <c r="H250" s="140">
        <v>1425</v>
      </c>
      <c r="I250" s="140">
        <v>0.14000000001396901</v>
      </c>
      <c r="J250" s="147">
        <v>0</v>
      </c>
      <c r="K250" s="151">
        <v>1416</v>
      </c>
      <c r="L250" s="153">
        <v>4</v>
      </c>
      <c r="M250" s="153">
        <v>0</v>
      </c>
      <c r="N250" s="145">
        <f>(((Tabela136[[#This Row],[Objetive value Similarity]]-Tabela136[[#This Row],[Objetive value Similarity/GATeS]])/Tabela136[[#This Row],[Objetive value Similarity]]))*100</f>
        <v>0.63157894736842102</v>
      </c>
      <c r="O250" s="23">
        <v>1412</v>
      </c>
      <c r="P250" s="53">
        <v>0.25</v>
      </c>
      <c r="Q250" s="53">
        <v>0</v>
      </c>
      <c r="R250" s="55">
        <f>(((Tabela136[[#This Row],[Objetive value Similarity]]-Tabela136[[#This Row],[Objetive value Similarity/H-R1    ]])/Tabela136[[#This Row],[Objetive value Similarity]]))*100</f>
        <v>0.91228070175438591</v>
      </c>
      <c r="S250" s="96">
        <v>1412</v>
      </c>
      <c r="T250" s="21">
        <v>0.26</v>
      </c>
      <c r="U250" s="21">
        <v>0</v>
      </c>
      <c r="V250" s="144">
        <f>(((Tabela136[[#This Row],[Objetive value Similarity]]-Tabela136[[#This Row],[Objetive value Similarity/H-R2]])/Tabela136[[#This Row],[Objetive value Similarity]]))*100</f>
        <v>0.91228070175438591</v>
      </c>
    </row>
    <row r="251" spans="1:22" s="34" customFormat="1" x14ac:dyDescent="0.25">
      <c r="A251" s="11" t="s">
        <v>73</v>
      </c>
      <c r="B251" s="12" t="s">
        <v>777</v>
      </c>
      <c r="C251" s="11">
        <v>200</v>
      </c>
      <c r="D251" s="11">
        <v>0.15</v>
      </c>
      <c r="E251" s="11">
        <v>5</v>
      </c>
      <c r="F251" s="12" t="s">
        <v>18</v>
      </c>
      <c r="G251" s="12" t="s">
        <v>14</v>
      </c>
      <c r="H251" s="140">
        <v>1830</v>
      </c>
      <c r="I251" s="140">
        <v>0.17099999997299101</v>
      </c>
      <c r="J251" s="147">
        <v>0</v>
      </c>
      <c r="K251" s="151">
        <v>1588</v>
      </c>
      <c r="L251" s="153">
        <v>3</v>
      </c>
      <c r="M251" s="153">
        <v>0</v>
      </c>
      <c r="N251" s="145">
        <f>(((Tabela136[[#This Row],[Objetive value Similarity]]-Tabela136[[#This Row],[Objetive value Similarity/GATeS]])/Tabela136[[#This Row],[Objetive value Similarity]]))*100</f>
        <v>13.224043715846994</v>
      </c>
      <c r="O251" s="23">
        <v>1830</v>
      </c>
      <c r="P251" s="53">
        <v>0.25</v>
      </c>
      <c r="Q251" s="53">
        <v>0</v>
      </c>
      <c r="R251" s="55">
        <f>(((Tabela136[[#This Row],[Objetive value Similarity]]-Tabela136[[#This Row],[Objetive value Similarity/H-R1    ]])/Tabela136[[#This Row],[Objetive value Similarity]]))*100</f>
        <v>0</v>
      </c>
      <c r="S251" s="96">
        <v>1830</v>
      </c>
      <c r="T251" s="21">
        <v>0.39</v>
      </c>
      <c r="U251" s="21">
        <v>0</v>
      </c>
      <c r="V251" s="144">
        <f>(((Tabela136[[#This Row],[Objetive value Similarity]]-Tabela136[[#This Row],[Objetive value Similarity/H-R2]])/Tabela136[[#This Row],[Objetive value Similarity]]))*100</f>
        <v>0</v>
      </c>
    </row>
    <row r="252" spans="1:22" s="34" customFormat="1" x14ac:dyDescent="0.25">
      <c r="A252" s="11" t="s">
        <v>73</v>
      </c>
      <c r="B252" s="12" t="s">
        <v>778</v>
      </c>
      <c r="C252" s="11">
        <v>200</v>
      </c>
      <c r="D252" s="11">
        <v>0.15</v>
      </c>
      <c r="E252" s="11">
        <v>5</v>
      </c>
      <c r="F252" s="12" t="s">
        <v>18</v>
      </c>
      <c r="G252" s="12" t="s">
        <v>16</v>
      </c>
      <c r="H252" s="140">
        <v>1441</v>
      </c>
      <c r="I252" s="140">
        <v>0.14100000006146701</v>
      </c>
      <c r="J252" s="147">
        <v>0</v>
      </c>
      <c r="K252" s="151">
        <v>1441</v>
      </c>
      <c r="L252" s="153">
        <v>3</v>
      </c>
      <c r="M252" s="153">
        <v>0</v>
      </c>
      <c r="N252" s="145">
        <f>(((Tabela136[[#This Row],[Objetive value Similarity]]-Tabela136[[#This Row],[Objetive value Similarity/GATeS]])/Tabela136[[#This Row],[Objetive value Similarity]]))*100</f>
        <v>0</v>
      </c>
      <c r="O252" s="23">
        <v>1441</v>
      </c>
      <c r="P252" s="53">
        <v>0.28999999999999998</v>
      </c>
      <c r="Q252" s="53">
        <v>0</v>
      </c>
      <c r="R252" s="55">
        <f>(((Tabela136[[#This Row],[Objetive value Similarity]]-Tabela136[[#This Row],[Objetive value Similarity/H-R1    ]])/Tabela136[[#This Row],[Objetive value Similarity]]))*100</f>
        <v>0</v>
      </c>
      <c r="S252" s="96">
        <v>1400</v>
      </c>
      <c r="T252" s="21">
        <v>0.37</v>
      </c>
      <c r="U252" s="21">
        <v>0</v>
      </c>
      <c r="V252" s="144">
        <f>(((Tabela136[[#This Row],[Objetive value Similarity]]-Tabela136[[#This Row],[Objetive value Similarity/H-R2]])/Tabela136[[#This Row],[Objetive value Similarity]]))*100</f>
        <v>2.8452463566967383</v>
      </c>
    </row>
    <row r="253" spans="1:22" s="34" customFormat="1" x14ac:dyDescent="0.25">
      <c r="A253" s="11" t="s">
        <v>73</v>
      </c>
      <c r="B253" s="12" t="s">
        <v>779</v>
      </c>
      <c r="C253" s="11">
        <v>200</v>
      </c>
      <c r="D253" s="11">
        <v>0.15</v>
      </c>
      <c r="E253" s="11">
        <v>5</v>
      </c>
      <c r="F253" s="12" t="s">
        <v>21</v>
      </c>
      <c r="G253" s="12" t="s">
        <v>14</v>
      </c>
      <c r="H253" s="140">
        <v>1514</v>
      </c>
      <c r="I253" s="140">
        <v>0.125</v>
      </c>
      <c r="J253" s="147">
        <v>0</v>
      </c>
      <c r="K253" s="151">
        <v>1514</v>
      </c>
      <c r="L253" s="153">
        <v>2</v>
      </c>
      <c r="M253" s="153">
        <v>0</v>
      </c>
      <c r="N253" s="145">
        <f>(((Tabela136[[#This Row],[Objetive value Similarity]]-Tabela136[[#This Row],[Objetive value Similarity/GATeS]])/Tabela136[[#This Row],[Objetive value Similarity]]))*100</f>
        <v>0</v>
      </c>
      <c r="O253" s="23">
        <v>1514</v>
      </c>
      <c r="P253" s="53">
        <v>0.69</v>
      </c>
      <c r="Q253" s="53">
        <v>0</v>
      </c>
      <c r="R253" s="55">
        <f>(((Tabela136[[#This Row],[Objetive value Similarity]]-Tabela136[[#This Row],[Objetive value Similarity/H-R1    ]])/Tabela136[[#This Row],[Objetive value Similarity]]))*100</f>
        <v>0</v>
      </c>
      <c r="S253" s="96">
        <v>1380</v>
      </c>
      <c r="T253" s="21">
        <v>0.56999999999999995</v>
      </c>
      <c r="U253" s="21">
        <v>0</v>
      </c>
      <c r="V253" s="144">
        <f>(((Tabela136[[#This Row],[Objetive value Similarity]]-Tabela136[[#This Row],[Objetive value Similarity/H-R2]])/Tabela136[[#This Row],[Objetive value Similarity]]))*100</f>
        <v>8.8507265521796565</v>
      </c>
    </row>
    <row r="254" spans="1:22" s="34" customFormat="1" x14ac:dyDescent="0.25">
      <c r="A254" s="11" t="s">
        <v>73</v>
      </c>
      <c r="B254" s="12" t="s">
        <v>780</v>
      </c>
      <c r="C254" s="11">
        <v>200</v>
      </c>
      <c r="D254" s="11">
        <v>0.15</v>
      </c>
      <c r="E254" s="11">
        <v>5</v>
      </c>
      <c r="F254" s="12" t="s">
        <v>21</v>
      </c>
      <c r="G254" s="12" t="s">
        <v>16</v>
      </c>
      <c r="H254" s="140">
        <v>1486</v>
      </c>
      <c r="I254" s="140">
        <v>0.17200000002048901</v>
      </c>
      <c r="J254" s="147">
        <v>0</v>
      </c>
      <c r="K254" s="151">
        <v>1423</v>
      </c>
      <c r="L254" s="153">
        <v>6</v>
      </c>
      <c r="M254" s="153">
        <v>1</v>
      </c>
      <c r="N254" s="145">
        <f>(((Tabela136[[#This Row],[Objetive value Similarity]]-Tabela136[[#This Row],[Objetive value Similarity/GATeS]])/Tabela136[[#This Row],[Objetive value Similarity]]))*100</f>
        <v>4.2395693135935399</v>
      </c>
      <c r="O254" s="23">
        <v>1486</v>
      </c>
      <c r="P254" s="53">
        <v>0.34</v>
      </c>
      <c r="Q254" s="53">
        <v>0</v>
      </c>
      <c r="R254" s="55">
        <f>(((Tabela136[[#This Row],[Objetive value Similarity]]-Tabela136[[#This Row],[Objetive value Similarity/H-R1    ]])/Tabela136[[#This Row],[Objetive value Similarity]]))*100</f>
        <v>0</v>
      </c>
      <c r="S254" s="96">
        <v>1486</v>
      </c>
      <c r="T254" s="21">
        <v>0.4</v>
      </c>
      <c r="U254" s="21">
        <v>0</v>
      </c>
      <c r="V254" s="144">
        <f>(((Tabela136[[#This Row],[Objetive value Similarity]]-Tabela136[[#This Row],[Objetive value Similarity/H-R2]])/Tabela136[[#This Row],[Objetive value Similarity]]))*100</f>
        <v>0</v>
      </c>
    </row>
    <row r="255" spans="1:22" s="34" customFormat="1" x14ac:dyDescent="0.25">
      <c r="A255" s="11" t="s">
        <v>91</v>
      </c>
      <c r="B255" s="12" t="s">
        <v>781</v>
      </c>
      <c r="C255" s="11">
        <v>200</v>
      </c>
      <c r="D255" s="11">
        <v>0.05</v>
      </c>
      <c r="E255" s="11">
        <v>10</v>
      </c>
      <c r="F255" s="12" t="s">
        <v>13</v>
      </c>
      <c r="G255" s="12" t="s">
        <v>14</v>
      </c>
      <c r="H255" s="140">
        <v>3293</v>
      </c>
      <c r="I255" s="140">
        <v>0.35999999998602999</v>
      </c>
      <c r="J255" s="147">
        <v>0</v>
      </c>
      <c r="K255" s="151">
        <v>3237</v>
      </c>
      <c r="L255" s="153">
        <v>9</v>
      </c>
      <c r="M255" s="153">
        <v>0</v>
      </c>
      <c r="N255" s="145">
        <f>(((Tabela136[[#This Row],[Objetive value Similarity]]-Tabela136[[#This Row],[Objetive value Similarity/GATeS]])/Tabela136[[#This Row],[Objetive value Similarity]]))*100</f>
        <v>1.700576981475858</v>
      </c>
      <c r="O255" s="23">
        <v>3165</v>
      </c>
      <c r="P255" s="53">
        <v>0.38</v>
      </c>
      <c r="Q255" s="53">
        <v>0</v>
      </c>
      <c r="R255" s="55">
        <f>(((Tabela136[[#This Row],[Objetive value Similarity]]-Tabela136[[#This Row],[Objetive value Similarity/H-R1    ]])/Tabela136[[#This Row],[Objetive value Similarity]]))*100</f>
        <v>3.8870331005162471</v>
      </c>
      <c r="S255" s="96">
        <v>2965</v>
      </c>
      <c r="T255" s="21">
        <v>0.39</v>
      </c>
      <c r="U255" s="21">
        <v>0</v>
      </c>
      <c r="V255" s="144">
        <f>(((Tabela136[[#This Row],[Objetive value Similarity]]-Tabela136[[#This Row],[Objetive value Similarity/H-R2]])/Tabela136[[#This Row],[Objetive value Similarity]]))*100</f>
        <v>9.9605223200728812</v>
      </c>
    </row>
    <row r="256" spans="1:22" s="34" customFormat="1" x14ac:dyDescent="0.25">
      <c r="A256" s="11" t="s">
        <v>91</v>
      </c>
      <c r="B256" s="12" t="s">
        <v>782</v>
      </c>
      <c r="C256" s="11">
        <v>200</v>
      </c>
      <c r="D256" s="11">
        <v>0.05</v>
      </c>
      <c r="E256" s="11">
        <v>10</v>
      </c>
      <c r="F256" s="12" t="s">
        <v>13</v>
      </c>
      <c r="G256" s="12" t="s">
        <v>16</v>
      </c>
      <c r="H256" s="140">
        <v>2260</v>
      </c>
      <c r="I256" s="140">
        <v>0.75</v>
      </c>
      <c r="J256" s="147">
        <v>0</v>
      </c>
      <c r="K256" s="151">
        <v>2240</v>
      </c>
      <c r="L256" s="153">
        <v>8</v>
      </c>
      <c r="M256" s="153">
        <v>4</v>
      </c>
      <c r="N256" s="145">
        <f>(((Tabela136[[#This Row],[Objetive value Similarity]]-Tabela136[[#This Row],[Objetive value Similarity/GATeS]])/Tabela136[[#This Row],[Objetive value Similarity]]))*100</f>
        <v>0.88495575221238942</v>
      </c>
      <c r="O256" s="23">
        <v>2116</v>
      </c>
      <c r="P256" s="53">
        <v>0.4</v>
      </c>
      <c r="Q256" s="53">
        <v>0</v>
      </c>
      <c r="R256" s="55">
        <f>(((Tabela136[[#This Row],[Objetive value Similarity]]-Tabela136[[#This Row],[Objetive value Similarity/H-R1    ]])/Tabela136[[#This Row],[Objetive value Similarity]]))*100</f>
        <v>6.3716814159292037</v>
      </c>
      <c r="S256" s="96">
        <v>2109</v>
      </c>
      <c r="T256" s="21">
        <v>0.48</v>
      </c>
      <c r="U256" s="21">
        <v>0</v>
      </c>
      <c r="V256" s="144">
        <f>(((Tabela136[[#This Row],[Objetive value Similarity]]-Tabela136[[#This Row],[Objetive value Similarity/H-R2]])/Tabela136[[#This Row],[Objetive value Similarity]]))*100</f>
        <v>6.6814159292035393</v>
      </c>
    </row>
    <row r="257" spans="1:22" s="34" customFormat="1" x14ac:dyDescent="0.25">
      <c r="A257" s="11" t="s">
        <v>91</v>
      </c>
      <c r="B257" s="12" t="s">
        <v>783</v>
      </c>
      <c r="C257" s="11">
        <v>200</v>
      </c>
      <c r="D257" s="11">
        <v>0.05</v>
      </c>
      <c r="E257" s="11">
        <v>10</v>
      </c>
      <c r="F257" s="12" t="s">
        <v>18</v>
      </c>
      <c r="G257" s="12" t="s">
        <v>14</v>
      </c>
      <c r="H257" s="140">
        <v>3360</v>
      </c>
      <c r="I257" s="140">
        <v>0.34299999999348002</v>
      </c>
      <c r="J257" s="147">
        <v>0</v>
      </c>
      <c r="K257" s="151">
        <v>3296</v>
      </c>
      <c r="L257" s="153">
        <v>10</v>
      </c>
      <c r="M257" s="153">
        <v>4</v>
      </c>
      <c r="N257" s="145">
        <f>(((Tabela136[[#This Row],[Objetive value Similarity]]-Tabela136[[#This Row],[Objetive value Similarity/GATeS]])/Tabela136[[#This Row],[Objetive value Similarity]]))*100</f>
        <v>1.9047619047619049</v>
      </c>
      <c r="O257" s="23">
        <v>3314</v>
      </c>
      <c r="P257" s="53">
        <v>0.42</v>
      </c>
      <c r="Q257" s="53">
        <v>0</v>
      </c>
      <c r="R257" s="55">
        <f>(((Tabela136[[#This Row],[Objetive value Similarity]]-Tabela136[[#This Row],[Objetive value Similarity/H-R1    ]])/Tabela136[[#This Row],[Objetive value Similarity]]))*100</f>
        <v>1.3690476190476191</v>
      </c>
      <c r="S257" s="96">
        <v>2933</v>
      </c>
      <c r="T257" s="21">
        <v>0.46</v>
      </c>
      <c r="U257" s="21">
        <v>0</v>
      </c>
      <c r="V257" s="144">
        <f>(((Tabela136[[#This Row],[Objetive value Similarity]]-Tabela136[[#This Row],[Objetive value Similarity/H-R2]])/Tabela136[[#This Row],[Objetive value Similarity]]))*100</f>
        <v>12.708333333333332</v>
      </c>
    </row>
    <row r="258" spans="1:22" s="34" customFormat="1" x14ac:dyDescent="0.25">
      <c r="A258" s="11" t="s">
        <v>91</v>
      </c>
      <c r="B258" s="12" t="s">
        <v>784</v>
      </c>
      <c r="C258" s="11">
        <v>200</v>
      </c>
      <c r="D258" s="11">
        <v>0.05</v>
      </c>
      <c r="E258" s="11">
        <v>10</v>
      </c>
      <c r="F258" s="12" t="s">
        <v>18</v>
      </c>
      <c r="G258" s="12" t="s">
        <v>16</v>
      </c>
      <c r="H258" s="140">
        <v>2403</v>
      </c>
      <c r="I258" s="140">
        <v>0.65600000007543702</v>
      </c>
      <c r="J258" s="147">
        <v>0</v>
      </c>
      <c r="K258" s="151">
        <v>2365</v>
      </c>
      <c r="L258" s="153">
        <v>8</v>
      </c>
      <c r="M258" s="153">
        <v>1</v>
      </c>
      <c r="N258" s="145">
        <f>(((Tabela136[[#This Row],[Objetive value Similarity]]-Tabela136[[#This Row],[Objetive value Similarity/GATeS]])/Tabela136[[#This Row],[Objetive value Similarity]]))*100</f>
        <v>1.581356637536413</v>
      </c>
      <c r="O258" s="23">
        <v>2356</v>
      </c>
      <c r="P258" s="53">
        <v>0.3</v>
      </c>
      <c r="Q258" s="53">
        <v>0</v>
      </c>
      <c r="R258" s="55">
        <f>(((Tabela136[[#This Row],[Objetive value Similarity]]-Tabela136[[#This Row],[Objetive value Similarity/H-R1    ]])/Tabela136[[#This Row],[Objetive value Similarity]]))*100</f>
        <v>1.9558884727424053</v>
      </c>
      <c r="S258" s="96">
        <v>2390</v>
      </c>
      <c r="T258" s="21">
        <v>0.35</v>
      </c>
      <c r="U258" s="21">
        <v>0</v>
      </c>
      <c r="V258" s="144">
        <f>(((Tabela136[[#This Row],[Objetive value Similarity]]-Tabela136[[#This Row],[Objetive value Similarity/H-R2]])/Tabela136[[#This Row],[Objetive value Similarity]]))*100</f>
        <v>0.5409904286308781</v>
      </c>
    </row>
    <row r="259" spans="1:22" s="34" customFormat="1" x14ac:dyDescent="0.25">
      <c r="A259" s="11" t="s">
        <v>91</v>
      </c>
      <c r="B259" s="12" t="s">
        <v>785</v>
      </c>
      <c r="C259" s="11">
        <v>200</v>
      </c>
      <c r="D259" s="11">
        <v>0.05</v>
      </c>
      <c r="E259" s="11">
        <v>10</v>
      </c>
      <c r="F259" s="12" t="s">
        <v>21</v>
      </c>
      <c r="G259" s="12" t="s">
        <v>14</v>
      </c>
      <c r="H259" s="140">
        <v>3507</v>
      </c>
      <c r="I259" s="140">
        <v>0.155999999959021</v>
      </c>
      <c r="J259" s="147">
        <v>0</v>
      </c>
      <c r="K259" s="151">
        <v>3498</v>
      </c>
      <c r="L259" s="153">
        <v>6</v>
      </c>
      <c r="M259" s="153">
        <v>3</v>
      </c>
      <c r="N259" s="145">
        <f>(((Tabela136[[#This Row],[Objetive value Similarity]]-Tabela136[[#This Row],[Objetive value Similarity/GATeS]])/Tabela136[[#This Row],[Objetive value Similarity]]))*100</f>
        <v>0.25662959794696322</v>
      </c>
      <c r="O259" s="23">
        <v>1695</v>
      </c>
      <c r="P259" s="53">
        <v>0.99</v>
      </c>
      <c r="Q259" s="53">
        <v>0</v>
      </c>
      <c r="R259" s="55">
        <f>(((Tabela136[[#This Row],[Objetive value Similarity]]-Tabela136[[#This Row],[Objetive value Similarity/H-R1    ]])/Tabela136[[#This Row],[Objetive value Similarity]]))*100</f>
        <v>51.66809238665526</v>
      </c>
      <c r="S259" s="96">
        <v>2250</v>
      </c>
      <c r="T259" s="21">
        <v>0.92</v>
      </c>
      <c r="U259" s="21">
        <v>0</v>
      </c>
      <c r="V259" s="144">
        <f>(((Tabela136[[#This Row],[Objetive value Similarity]]-Tabela136[[#This Row],[Objetive value Similarity/H-R2]])/Tabela136[[#This Row],[Objetive value Similarity]]))*100</f>
        <v>35.8426005132592</v>
      </c>
    </row>
    <row r="260" spans="1:22" s="34" customFormat="1" x14ac:dyDescent="0.25">
      <c r="A260" s="11" t="s">
        <v>91</v>
      </c>
      <c r="B260" s="12" t="s">
        <v>786</v>
      </c>
      <c r="C260" s="11">
        <v>200</v>
      </c>
      <c r="D260" s="11">
        <v>0.05</v>
      </c>
      <c r="E260" s="11">
        <v>10</v>
      </c>
      <c r="F260" s="12" t="s">
        <v>21</v>
      </c>
      <c r="G260" s="12" t="s">
        <v>16</v>
      </c>
      <c r="H260" s="140">
        <v>2160</v>
      </c>
      <c r="I260" s="140">
        <v>0.64099999994505197</v>
      </c>
      <c r="J260" s="147">
        <v>0</v>
      </c>
      <c r="K260" s="151">
        <v>2132</v>
      </c>
      <c r="L260" s="153">
        <v>9</v>
      </c>
      <c r="M260" s="153">
        <v>4</v>
      </c>
      <c r="N260" s="145">
        <f>(((Tabela136[[#This Row],[Objetive value Similarity]]-Tabela136[[#This Row],[Objetive value Similarity/GATeS]])/Tabela136[[#This Row],[Objetive value Similarity]]))*100</f>
        <v>1.2962962962962963</v>
      </c>
      <c r="O260" s="23">
        <v>2072</v>
      </c>
      <c r="P260" s="53">
        <v>0.4</v>
      </c>
      <c r="Q260" s="53">
        <v>0</v>
      </c>
      <c r="R260" s="55">
        <f>(((Tabela136[[#This Row],[Objetive value Similarity]]-Tabela136[[#This Row],[Objetive value Similarity/H-R1    ]])/Tabela136[[#This Row],[Objetive value Similarity]]))*100</f>
        <v>4.0740740740740744</v>
      </c>
      <c r="S260" s="96">
        <v>2143</v>
      </c>
      <c r="T260" s="21">
        <v>0.37</v>
      </c>
      <c r="U260" s="21">
        <v>0</v>
      </c>
      <c r="V260" s="144">
        <f>(((Tabela136[[#This Row],[Objetive value Similarity]]-Tabela136[[#This Row],[Objetive value Similarity/H-R2]])/Tabela136[[#This Row],[Objetive value Similarity]]))*100</f>
        <v>0.78703703703703698</v>
      </c>
    </row>
    <row r="261" spans="1:22" s="34" customFormat="1" x14ac:dyDescent="0.25">
      <c r="A261" s="11" t="s">
        <v>110</v>
      </c>
      <c r="B261" s="30" t="s">
        <v>799</v>
      </c>
      <c r="C261" s="11">
        <v>200</v>
      </c>
      <c r="D261" s="11">
        <v>0.05</v>
      </c>
      <c r="E261" s="11">
        <v>15</v>
      </c>
      <c r="F261" s="12" t="s">
        <v>13</v>
      </c>
      <c r="G261" s="12" t="s">
        <v>14</v>
      </c>
      <c r="H261" s="140">
        <v>4543</v>
      </c>
      <c r="I261" s="140">
        <v>6</v>
      </c>
      <c r="J261" s="147">
        <v>0.03</v>
      </c>
      <c r="K261" s="151">
        <v>4476</v>
      </c>
      <c r="L261" s="153">
        <v>122</v>
      </c>
      <c r="M261" s="153">
        <v>0</v>
      </c>
      <c r="N261" s="145">
        <f>(((Tabela136[[#This Row],[Objetive value Similarity]]-Tabela136[[#This Row],[Objetive value Similarity/GATeS]])/Tabela136[[#This Row],[Objetive value Similarity]]))*100</f>
        <v>1.4747963900506273</v>
      </c>
      <c r="O261" s="23">
        <v>4467</v>
      </c>
      <c r="P261" s="53">
        <v>0.45</v>
      </c>
      <c r="Q261" s="53">
        <v>0</v>
      </c>
      <c r="R261" s="55">
        <f>(((Tabela136[[#This Row],[Objetive value Similarity]]-Tabela136[[#This Row],[Objetive value Similarity/H-R1    ]])/Tabela136[[#This Row],[Objetive value Similarity]]))*100</f>
        <v>1.672903367818622</v>
      </c>
      <c r="S261" s="96">
        <v>4171</v>
      </c>
      <c r="T261" s="21">
        <v>0.5</v>
      </c>
      <c r="U261" s="21">
        <v>0</v>
      </c>
      <c r="V261" s="144">
        <f>(((Tabela136[[#This Row],[Objetive value Similarity]]-Tabela136[[#This Row],[Objetive value Similarity/H-R2]])/Tabela136[[#This Row],[Objetive value Similarity]]))*100</f>
        <v>8.1884217477437815</v>
      </c>
    </row>
    <row r="262" spans="1:22" s="34" customFormat="1" x14ac:dyDescent="0.25">
      <c r="A262" s="11" t="s">
        <v>110</v>
      </c>
      <c r="B262" s="12" t="s">
        <v>800</v>
      </c>
      <c r="C262" s="11">
        <v>200</v>
      </c>
      <c r="D262" s="11">
        <v>0.05</v>
      </c>
      <c r="E262" s="11">
        <v>15</v>
      </c>
      <c r="F262" s="12" t="s">
        <v>13</v>
      </c>
      <c r="G262" s="12" t="s">
        <v>16</v>
      </c>
      <c r="H262" s="140">
        <v>3316.99999999999</v>
      </c>
      <c r="I262" s="140">
        <v>6.03100000007543</v>
      </c>
      <c r="J262" s="147">
        <v>0.03</v>
      </c>
      <c r="K262" s="151">
        <v>3281</v>
      </c>
      <c r="L262" s="153">
        <v>15</v>
      </c>
      <c r="M262" s="153">
        <v>3</v>
      </c>
      <c r="N262" s="145">
        <f>(((Tabela136[[#This Row],[Objetive value Similarity]]-Tabela136[[#This Row],[Objetive value Similarity/GATeS]])/Tabela136[[#This Row],[Objetive value Similarity]]))*100</f>
        <v>1.085318058486286</v>
      </c>
      <c r="O262" s="23">
        <v>3317</v>
      </c>
      <c r="P262" s="53">
        <v>0.56000000000000005</v>
      </c>
      <c r="Q262" s="53">
        <v>0</v>
      </c>
      <c r="R262" s="55">
        <f>(((Tabela136[[#This Row],[Objetive value Similarity]]-Tabela136[[#This Row],[Objetive value Similarity/H-R1    ]])/Tabela136[[#This Row],[Objetive value Similarity]]))*100</f>
        <v>-3.0161114620145432E-13</v>
      </c>
      <c r="S262" s="96">
        <v>3182</v>
      </c>
      <c r="T262" s="21">
        <v>0.49</v>
      </c>
      <c r="U262" s="21">
        <v>0</v>
      </c>
      <c r="V262" s="144">
        <f>(((Tabela136[[#This Row],[Objetive value Similarity]]-Tabela136[[#This Row],[Objetive value Similarity/H-R2]])/Tabela136[[#This Row],[Objetive value Similarity]]))*100</f>
        <v>4.0699427193244011</v>
      </c>
    </row>
    <row r="263" spans="1:22" s="34" customFormat="1" x14ac:dyDescent="0.25">
      <c r="A263" s="11" t="s">
        <v>110</v>
      </c>
      <c r="B263" s="12" t="s">
        <v>801</v>
      </c>
      <c r="C263" s="11">
        <v>200</v>
      </c>
      <c r="D263" s="11">
        <v>0.05</v>
      </c>
      <c r="E263" s="11">
        <v>15</v>
      </c>
      <c r="F263" s="12" t="s">
        <v>18</v>
      </c>
      <c r="G263" s="12" t="s">
        <v>14</v>
      </c>
      <c r="H263" s="140">
        <v>4552</v>
      </c>
      <c r="I263" s="140">
        <v>1.42200000002048</v>
      </c>
      <c r="J263" s="147">
        <v>21.51</v>
      </c>
      <c r="K263" s="151">
        <v>4446</v>
      </c>
      <c r="L263" s="153">
        <v>8</v>
      </c>
      <c r="M263" s="153">
        <v>7</v>
      </c>
      <c r="N263" s="145">
        <f>(((Tabela136[[#This Row],[Objetive value Similarity]]-Tabela136[[#This Row],[Objetive value Similarity/GATeS]])/Tabela136[[#This Row],[Objetive value Similarity]]))*100</f>
        <v>2.3286467486818978</v>
      </c>
      <c r="O263" s="23">
        <v>4198</v>
      </c>
      <c r="P263" s="53">
        <v>0.49</v>
      </c>
      <c r="Q263" s="53">
        <v>0</v>
      </c>
      <c r="R263" s="55">
        <f>(((Tabela136[[#This Row],[Objetive value Similarity]]-Tabela136[[#This Row],[Objetive value Similarity/H-R1    ]])/Tabela136[[#This Row],[Objetive value Similarity]]))*100</f>
        <v>7.7768014059753945</v>
      </c>
      <c r="S263" s="96">
        <v>4520</v>
      </c>
      <c r="T263" s="21">
        <v>0.55000000000000004</v>
      </c>
      <c r="U263" s="21">
        <v>0</v>
      </c>
      <c r="V263" s="144">
        <f>(((Tabela136[[#This Row],[Objetive value Similarity]]-Tabela136[[#This Row],[Objetive value Similarity/H-R2]])/Tabela136[[#This Row],[Objetive value Similarity]]))*100</f>
        <v>0.70298769771528991</v>
      </c>
    </row>
    <row r="264" spans="1:22" s="34" customFormat="1" x14ac:dyDescent="0.25">
      <c r="A264" s="11" t="s">
        <v>110</v>
      </c>
      <c r="B264" s="12" t="s">
        <v>802</v>
      </c>
      <c r="C264" s="11">
        <v>200</v>
      </c>
      <c r="D264" s="11">
        <v>0.05</v>
      </c>
      <c r="E264" s="11">
        <v>15</v>
      </c>
      <c r="F264" s="12" t="s">
        <v>18</v>
      </c>
      <c r="G264" s="12" t="s">
        <v>16</v>
      </c>
      <c r="H264" s="140">
        <v>3331</v>
      </c>
      <c r="I264" s="140">
        <v>5.4220000000204802</v>
      </c>
      <c r="J264" s="147">
        <v>0.03</v>
      </c>
      <c r="K264" s="151">
        <v>3311</v>
      </c>
      <c r="L264" s="153">
        <v>19</v>
      </c>
      <c r="M264" s="153">
        <v>3</v>
      </c>
      <c r="N264" s="145">
        <f>(((Tabela136[[#This Row],[Objetive value Similarity]]-Tabela136[[#This Row],[Objetive value Similarity/GATeS]])/Tabela136[[#This Row],[Objetive value Similarity]]))*100</f>
        <v>0.60042029420594423</v>
      </c>
      <c r="O264" s="23">
        <v>3278</v>
      </c>
      <c r="P264" s="53">
        <v>0.52</v>
      </c>
      <c r="Q264" s="53">
        <v>0</v>
      </c>
      <c r="R264" s="55">
        <f>(((Tabela136[[#This Row],[Objetive value Similarity]]-Tabela136[[#This Row],[Objetive value Similarity/H-R1    ]])/Tabela136[[#This Row],[Objetive value Similarity]]))*100</f>
        <v>1.591113779645752</v>
      </c>
      <c r="S264" s="96">
        <v>3294</v>
      </c>
      <c r="T264" s="21">
        <v>0.36</v>
      </c>
      <c r="U264" s="21">
        <v>0</v>
      </c>
      <c r="V264" s="144">
        <f>(((Tabela136[[#This Row],[Objetive value Similarity]]-Tabela136[[#This Row],[Objetive value Similarity/H-R2]])/Tabela136[[#This Row],[Objetive value Similarity]]))*100</f>
        <v>1.1107775442809968</v>
      </c>
    </row>
    <row r="265" spans="1:22" s="34" customFormat="1" x14ac:dyDescent="0.25">
      <c r="A265" s="11" t="s">
        <v>110</v>
      </c>
      <c r="B265" s="12" t="s">
        <v>803</v>
      </c>
      <c r="C265" s="11">
        <v>200</v>
      </c>
      <c r="D265" s="11">
        <v>0.05</v>
      </c>
      <c r="E265" s="11">
        <v>15</v>
      </c>
      <c r="F265" s="12" t="s">
        <v>21</v>
      </c>
      <c r="G265" s="12" t="s">
        <v>14</v>
      </c>
      <c r="H265" s="140">
        <v>3252</v>
      </c>
      <c r="I265" s="140">
        <v>0.23499999998602999</v>
      </c>
      <c r="J265" s="147">
        <v>0</v>
      </c>
      <c r="K265" s="151">
        <v>3231</v>
      </c>
      <c r="L265" s="153">
        <v>7</v>
      </c>
      <c r="M265" s="153">
        <v>2</v>
      </c>
      <c r="N265" s="145">
        <f>(((Tabela136[[#This Row],[Objetive value Similarity]]-Tabela136[[#This Row],[Objetive value Similarity/GATeS]])/Tabela136[[#This Row],[Objetive value Similarity]]))*100</f>
        <v>0.64575645756457567</v>
      </c>
      <c r="O265" s="23">
        <v>3118</v>
      </c>
      <c r="P265" s="53">
        <v>1.1000000000000001</v>
      </c>
      <c r="Q265" s="53">
        <v>0</v>
      </c>
      <c r="R265" s="55">
        <f>(((Tabela136[[#This Row],[Objetive value Similarity]]-Tabela136[[#This Row],[Objetive value Similarity/H-R1    ]])/Tabela136[[#This Row],[Objetive value Similarity]]))*100</f>
        <v>4.1205412054120538</v>
      </c>
      <c r="S265" s="96">
        <v>3252</v>
      </c>
      <c r="T265" s="21">
        <v>1.1200000000000001</v>
      </c>
      <c r="U265" s="21">
        <v>0</v>
      </c>
      <c r="V265" s="144">
        <f>(((Tabela136[[#This Row],[Objetive value Similarity]]-Tabela136[[#This Row],[Objetive value Similarity/H-R2]])/Tabela136[[#This Row],[Objetive value Similarity]]))*100</f>
        <v>0</v>
      </c>
    </row>
    <row r="266" spans="1:22" s="34" customFormat="1" x14ac:dyDescent="0.25">
      <c r="A266" s="11" t="s">
        <v>110</v>
      </c>
      <c r="B266" s="12" t="s">
        <v>804</v>
      </c>
      <c r="C266" s="11">
        <v>200</v>
      </c>
      <c r="D266" s="11">
        <v>0.05</v>
      </c>
      <c r="E266" s="11">
        <v>15</v>
      </c>
      <c r="F266" s="12" t="s">
        <v>21</v>
      </c>
      <c r="G266" s="12" t="s">
        <v>16</v>
      </c>
      <c r="H266" s="140">
        <v>2803</v>
      </c>
      <c r="I266" s="140">
        <v>7.2179999999934799</v>
      </c>
      <c r="J266" s="147">
        <v>0</v>
      </c>
      <c r="K266" s="151">
        <v>2717</v>
      </c>
      <c r="L266" s="153">
        <v>13</v>
      </c>
      <c r="M266" s="153">
        <v>4</v>
      </c>
      <c r="N266" s="145">
        <f>(((Tabela136[[#This Row],[Objetive value Similarity]]-Tabela136[[#This Row],[Objetive value Similarity/GATeS]])/Tabela136[[#This Row],[Objetive value Similarity]]))*100</f>
        <v>3.0681412772029968</v>
      </c>
      <c r="O266" s="23">
        <v>2636</v>
      </c>
      <c r="P266" s="53">
        <v>0.5</v>
      </c>
      <c r="Q266" s="53">
        <v>0</v>
      </c>
      <c r="R266" s="55">
        <f>(((Tabela136[[#This Row],[Objetive value Similarity]]-Tabela136[[#This Row],[Objetive value Similarity/H-R1    ]])/Tabela136[[#This Row],[Objetive value Similarity]]))*100</f>
        <v>5.9579022475918659</v>
      </c>
      <c r="S266" s="96">
        <v>2727</v>
      </c>
      <c r="T266" s="21">
        <v>0.95</v>
      </c>
      <c r="U266" s="21">
        <v>0</v>
      </c>
      <c r="V266" s="144">
        <f>(((Tabela136[[#This Row],[Objetive value Similarity]]-Tabela136[[#This Row],[Objetive value Similarity/H-R2]])/Tabela136[[#This Row],[Objetive value Similarity]]))*100</f>
        <v>2.7113806635747415</v>
      </c>
    </row>
    <row r="267" spans="1:22" s="34" customFormat="1" x14ac:dyDescent="0.25">
      <c r="A267" s="11" t="s">
        <v>73</v>
      </c>
      <c r="B267" s="30" t="s">
        <v>763</v>
      </c>
      <c r="C267" s="11">
        <v>200</v>
      </c>
      <c r="D267" s="11">
        <v>0.05</v>
      </c>
      <c r="E267" s="11">
        <v>5</v>
      </c>
      <c r="F267" s="12" t="s">
        <v>13</v>
      </c>
      <c r="G267" s="12" t="s">
        <v>14</v>
      </c>
      <c r="H267" s="140">
        <v>1431</v>
      </c>
      <c r="I267" s="140">
        <v>0.17200000002048901</v>
      </c>
      <c r="J267" s="147">
        <v>0</v>
      </c>
      <c r="K267" s="151">
        <v>1285</v>
      </c>
      <c r="L267" s="153">
        <v>114</v>
      </c>
      <c r="M267" s="153">
        <v>0</v>
      </c>
      <c r="N267" s="145">
        <f>(((Tabela136[[#This Row],[Objetive value Similarity]]-Tabela136[[#This Row],[Objetive value Similarity/GATeS]])/Tabela136[[#This Row],[Objetive value Similarity]]))*100</f>
        <v>10.202655485674354</v>
      </c>
      <c r="O267" s="23">
        <v>1285</v>
      </c>
      <c r="P267" s="53">
        <v>0.3</v>
      </c>
      <c r="Q267" s="53">
        <v>0</v>
      </c>
      <c r="R267" s="55">
        <f>(((Tabela136[[#This Row],[Objetive value Similarity]]-Tabela136[[#This Row],[Objetive value Similarity/H-R1    ]])/Tabela136[[#This Row],[Objetive value Similarity]]))*100</f>
        <v>10.202655485674354</v>
      </c>
      <c r="S267" s="96">
        <v>1285</v>
      </c>
      <c r="T267" s="21">
        <v>0.34</v>
      </c>
      <c r="U267" s="21">
        <v>0</v>
      </c>
      <c r="V267" s="144">
        <f>(((Tabela136[[#This Row],[Objetive value Similarity]]-Tabela136[[#This Row],[Objetive value Similarity/H-R2]])/Tabela136[[#This Row],[Objetive value Similarity]]))*100</f>
        <v>10.202655485674354</v>
      </c>
    </row>
    <row r="268" spans="1:22" s="34" customFormat="1" x14ac:dyDescent="0.25">
      <c r="A268" s="11" t="s">
        <v>73</v>
      </c>
      <c r="B268" s="12" t="s">
        <v>764</v>
      </c>
      <c r="C268" s="11">
        <v>200</v>
      </c>
      <c r="D268" s="11">
        <v>0.05</v>
      </c>
      <c r="E268" s="11">
        <v>5</v>
      </c>
      <c r="F268" s="12" t="s">
        <v>13</v>
      </c>
      <c r="G268" s="12" t="s">
        <v>16</v>
      </c>
      <c r="H268" s="140">
        <v>1419</v>
      </c>
      <c r="I268" s="140">
        <v>0.15700000000651901</v>
      </c>
      <c r="J268" s="147">
        <v>0</v>
      </c>
      <c r="K268" s="151">
        <v>1416</v>
      </c>
      <c r="L268" s="153">
        <v>3</v>
      </c>
      <c r="M268" s="153">
        <v>2</v>
      </c>
      <c r="N268" s="145">
        <f>(((Tabela136[[#This Row],[Objetive value Similarity]]-Tabela136[[#This Row],[Objetive value Similarity/GATeS]])/Tabela136[[#This Row],[Objetive value Similarity]]))*100</f>
        <v>0.21141649048625794</v>
      </c>
      <c r="O268" s="23">
        <v>1419</v>
      </c>
      <c r="P268" s="53">
        <v>0.37</v>
      </c>
      <c r="Q268" s="53">
        <v>0</v>
      </c>
      <c r="R268" s="55">
        <f>(((Tabela136[[#This Row],[Objetive value Similarity]]-Tabela136[[#This Row],[Objetive value Similarity/H-R1    ]])/Tabela136[[#This Row],[Objetive value Similarity]]))*100</f>
        <v>0</v>
      </c>
      <c r="S268" s="96">
        <v>1419</v>
      </c>
      <c r="T268" s="21">
        <v>0.5</v>
      </c>
      <c r="U268" s="21">
        <v>0</v>
      </c>
      <c r="V268" s="144">
        <f>(((Tabela136[[#This Row],[Objetive value Similarity]]-Tabela136[[#This Row],[Objetive value Similarity/H-R2]])/Tabela136[[#This Row],[Objetive value Similarity]]))*100</f>
        <v>0</v>
      </c>
    </row>
    <row r="269" spans="1:22" s="34" customFormat="1" x14ac:dyDescent="0.25">
      <c r="A269" s="11" t="s">
        <v>73</v>
      </c>
      <c r="B269" s="12" t="s">
        <v>765</v>
      </c>
      <c r="C269" s="11">
        <v>200</v>
      </c>
      <c r="D269" s="11">
        <v>0.05</v>
      </c>
      <c r="E269" s="11">
        <v>5</v>
      </c>
      <c r="F269" s="12" t="s">
        <v>18</v>
      </c>
      <c r="G269" s="12" t="s">
        <v>14</v>
      </c>
      <c r="H269" s="140">
        <v>1754</v>
      </c>
      <c r="I269" s="140">
        <v>0.125</v>
      </c>
      <c r="J269" s="147">
        <v>0</v>
      </c>
      <c r="K269" s="151">
        <v>1748</v>
      </c>
      <c r="L269" s="153">
        <v>4</v>
      </c>
      <c r="M269" s="153">
        <v>3</v>
      </c>
      <c r="N269" s="145">
        <f>(((Tabela136[[#This Row],[Objetive value Similarity]]-Tabela136[[#This Row],[Objetive value Similarity/GATeS]])/Tabela136[[#This Row],[Objetive value Similarity]]))*100</f>
        <v>0.34207525655644244</v>
      </c>
      <c r="O269" s="23">
        <v>1754</v>
      </c>
      <c r="P269" s="53">
        <v>0.32</v>
      </c>
      <c r="Q269" s="53">
        <v>0</v>
      </c>
      <c r="R269" s="55">
        <f>(((Tabela136[[#This Row],[Objetive value Similarity]]-Tabela136[[#This Row],[Objetive value Similarity/H-R1    ]])/Tabela136[[#This Row],[Objetive value Similarity]]))*100</f>
        <v>0</v>
      </c>
      <c r="S269" s="96">
        <v>1614</v>
      </c>
      <c r="T269" s="21">
        <v>0.46</v>
      </c>
      <c r="U269" s="21">
        <v>0</v>
      </c>
      <c r="V269" s="144">
        <f>(((Tabela136[[#This Row],[Objetive value Similarity]]-Tabela136[[#This Row],[Objetive value Similarity/H-R2]])/Tabela136[[#This Row],[Objetive value Similarity]]))*100</f>
        <v>7.9817559863169896</v>
      </c>
    </row>
    <row r="270" spans="1:22" s="34" customFormat="1" x14ac:dyDescent="0.25">
      <c r="A270" s="11" t="s">
        <v>73</v>
      </c>
      <c r="B270" s="12" t="s">
        <v>766</v>
      </c>
      <c r="C270" s="11">
        <v>200</v>
      </c>
      <c r="D270" s="11">
        <v>0.05</v>
      </c>
      <c r="E270" s="11">
        <v>5</v>
      </c>
      <c r="F270" s="12" t="s">
        <v>18</v>
      </c>
      <c r="G270" s="12" t="s">
        <v>16</v>
      </c>
      <c r="H270" s="140">
        <v>1243</v>
      </c>
      <c r="I270" s="140">
        <v>0.125</v>
      </c>
      <c r="J270" s="147">
        <v>0</v>
      </c>
      <c r="K270" s="151">
        <v>1243</v>
      </c>
      <c r="L270" s="153">
        <v>4</v>
      </c>
      <c r="M270" s="153">
        <v>2</v>
      </c>
      <c r="N270" s="145">
        <f>(((Tabela136[[#This Row],[Objetive value Similarity]]-Tabela136[[#This Row],[Objetive value Similarity/GATeS]])/Tabela136[[#This Row],[Objetive value Similarity]]))*100</f>
        <v>0</v>
      </c>
      <c r="O270" s="23">
        <v>1243</v>
      </c>
      <c r="P270" s="53">
        <v>0.25</v>
      </c>
      <c r="Q270" s="53">
        <v>0</v>
      </c>
      <c r="R270" s="55">
        <f>(((Tabela136[[#This Row],[Objetive value Similarity]]-Tabela136[[#This Row],[Objetive value Similarity/H-R1    ]])/Tabela136[[#This Row],[Objetive value Similarity]]))*100</f>
        <v>0</v>
      </c>
      <c r="S270" s="96">
        <v>1243</v>
      </c>
      <c r="T270" s="21">
        <v>0.28999999999999998</v>
      </c>
      <c r="U270" s="21">
        <v>0</v>
      </c>
      <c r="V270" s="144">
        <f>(((Tabela136[[#This Row],[Objetive value Similarity]]-Tabela136[[#This Row],[Objetive value Similarity/H-R2]])/Tabela136[[#This Row],[Objetive value Similarity]]))*100</f>
        <v>0</v>
      </c>
    </row>
    <row r="271" spans="1:22" s="34" customFormat="1" x14ac:dyDescent="0.25">
      <c r="A271" s="11" t="s">
        <v>73</v>
      </c>
      <c r="B271" s="12" t="s">
        <v>767</v>
      </c>
      <c r="C271" s="11">
        <v>200</v>
      </c>
      <c r="D271" s="11">
        <v>0.05</v>
      </c>
      <c r="E271" s="11">
        <v>5</v>
      </c>
      <c r="F271" s="12" t="s">
        <v>21</v>
      </c>
      <c r="G271" s="12" t="s">
        <v>14</v>
      </c>
      <c r="H271" s="140">
        <v>1259</v>
      </c>
      <c r="I271" s="140">
        <v>0.140999999945051</v>
      </c>
      <c r="J271" s="147">
        <v>0</v>
      </c>
      <c r="K271" s="151">
        <v>1259</v>
      </c>
      <c r="L271" s="153">
        <v>3</v>
      </c>
      <c r="M271" s="153">
        <v>0</v>
      </c>
      <c r="N271" s="145">
        <f>(((Tabela136[[#This Row],[Objetive value Similarity]]-Tabela136[[#This Row],[Objetive value Similarity/GATeS]])/Tabela136[[#This Row],[Objetive value Similarity]]))*100</f>
        <v>0</v>
      </c>
      <c r="O271" s="23">
        <v>1201</v>
      </c>
      <c r="P271" s="53">
        <v>0.43</v>
      </c>
      <c r="Q271" s="53">
        <v>0</v>
      </c>
      <c r="R271" s="55">
        <f>(((Tabela136[[#This Row],[Objetive value Similarity]]-Tabela136[[#This Row],[Objetive value Similarity/H-R1    ]])/Tabela136[[#This Row],[Objetive value Similarity]]))*100</f>
        <v>4.6068308181096107</v>
      </c>
      <c r="S271" s="96">
        <v>1259</v>
      </c>
      <c r="T271" s="21">
        <v>0.64</v>
      </c>
      <c r="U271" s="21">
        <v>0</v>
      </c>
      <c r="V271" s="144">
        <f>(((Tabela136[[#This Row],[Objetive value Similarity]]-Tabela136[[#This Row],[Objetive value Similarity/H-R2]])/Tabela136[[#This Row],[Objetive value Similarity]]))*100</f>
        <v>0</v>
      </c>
    </row>
    <row r="272" spans="1:22" s="34" customFormat="1" x14ac:dyDescent="0.25">
      <c r="A272" s="11" t="s">
        <v>73</v>
      </c>
      <c r="B272" s="12" t="s">
        <v>768</v>
      </c>
      <c r="C272" s="11">
        <v>200</v>
      </c>
      <c r="D272" s="11">
        <v>0.05</v>
      </c>
      <c r="E272" s="11">
        <v>5</v>
      </c>
      <c r="F272" s="12" t="s">
        <v>21</v>
      </c>
      <c r="G272" s="12" t="s">
        <v>16</v>
      </c>
      <c r="H272" s="140">
        <v>1403</v>
      </c>
      <c r="I272" s="140">
        <v>9.4000000040978193E-2</v>
      </c>
      <c r="J272" s="147">
        <v>0</v>
      </c>
      <c r="K272" s="151">
        <v>1403</v>
      </c>
      <c r="L272" s="153">
        <v>3</v>
      </c>
      <c r="M272" s="153">
        <v>0</v>
      </c>
      <c r="N272" s="145">
        <f>(((Tabela136[[#This Row],[Objetive value Similarity]]-Tabela136[[#This Row],[Objetive value Similarity/GATeS]])/Tabela136[[#This Row],[Objetive value Similarity]]))*100</f>
        <v>0</v>
      </c>
      <c r="O272" s="23">
        <v>1403</v>
      </c>
      <c r="P272" s="53">
        <v>0.22</v>
      </c>
      <c r="Q272" s="53">
        <v>0</v>
      </c>
      <c r="R272" s="55">
        <f>(((Tabela136[[#This Row],[Objetive value Similarity]]-Tabela136[[#This Row],[Objetive value Similarity/H-R1    ]])/Tabela136[[#This Row],[Objetive value Similarity]]))*100</f>
        <v>0</v>
      </c>
      <c r="S272" s="96">
        <v>1403</v>
      </c>
      <c r="T272" s="21">
        <v>0.36</v>
      </c>
      <c r="U272" s="21">
        <v>0</v>
      </c>
      <c r="V272" s="144">
        <f>(((Tabela136[[#This Row],[Objetive value Similarity]]-Tabela136[[#This Row],[Objetive value Similarity/H-R2]])/Tabela136[[#This Row],[Objetive value Similarity]]))*100</f>
        <v>0</v>
      </c>
    </row>
    <row r="273" spans="1:22" s="34" customFormat="1" x14ac:dyDescent="0.25">
      <c r="A273" s="29" t="s">
        <v>148</v>
      </c>
      <c r="B273" s="12" t="s">
        <v>841</v>
      </c>
      <c r="C273" s="11">
        <v>300</v>
      </c>
      <c r="D273" s="24">
        <v>0.1</v>
      </c>
      <c r="E273" s="11">
        <v>10</v>
      </c>
      <c r="F273" s="12" t="s">
        <v>13</v>
      </c>
      <c r="G273" s="12" t="s">
        <v>14</v>
      </c>
      <c r="H273" s="140">
        <v>5875</v>
      </c>
      <c r="I273" s="140">
        <v>0.48400000005494798</v>
      </c>
      <c r="J273" s="147">
        <v>0</v>
      </c>
      <c r="K273" s="151">
        <v>5561</v>
      </c>
      <c r="L273" s="153">
        <v>121</v>
      </c>
      <c r="M273" s="153">
        <v>2</v>
      </c>
      <c r="N273" s="145">
        <f>(((Tabela136[[#This Row],[Objetive value Similarity]]-Tabela136[[#This Row],[Objetive value Similarity/GATeS]])/Tabela136[[#This Row],[Objetive value Similarity]]))*100</f>
        <v>5.3446808510638304</v>
      </c>
      <c r="O273" s="23">
        <v>5528</v>
      </c>
      <c r="P273" s="53">
        <v>0.59</v>
      </c>
      <c r="Q273" s="53">
        <v>0</v>
      </c>
      <c r="R273" s="55">
        <f>(((Tabela136[[#This Row],[Objetive value Similarity]]-Tabela136[[#This Row],[Objetive value Similarity/H-R1    ]])/Tabela136[[#This Row],[Objetive value Similarity]]))*100</f>
        <v>5.9063829787234043</v>
      </c>
      <c r="S273" s="96">
        <v>4895</v>
      </c>
      <c r="T273" s="21">
        <v>0.39</v>
      </c>
      <c r="U273" s="21">
        <v>0</v>
      </c>
      <c r="V273" s="144">
        <f>(((Tabela136[[#This Row],[Objetive value Similarity]]-Tabela136[[#This Row],[Objetive value Similarity/H-R2]])/Tabela136[[#This Row],[Objetive value Similarity]]))*100</f>
        <v>16.680851063829788</v>
      </c>
    </row>
    <row r="274" spans="1:22" s="34" customFormat="1" x14ac:dyDescent="0.25">
      <c r="A274" s="11" t="s">
        <v>148</v>
      </c>
      <c r="B274" s="12" t="s">
        <v>842</v>
      </c>
      <c r="C274" s="11">
        <v>300</v>
      </c>
      <c r="D274" s="24">
        <v>0.1</v>
      </c>
      <c r="E274" s="11">
        <v>10</v>
      </c>
      <c r="F274" s="12" t="s">
        <v>13</v>
      </c>
      <c r="G274" s="12" t="s">
        <v>16</v>
      </c>
      <c r="H274" s="140">
        <v>3278</v>
      </c>
      <c r="I274" s="140">
        <v>2.48399999993853</v>
      </c>
      <c r="J274" s="147">
        <v>0</v>
      </c>
      <c r="K274" s="151">
        <v>3252</v>
      </c>
      <c r="L274" s="153">
        <v>16</v>
      </c>
      <c r="M274" s="153">
        <v>10</v>
      </c>
      <c r="N274" s="145">
        <f>(((Tabela136[[#This Row],[Objetive value Similarity]]-Tabela136[[#This Row],[Objetive value Similarity/GATeS]])/Tabela136[[#This Row],[Objetive value Similarity]]))*100</f>
        <v>0.79316656497864546</v>
      </c>
      <c r="O274" s="23">
        <v>3231</v>
      </c>
      <c r="P274" s="53">
        <v>0.79</v>
      </c>
      <c r="Q274" s="53">
        <v>0</v>
      </c>
      <c r="R274" s="55">
        <f>(((Tabela136[[#This Row],[Objetive value Similarity]]-Tabela136[[#This Row],[Objetive value Similarity/H-R1    ]])/Tabela136[[#This Row],[Objetive value Similarity]]))*100</f>
        <v>1.4338010982306284</v>
      </c>
      <c r="S274" s="96">
        <v>3090</v>
      </c>
      <c r="T274" s="21">
        <v>0.53</v>
      </c>
      <c r="U274" s="21">
        <v>0</v>
      </c>
      <c r="V274" s="144">
        <f>(((Tabela136[[#This Row],[Objetive value Similarity]]-Tabela136[[#This Row],[Objetive value Similarity/H-R2]])/Tabela136[[#This Row],[Objetive value Similarity]]))*100</f>
        <v>5.7352043929225136</v>
      </c>
    </row>
    <row r="275" spans="1:22" s="34" customFormat="1" x14ac:dyDescent="0.25">
      <c r="A275" s="11" t="s">
        <v>148</v>
      </c>
      <c r="B275" s="12" t="s">
        <v>843</v>
      </c>
      <c r="C275" s="11">
        <v>300</v>
      </c>
      <c r="D275" s="24">
        <v>0.1</v>
      </c>
      <c r="E275" s="11">
        <v>10</v>
      </c>
      <c r="F275" s="11" t="s">
        <v>18</v>
      </c>
      <c r="G275" s="12" t="s">
        <v>14</v>
      </c>
      <c r="H275" s="140">
        <v>6215</v>
      </c>
      <c r="I275" s="140">
        <v>0.34400000004097803</v>
      </c>
      <c r="J275" s="147">
        <v>0</v>
      </c>
      <c r="K275" s="151">
        <v>6201</v>
      </c>
      <c r="L275" s="153">
        <v>17</v>
      </c>
      <c r="M275" s="153">
        <v>6</v>
      </c>
      <c r="N275" s="145">
        <f>(((Tabela136[[#This Row],[Objetive value Similarity]]-Tabela136[[#This Row],[Objetive value Similarity/GATeS]])/Tabela136[[#This Row],[Objetive value Similarity]]))*100</f>
        <v>0.22526146419951731</v>
      </c>
      <c r="O275" s="23">
        <v>5955</v>
      </c>
      <c r="P275" s="53">
        <v>0.55000000000000004</v>
      </c>
      <c r="Q275" s="53">
        <v>0</v>
      </c>
      <c r="R275" s="55">
        <f>(((Tabela136[[#This Row],[Objetive value Similarity]]-Tabela136[[#This Row],[Objetive value Similarity/H-R1    ]])/Tabela136[[#This Row],[Objetive value Similarity]]))*100</f>
        <v>4.1834271922767501</v>
      </c>
      <c r="S275" s="96">
        <v>6004</v>
      </c>
      <c r="T275" s="21">
        <v>0.56999999999999995</v>
      </c>
      <c r="U275" s="21">
        <v>0</v>
      </c>
      <c r="V275" s="144">
        <f>(((Tabela136[[#This Row],[Objetive value Similarity]]-Tabela136[[#This Row],[Objetive value Similarity/H-R2]])/Tabela136[[#This Row],[Objetive value Similarity]]))*100</f>
        <v>3.3950120675784392</v>
      </c>
    </row>
    <row r="276" spans="1:22" s="34" customFormat="1" x14ac:dyDescent="0.25">
      <c r="A276" s="11" t="s">
        <v>148</v>
      </c>
      <c r="B276" s="12" t="s">
        <v>844</v>
      </c>
      <c r="C276" s="11">
        <v>300</v>
      </c>
      <c r="D276" s="24">
        <v>0.1</v>
      </c>
      <c r="E276" s="11">
        <v>10</v>
      </c>
      <c r="F276" s="11" t="s">
        <v>18</v>
      </c>
      <c r="G276" s="12" t="s">
        <v>16</v>
      </c>
      <c r="H276" s="140">
        <v>3830</v>
      </c>
      <c r="I276" s="140">
        <v>0.89000000001396895</v>
      </c>
      <c r="J276" s="147">
        <v>0</v>
      </c>
      <c r="K276" s="151">
        <v>3820</v>
      </c>
      <c r="L276" s="153">
        <v>14</v>
      </c>
      <c r="M276" s="153">
        <v>0</v>
      </c>
      <c r="N276" s="145">
        <f>(((Tabela136[[#This Row],[Objetive value Similarity]]-Tabela136[[#This Row],[Objetive value Similarity/GATeS]])/Tabela136[[#This Row],[Objetive value Similarity]]))*100</f>
        <v>0.26109660574412535</v>
      </c>
      <c r="O276" s="23">
        <v>3830</v>
      </c>
      <c r="P276" s="53">
        <v>0.86</v>
      </c>
      <c r="Q276" s="53">
        <v>0</v>
      </c>
      <c r="R276" s="55">
        <f>(((Tabela136[[#This Row],[Objetive value Similarity]]-Tabela136[[#This Row],[Objetive value Similarity/H-R1    ]])/Tabela136[[#This Row],[Objetive value Similarity]]))*100</f>
        <v>0</v>
      </c>
      <c r="S276" s="96">
        <v>3830</v>
      </c>
      <c r="T276" s="21">
        <v>0.59</v>
      </c>
      <c r="U276" s="21">
        <v>0</v>
      </c>
      <c r="V276" s="144">
        <f>(((Tabela136[[#This Row],[Objetive value Similarity]]-Tabela136[[#This Row],[Objetive value Similarity/H-R2]])/Tabela136[[#This Row],[Objetive value Similarity]]))*100</f>
        <v>0</v>
      </c>
    </row>
    <row r="277" spans="1:22" s="34" customFormat="1" x14ac:dyDescent="0.25">
      <c r="A277" s="11" t="s">
        <v>148</v>
      </c>
      <c r="B277" s="12" t="s">
        <v>845</v>
      </c>
      <c r="C277" s="11">
        <v>300</v>
      </c>
      <c r="D277" s="24">
        <v>0.1</v>
      </c>
      <c r="E277" s="11">
        <v>10</v>
      </c>
      <c r="F277" s="12" t="s">
        <v>21</v>
      </c>
      <c r="G277" s="12" t="s">
        <v>14</v>
      </c>
      <c r="H277" s="140">
        <v>4149</v>
      </c>
      <c r="I277" s="140">
        <v>0.219000000040978</v>
      </c>
      <c r="J277" s="147">
        <v>0</v>
      </c>
      <c r="K277" s="151">
        <v>4137</v>
      </c>
      <c r="L277" s="153">
        <v>9</v>
      </c>
      <c r="M277" s="153">
        <v>1</v>
      </c>
      <c r="N277" s="145">
        <f>(((Tabela136[[#This Row],[Objetive value Similarity]]-Tabela136[[#This Row],[Objetive value Similarity/GATeS]])/Tabela136[[#This Row],[Objetive value Similarity]]))*100</f>
        <v>0.28922631959508316</v>
      </c>
      <c r="O277" s="23">
        <v>4014</v>
      </c>
      <c r="P277" s="53">
        <v>1.43</v>
      </c>
      <c r="Q277" s="53">
        <v>0</v>
      </c>
      <c r="R277" s="55">
        <f>(((Tabela136[[#This Row],[Objetive value Similarity]]-Tabela136[[#This Row],[Objetive value Similarity/H-R1    ]])/Tabela136[[#This Row],[Objetive value Similarity]]))*100</f>
        <v>3.2537960954446854</v>
      </c>
      <c r="S277" s="96">
        <v>2327</v>
      </c>
      <c r="T277" s="21">
        <v>1.86</v>
      </c>
      <c r="U277" s="21">
        <v>0</v>
      </c>
      <c r="V277" s="144">
        <f>(((Tabela136[[#This Row],[Objetive value Similarity]]-Tabela136[[#This Row],[Objetive value Similarity/H-R2]])/Tabela136[[#This Row],[Objetive value Similarity]]))*100</f>
        <v>43.914196191853463</v>
      </c>
    </row>
    <row r="278" spans="1:22" s="34" customFormat="1" x14ac:dyDescent="0.25">
      <c r="A278" s="11" t="s">
        <v>148</v>
      </c>
      <c r="B278" s="12" t="s">
        <v>846</v>
      </c>
      <c r="C278" s="11">
        <v>300</v>
      </c>
      <c r="D278" s="24">
        <v>0.1</v>
      </c>
      <c r="E278" s="11">
        <v>10</v>
      </c>
      <c r="F278" s="12" t="s">
        <v>21</v>
      </c>
      <c r="G278" s="12" t="s">
        <v>16</v>
      </c>
      <c r="H278" s="140">
        <v>3458</v>
      </c>
      <c r="I278" s="140">
        <v>1.35899999993853</v>
      </c>
      <c r="J278" s="147">
        <v>0</v>
      </c>
      <c r="K278" s="151">
        <v>3394</v>
      </c>
      <c r="L278" s="153">
        <v>339</v>
      </c>
      <c r="M278" s="153">
        <v>6</v>
      </c>
      <c r="N278" s="145">
        <f>(((Tabela136[[#This Row],[Objetive value Similarity]]-Tabela136[[#This Row],[Objetive value Similarity/GATeS]])/Tabela136[[#This Row],[Objetive value Similarity]]))*100</f>
        <v>1.850780798149219</v>
      </c>
      <c r="O278" s="23">
        <v>3160</v>
      </c>
      <c r="P278" s="53">
        <v>0.64</v>
      </c>
      <c r="Q278" s="53">
        <v>0</v>
      </c>
      <c r="R278" s="55">
        <f>(((Tabela136[[#This Row],[Objetive value Similarity]]-Tabela136[[#This Row],[Objetive value Similarity/H-R1    ]])/Tabela136[[#This Row],[Objetive value Similarity]]))*100</f>
        <v>8.6176980913823016</v>
      </c>
      <c r="S278" s="96">
        <v>3205</v>
      </c>
      <c r="T278" s="21">
        <v>0.56000000000000005</v>
      </c>
      <c r="U278" s="21">
        <v>0</v>
      </c>
      <c r="V278" s="144">
        <f>(((Tabela136[[#This Row],[Objetive value Similarity]]-Tabela136[[#This Row],[Objetive value Similarity/H-R2]])/Tabela136[[#This Row],[Objetive value Similarity]]))*100</f>
        <v>7.3163678426836327</v>
      </c>
    </row>
    <row r="279" spans="1:22" s="34" customFormat="1" x14ac:dyDescent="0.25">
      <c r="A279" s="29" t="s">
        <v>167</v>
      </c>
      <c r="B279" s="12" t="s">
        <v>859</v>
      </c>
      <c r="C279" s="11">
        <v>300</v>
      </c>
      <c r="D279" s="24">
        <v>0.1</v>
      </c>
      <c r="E279" s="11">
        <v>15</v>
      </c>
      <c r="F279" s="12" t="s">
        <v>13</v>
      </c>
      <c r="G279" s="12" t="s">
        <v>14</v>
      </c>
      <c r="H279" s="140">
        <v>8855</v>
      </c>
      <c r="I279" s="140">
        <v>1.5</v>
      </c>
      <c r="J279" s="147">
        <v>30.34</v>
      </c>
      <c r="K279" s="151">
        <v>8498</v>
      </c>
      <c r="L279" s="153">
        <v>126</v>
      </c>
      <c r="M279" s="153">
        <v>113</v>
      </c>
      <c r="N279" s="145">
        <f>(((Tabela136[[#This Row],[Objetive value Similarity]]-Tabela136[[#This Row],[Objetive value Similarity/GATeS]])/Tabela136[[#This Row],[Objetive value Similarity]]))*100</f>
        <v>4.0316205533596845</v>
      </c>
      <c r="O279" s="23">
        <v>8436</v>
      </c>
      <c r="P279" s="53">
        <v>0.55000000000000004</v>
      </c>
      <c r="Q279" s="53">
        <v>0</v>
      </c>
      <c r="R279" s="55">
        <f>(((Tabela136[[#This Row],[Objetive value Similarity]]-Tabela136[[#This Row],[Objetive value Similarity/H-R1    ]])/Tabela136[[#This Row],[Objetive value Similarity]]))*100</f>
        <v>4.7317899491812536</v>
      </c>
      <c r="S279" s="96">
        <v>8193</v>
      </c>
      <c r="T279" s="21">
        <v>0.51</v>
      </c>
      <c r="U279" s="21">
        <v>0</v>
      </c>
      <c r="V279" s="144">
        <f>(((Tabela136[[#This Row],[Objetive value Similarity]]-Tabela136[[#This Row],[Objetive value Similarity/H-R2]])/Tabela136[[#This Row],[Objetive value Similarity]]))*100</f>
        <v>7.4760022586109542</v>
      </c>
    </row>
    <row r="280" spans="1:22" s="34" customFormat="1" x14ac:dyDescent="0.25">
      <c r="A280" s="11" t="s">
        <v>167</v>
      </c>
      <c r="B280" s="12" t="s">
        <v>860</v>
      </c>
      <c r="C280" s="11">
        <v>300</v>
      </c>
      <c r="D280" s="24">
        <v>0.1</v>
      </c>
      <c r="E280" s="11">
        <v>15</v>
      </c>
      <c r="F280" s="12" t="s">
        <v>13</v>
      </c>
      <c r="G280" s="12" t="s">
        <v>16</v>
      </c>
      <c r="H280" s="140">
        <v>5101</v>
      </c>
      <c r="I280" s="140">
        <v>13.7190000000409</v>
      </c>
      <c r="J280" s="147">
        <v>0.02</v>
      </c>
      <c r="K280" s="151">
        <v>5023</v>
      </c>
      <c r="L280" s="153">
        <v>29</v>
      </c>
      <c r="M280" s="153">
        <v>5</v>
      </c>
      <c r="N280" s="145">
        <f>(((Tabela136[[#This Row],[Objetive value Similarity]]-Tabela136[[#This Row],[Objetive value Similarity/GATeS]])/Tabela136[[#This Row],[Objetive value Similarity]]))*100</f>
        <v>1.5291119388355225</v>
      </c>
      <c r="O280" s="23">
        <v>5082</v>
      </c>
      <c r="P280" s="53">
        <v>1.1499999999999999</v>
      </c>
      <c r="Q280" s="53">
        <v>0</v>
      </c>
      <c r="R280" s="55">
        <f>(((Tabela136[[#This Row],[Objetive value Similarity]]-Tabela136[[#This Row],[Objetive value Similarity/H-R1    ]])/Tabela136[[#This Row],[Objetive value Similarity]]))*100</f>
        <v>0.37247598510096058</v>
      </c>
      <c r="S280" s="96">
        <v>4927</v>
      </c>
      <c r="T280" s="21">
        <v>0.82</v>
      </c>
      <c r="U280" s="21">
        <v>0</v>
      </c>
      <c r="V280" s="144">
        <f>(((Tabela136[[#This Row],[Objetive value Similarity]]-Tabela136[[#This Row],[Objetive value Similarity/H-R2]])/Tabela136[[#This Row],[Objetive value Similarity]]))*100</f>
        <v>3.4110958635561657</v>
      </c>
    </row>
    <row r="281" spans="1:22" s="34" customFormat="1" x14ac:dyDescent="0.25">
      <c r="A281" s="11" t="s">
        <v>167</v>
      </c>
      <c r="B281" s="12" t="s">
        <v>861</v>
      </c>
      <c r="C281" s="11">
        <v>300</v>
      </c>
      <c r="D281" s="24">
        <v>0.1</v>
      </c>
      <c r="E281" s="11">
        <v>15</v>
      </c>
      <c r="F281" s="11" t="s">
        <v>18</v>
      </c>
      <c r="G281" s="12" t="s">
        <v>14</v>
      </c>
      <c r="H281" s="140">
        <v>9382</v>
      </c>
      <c r="I281" s="140">
        <v>2.2190000000409702</v>
      </c>
      <c r="J281" s="147">
        <v>28.36</v>
      </c>
      <c r="K281" s="151">
        <v>9280</v>
      </c>
      <c r="L281" s="153">
        <v>18</v>
      </c>
      <c r="M281" s="153">
        <v>9</v>
      </c>
      <c r="N281" s="145">
        <f>(((Tabela136[[#This Row],[Objetive value Similarity]]-Tabela136[[#This Row],[Objetive value Similarity/GATeS]])/Tabela136[[#This Row],[Objetive value Similarity]]))*100</f>
        <v>1.0871882327861864</v>
      </c>
      <c r="O281" s="23">
        <v>9163</v>
      </c>
      <c r="P281" s="53">
        <v>0.68</v>
      </c>
      <c r="Q281" s="53">
        <v>0</v>
      </c>
      <c r="R281" s="55">
        <f>(((Tabela136[[#This Row],[Objetive value Similarity]]-Tabela136[[#This Row],[Objetive value Similarity/H-R1    ]])/Tabela136[[#This Row],[Objetive value Similarity]]))*100</f>
        <v>2.3342570880409292</v>
      </c>
      <c r="S281" s="96">
        <v>8964</v>
      </c>
      <c r="T281" s="21">
        <v>0.57999999999999996</v>
      </c>
      <c r="U281" s="21">
        <v>0</v>
      </c>
      <c r="V281" s="144">
        <f>(((Tabela136[[#This Row],[Objetive value Similarity]]-Tabela136[[#This Row],[Objetive value Similarity/H-R2]])/Tabela136[[#This Row],[Objetive value Similarity]]))*100</f>
        <v>4.4553400127904501</v>
      </c>
    </row>
    <row r="282" spans="1:22" s="34" customFormat="1" x14ac:dyDescent="0.25">
      <c r="A282" s="11" t="s">
        <v>167</v>
      </c>
      <c r="B282" s="12" t="s">
        <v>862</v>
      </c>
      <c r="C282" s="11">
        <v>300</v>
      </c>
      <c r="D282" s="24">
        <v>0.1</v>
      </c>
      <c r="E282" s="11">
        <v>15</v>
      </c>
      <c r="F282" s="11" t="s">
        <v>18</v>
      </c>
      <c r="G282" s="12" t="s">
        <v>16</v>
      </c>
      <c r="H282" s="140">
        <v>5229</v>
      </c>
      <c r="I282" s="140">
        <v>13.593999999924501</v>
      </c>
      <c r="J282" s="147">
        <v>0.01</v>
      </c>
      <c r="K282" s="151">
        <v>5191</v>
      </c>
      <c r="L282" s="153">
        <v>33</v>
      </c>
      <c r="M282" s="153">
        <v>11</v>
      </c>
      <c r="N282" s="145">
        <f>(((Tabela136[[#This Row],[Objetive value Similarity]]-Tabela136[[#This Row],[Objetive value Similarity/GATeS]])/Tabela136[[#This Row],[Objetive value Similarity]]))*100</f>
        <v>0.72671638936699179</v>
      </c>
      <c r="O282" s="23">
        <v>5219</v>
      </c>
      <c r="P282" s="53">
        <v>0.49</v>
      </c>
      <c r="Q282" s="53">
        <v>0</v>
      </c>
      <c r="R282" s="55">
        <f>(((Tabela136[[#This Row],[Objetive value Similarity]]-Tabela136[[#This Row],[Objetive value Similarity/H-R1    ]])/Tabela136[[#This Row],[Objetive value Similarity]]))*100</f>
        <v>0.19124115509657677</v>
      </c>
      <c r="S282" s="96">
        <v>5006</v>
      </c>
      <c r="T282" s="21">
        <v>0.75</v>
      </c>
      <c r="U282" s="21">
        <v>0</v>
      </c>
      <c r="V282" s="144">
        <f>(((Tabela136[[#This Row],[Objetive value Similarity]]-Tabela136[[#This Row],[Objetive value Similarity/H-R2]])/Tabela136[[#This Row],[Objetive value Similarity]]))*100</f>
        <v>4.2646777586536624</v>
      </c>
    </row>
    <row r="283" spans="1:22" s="34" customFormat="1" x14ac:dyDescent="0.25">
      <c r="A283" s="11" t="s">
        <v>167</v>
      </c>
      <c r="B283" s="12" t="s">
        <v>863</v>
      </c>
      <c r="C283" s="11">
        <v>300</v>
      </c>
      <c r="D283" s="24">
        <v>0.1</v>
      </c>
      <c r="E283" s="11">
        <v>15</v>
      </c>
      <c r="F283" s="12" t="s">
        <v>21</v>
      </c>
      <c r="G283" s="12" t="s">
        <v>14</v>
      </c>
      <c r="H283" s="140">
        <v>4404</v>
      </c>
      <c r="I283" s="140">
        <v>0.375</v>
      </c>
      <c r="J283" s="147">
        <v>0</v>
      </c>
      <c r="K283" s="151">
        <v>4354</v>
      </c>
      <c r="L283" s="153">
        <v>11</v>
      </c>
      <c r="M283" s="153">
        <v>9</v>
      </c>
      <c r="N283" s="145">
        <f>(((Tabela136[[#This Row],[Objetive value Similarity]]-Tabela136[[#This Row],[Objetive value Similarity/GATeS]])/Tabela136[[#This Row],[Objetive value Similarity]]))*100</f>
        <v>1.1353315168029063</v>
      </c>
      <c r="O283" s="23">
        <v>870</v>
      </c>
      <c r="P283" s="53">
        <v>3.15</v>
      </c>
      <c r="Q283" s="53">
        <v>0</v>
      </c>
      <c r="R283" s="55">
        <f>(((Tabela136[[#This Row],[Objetive value Similarity]]-Tabela136[[#This Row],[Objetive value Similarity/H-R1    ]])/Tabela136[[#This Row],[Objetive value Similarity]]))*100</f>
        <v>80.245231607629435</v>
      </c>
      <c r="S283" s="96">
        <v>3794</v>
      </c>
      <c r="T283" s="21">
        <v>2.44</v>
      </c>
      <c r="U283" s="21">
        <v>0</v>
      </c>
      <c r="V283" s="144">
        <f>(((Tabela136[[#This Row],[Objetive value Similarity]]-Tabela136[[#This Row],[Objetive value Similarity/H-R2]])/Tabela136[[#This Row],[Objetive value Similarity]]))*100</f>
        <v>13.851044504995457</v>
      </c>
    </row>
    <row r="284" spans="1:22" s="34" customFormat="1" x14ac:dyDescent="0.25">
      <c r="A284" s="11" t="s">
        <v>167</v>
      </c>
      <c r="B284" s="12" t="s">
        <v>864</v>
      </c>
      <c r="C284" s="11">
        <v>300</v>
      </c>
      <c r="D284" s="24">
        <v>0.1</v>
      </c>
      <c r="E284" s="11">
        <v>15</v>
      </c>
      <c r="F284" s="12" t="s">
        <v>21</v>
      </c>
      <c r="G284" s="12" t="s">
        <v>16</v>
      </c>
      <c r="H284" s="140">
        <v>5198</v>
      </c>
      <c r="I284" s="140">
        <v>7.0790000000270004</v>
      </c>
      <c r="J284" s="147">
        <v>0</v>
      </c>
      <c r="K284" s="151">
        <v>4937</v>
      </c>
      <c r="L284" s="153">
        <v>16</v>
      </c>
      <c r="M284" s="153">
        <v>15</v>
      </c>
      <c r="N284" s="145">
        <f>(((Tabela136[[#This Row],[Objetive value Similarity]]-Tabela136[[#This Row],[Objetive value Similarity/GATeS]])/Tabela136[[#This Row],[Objetive value Similarity]]))*100</f>
        <v>5.0211619853789919</v>
      </c>
      <c r="O284" s="23">
        <v>4876</v>
      </c>
      <c r="P284" s="53">
        <v>0.71</v>
      </c>
      <c r="Q284" s="53">
        <v>0</v>
      </c>
      <c r="R284" s="55">
        <f>(((Tabela136[[#This Row],[Objetive value Similarity]]-Tabela136[[#This Row],[Objetive value Similarity/H-R1    ]])/Tabela136[[#This Row],[Objetive value Similarity]]))*100</f>
        <v>6.1946902654867255</v>
      </c>
      <c r="S284" s="96">
        <v>5098</v>
      </c>
      <c r="T284" s="21">
        <v>0.51</v>
      </c>
      <c r="U284" s="21">
        <v>0</v>
      </c>
      <c r="V284" s="144">
        <f>(((Tabela136[[#This Row],[Objetive value Similarity]]-Tabela136[[#This Row],[Objetive value Similarity/H-R2]])/Tabela136[[#This Row],[Objetive value Similarity]]))*100</f>
        <v>1.9238168526356292</v>
      </c>
    </row>
    <row r="285" spans="1:22" s="34" customFormat="1" x14ac:dyDescent="0.25">
      <c r="A285" s="11" t="s">
        <v>129</v>
      </c>
      <c r="B285" s="30" t="s">
        <v>823</v>
      </c>
      <c r="C285" s="11">
        <v>300</v>
      </c>
      <c r="D285" s="24">
        <v>0.1</v>
      </c>
      <c r="E285" s="11">
        <v>5</v>
      </c>
      <c r="F285" s="12" t="s">
        <v>13</v>
      </c>
      <c r="G285" s="12" t="s">
        <v>14</v>
      </c>
      <c r="H285" s="140">
        <v>2474</v>
      </c>
      <c r="I285" s="140">
        <v>0.155999999959021</v>
      </c>
      <c r="J285" s="147">
        <v>0</v>
      </c>
      <c r="K285" s="151">
        <v>2445</v>
      </c>
      <c r="L285" s="153">
        <v>5</v>
      </c>
      <c r="M285" s="153">
        <v>4</v>
      </c>
      <c r="N285" s="145">
        <f>(((Tabela136[[#This Row],[Objetive value Similarity]]-Tabela136[[#This Row],[Objetive value Similarity/GATeS]])/Tabela136[[#This Row],[Objetive value Similarity]]))*100</f>
        <v>1.1721907841552142</v>
      </c>
      <c r="O285" s="23">
        <v>2474</v>
      </c>
      <c r="P285" s="53">
        <v>0.38</v>
      </c>
      <c r="Q285" s="53">
        <v>0</v>
      </c>
      <c r="R285" s="55">
        <f>(((Tabela136[[#This Row],[Objetive value Similarity]]-Tabela136[[#This Row],[Objetive value Similarity/H-R1    ]])/Tabela136[[#This Row],[Objetive value Similarity]]))*100</f>
        <v>0</v>
      </c>
      <c r="S285" s="96">
        <v>2456</v>
      </c>
      <c r="T285" s="21">
        <v>0.32</v>
      </c>
      <c r="U285" s="21">
        <v>0</v>
      </c>
      <c r="V285" s="144">
        <f>(((Tabela136[[#This Row],[Objetive value Similarity]]-Tabela136[[#This Row],[Objetive value Similarity/H-R2]])/Tabela136[[#This Row],[Objetive value Similarity]]))*100</f>
        <v>0.72756669361358117</v>
      </c>
    </row>
    <row r="286" spans="1:22" s="34" customFormat="1" x14ac:dyDescent="0.25">
      <c r="A286" s="11" t="s">
        <v>129</v>
      </c>
      <c r="B286" s="12" t="s">
        <v>824</v>
      </c>
      <c r="C286" s="11">
        <v>300</v>
      </c>
      <c r="D286" s="24">
        <v>0.1</v>
      </c>
      <c r="E286" s="11">
        <v>5</v>
      </c>
      <c r="F286" s="12" t="s">
        <v>13</v>
      </c>
      <c r="G286" s="12" t="s">
        <v>16</v>
      </c>
      <c r="H286" s="140">
        <v>2098</v>
      </c>
      <c r="I286" s="140">
        <v>0.20299999997950999</v>
      </c>
      <c r="J286" s="147">
        <v>0</v>
      </c>
      <c r="K286" s="151">
        <v>2079</v>
      </c>
      <c r="L286" s="153">
        <v>7</v>
      </c>
      <c r="M286" s="153">
        <v>0</v>
      </c>
      <c r="N286" s="145">
        <f>(((Tabela136[[#This Row],[Objetive value Similarity]]-Tabela136[[#This Row],[Objetive value Similarity/GATeS]])/Tabela136[[#This Row],[Objetive value Similarity]]))*100</f>
        <v>0.90562440419447099</v>
      </c>
      <c r="O286" s="23">
        <v>2098</v>
      </c>
      <c r="P286" s="53">
        <v>0.38</v>
      </c>
      <c r="Q286" s="53">
        <v>0</v>
      </c>
      <c r="R286" s="55">
        <f>(((Tabela136[[#This Row],[Objetive value Similarity]]-Tabela136[[#This Row],[Objetive value Similarity/H-R1    ]])/Tabela136[[#This Row],[Objetive value Similarity]]))*100</f>
        <v>0</v>
      </c>
      <c r="S286" s="96">
        <v>2043</v>
      </c>
      <c r="T286" s="21">
        <v>0.31</v>
      </c>
      <c r="U286" s="21">
        <v>0</v>
      </c>
      <c r="V286" s="144">
        <f>(((Tabela136[[#This Row],[Objetive value Similarity]]-Tabela136[[#This Row],[Objetive value Similarity/H-R2]])/Tabela136[[#This Row],[Objetive value Similarity]]))*100</f>
        <v>2.621544327931363</v>
      </c>
    </row>
    <row r="287" spans="1:22" s="34" customFormat="1" x14ac:dyDescent="0.25">
      <c r="A287" s="11" t="s">
        <v>129</v>
      </c>
      <c r="B287" s="12" t="s">
        <v>825</v>
      </c>
      <c r="C287" s="11">
        <v>300</v>
      </c>
      <c r="D287" s="24">
        <v>0.1</v>
      </c>
      <c r="E287" s="11">
        <v>5</v>
      </c>
      <c r="F287" s="11" t="s">
        <v>18</v>
      </c>
      <c r="G287" s="12" t="s">
        <v>14</v>
      </c>
      <c r="H287" s="140">
        <v>2945</v>
      </c>
      <c r="I287" s="140">
        <v>0.155999999959021</v>
      </c>
      <c r="J287" s="147">
        <v>0</v>
      </c>
      <c r="K287" s="151">
        <v>2939</v>
      </c>
      <c r="L287" s="153">
        <v>9</v>
      </c>
      <c r="M287" s="153">
        <v>4</v>
      </c>
      <c r="N287" s="145">
        <f>(((Tabela136[[#This Row],[Objetive value Similarity]]-Tabela136[[#This Row],[Objetive value Similarity/GATeS]])/Tabela136[[#This Row],[Objetive value Similarity]]))*100</f>
        <v>0.20373514431239387</v>
      </c>
      <c r="O287" s="23">
        <v>2871</v>
      </c>
      <c r="P287" s="53">
        <v>0.36</v>
      </c>
      <c r="Q287" s="53">
        <v>0</v>
      </c>
      <c r="R287" s="55">
        <f>(((Tabela136[[#This Row],[Objetive value Similarity]]-Tabela136[[#This Row],[Objetive value Similarity/H-R1    ]])/Tabela136[[#This Row],[Objetive value Similarity]]))*100</f>
        <v>2.5127334465195243</v>
      </c>
      <c r="S287" s="96">
        <v>2945</v>
      </c>
      <c r="T287" s="21">
        <v>0.3</v>
      </c>
      <c r="U287" s="21">
        <v>0</v>
      </c>
      <c r="V287" s="144">
        <f>(((Tabela136[[#This Row],[Objetive value Similarity]]-Tabela136[[#This Row],[Objetive value Similarity/H-R2]])/Tabela136[[#This Row],[Objetive value Similarity]]))*100</f>
        <v>0</v>
      </c>
    </row>
    <row r="288" spans="1:22" s="34" customFormat="1" x14ac:dyDescent="0.25">
      <c r="A288" s="11" t="s">
        <v>129</v>
      </c>
      <c r="B288" s="12" t="s">
        <v>826</v>
      </c>
      <c r="C288" s="11">
        <v>300</v>
      </c>
      <c r="D288" s="24">
        <v>0.1</v>
      </c>
      <c r="E288" s="11">
        <v>5</v>
      </c>
      <c r="F288" s="11" t="s">
        <v>18</v>
      </c>
      <c r="G288" s="12" t="s">
        <v>16</v>
      </c>
      <c r="H288" s="140">
        <v>2276</v>
      </c>
      <c r="I288" s="140">
        <v>0.18799999996554101</v>
      </c>
      <c r="J288" s="147">
        <v>0</v>
      </c>
      <c r="K288" s="151">
        <v>2263</v>
      </c>
      <c r="L288" s="153">
        <v>7</v>
      </c>
      <c r="M288" s="153">
        <v>6</v>
      </c>
      <c r="N288" s="145">
        <f>(((Tabela136[[#This Row],[Objetive value Similarity]]-Tabela136[[#This Row],[Objetive value Similarity/GATeS]])/Tabela136[[#This Row],[Objetive value Similarity]]))*100</f>
        <v>0.5711775043936731</v>
      </c>
      <c r="O288" s="23">
        <v>2276</v>
      </c>
      <c r="P288" s="53">
        <v>0.38</v>
      </c>
      <c r="Q288" s="53">
        <v>0</v>
      </c>
      <c r="R288" s="55">
        <f>(((Tabela136[[#This Row],[Objetive value Similarity]]-Tabela136[[#This Row],[Objetive value Similarity/H-R1    ]])/Tabela136[[#This Row],[Objetive value Similarity]]))*100</f>
        <v>0</v>
      </c>
      <c r="S288" s="96">
        <v>2194</v>
      </c>
      <c r="T288" s="21">
        <v>0.45</v>
      </c>
      <c r="U288" s="21">
        <v>0</v>
      </c>
      <c r="V288" s="144">
        <f>(((Tabela136[[#This Row],[Objetive value Similarity]]-Tabela136[[#This Row],[Objetive value Similarity/H-R2]])/Tabela136[[#This Row],[Objetive value Similarity]]))*100</f>
        <v>3.6028119507908607</v>
      </c>
    </row>
    <row r="289" spans="1:22" s="34" customFormat="1" x14ac:dyDescent="0.25">
      <c r="A289" s="11" t="s">
        <v>129</v>
      </c>
      <c r="B289" s="12" t="s">
        <v>827</v>
      </c>
      <c r="C289" s="11">
        <v>300</v>
      </c>
      <c r="D289" s="24">
        <v>0.1</v>
      </c>
      <c r="E289" s="11">
        <v>5</v>
      </c>
      <c r="F289" s="12" t="s">
        <v>21</v>
      </c>
      <c r="G289" s="12" t="s">
        <v>14</v>
      </c>
      <c r="H289" s="140">
        <v>925</v>
      </c>
      <c r="I289" s="140">
        <v>0.17200000002048901</v>
      </c>
      <c r="J289" s="147">
        <v>0</v>
      </c>
      <c r="K289" s="151">
        <v>900</v>
      </c>
      <c r="L289" s="153">
        <v>0</v>
      </c>
      <c r="M289" s="153">
        <v>0</v>
      </c>
      <c r="N289" s="145">
        <f>(((Tabela136[[#This Row],[Objetive value Similarity]]-Tabela136[[#This Row],[Objetive value Similarity/GATeS]])/Tabela136[[#This Row],[Objetive value Similarity]]))*100</f>
        <v>2.7027027027027026</v>
      </c>
      <c r="O289" s="23">
        <v>925</v>
      </c>
      <c r="P289" s="53">
        <v>0.94</v>
      </c>
      <c r="Q289" s="53">
        <v>0</v>
      </c>
      <c r="R289" s="55">
        <f>(((Tabela136[[#This Row],[Objetive value Similarity]]-Tabela136[[#This Row],[Objetive value Similarity/H-R1    ]])/Tabela136[[#This Row],[Objetive value Similarity]]))*100</f>
        <v>0</v>
      </c>
      <c r="S289" s="96">
        <v>804</v>
      </c>
      <c r="T289" s="21">
        <v>0.55000000000000004</v>
      </c>
      <c r="U289" s="21">
        <v>0</v>
      </c>
      <c r="V289" s="144">
        <f>(((Tabela136[[#This Row],[Objetive value Similarity]]-Tabela136[[#This Row],[Objetive value Similarity/H-R2]])/Tabela136[[#This Row],[Objetive value Similarity]]))*100</f>
        <v>13.081081081081081</v>
      </c>
    </row>
    <row r="290" spans="1:22" s="34" customFormat="1" x14ac:dyDescent="0.25">
      <c r="A290" s="11" t="s">
        <v>129</v>
      </c>
      <c r="B290" s="12" t="s">
        <v>828</v>
      </c>
      <c r="C290" s="11">
        <v>300</v>
      </c>
      <c r="D290" s="24">
        <v>0.1</v>
      </c>
      <c r="E290" s="11">
        <v>5</v>
      </c>
      <c r="F290" s="12" t="s">
        <v>21</v>
      </c>
      <c r="G290" s="12" t="s">
        <v>16</v>
      </c>
      <c r="H290" s="140">
        <v>1535</v>
      </c>
      <c r="I290" s="140">
        <v>0.140999999945051</v>
      </c>
      <c r="J290" s="147">
        <v>0</v>
      </c>
      <c r="K290" s="151">
        <v>1124</v>
      </c>
      <c r="L290" s="153">
        <v>1</v>
      </c>
      <c r="M290" s="153">
        <v>0</v>
      </c>
      <c r="N290" s="145">
        <f>(((Tabela136[[#This Row],[Objetive value Similarity]]-Tabela136[[#This Row],[Objetive value Similarity/GATeS]])/Tabela136[[#This Row],[Objetive value Similarity]]))*100</f>
        <v>26.775244299674267</v>
      </c>
      <c r="O290" s="23">
        <v>1334</v>
      </c>
      <c r="P290" s="53">
        <v>0.48</v>
      </c>
      <c r="Q290" s="53">
        <v>0</v>
      </c>
      <c r="R290" s="55">
        <f>(((Tabela136[[#This Row],[Objetive value Similarity]]-Tabela136[[#This Row],[Objetive value Similarity/H-R1    ]])/Tabela136[[#This Row],[Objetive value Similarity]]))*100</f>
        <v>13.094462540716611</v>
      </c>
      <c r="S290" s="96">
        <v>1334</v>
      </c>
      <c r="T290" s="21">
        <v>0.51</v>
      </c>
      <c r="U290" s="21">
        <v>0</v>
      </c>
      <c r="V290" s="144">
        <f>(((Tabela136[[#This Row],[Objetive value Similarity]]-Tabela136[[#This Row],[Objetive value Similarity/H-R2]])/Tabela136[[#This Row],[Objetive value Similarity]]))*100</f>
        <v>13.094462540716611</v>
      </c>
    </row>
    <row r="291" spans="1:22" x14ac:dyDescent="0.25">
      <c r="A291" s="29" t="s">
        <v>148</v>
      </c>
      <c r="B291" s="12" t="s">
        <v>847</v>
      </c>
      <c r="C291" s="11">
        <v>300</v>
      </c>
      <c r="D291" s="11">
        <v>0.15</v>
      </c>
      <c r="E291" s="11">
        <v>10</v>
      </c>
      <c r="F291" s="12" t="s">
        <v>13</v>
      </c>
      <c r="G291" s="12" t="s">
        <v>14</v>
      </c>
      <c r="H291" s="140">
        <v>4995</v>
      </c>
      <c r="I291" s="140">
        <v>0.71900000004097797</v>
      </c>
      <c r="J291" s="147">
        <v>38.57</v>
      </c>
      <c r="K291" s="151">
        <v>4979</v>
      </c>
      <c r="L291" s="153">
        <v>9</v>
      </c>
      <c r="M291" s="153">
        <v>5</v>
      </c>
      <c r="N291" s="145">
        <f>(((Tabela136[[#This Row],[Objetive value Similarity]]-Tabela136[[#This Row],[Objetive value Similarity/GATeS]])/Tabela136[[#This Row],[Objetive value Similarity]]))*100</f>
        <v>0.32032032032032032</v>
      </c>
      <c r="O291" s="23">
        <v>4499</v>
      </c>
      <c r="P291" s="53">
        <v>0.41</v>
      </c>
      <c r="Q291" s="53">
        <v>0</v>
      </c>
      <c r="R291" s="55">
        <f>(((Tabela136[[#This Row],[Objetive value Similarity]]-Tabela136[[#This Row],[Objetive value Similarity/H-R1    ]])/Tabela136[[#This Row],[Objetive value Similarity]]))*100</f>
        <v>9.92992992992993</v>
      </c>
      <c r="S291" s="96">
        <v>4562</v>
      </c>
      <c r="T291" s="21">
        <v>0.39</v>
      </c>
      <c r="U291" s="21">
        <v>0</v>
      </c>
      <c r="V291" s="144">
        <f>(((Tabela136[[#This Row],[Objetive value Similarity]]-Tabela136[[#This Row],[Objetive value Similarity/H-R2]])/Tabela136[[#This Row],[Objetive value Similarity]]))*100</f>
        <v>8.6686686686686691</v>
      </c>
    </row>
    <row r="292" spans="1:22" s="34" customFormat="1" x14ac:dyDescent="0.25">
      <c r="A292" s="11" t="s">
        <v>148</v>
      </c>
      <c r="B292" s="12" t="s">
        <v>848</v>
      </c>
      <c r="C292" s="11">
        <v>300</v>
      </c>
      <c r="D292" s="11">
        <v>0.15</v>
      </c>
      <c r="E292" s="11">
        <v>10</v>
      </c>
      <c r="F292" s="12" t="s">
        <v>13</v>
      </c>
      <c r="G292" s="12" t="s">
        <v>16</v>
      </c>
      <c r="H292" s="140">
        <v>3717</v>
      </c>
      <c r="I292" s="140">
        <v>1.21900000004097</v>
      </c>
      <c r="J292" s="147">
        <v>0</v>
      </c>
      <c r="K292" s="151">
        <v>3697</v>
      </c>
      <c r="L292" s="153">
        <v>13</v>
      </c>
      <c r="M292" s="153">
        <v>1</v>
      </c>
      <c r="N292" s="145">
        <f>(((Tabela136[[#This Row],[Objetive value Similarity]]-Tabela136[[#This Row],[Objetive value Similarity/GATeS]])/Tabela136[[#This Row],[Objetive value Similarity]]))*100</f>
        <v>0.53806833467850412</v>
      </c>
      <c r="O292" s="23">
        <v>3703</v>
      </c>
      <c r="P292" s="53">
        <v>0.54</v>
      </c>
      <c r="Q292" s="53">
        <v>0</v>
      </c>
      <c r="R292" s="55">
        <f>(((Tabela136[[#This Row],[Objetive value Similarity]]-Tabela136[[#This Row],[Objetive value Similarity/H-R1    ]])/Tabela136[[#This Row],[Objetive value Similarity]]))*100</f>
        <v>0.37664783427495291</v>
      </c>
      <c r="S292" s="96">
        <v>3439</v>
      </c>
      <c r="T292" s="21">
        <v>0.74</v>
      </c>
      <c r="U292" s="21">
        <v>0</v>
      </c>
      <c r="V292" s="144">
        <f>(((Tabela136[[#This Row],[Objetive value Similarity]]-Tabela136[[#This Row],[Objetive value Similarity/H-R2]])/Tabela136[[#This Row],[Objetive value Similarity]]))*100</f>
        <v>7.4791498520312079</v>
      </c>
    </row>
    <row r="293" spans="1:22" s="34" customFormat="1" x14ac:dyDescent="0.25">
      <c r="A293" s="11" t="s">
        <v>148</v>
      </c>
      <c r="B293" s="12" t="s">
        <v>849</v>
      </c>
      <c r="C293" s="11">
        <v>300</v>
      </c>
      <c r="D293" s="11">
        <v>0.15</v>
      </c>
      <c r="E293" s="11">
        <v>10</v>
      </c>
      <c r="F293" s="12" t="s">
        <v>18</v>
      </c>
      <c r="G293" s="12" t="s">
        <v>14</v>
      </c>
      <c r="H293" s="140">
        <v>5193</v>
      </c>
      <c r="I293" s="140">
        <v>0.35899999993853199</v>
      </c>
      <c r="J293" s="147">
        <v>0</v>
      </c>
      <c r="K293" s="151">
        <v>5186</v>
      </c>
      <c r="L293" s="153">
        <v>12</v>
      </c>
      <c r="M293" s="153">
        <v>1</v>
      </c>
      <c r="N293" s="145">
        <f>(((Tabela136[[#This Row],[Objetive value Similarity]]-Tabela136[[#This Row],[Objetive value Similarity/GATeS]])/Tabela136[[#This Row],[Objetive value Similarity]]))*100</f>
        <v>0.13479684190256114</v>
      </c>
      <c r="O293" s="23">
        <v>5071</v>
      </c>
      <c r="P293" s="53">
        <v>0.5</v>
      </c>
      <c r="Q293" s="53">
        <v>0</v>
      </c>
      <c r="R293" s="55">
        <f>(((Tabela136[[#This Row],[Objetive value Similarity]]-Tabela136[[#This Row],[Objetive value Similarity/H-R1    ]])/Tabela136[[#This Row],[Objetive value Similarity]]))*100</f>
        <v>2.3493163874446372</v>
      </c>
      <c r="S293" s="96">
        <v>5162</v>
      </c>
      <c r="T293" s="21">
        <v>0.37</v>
      </c>
      <c r="U293" s="21">
        <v>0</v>
      </c>
      <c r="V293" s="144">
        <f>(((Tabela136[[#This Row],[Objetive value Similarity]]-Tabela136[[#This Row],[Objetive value Similarity/H-R2]])/Tabela136[[#This Row],[Objetive value Similarity]]))*100</f>
        <v>0.59695744271134221</v>
      </c>
    </row>
    <row r="294" spans="1:22" s="34" customFormat="1" x14ac:dyDescent="0.25">
      <c r="A294" s="11" t="s">
        <v>148</v>
      </c>
      <c r="B294" s="12" t="s">
        <v>850</v>
      </c>
      <c r="C294" s="11">
        <v>300</v>
      </c>
      <c r="D294" s="11">
        <v>0.15</v>
      </c>
      <c r="E294" s="11">
        <v>10</v>
      </c>
      <c r="F294" s="12" t="s">
        <v>18</v>
      </c>
      <c r="G294" s="12" t="s">
        <v>16</v>
      </c>
      <c r="H294" s="140">
        <v>3829</v>
      </c>
      <c r="I294" s="140">
        <v>1.29700000002048</v>
      </c>
      <c r="J294" s="147">
        <v>0</v>
      </c>
      <c r="K294" s="151">
        <v>3791</v>
      </c>
      <c r="L294" s="153">
        <v>17</v>
      </c>
      <c r="M294" s="153">
        <v>8</v>
      </c>
      <c r="N294" s="145">
        <f>(((Tabela136[[#This Row],[Objetive value Similarity]]-Tabela136[[#This Row],[Objetive value Similarity/GATeS]])/Tabela136[[#This Row],[Objetive value Similarity]]))*100</f>
        <v>0.99242622094541655</v>
      </c>
      <c r="O294" s="23">
        <v>3738</v>
      </c>
      <c r="P294" s="53">
        <v>0.56999999999999995</v>
      </c>
      <c r="Q294" s="53">
        <v>0</v>
      </c>
      <c r="R294" s="55">
        <f>(((Tabela136[[#This Row],[Objetive value Similarity]]-Tabela136[[#This Row],[Objetive value Similarity/H-R1    ]])/Tabela136[[#This Row],[Objetive value Similarity]]))*100</f>
        <v>2.376599634369287</v>
      </c>
      <c r="S294" s="96">
        <v>3752</v>
      </c>
      <c r="T294" s="21">
        <v>0.46</v>
      </c>
      <c r="U294" s="21">
        <v>0</v>
      </c>
      <c r="V294" s="144">
        <f>(((Tabela136[[#This Row],[Objetive value Similarity]]-Tabela136[[#This Row],[Objetive value Similarity/H-R2]])/Tabela136[[#This Row],[Objetive value Similarity]]))*100</f>
        <v>2.0109689213893969</v>
      </c>
    </row>
    <row r="295" spans="1:22" s="34" customFormat="1" x14ac:dyDescent="0.25">
      <c r="A295" s="11" t="s">
        <v>148</v>
      </c>
      <c r="B295" s="12" t="s">
        <v>851</v>
      </c>
      <c r="C295" s="11">
        <v>300</v>
      </c>
      <c r="D295" s="11">
        <v>0.15</v>
      </c>
      <c r="E295" s="11">
        <v>10</v>
      </c>
      <c r="F295" s="12" t="s">
        <v>21</v>
      </c>
      <c r="G295" s="12" t="s">
        <v>14</v>
      </c>
      <c r="H295" s="140">
        <v>2792</v>
      </c>
      <c r="I295" s="140">
        <v>0.234000000054948</v>
      </c>
      <c r="J295" s="147">
        <v>0</v>
      </c>
      <c r="K295" s="151">
        <v>2771</v>
      </c>
      <c r="L295" s="153">
        <v>6</v>
      </c>
      <c r="M295" s="153">
        <v>0</v>
      </c>
      <c r="N295" s="145">
        <f>(((Tabela136[[#This Row],[Objetive value Similarity]]-Tabela136[[#This Row],[Objetive value Similarity/GATeS]])/Tabela136[[#This Row],[Objetive value Similarity]]))*100</f>
        <v>0.75214899713467043</v>
      </c>
      <c r="O295" s="23">
        <v>2792</v>
      </c>
      <c r="P295" s="53">
        <v>0.98</v>
      </c>
      <c r="Q295" s="53">
        <v>0</v>
      </c>
      <c r="R295" s="55">
        <f>(((Tabela136[[#This Row],[Objetive value Similarity]]-Tabela136[[#This Row],[Objetive value Similarity/H-R1    ]])/Tabela136[[#This Row],[Objetive value Similarity]]))*100</f>
        <v>0</v>
      </c>
      <c r="S295" s="96">
        <v>2792</v>
      </c>
      <c r="T295" s="21">
        <v>1.17</v>
      </c>
      <c r="U295" s="21">
        <v>0</v>
      </c>
      <c r="V295" s="144">
        <f>(((Tabela136[[#This Row],[Objetive value Similarity]]-Tabela136[[#This Row],[Objetive value Similarity/H-R2]])/Tabela136[[#This Row],[Objetive value Similarity]]))*100</f>
        <v>0</v>
      </c>
    </row>
    <row r="296" spans="1:22" s="34" customFormat="1" x14ac:dyDescent="0.25">
      <c r="A296" s="11" t="s">
        <v>148</v>
      </c>
      <c r="B296" s="12" t="s">
        <v>852</v>
      </c>
      <c r="C296" s="11">
        <v>300</v>
      </c>
      <c r="D296" s="11">
        <v>0.15</v>
      </c>
      <c r="E296" s="11">
        <v>10</v>
      </c>
      <c r="F296" s="12" t="s">
        <v>21</v>
      </c>
      <c r="G296" s="12" t="s">
        <v>16</v>
      </c>
      <c r="H296" s="140">
        <v>3938</v>
      </c>
      <c r="I296" s="140">
        <v>0.73399999993853204</v>
      </c>
      <c r="J296" s="147">
        <v>0</v>
      </c>
      <c r="K296" s="151">
        <v>3862</v>
      </c>
      <c r="L296" s="153">
        <v>7</v>
      </c>
      <c r="M296" s="153">
        <v>4</v>
      </c>
      <c r="N296" s="145">
        <f>(((Tabela136[[#This Row],[Objetive value Similarity]]-Tabela136[[#This Row],[Objetive value Similarity/GATeS]])/Tabela136[[#This Row],[Objetive value Similarity]]))*100</f>
        <v>1.9299136617572372</v>
      </c>
      <c r="O296" s="23">
        <v>3938</v>
      </c>
      <c r="P296" s="53">
        <v>0.69</v>
      </c>
      <c r="Q296" s="53">
        <v>0</v>
      </c>
      <c r="R296" s="55">
        <f>(((Tabela136[[#This Row],[Objetive value Similarity]]-Tabela136[[#This Row],[Objetive value Similarity/H-R1    ]])/Tabela136[[#This Row],[Objetive value Similarity]]))*100</f>
        <v>0</v>
      </c>
      <c r="S296" s="96">
        <v>3938</v>
      </c>
      <c r="T296" s="21">
        <v>0.51</v>
      </c>
      <c r="U296" s="21">
        <v>0</v>
      </c>
      <c r="V296" s="144">
        <f>(((Tabela136[[#This Row],[Objetive value Similarity]]-Tabela136[[#This Row],[Objetive value Similarity/H-R2]])/Tabela136[[#This Row],[Objetive value Similarity]]))*100</f>
        <v>0</v>
      </c>
    </row>
    <row r="297" spans="1:22" s="34" customFormat="1" x14ac:dyDescent="0.25">
      <c r="A297" s="29" t="s">
        <v>167</v>
      </c>
      <c r="B297" s="12" t="s">
        <v>865</v>
      </c>
      <c r="C297" s="11">
        <v>300</v>
      </c>
      <c r="D297" s="11">
        <v>0.15</v>
      </c>
      <c r="E297" s="11">
        <v>15</v>
      </c>
      <c r="F297" s="12" t="s">
        <v>13</v>
      </c>
      <c r="G297" s="12" t="s">
        <v>14</v>
      </c>
      <c r="H297" s="140">
        <v>9054</v>
      </c>
      <c r="I297" s="140">
        <v>2.8120000000344501</v>
      </c>
      <c r="J297" s="147">
        <v>2.09</v>
      </c>
      <c r="K297" s="151">
        <v>8601</v>
      </c>
      <c r="L297" s="153">
        <v>234</v>
      </c>
      <c r="M297" s="153">
        <v>119</v>
      </c>
      <c r="N297" s="145">
        <f>(((Tabela136[[#This Row],[Objetive value Similarity]]-Tabela136[[#This Row],[Objetive value Similarity/GATeS]])/Tabela136[[#This Row],[Objetive value Similarity]]))*100</f>
        <v>5.0033134526176273</v>
      </c>
      <c r="O297" s="23">
        <v>8469</v>
      </c>
      <c r="P297" s="53">
        <v>0.52</v>
      </c>
      <c r="Q297" s="53">
        <v>0</v>
      </c>
      <c r="R297" s="55">
        <f>(((Tabela136[[#This Row],[Objetive value Similarity]]-Tabela136[[#This Row],[Objetive value Similarity/H-R1    ]])/Tabela136[[#This Row],[Objetive value Similarity]]))*100</f>
        <v>6.461232604373758</v>
      </c>
      <c r="S297" s="96">
        <v>7720</v>
      </c>
      <c r="T297" s="21">
        <v>0.56000000000000005</v>
      </c>
      <c r="U297" s="21">
        <v>0</v>
      </c>
      <c r="V297" s="144">
        <f>(((Tabela136[[#This Row],[Objetive value Similarity]]-Tabela136[[#This Row],[Objetive value Similarity/H-R2]])/Tabela136[[#This Row],[Objetive value Similarity]]))*100</f>
        <v>14.73381930638392</v>
      </c>
    </row>
    <row r="298" spans="1:22" s="34" customFormat="1" x14ac:dyDescent="0.25">
      <c r="A298" s="11" t="s">
        <v>167</v>
      </c>
      <c r="B298" s="12" t="s">
        <v>866</v>
      </c>
      <c r="C298" s="11">
        <v>300</v>
      </c>
      <c r="D298" s="11">
        <v>0.15</v>
      </c>
      <c r="E298" s="11">
        <v>15</v>
      </c>
      <c r="F298" s="12" t="s">
        <v>13</v>
      </c>
      <c r="G298" s="12" t="s">
        <v>16</v>
      </c>
      <c r="H298" s="140">
        <v>5324</v>
      </c>
      <c r="I298" s="140">
        <v>15.2029999999795</v>
      </c>
      <c r="J298" s="147">
        <v>0.37</v>
      </c>
      <c r="K298" s="151">
        <v>5235</v>
      </c>
      <c r="L298" s="153">
        <v>24</v>
      </c>
      <c r="M298" s="153">
        <v>10</v>
      </c>
      <c r="N298" s="145">
        <f>(((Tabela136[[#This Row],[Objetive value Similarity]]-Tabela136[[#This Row],[Objetive value Similarity/GATeS]])/Tabela136[[#This Row],[Objetive value Similarity]]))*100</f>
        <v>1.6716754320060103</v>
      </c>
      <c r="O298" s="23">
        <v>5194</v>
      </c>
      <c r="P298" s="53">
        <v>0.9</v>
      </c>
      <c r="Q298" s="53">
        <v>0</v>
      </c>
      <c r="R298" s="55">
        <f>(((Tabela136[[#This Row],[Objetive value Similarity]]-Tabela136[[#This Row],[Objetive value Similarity/H-R1    ]])/Tabela136[[#This Row],[Objetive value Similarity]]))*100</f>
        <v>2.4417731029301279</v>
      </c>
      <c r="S298" s="96">
        <v>5053</v>
      </c>
      <c r="T298" s="21">
        <v>0.68</v>
      </c>
      <c r="U298" s="21">
        <v>0</v>
      </c>
      <c r="V298" s="144">
        <f>(((Tabela136[[#This Row],[Objetive value Similarity]]-Tabela136[[#This Row],[Objetive value Similarity/H-R2]])/Tabela136[[#This Row],[Objetive value Similarity]]))*100</f>
        <v>5.0901577761081898</v>
      </c>
    </row>
    <row r="299" spans="1:22" s="34" customFormat="1" x14ac:dyDescent="0.25">
      <c r="A299" s="11" t="s">
        <v>167</v>
      </c>
      <c r="B299" s="12" t="s">
        <v>867</v>
      </c>
      <c r="C299" s="11">
        <v>300</v>
      </c>
      <c r="D299" s="11">
        <v>0.15</v>
      </c>
      <c r="E299" s="11">
        <v>15</v>
      </c>
      <c r="F299" s="12" t="s">
        <v>18</v>
      </c>
      <c r="G299" s="12" t="s">
        <v>14</v>
      </c>
      <c r="H299" s="140">
        <v>10622</v>
      </c>
      <c r="I299" s="140">
        <v>1.90600000007543</v>
      </c>
      <c r="J299" s="147">
        <v>21.39</v>
      </c>
      <c r="K299" s="151">
        <v>10295</v>
      </c>
      <c r="L299" s="153">
        <v>15</v>
      </c>
      <c r="M299" s="153">
        <v>7</v>
      </c>
      <c r="N299" s="145">
        <f>(((Tabela136[[#This Row],[Objetive value Similarity]]-Tabela136[[#This Row],[Objetive value Similarity/GATeS]])/Tabela136[[#This Row],[Objetive value Similarity]]))*100</f>
        <v>3.0785162869516101</v>
      </c>
      <c r="O299" s="23">
        <v>10293</v>
      </c>
      <c r="P299" s="53">
        <v>0.59</v>
      </c>
      <c r="Q299" s="53">
        <v>0</v>
      </c>
      <c r="R299" s="55">
        <f>(((Tabela136[[#This Row],[Objetive value Similarity]]-Tabela136[[#This Row],[Objetive value Similarity/H-R1    ]])/Tabela136[[#This Row],[Objetive value Similarity]]))*100</f>
        <v>3.0973451327433628</v>
      </c>
      <c r="S299" s="96">
        <v>9472</v>
      </c>
      <c r="T299" s="21">
        <v>0.53</v>
      </c>
      <c r="U299" s="21">
        <v>0</v>
      </c>
      <c r="V299" s="144">
        <f>(((Tabela136[[#This Row],[Objetive value Similarity]]-Tabela136[[#This Row],[Objetive value Similarity/H-R2]])/Tabela136[[#This Row],[Objetive value Similarity]]))*100</f>
        <v>10.826586330257955</v>
      </c>
    </row>
    <row r="300" spans="1:22" s="34" customFormat="1" x14ac:dyDescent="0.25">
      <c r="A300" s="11" t="s">
        <v>167</v>
      </c>
      <c r="B300" s="12" t="s">
        <v>868</v>
      </c>
      <c r="C300" s="11">
        <v>300</v>
      </c>
      <c r="D300" s="11">
        <v>0.15</v>
      </c>
      <c r="E300" s="11">
        <v>15</v>
      </c>
      <c r="F300" s="12" t="s">
        <v>18</v>
      </c>
      <c r="G300" s="12" t="s">
        <v>16</v>
      </c>
      <c r="H300" s="140">
        <v>5236</v>
      </c>
      <c r="I300" s="140">
        <v>11.640999999945</v>
      </c>
      <c r="J300" s="147">
        <v>0.17</v>
      </c>
      <c r="K300" s="151">
        <v>5173</v>
      </c>
      <c r="L300" s="153">
        <v>24</v>
      </c>
      <c r="M300" s="153">
        <v>5</v>
      </c>
      <c r="N300" s="145">
        <f>(((Tabela136[[#This Row],[Objetive value Similarity]]-Tabela136[[#This Row],[Objetive value Similarity/GATeS]])/Tabela136[[#This Row],[Objetive value Similarity]]))*100</f>
        <v>1.2032085561497325</v>
      </c>
      <c r="O300" s="23">
        <v>5199</v>
      </c>
      <c r="P300" s="53">
        <v>0.63</v>
      </c>
      <c r="Q300" s="53">
        <v>0</v>
      </c>
      <c r="R300" s="55">
        <f>(((Tabela136[[#This Row],[Objetive value Similarity]]-Tabela136[[#This Row],[Objetive value Similarity/H-R1    ]])/Tabela136[[#This Row],[Objetive value Similarity]]))*100</f>
        <v>0.70664629488158903</v>
      </c>
      <c r="S300" s="96">
        <v>5138</v>
      </c>
      <c r="T300" s="21">
        <v>0.53</v>
      </c>
      <c r="U300" s="21">
        <v>0</v>
      </c>
      <c r="V300" s="144">
        <f>(((Tabela136[[#This Row],[Objetive value Similarity]]-Tabela136[[#This Row],[Objetive value Similarity/H-R2]])/Tabela136[[#This Row],[Objetive value Similarity]]))*100</f>
        <v>1.8716577540106951</v>
      </c>
    </row>
    <row r="301" spans="1:22" s="34" customFormat="1" x14ac:dyDescent="0.25">
      <c r="A301" s="11" t="s">
        <v>167</v>
      </c>
      <c r="B301" s="12" t="s">
        <v>869</v>
      </c>
      <c r="C301" s="11">
        <v>300</v>
      </c>
      <c r="D301" s="11">
        <v>0.15</v>
      </c>
      <c r="E301" s="11">
        <v>15</v>
      </c>
      <c r="F301" s="12" t="s">
        <v>21</v>
      </c>
      <c r="G301" s="12" t="s">
        <v>14</v>
      </c>
      <c r="H301" s="140">
        <v>5991</v>
      </c>
      <c r="I301" s="140">
        <v>0.46900000004097803</v>
      </c>
      <c r="J301" s="147">
        <v>0</v>
      </c>
      <c r="K301" s="151">
        <v>5953</v>
      </c>
      <c r="L301" s="153">
        <v>230</v>
      </c>
      <c r="M301" s="153">
        <v>228</v>
      </c>
      <c r="N301" s="145">
        <f>(((Tabela136[[#This Row],[Objetive value Similarity]]-Tabela136[[#This Row],[Objetive value Similarity/GATeS]])/Tabela136[[#This Row],[Objetive value Similarity]]))*100</f>
        <v>0.63428476047404436</v>
      </c>
      <c r="O301" s="23">
        <v>2023</v>
      </c>
      <c r="P301" s="53">
        <v>1.85</v>
      </c>
      <c r="Q301" s="53">
        <v>0</v>
      </c>
      <c r="R301" s="55">
        <f>(((Tabela136[[#This Row],[Objetive value Similarity]]-Tabela136[[#This Row],[Objetive value Similarity/H-R1    ]])/Tabela136[[#This Row],[Objetive value Similarity]]))*100</f>
        <v>66.232682356868636</v>
      </c>
      <c r="S301" s="96">
        <v>4029</v>
      </c>
      <c r="T301" s="21">
        <v>1.2</v>
      </c>
      <c r="U301" s="21">
        <v>0</v>
      </c>
      <c r="V301" s="144">
        <f>(((Tabela136[[#This Row],[Objetive value Similarity]]-Tabela136[[#This Row],[Objetive value Similarity/H-R2]])/Tabela136[[#This Row],[Objetive value Similarity]]))*100</f>
        <v>32.749123685528289</v>
      </c>
    </row>
    <row r="302" spans="1:22" s="34" customFormat="1" x14ac:dyDescent="0.25">
      <c r="A302" s="11" t="s">
        <v>167</v>
      </c>
      <c r="B302" s="12" t="s">
        <v>870</v>
      </c>
      <c r="C302" s="11">
        <v>300</v>
      </c>
      <c r="D302" s="11">
        <v>0.15</v>
      </c>
      <c r="E302" s="11">
        <v>15</v>
      </c>
      <c r="F302" s="12" t="s">
        <v>21</v>
      </c>
      <c r="G302" s="12" t="s">
        <v>16</v>
      </c>
      <c r="H302" s="140">
        <v>4899</v>
      </c>
      <c r="I302" s="140">
        <v>8.9370000000344501</v>
      </c>
      <c r="J302" s="147">
        <v>0.01</v>
      </c>
      <c r="K302" s="151">
        <v>4595</v>
      </c>
      <c r="L302" s="153">
        <v>25</v>
      </c>
      <c r="M302" s="153">
        <v>20</v>
      </c>
      <c r="N302" s="145">
        <f>(((Tabela136[[#This Row],[Objetive value Similarity]]-Tabela136[[#This Row],[Objetive value Similarity/GATeS]])/Tabela136[[#This Row],[Objetive value Similarity]]))*100</f>
        <v>6.2053480302102466</v>
      </c>
      <c r="O302" s="23">
        <v>4523</v>
      </c>
      <c r="P302" s="53">
        <v>0.51</v>
      </c>
      <c r="Q302" s="53">
        <v>0</v>
      </c>
      <c r="R302" s="55">
        <f>(((Tabela136[[#This Row],[Objetive value Similarity]]-Tabela136[[#This Row],[Objetive value Similarity/H-R1    ]])/Tabela136[[#This Row],[Objetive value Similarity]]))*100</f>
        <v>7.6750357215758322</v>
      </c>
      <c r="S302" s="96">
        <v>4731</v>
      </c>
      <c r="T302" s="21">
        <v>0.62</v>
      </c>
      <c r="U302" s="21">
        <v>0</v>
      </c>
      <c r="V302" s="144">
        <f>(((Tabela136[[#This Row],[Objetive value Similarity]]-Tabela136[[#This Row],[Objetive value Similarity/H-R2]])/Tabela136[[#This Row],[Objetive value Similarity]]))*100</f>
        <v>3.4292712798530314</v>
      </c>
    </row>
    <row r="303" spans="1:22" s="34" customFormat="1" x14ac:dyDescent="0.25">
      <c r="A303" s="11" t="s">
        <v>129</v>
      </c>
      <c r="B303" s="12" t="s">
        <v>829</v>
      </c>
      <c r="C303" s="11">
        <v>300</v>
      </c>
      <c r="D303" s="11">
        <v>0.15</v>
      </c>
      <c r="E303" s="11">
        <v>5</v>
      </c>
      <c r="F303" s="12" t="s">
        <v>13</v>
      </c>
      <c r="G303" s="12" t="s">
        <v>14</v>
      </c>
      <c r="H303" s="140">
        <v>3015</v>
      </c>
      <c r="I303" s="140">
        <v>0.140999999945051</v>
      </c>
      <c r="J303" s="147">
        <v>0</v>
      </c>
      <c r="K303" s="151">
        <v>3009</v>
      </c>
      <c r="L303" s="153">
        <v>6</v>
      </c>
      <c r="M303" s="153">
        <v>4</v>
      </c>
      <c r="N303" s="145">
        <f>(((Tabela136[[#This Row],[Objetive value Similarity]]-Tabela136[[#This Row],[Objetive value Similarity/GATeS]])/Tabela136[[#This Row],[Objetive value Similarity]]))*100</f>
        <v>0.19900497512437809</v>
      </c>
      <c r="O303" s="23">
        <v>2892</v>
      </c>
      <c r="P303" s="53">
        <v>0.39</v>
      </c>
      <c r="Q303" s="53">
        <v>0</v>
      </c>
      <c r="R303" s="55">
        <f>(((Tabela136[[#This Row],[Objetive value Similarity]]-Tabela136[[#This Row],[Objetive value Similarity/H-R1    ]])/Tabela136[[#This Row],[Objetive value Similarity]]))*100</f>
        <v>4.0796019900497509</v>
      </c>
      <c r="S303" s="96">
        <v>3015</v>
      </c>
      <c r="T303" s="21">
        <v>0.48</v>
      </c>
      <c r="U303" s="21">
        <v>0</v>
      </c>
      <c r="V303" s="144">
        <f>(((Tabela136[[#This Row],[Objetive value Similarity]]-Tabela136[[#This Row],[Objetive value Similarity/H-R2]])/Tabela136[[#This Row],[Objetive value Similarity]]))*100</f>
        <v>0</v>
      </c>
    </row>
    <row r="304" spans="1:22" s="34" customFormat="1" x14ac:dyDescent="0.25">
      <c r="A304" s="11" t="s">
        <v>129</v>
      </c>
      <c r="B304" s="12" t="s">
        <v>830</v>
      </c>
      <c r="C304" s="11">
        <v>300</v>
      </c>
      <c r="D304" s="11">
        <v>0.15</v>
      </c>
      <c r="E304" s="11">
        <v>5</v>
      </c>
      <c r="F304" s="12" t="s">
        <v>13</v>
      </c>
      <c r="G304" s="12" t="s">
        <v>16</v>
      </c>
      <c r="H304" s="140">
        <v>2116</v>
      </c>
      <c r="I304" s="140">
        <v>0.18700000003445799</v>
      </c>
      <c r="J304" s="147">
        <v>0</v>
      </c>
      <c r="K304" s="151">
        <v>2109</v>
      </c>
      <c r="L304" s="153">
        <v>7</v>
      </c>
      <c r="M304" s="153">
        <v>3</v>
      </c>
      <c r="N304" s="145">
        <f>(((Tabela136[[#This Row],[Objetive value Similarity]]-Tabela136[[#This Row],[Objetive value Similarity/GATeS]])/Tabela136[[#This Row],[Objetive value Similarity]]))*100</f>
        <v>0.33081285444234404</v>
      </c>
      <c r="O304" s="23">
        <v>2112</v>
      </c>
      <c r="P304" s="53">
        <v>0.51</v>
      </c>
      <c r="Q304" s="53">
        <v>0</v>
      </c>
      <c r="R304" s="55">
        <f>(((Tabela136[[#This Row],[Objetive value Similarity]]-Tabela136[[#This Row],[Objetive value Similarity/H-R1    ]])/Tabela136[[#This Row],[Objetive value Similarity]]))*100</f>
        <v>0.1890359168241966</v>
      </c>
      <c r="S304" s="96">
        <v>1734</v>
      </c>
      <c r="T304" s="21">
        <v>0.51</v>
      </c>
      <c r="U304" s="21">
        <v>0</v>
      </c>
      <c r="V304" s="144">
        <f>(((Tabela136[[#This Row],[Objetive value Similarity]]-Tabela136[[#This Row],[Objetive value Similarity/H-R2]])/Tabela136[[#This Row],[Objetive value Similarity]]))*100</f>
        <v>18.052930056710775</v>
      </c>
    </row>
    <row r="305" spans="1:22" s="34" customFormat="1" x14ac:dyDescent="0.25">
      <c r="A305" s="11" t="s">
        <v>129</v>
      </c>
      <c r="B305" s="12" t="s">
        <v>831</v>
      </c>
      <c r="C305" s="11">
        <v>300</v>
      </c>
      <c r="D305" s="11">
        <v>0.15</v>
      </c>
      <c r="E305" s="11">
        <v>5</v>
      </c>
      <c r="F305" s="12" t="s">
        <v>18</v>
      </c>
      <c r="G305" s="12" t="s">
        <v>14</v>
      </c>
      <c r="H305" s="140">
        <v>2917</v>
      </c>
      <c r="I305" s="140">
        <v>0.140999999945051</v>
      </c>
      <c r="J305" s="147">
        <v>0</v>
      </c>
      <c r="K305" s="151">
        <v>2896</v>
      </c>
      <c r="L305" s="153">
        <v>5</v>
      </c>
      <c r="M305" s="153">
        <v>3</v>
      </c>
      <c r="N305" s="145">
        <f>(((Tabela136[[#This Row],[Objetive value Similarity]]-Tabela136[[#This Row],[Objetive value Similarity/GATeS]])/Tabela136[[#This Row],[Objetive value Similarity]]))*100</f>
        <v>0.71991772368872131</v>
      </c>
      <c r="O305" s="23">
        <v>2261</v>
      </c>
      <c r="P305" s="53">
        <v>0.33</v>
      </c>
      <c r="Q305" s="53">
        <v>0</v>
      </c>
      <c r="R305" s="55">
        <f>(((Tabela136[[#This Row],[Objetive value Similarity]]-Tabela136[[#This Row],[Objetive value Similarity/H-R1    ]])/Tabela136[[#This Row],[Objetive value Similarity]]))*100</f>
        <v>22.488858416181007</v>
      </c>
      <c r="S305" s="96">
        <v>2246</v>
      </c>
      <c r="T305" s="21">
        <v>0.41</v>
      </c>
      <c r="U305" s="21">
        <v>0</v>
      </c>
      <c r="V305" s="144">
        <f>(((Tabela136[[#This Row],[Objetive value Similarity]]-Tabela136[[#This Row],[Objetive value Similarity/H-R2]])/Tabela136[[#This Row],[Objetive value Similarity]]))*100</f>
        <v>23.003085361672952</v>
      </c>
    </row>
    <row r="306" spans="1:22" s="34" customFormat="1" x14ac:dyDescent="0.25">
      <c r="A306" s="11" t="s">
        <v>129</v>
      </c>
      <c r="B306" s="12" t="s">
        <v>832</v>
      </c>
      <c r="C306" s="11">
        <v>300</v>
      </c>
      <c r="D306" s="11">
        <v>0.15</v>
      </c>
      <c r="E306" s="11">
        <v>5</v>
      </c>
      <c r="F306" s="12" t="s">
        <v>18</v>
      </c>
      <c r="G306" s="12" t="s">
        <v>16</v>
      </c>
      <c r="H306" s="140">
        <v>2169</v>
      </c>
      <c r="I306" s="140">
        <v>0.18700000003445799</v>
      </c>
      <c r="J306" s="147">
        <v>0</v>
      </c>
      <c r="K306" s="151">
        <v>2158</v>
      </c>
      <c r="L306" s="153">
        <v>5</v>
      </c>
      <c r="M306" s="153">
        <v>1</v>
      </c>
      <c r="N306" s="145">
        <f>(((Tabela136[[#This Row],[Objetive value Similarity]]-Tabela136[[#This Row],[Objetive value Similarity/GATeS]])/Tabela136[[#This Row],[Objetive value Similarity]]))*100</f>
        <v>0.50714615029967725</v>
      </c>
      <c r="O306" s="23">
        <v>2169</v>
      </c>
      <c r="P306" s="53">
        <v>0.69</v>
      </c>
      <c r="Q306" s="53">
        <v>0</v>
      </c>
      <c r="R306" s="55">
        <f>(((Tabela136[[#This Row],[Objetive value Similarity]]-Tabela136[[#This Row],[Objetive value Similarity/H-R1    ]])/Tabela136[[#This Row],[Objetive value Similarity]]))*100</f>
        <v>0</v>
      </c>
      <c r="S306" s="96">
        <v>2169</v>
      </c>
      <c r="T306" s="21">
        <v>0.66</v>
      </c>
      <c r="U306" s="21">
        <v>0</v>
      </c>
      <c r="V306" s="144">
        <f>(((Tabela136[[#This Row],[Objetive value Similarity]]-Tabela136[[#This Row],[Objetive value Similarity/H-R2]])/Tabela136[[#This Row],[Objetive value Similarity]]))*100</f>
        <v>0</v>
      </c>
    </row>
    <row r="307" spans="1:22" s="34" customFormat="1" x14ac:dyDescent="0.25">
      <c r="A307" s="11" t="s">
        <v>129</v>
      </c>
      <c r="B307" s="12" t="s">
        <v>833</v>
      </c>
      <c r="C307" s="11">
        <v>300</v>
      </c>
      <c r="D307" s="11">
        <v>0.15</v>
      </c>
      <c r="E307" s="11">
        <v>5</v>
      </c>
      <c r="F307" s="12" t="s">
        <v>21</v>
      </c>
      <c r="G307" s="12" t="s">
        <v>14</v>
      </c>
      <c r="H307" s="140">
        <v>937</v>
      </c>
      <c r="I307" s="140">
        <v>0.125</v>
      </c>
      <c r="J307" s="147">
        <v>0</v>
      </c>
      <c r="K307" s="151">
        <v>809</v>
      </c>
      <c r="L307" s="153">
        <v>0</v>
      </c>
      <c r="M307" s="153">
        <v>0</v>
      </c>
      <c r="N307" s="145">
        <f>(((Tabela136[[#This Row],[Objetive value Similarity]]-Tabela136[[#This Row],[Objetive value Similarity/GATeS]])/Tabela136[[#This Row],[Objetive value Similarity]]))*100</f>
        <v>13.660618996798293</v>
      </c>
      <c r="O307" s="23">
        <v>937</v>
      </c>
      <c r="P307" s="53">
        <v>1.03</v>
      </c>
      <c r="Q307" s="53">
        <v>0</v>
      </c>
      <c r="R307" s="55">
        <f>(((Tabela136[[#This Row],[Objetive value Similarity]]-Tabela136[[#This Row],[Objetive value Similarity/H-R1    ]])/Tabela136[[#This Row],[Objetive value Similarity]]))*100</f>
        <v>0</v>
      </c>
      <c r="S307" s="96">
        <v>811</v>
      </c>
      <c r="T307" s="21">
        <v>0.97</v>
      </c>
      <c r="U307" s="21">
        <v>0</v>
      </c>
      <c r="V307" s="144">
        <f>(((Tabela136[[#This Row],[Objetive value Similarity]]-Tabela136[[#This Row],[Objetive value Similarity/H-R2]])/Tabela136[[#This Row],[Objetive value Similarity]]))*100</f>
        <v>13.447171824973319</v>
      </c>
    </row>
    <row r="308" spans="1:22" s="34" customFormat="1" x14ac:dyDescent="0.25">
      <c r="A308" s="11" t="s">
        <v>129</v>
      </c>
      <c r="B308" s="12" t="s">
        <v>834</v>
      </c>
      <c r="C308" s="11">
        <v>300</v>
      </c>
      <c r="D308" s="11">
        <v>0.15</v>
      </c>
      <c r="E308" s="11">
        <v>5</v>
      </c>
      <c r="F308" s="12" t="s">
        <v>21</v>
      </c>
      <c r="G308" s="12" t="s">
        <v>16</v>
      </c>
      <c r="H308" s="140">
        <v>2087</v>
      </c>
      <c r="I308" s="140">
        <v>0.17200000002048901</v>
      </c>
      <c r="J308" s="147">
        <v>0</v>
      </c>
      <c r="K308" s="151">
        <v>2075</v>
      </c>
      <c r="L308" s="153">
        <v>7</v>
      </c>
      <c r="M308" s="153">
        <v>3</v>
      </c>
      <c r="N308" s="145">
        <f>(((Tabela136[[#This Row],[Objetive value Similarity]]-Tabela136[[#This Row],[Objetive value Similarity/GATeS]])/Tabela136[[#This Row],[Objetive value Similarity]]))*100</f>
        <v>0.57498802108289404</v>
      </c>
      <c r="O308" s="23">
        <v>1945</v>
      </c>
      <c r="P308" s="53">
        <v>0.64</v>
      </c>
      <c r="Q308" s="53">
        <v>0</v>
      </c>
      <c r="R308" s="55">
        <f>(((Tabela136[[#This Row],[Objetive value Similarity]]-Tabela136[[#This Row],[Objetive value Similarity/H-R1    ]])/Tabela136[[#This Row],[Objetive value Similarity]]))*100</f>
        <v>6.8040249161475801</v>
      </c>
      <c r="S308" s="96">
        <v>2087</v>
      </c>
      <c r="T308" s="21">
        <v>0.7</v>
      </c>
      <c r="U308" s="21">
        <v>0</v>
      </c>
      <c r="V308" s="144">
        <f>(((Tabela136[[#This Row],[Objetive value Similarity]]-Tabela136[[#This Row],[Objetive value Similarity/H-R2]])/Tabela136[[#This Row],[Objetive value Similarity]]))*100</f>
        <v>0</v>
      </c>
    </row>
    <row r="309" spans="1:22" s="34" customFormat="1" x14ac:dyDescent="0.25">
      <c r="A309" s="29" t="s">
        <v>148</v>
      </c>
      <c r="B309" s="12" t="s">
        <v>835</v>
      </c>
      <c r="C309" s="11">
        <v>300</v>
      </c>
      <c r="D309" s="11">
        <v>0.05</v>
      </c>
      <c r="E309" s="11">
        <v>10</v>
      </c>
      <c r="F309" s="12" t="s">
        <v>13</v>
      </c>
      <c r="G309" s="12" t="s">
        <v>14</v>
      </c>
      <c r="H309" s="140">
        <v>5703</v>
      </c>
      <c r="I309" s="140">
        <v>0.67200000002048899</v>
      </c>
      <c r="J309" s="147">
        <v>0</v>
      </c>
      <c r="K309" s="151">
        <v>5682</v>
      </c>
      <c r="L309" s="153">
        <v>12</v>
      </c>
      <c r="M309" s="153">
        <v>10</v>
      </c>
      <c r="N309" s="145">
        <f>(((Tabela136[[#This Row],[Objetive value Similarity]]-Tabela136[[#This Row],[Objetive value Similarity/GATeS]])/Tabela136[[#This Row],[Objetive value Similarity]]))*100</f>
        <v>0.36822724881641239</v>
      </c>
      <c r="O309" s="23">
        <v>5303</v>
      </c>
      <c r="P309" s="53">
        <v>0.71</v>
      </c>
      <c r="Q309" s="53">
        <v>0</v>
      </c>
      <c r="R309" s="55">
        <f>(((Tabela136[[#This Row],[Objetive value Similarity]]-Tabela136[[#This Row],[Objetive value Similarity/H-R1    ]])/Tabela136[[#This Row],[Objetive value Similarity]]))*100</f>
        <v>7.0138523584078554</v>
      </c>
      <c r="S309" s="96">
        <v>5317</v>
      </c>
      <c r="T309" s="21">
        <v>0.74</v>
      </c>
      <c r="U309" s="21">
        <v>0</v>
      </c>
      <c r="V309" s="144">
        <f>(((Tabela136[[#This Row],[Objetive value Similarity]]-Tabela136[[#This Row],[Objetive value Similarity/H-R2]])/Tabela136[[#This Row],[Objetive value Similarity]]))*100</f>
        <v>6.7683675258635807</v>
      </c>
    </row>
    <row r="310" spans="1:22" s="34" customFormat="1" x14ac:dyDescent="0.25">
      <c r="A310" s="11" t="s">
        <v>148</v>
      </c>
      <c r="B310" s="12" t="s">
        <v>836</v>
      </c>
      <c r="C310" s="11">
        <v>300</v>
      </c>
      <c r="D310" s="11">
        <v>0.05</v>
      </c>
      <c r="E310" s="11">
        <v>10</v>
      </c>
      <c r="F310" s="12" t="s">
        <v>13</v>
      </c>
      <c r="G310" s="12" t="s">
        <v>16</v>
      </c>
      <c r="H310" s="140">
        <v>3547</v>
      </c>
      <c r="I310" s="140">
        <v>0.90600000007543702</v>
      </c>
      <c r="J310" s="147">
        <v>0</v>
      </c>
      <c r="K310" s="151">
        <v>3514</v>
      </c>
      <c r="L310" s="153">
        <v>16</v>
      </c>
      <c r="M310" s="153">
        <v>3</v>
      </c>
      <c r="N310" s="145">
        <f>(((Tabela136[[#This Row],[Objetive value Similarity]]-Tabela136[[#This Row],[Objetive value Similarity/GATeS]])/Tabela136[[#This Row],[Objetive value Similarity]]))*100</f>
        <v>0.93036368762334365</v>
      </c>
      <c r="O310" s="23">
        <v>3151</v>
      </c>
      <c r="P310" s="53">
        <v>0.49</v>
      </c>
      <c r="Q310" s="53">
        <v>0</v>
      </c>
      <c r="R310" s="55">
        <f>(((Tabela136[[#This Row],[Objetive value Similarity]]-Tabela136[[#This Row],[Objetive value Similarity/H-R1    ]])/Tabela136[[#This Row],[Objetive value Similarity]]))*100</f>
        <v>11.164364251480125</v>
      </c>
      <c r="S310" s="96">
        <v>3281</v>
      </c>
      <c r="T310" s="21">
        <v>0.57999999999999996</v>
      </c>
      <c r="U310" s="21">
        <v>0</v>
      </c>
      <c r="V310" s="144">
        <f>(((Tabela136[[#This Row],[Objetive value Similarity]]-Tabela136[[#This Row],[Objetive value Similarity/H-R2]])/Tabela136[[#This Row],[Objetive value Similarity]]))*100</f>
        <v>7.4992951790245277</v>
      </c>
    </row>
    <row r="311" spans="1:22" s="34" customFormat="1" x14ac:dyDescent="0.25">
      <c r="A311" s="11" t="s">
        <v>148</v>
      </c>
      <c r="B311" s="12" t="s">
        <v>837</v>
      </c>
      <c r="C311" s="11">
        <v>300</v>
      </c>
      <c r="D311" s="11">
        <v>0.05</v>
      </c>
      <c r="E311" s="11">
        <v>10</v>
      </c>
      <c r="F311" s="12" t="s">
        <v>18</v>
      </c>
      <c r="G311" s="12" t="s">
        <v>14</v>
      </c>
      <c r="H311" s="140">
        <v>6836</v>
      </c>
      <c r="I311" s="140">
        <v>0.35999999998602999</v>
      </c>
      <c r="J311" s="147">
        <v>0</v>
      </c>
      <c r="K311" s="151">
        <v>6575</v>
      </c>
      <c r="L311" s="153">
        <v>12</v>
      </c>
      <c r="M311" s="153">
        <v>8</v>
      </c>
      <c r="N311" s="145">
        <f>(((Tabela136[[#This Row],[Objetive value Similarity]]-Tabela136[[#This Row],[Objetive value Similarity/GATeS]])/Tabela136[[#This Row],[Objetive value Similarity]]))*100</f>
        <v>3.8180222352252784</v>
      </c>
      <c r="O311" s="23">
        <v>6547</v>
      </c>
      <c r="P311" s="53">
        <v>0.63</v>
      </c>
      <c r="Q311" s="53">
        <v>0</v>
      </c>
      <c r="R311" s="55">
        <f>(((Tabela136[[#This Row],[Objetive value Similarity]]-Tabela136[[#This Row],[Objetive value Similarity/H-R1    ]])/Tabela136[[#This Row],[Objetive value Similarity]]))*100</f>
        <v>4.2276184903452316</v>
      </c>
      <c r="S311" s="96">
        <v>6394</v>
      </c>
      <c r="T311" s="21">
        <v>0.49</v>
      </c>
      <c r="U311" s="21">
        <v>0</v>
      </c>
      <c r="V311" s="144">
        <f>(((Tabela136[[#This Row],[Objetive value Similarity]]-Tabela136[[#This Row],[Objetive value Similarity/H-R2]])/Tabela136[[#This Row],[Objetive value Similarity]]))*100</f>
        <v>6.4657694558221177</v>
      </c>
    </row>
    <row r="312" spans="1:22" s="34" customFormat="1" x14ac:dyDescent="0.25">
      <c r="A312" s="11" t="s">
        <v>148</v>
      </c>
      <c r="B312" s="12" t="s">
        <v>838</v>
      </c>
      <c r="C312" s="11">
        <v>300</v>
      </c>
      <c r="D312" s="11">
        <v>0.05</v>
      </c>
      <c r="E312" s="11">
        <v>10</v>
      </c>
      <c r="F312" s="12" t="s">
        <v>18</v>
      </c>
      <c r="G312" s="12" t="s">
        <v>16</v>
      </c>
      <c r="H312" s="140">
        <v>3628</v>
      </c>
      <c r="I312" s="140">
        <v>2.1879999999655402</v>
      </c>
      <c r="J312" s="147">
        <v>0</v>
      </c>
      <c r="K312" s="151">
        <v>3621</v>
      </c>
      <c r="L312" s="153">
        <v>16</v>
      </c>
      <c r="M312" s="153">
        <v>1</v>
      </c>
      <c r="N312" s="145">
        <f>(((Tabela136[[#This Row],[Objetive value Similarity]]-Tabela136[[#This Row],[Objetive value Similarity/GATeS]])/Tabela136[[#This Row],[Objetive value Similarity]]))*100</f>
        <v>0.19294377067254684</v>
      </c>
      <c r="O312" s="23">
        <v>3628</v>
      </c>
      <c r="P312" s="53">
        <v>0.56000000000000005</v>
      </c>
      <c r="Q312" s="53">
        <v>0</v>
      </c>
      <c r="R312" s="55">
        <f>(((Tabela136[[#This Row],[Objetive value Similarity]]-Tabela136[[#This Row],[Objetive value Similarity/H-R1    ]])/Tabela136[[#This Row],[Objetive value Similarity]]))*100</f>
        <v>0</v>
      </c>
      <c r="S312" s="96">
        <v>3565</v>
      </c>
      <c r="T312" s="21">
        <v>0.83</v>
      </c>
      <c r="U312" s="21">
        <v>0</v>
      </c>
      <c r="V312" s="144">
        <f>(((Tabela136[[#This Row],[Objetive value Similarity]]-Tabela136[[#This Row],[Objetive value Similarity/H-R2]])/Tabela136[[#This Row],[Objetive value Similarity]]))*100</f>
        <v>1.7364939360529217</v>
      </c>
    </row>
    <row r="313" spans="1:22" s="34" customFormat="1" x14ac:dyDescent="0.25">
      <c r="A313" s="11" t="s">
        <v>148</v>
      </c>
      <c r="B313" s="12" t="s">
        <v>839</v>
      </c>
      <c r="C313" s="11">
        <v>300</v>
      </c>
      <c r="D313" s="11">
        <v>0.05</v>
      </c>
      <c r="E313" s="11">
        <v>10</v>
      </c>
      <c r="F313" s="12" t="s">
        <v>21</v>
      </c>
      <c r="G313" s="12" t="s">
        <v>14</v>
      </c>
      <c r="H313" s="140">
        <v>3631</v>
      </c>
      <c r="I313" s="140">
        <v>0.17099999997299101</v>
      </c>
      <c r="J313" s="147">
        <v>0</v>
      </c>
      <c r="K313" s="151">
        <v>3630</v>
      </c>
      <c r="L313" s="153">
        <v>13</v>
      </c>
      <c r="M313" s="153">
        <v>1</v>
      </c>
      <c r="N313" s="145">
        <f>(((Tabela136[[#This Row],[Objetive value Similarity]]-Tabela136[[#This Row],[Objetive value Similarity/GATeS]])/Tabela136[[#This Row],[Objetive value Similarity]]))*100</f>
        <v>2.7540622418066651E-2</v>
      </c>
      <c r="O313" s="23">
        <v>1296</v>
      </c>
      <c r="P313" s="53">
        <v>1.31</v>
      </c>
      <c r="Q313" s="53">
        <v>0</v>
      </c>
      <c r="R313" s="55">
        <f>(((Tabela136[[#This Row],[Objetive value Similarity]]-Tabela136[[#This Row],[Objetive value Similarity/H-R1    ]])/Tabela136[[#This Row],[Objetive value Similarity]]))*100</f>
        <v>64.307353346185621</v>
      </c>
      <c r="S313" s="96">
        <v>3568</v>
      </c>
      <c r="T313" s="21">
        <v>1.08</v>
      </c>
      <c r="U313" s="21">
        <v>0</v>
      </c>
      <c r="V313" s="144">
        <f>(((Tabela136[[#This Row],[Objetive value Similarity]]-Tabela136[[#This Row],[Objetive value Similarity/H-R2]])/Tabela136[[#This Row],[Objetive value Similarity]]))*100</f>
        <v>1.7350592123381989</v>
      </c>
    </row>
    <row r="314" spans="1:22" s="34" customFormat="1" x14ac:dyDescent="0.25">
      <c r="A314" s="11" t="s">
        <v>148</v>
      </c>
      <c r="B314" s="12" t="s">
        <v>840</v>
      </c>
      <c r="C314" s="11">
        <v>300</v>
      </c>
      <c r="D314" s="11">
        <v>0.05</v>
      </c>
      <c r="E314" s="11">
        <v>10</v>
      </c>
      <c r="F314" s="12" t="s">
        <v>21</v>
      </c>
      <c r="G314" s="12" t="s">
        <v>16</v>
      </c>
      <c r="H314" s="140">
        <v>3606</v>
      </c>
      <c r="I314" s="140">
        <v>0.71900000004097797</v>
      </c>
      <c r="J314" s="147">
        <v>0</v>
      </c>
      <c r="K314" s="151">
        <v>3597</v>
      </c>
      <c r="L314" s="153">
        <v>22</v>
      </c>
      <c r="M314" s="153">
        <v>9</v>
      </c>
      <c r="N314" s="145">
        <f>(((Tabela136[[#This Row],[Objetive value Similarity]]-Tabela136[[#This Row],[Objetive value Similarity/GATeS]])/Tabela136[[#This Row],[Objetive value Similarity]]))*100</f>
        <v>0.24958402662229617</v>
      </c>
      <c r="O314" s="23">
        <v>3559</v>
      </c>
      <c r="P314" s="53">
        <v>0.59</v>
      </c>
      <c r="Q314" s="53">
        <v>0</v>
      </c>
      <c r="R314" s="55">
        <f>(((Tabela136[[#This Row],[Objetive value Similarity]]-Tabela136[[#This Row],[Objetive value Similarity/H-R1    ]])/Tabela136[[#This Row],[Objetive value Similarity]]))*100</f>
        <v>1.3033832501386577</v>
      </c>
      <c r="S314" s="96">
        <v>3606</v>
      </c>
      <c r="T314" s="21">
        <v>0.57999999999999996</v>
      </c>
      <c r="U314" s="21">
        <v>0</v>
      </c>
      <c r="V314" s="144">
        <f>(((Tabela136[[#This Row],[Objetive value Similarity]]-Tabela136[[#This Row],[Objetive value Similarity/H-R2]])/Tabela136[[#This Row],[Objetive value Similarity]]))*100</f>
        <v>0</v>
      </c>
    </row>
    <row r="315" spans="1:22" s="34" customFormat="1" x14ac:dyDescent="0.25">
      <c r="A315" s="29" t="s">
        <v>167</v>
      </c>
      <c r="B315" s="12" t="s">
        <v>853</v>
      </c>
      <c r="C315" s="11">
        <v>300</v>
      </c>
      <c r="D315" s="11">
        <v>0.05</v>
      </c>
      <c r="E315" s="11">
        <v>15</v>
      </c>
      <c r="F315" s="12" t="s">
        <v>13</v>
      </c>
      <c r="G315" s="12" t="s">
        <v>14</v>
      </c>
      <c r="H315" s="140">
        <v>6671</v>
      </c>
      <c r="I315" s="140">
        <v>2.5940000000409702</v>
      </c>
      <c r="J315" s="147">
        <v>18.8</v>
      </c>
      <c r="K315" s="151">
        <v>6526</v>
      </c>
      <c r="L315" s="153">
        <v>131</v>
      </c>
      <c r="M315" s="153">
        <v>129</v>
      </c>
      <c r="N315" s="145">
        <f>(((Tabela136[[#This Row],[Objetive value Similarity]]-Tabela136[[#This Row],[Objetive value Similarity/GATeS]])/Tabela136[[#This Row],[Objetive value Similarity]]))*100</f>
        <v>2.1735871683405787</v>
      </c>
      <c r="O315" s="23">
        <v>6398</v>
      </c>
      <c r="P315" s="53">
        <v>0.54</v>
      </c>
      <c r="Q315" s="53">
        <v>0</v>
      </c>
      <c r="R315" s="55">
        <f>(((Tabela136[[#This Row],[Objetive value Similarity]]-Tabela136[[#This Row],[Objetive value Similarity/H-R1    ]])/Tabela136[[#This Row],[Objetive value Similarity]]))*100</f>
        <v>4.0923399790136417</v>
      </c>
      <c r="S315" s="96">
        <v>6260</v>
      </c>
      <c r="T315" s="21">
        <v>0.63</v>
      </c>
      <c r="U315" s="21">
        <v>0</v>
      </c>
      <c r="V315" s="144">
        <f>(((Tabela136[[#This Row],[Objetive value Similarity]]-Tabela136[[#This Row],[Objetive value Similarity/H-R2]])/Tabela136[[#This Row],[Objetive value Similarity]]))*100</f>
        <v>6.160995353020537</v>
      </c>
    </row>
    <row r="316" spans="1:22" s="34" customFormat="1" x14ac:dyDescent="0.25">
      <c r="A316" s="11" t="s">
        <v>167</v>
      </c>
      <c r="B316" s="12" t="s">
        <v>854</v>
      </c>
      <c r="C316" s="11">
        <v>300</v>
      </c>
      <c r="D316" s="11">
        <v>0.05</v>
      </c>
      <c r="E316" s="11">
        <v>15</v>
      </c>
      <c r="F316" s="12" t="s">
        <v>13</v>
      </c>
      <c r="G316" s="12" t="s">
        <v>16</v>
      </c>
      <c r="H316" s="140">
        <v>5369</v>
      </c>
      <c r="I316" s="140">
        <v>12.468999999924501</v>
      </c>
      <c r="J316" s="147">
        <v>0.28999999999999998</v>
      </c>
      <c r="K316" s="151">
        <v>5301</v>
      </c>
      <c r="L316" s="153">
        <v>20</v>
      </c>
      <c r="M316" s="153">
        <v>3</v>
      </c>
      <c r="N316" s="145">
        <f>(((Tabela136[[#This Row],[Objetive value Similarity]]-Tabela136[[#This Row],[Objetive value Similarity/GATeS]])/Tabela136[[#This Row],[Objetive value Similarity]]))*100</f>
        <v>1.2665300800894019</v>
      </c>
      <c r="O316" s="23">
        <v>5154</v>
      </c>
      <c r="P316" s="53">
        <v>0.61</v>
      </c>
      <c r="Q316" s="53">
        <v>0</v>
      </c>
      <c r="R316" s="55">
        <f>(((Tabela136[[#This Row],[Objetive value Similarity]]-Tabela136[[#This Row],[Objetive value Similarity/H-R1    ]])/Tabela136[[#This Row],[Objetive value Similarity]]))*100</f>
        <v>4.0044701061650212</v>
      </c>
      <c r="S316" s="96">
        <v>5191</v>
      </c>
      <c r="T316" s="21">
        <v>0.64</v>
      </c>
      <c r="U316" s="21">
        <v>0</v>
      </c>
      <c r="V316" s="144">
        <f>(((Tabela136[[#This Row],[Objetive value Similarity]]-Tabela136[[#This Row],[Objetive value Similarity/H-R2]])/Tabela136[[#This Row],[Objetive value Similarity]]))*100</f>
        <v>3.3153287390575525</v>
      </c>
    </row>
    <row r="317" spans="1:22" s="34" customFormat="1" x14ac:dyDescent="0.25">
      <c r="A317" s="11" t="s">
        <v>167</v>
      </c>
      <c r="B317" s="12" t="s">
        <v>855</v>
      </c>
      <c r="C317" s="11">
        <v>300</v>
      </c>
      <c r="D317" s="11">
        <v>0.05</v>
      </c>
      <c r="E317" s="11">
        <v>15</v>
      </c>
      <c r="F317" s="12" t="s">
        <v>18</v>
      </c>
      <c r="G317" s="12" t="s">
        <v>14</v>
      </c>
      <c r="H317" s="140">
        <v>9011</v>
      </c>
      <c r="I317" s="140">
        <v>2.45300000009592</v>
      </c>
      <c r="J317" s="147">
        <v>6.78</v>
      </c>
      <c r="K317" s="151">
        <v>8525</v>
      </c>
      <c r="L317" s="153">
        <v>16</v>
      </c>
      <c r="M317" s="153">
        <v>5</v>
      </c>
      <c r="N317" s="145">
        <f>(((Tabela136[[#This Row],[Objetive value Similarity]]-Tabela136[[#This Row],[Objetive value Similarity/GATeS]])/Tabela136[[#This Row],[Objetive value Similarity]]))*100</f>
        <v>5.3934080568194434</v>
      </c>
      <c r="O317" s="23">
        <v>8148</v>
      </c>
      <c r="P317" s="53">
        <v>0.68</v>
      </c>
      <c r="Q317" s="53">
        <v>0</v>
      </c>
      <c r="R317" s="55">
        <f>(((Tabela136[[#This Row],[Objetive value Similarity]]-Tabela136[[#This Row],[Objetive value Similarity/H-R1    ]])/Tabela136[[#This Row],[Objetive value Similarity]]))*100</f>
        <v>9.5771834424592175</v>
      </c>
      <c r="S317" s="96">
        <v>7727</v>
      </c>
      <c r="T317" s="21">
        <v>0.45</v>
      </c>
      <c r="U317" s="21">
        <v>0</v>
      </c>
      <c r="V317" s="144">
        <f>(((Tabela136[[#This Row],[Objetive value Similarity]]-Tabela136[[#This Row],[Objetive value Similarity/H-R2]])/Tabela136[[#This Row],[Objetive value Similarity]]))*100</f>
        <v>14.249250915547664</v>
      </c>
    </row>
    <row r="318" spans="1:22" s="34" customFormat="1" x14ac:dyDescent="0.25">
      <c r="A318" s="11" t="s">
        <v>167</v>
      </c>
      <c r="B318" s="12" t="s">
        <v>856</v>
      </c>
      <c r="C318" s="11">
        <v>300</v>
      </c>
      <c r="D318" s="11">
        <v>0.05</v>
      </c>
      <c r="E318" s="11">
        <v>15</v>
      </c>
      <c r="F318" s="12" t="s">
        <v>18</v>
      </c>
      <c r="G318" s="12" t="s">
        <v>16</v>
      </c>
      <c r="H318" s="140">
        <v>5080</v>
      </c>
      <c r="I318" s="140">
        <v>12.4529999999795</v>
      </c>
      <c r="J318" s="147">
        <v>0</v>
      </c>
      <c r="K318" s="151">
        <v>5007</v>
      </c>
      <c r="L318" s="153">
        <v>32</v>
      </c>
      <c r="M318" s="153">
        <v>31</v>
      </c>
      <c r="N318" s="145">
        <f>(((Tabela136[[#This Row],[Objetive value Similarity]]-Tabela136[[#This Row],[Objetive value Similarity/GATeS]])/Tabela136[[#This Row],[Objetive value Similarity]]))*100</f>
        <v>1.4370078740157479</v>
      </c>
      <c r="O318" s="23">
        <v>5026</v>
      </c>
      <c r="P318" s="53">
        <v>1.02</v>
      </c>
      <c r="Q318" s="53">
        <v>0</v>
      </c>
      <c r="R318" s="55">
        <f>(((Tabela136[[#This Row],[Objetive value Similarity]]-Tabela136[[#This Row],[Objetive value Similarity/H-R1    ]])/Tabela136[[#This Row],[Objetive value Similarity]]))*100</f>
        <v>1.0629921259842519</v>
      </c>
      <c r="S318" s="96">
        <v>4959</v>
      </c>
      <c r="T318" s="21">
        <v>0.62</v>
      </c>
      <c r="U318" s="21">
        <v>0</v>
      </c>
      <c r="V318" s="144">
        <f>(((Tabela136[[#This Row],[Objetive value Similarity]]-Tabela136[[#This Row],[Objetive value Similarity/H-R2]])/Tabela136[[#This Row],[Objetive value Similarity]]))*100</f>
        <v>2.3818897637795278</v>
      </c>
    </row>
    <row r="319" spans="1:22" s="34" customFormat="1" x14ac:dyDescent="0.25">
      <c r="A319" s="11" t="s">
        <v>167</v>
      </c>
      <c r="B319" s="12" t="s">
        <v>857</v>
      </c>
      <c r="C319" s="11">
        <v>300</v>
      </c>
      <c r="D319" s="11">
        <v>0.05</v>
      </c>
      <c r="E319" s="11">
        <v>15</v>
      </c>
      <c r="F319" s="12" t="s">
        <v>21</v>
      </c>
      <c r="G319" s="12" t="s">
        <v>14</v>
      </c>
      <c r="H319" s="140">
        <v>5318</v>
      </c>
      <c r="I319" s="140">
        <v>1.0320000000065099</v>
      </c>
      <c r="J319" s="147">
        <v>0</v>
      </c>
      <c r="K319" s="151">
        <v>5068</v>
      </c>
      <c r="L319" s="153">
        <v>12</v>
      </c>
      <c r="M319" s="153">
        <v>7</v>
      </c>
      <c r="N319" s="145">
        <f>(((Tabela136[[#This Row],[Objetive value Similarity]]-Tabela136[[#This Row],[Objetive value Similarity/GATeS]])/Tabela136[[#This Row],[Objetive value Similarity]]))*100</f>
        <v>4.7010154193305755</v>
      </c>
      <c r="O319" s="23">
        <v>1713</v>
      </c>
      <c r="P319" s="53">
        <v>2.56</v>
      </c>
      <c r="Q319" s="53">
        <v>0</v>
      </c>
      <c r="R319" s="55">
        <f>(((Tabela136[[#This Row],[Objetive value Similarity]]-Tabela136[[#This Row],[Objetive value Similarity/H-R1    ]])/Tabela136[[#This Row],[Objetive value Similarity]]))*100</f>
        <v>67.788642346746897</v>
      </c>
      <c r="S319" s="96">
        <v>2772</v>
      </c>
      <c r="T319" s="21">
        <v>1.81</v>
      </c>
      <c r="U319" s="21">
        <v>0</v>
      </c>
      <c r="V319" s="144">
        <f>(((Tabela136[[#This Row],[Objetive value Similarity]]-Tabela136[[#This Row],[Objetive value Similarity/H-R2]])/Tabela136[[#This Row],[Objetive value Similarity]]))*100</f>
        <v>47.875141030462579</v>
      </c>
    </row>
    <row r="320" spans="1:22" s="34" customFormat="1" x14ac:dyDescent="0.25">
      <c r="A320" s="11" t="s">
        <v>167</v>
      </c>
      <c r="B320" s="12" t="s">
        <v>858</v>
      </c>
      <c r="C320" s="11">
        <v>300</v>
      </c>
      <c r="D320" s="11">
        <v>0.05</v>
      </c>
      <c r="E320" s="11">
        <v>15</v>
      </c>
      <c r="F320" s="12" t="s">
        <v>21</v>
      </c>
      <c r="G320" s="12" t="s">
        <v>16</v>
      </c>
      <c r="H320" s="140">
        <v>5118</v>
      </c>
      <c r="I320" s="140">
        <v>5.10900000005494</v>
      </c>
      <c r="J320" s="147">
        <v>0</v>
      </c>
      <c r="K320" s="151">
        <v>5027</v>
      </c>
      <c r="L320" s="153">
        <v>14</v>
      </c>
      <c r="M320" s="153">
        <v>0</v>
      </c>
      <c r="N320" s="145">
        <f>(((Tabela136[[#This Row],[Objetive value Similarity]]-Tabela136[[#This Row],[Objetive value Similarity/GATeS]])/Tabela136[[#This Row],[Objetive value Similarity]]))*100</f>
        <v>1.7780382962094567</v>
      </c>
      <c r="O320" s="23">
        <v>4991</v>
      </c>
      <c r="P320" s="53">
        <v>0.64</v>
      </c>
      <c r="Q320" s="53">
        <v>0</v>
      </c>
      <c r="R320" s="55">
        <f>(((Tabela136[[#This Row],[Objetive value Similarity]]-Tabela136[[#This Row],[Objetive value Similarity/H-R1    ]])/Tabela136[[#This Row],[Objetive value Similarity]]))*100</f>
        <v>2.481438061742868</v>
      </c>
      <c r="S320" s="96">
        <v>5055</v>
      </c>
      <c r="T320" s="21">
        <v>0.56999999999999995</v>
      </c>
      <c r="U320" s="21">
        <v>0</v>
      </c>
      <c r="V320" s="144">
        <f>(((Tabela136[[#This Row],[Objetive value Similarity]]-Tabela136[[#This Row],[Objetive value Similarity/H-R2]])/Tabela136[[#This Row],[Objetive value Similarity]]))*100</f>
        <v>1.2309495896834701</v>
      </c>
    </row>
    <row r="321" spans="1:22" s="34" customFormat="1" x14ac:dyDescent="0.25">
      <c r="A321" s="11" t="s">
        <v>129</v>
      </c>
      <c r="B321" s="30" t="s">
        <v>817</v>
      </c>
      <c r="C321" s="11">
        <v>300</v>
      </c>
      <c r="D321" s="11">
        <v>0.05</v>
      </c>
      <c r="E321" s="11">
        <v>5</v>
      </c>
      <c r="F321" s="12" t="s">
        <v>13</v>
      </c>
      <c r="G321" s="12" t="s">
        <v>14</v>
      </c>
      <c r="H321" s="140">
        <v>2881</v>
      </c>
      <c r="I321" s="140">
        <v>0.18799999996554101</v>
      </c>
      <c r="J321" s="147">
        <v>0</v>
      </c>
      <c r="K321" s="151">
        <v>2872</v>
      </c>
      <c r="L321" s="153">
        <v>12</v>
      </c>
      <c r="M321" s="153">
        <v>11</v>
      </c>
      <c r="N321" s="145">
        <f>(((Tabela136[[#This Row],[Objetive value Similarity]]-Tabela136[[#This Row],[Objetive value Similarity/GATeS]])/Tabela136[[#This Row],[Objetive value Similarity]]))*100</f>
        <v>0.31239153071850057</v>
      </c>
      <c r="O321" s="23">
        <v>2881</v>
      </c>
      <c r="P321" s="53">
        <v>0.68</v>
      </c>
      <c r="Q321" s="53">
        <v>0</v>
      </c>
      <c r="R321" s="55">
        <f>(((Tabela136[[#This Row],[Objetive value Similarity]]-Tabela136[[#This Row],[Objetive value Similarity/H-R1    ]])/Tabela136[[#This Row],[Objetive value Similarity]]))*100</f>
        <v>0</v>
      </c>
      <c r="S321" s="96">
        <v>2881</v>
      </c>
      <c r="T321" s="21">
        <v>0.52</v>
      </c>
      <c r="U321" s="21">
        <v>0</v>
      </c>
      <c r="V321" s="144">
        <f>(((Tabela136[[#This Row],[Objetive value Similarity]]-Tabela136[[#This Row],[Objetive value Similarity/H-R2]])/Tabela136[[#This Row],[Objetive value Similarity]]))*100</f>
        <v>0</v>
      </c>
    </row>
    <row r="322" spans="1:22" s="34" customFormat="1" x14ac:dyDescent="0.25">
      <c r="A322" s="11" t="s">
        <v>129</v>
      </c>
      <c r="B322" s="12" t="s">
        <v>818</v>
      </c>
      <c r="C322" s="11">
        <v>300</v>
      </c>
      <c r="D322" s="11">
        <v>0.05</v>
      </c>
      <c r="E322" s="11">
        <v>5</v>
      </c>
      <c r="F322" s="12" t="s">
        <v>13</v>
      </c>
      <c r="G322" s="12" t="s">
        <v>16</v>
      </c>
      <c r="H322" s="140">
        <v>1873</v>
      </c>
      <c r="I322" s="140">
        <v>0.155999999959021</v>
      </c>
      <c r="J322" s="147">
        <v>0</v>
      </c>
      <c r="K322" s="151">
        <v>1873</v>
      </c>
      <c r="L322" s="153">
        <v>11</v>
      </c>
      <c r="M322" s="153">
        <v>5</v>
      </c>
      <c r="N322" s="145">
        <f>(((Tabela136[[#This Row],[Objetive value Similarity]]-Tabela136[[#This Row],[Objetive value Similarity/GATeS]])/Tabela136[[#This Row],[Objetive value Similarity]]))*100</f>
        <v>0</v>
      </c>
      <c r="O322" s="23">
        <v>1849</v>
      </c>
      <c r="P322" s="53">
        <v>0.41</v>
      </c>
      <c r="Q322" s="53">
        <v>0</v>
      </c>
      <c r="R322" s="55">
        <f>(((Tabela136[[#This Row],[Objetive value Similarity]]-Tabela136[[#This Row],[Objetive value Similarity/H-R1    ]])/Tabela136[[#This Row],[Objetive value Similarity]]))*100</f>
        <v>1.2813667912439934</v>
      </c>
      <c r="S322" s="96">
        <v>1687</v>
      </c>
      <c r="T322" s="21">
        <v>0.36</v>
      </c>
      <c r="U322" s="21">
        <v>0</v>
      </c>
      <c r="V322" s="144">
        <f>(((Tabela136[[#This Row],[Objetive value Similarity]]-Tabela136[[#This Row],[Objetive value Similarity/H-R2]])/Tabela136[[#This Row],[Objetive value Similarity]]))*100</f>
        <v>9.9305926321409501</v>
      </c>
    </row>
    <row r="323" spans="1:22" s="34" customFormat="1" x14ac:dyDescent="0.25">
      <c r="A323" s="11" t="s">
        <v>129</v>
      </c>
      <c r="B323" s="12" t="s">
        <v>819</v>
      </c>
      <c r="C323" s="11">
        <v>300</v>
      </c>
      <c r="D323" s="11">
        <v>0.05</v>
      </c>
      <c r="E323" s="11">
        <v>5</v>
      </c>
      <c r="F323" s="12" t="s">
        <v>18</v>
      </c>
      <c r="G323" s="12" t="s">
        <v>14</v>
      </c>
      <c r="H323" s="140">
        <v>3085</v>
      </c>
      <c r="I323" s="140">
        <v>0.108999999938532</v>
      </c>
      <c r="J323" s="147">
        <v>0</v>
      </c>
      <c r="K323" s="151">
        <v>3074</v>
      </c>
      <c r="L323" s="153">
        <v>5</v>
      </c>
      <c r="M323" s="153">
        <v>2</v>
      </c>
      <c r="N323" s="145">
        <f>(((Tabela136[[#This Row],[Objetive value Similarity]]-Tabela136[[#This Row],[Objetive value Similarity/GATeS]])/Tabela136[[#This Row],[Objetive value Similarity]]))*100</f>
        <v>0.3565640194489465</v>
      </c>
      <c r="O323" s="23">
        <v>3085</v>
      </c>
      <c r="P323" s="53">
        <v>0.26</v>
      </c>
      <c r="Q323" s="53">
        <v>0</v>
      </c>
      <c r="R323" s="55">
        <f>(((Tabela136[[#This Row],[Objetive value Similarity]]-Tabela136[[#This Row],[Objetive value Similarity/H-R1    ]])/Tabela136[[#This Row],[Objetive value Similarity]]))*100</f>
        <v>0</v>
      </c>
      <c r="S323" s="96">
        <v>2991</v>
      </c>
      <c r="T323" s="21">
        <v>0.36</v>
      </c>
      <c r="U323" s="21">
        <v>0</v>
      </c>
      <c r="V323" s="144">
        <f>(((Tabela136[[#This Row],[Objetive value Similarity]]-Tabela136[[#This Row],[Objetive value Similarity/H-R2]])/Tabela136[[#This Row],[Objetive value Similarity]]))*100</f>
        <v>3.0470016207455428</v>
      </c>
    </row>
    <row r="324" spans="1:22" s="34" customFormat="1" x14ac:dyDescent="0.25">
      <c r="A324" s="11" t="s">
        <v>129</v>
      </c>
      <c r="B324" s="12" t="s">
        <v>820</v>
      </c>
      <c r="C324" s="11">
        <v>300</v>
      </c>
      <c r="D324" s="11">
        <v>0.05</v>
      </c>
      <c r="E324" s="11">
        <v>5</v>
      </c>
      <c r="F324" s="12" t="s">
        <v>18</v>
      </c>
      <c r="G324" s="12" t="s">
        <v>16</v>
      </c>
      <c r="H324" s="140">
        <v>1916</v>
      </c>
      <c r="I324" s="140">
        <v>0.18799999996554101</v>
      </c>
      <c r="J324" s="147">
        <v>0</v>
      </c>
      <c r="K324" s="151">
        <v>1914</v>
      </c>
      <c r="L324" s="153">
        <v>6</v>
      </c>
      <c r="M324" s="153">
        <v>4</v>
      </c>
      <c r="N324" s="145">
        <f>(((Tabela136[[#This Row],[Objetive value Similarity]]-Tabela136[[#This Row],[Objetive value Similarity/GATeS]])/Tabela136[[#This Row],[Objetive value Similarity]]))*100</f>
        <v>0.10438413361169101</v>
      </c>
      <c r="O324" s="23">
        <v>1916</v>
      </c>
      <c r="P324" s="53">
        <v>0.36</v>
      </c>
      <c r="Q324" s="53">
        <v>0</v>
      </c>
      <c r="R324" s="55">
        <f>(((Tabela136[[#This Row],[Objetive value Similarity]]-Tabela136[[#This Row],[Objetive value Similarity/H-R1    ]])/Tabela136[[#This Row],[Objetive value Similarity]]))*100</f>
        <v>0</v>
      </c>
      <c r="S324" s="96">
        <v>1916</v>
      </c>
      <c r="T324" s="21">
        <v>0.38</v>
      </c>
      <c r="U324" s="21">
        <v>0</v>
      </c>
      <c r="V324" s="144">
        <f>(((Tabela136[[#This Row],[Objetive value Similarity]]-Tabela136[[#This Row],[Objetive value Similarity/H-R2]])/Tabela136[[#This Row],[Objetive value Similarity]]))*100</f>
        <v>0</v>
      </c>
    </row>
    <row r="325" spans="1:22" s="34" customFormat="1" x14ac:dyDescent="0.25">
      <c r="A325" s="11" t="s">
        <v>129</v>
      </c>
      <c r="B325" s="12" t="s">
        <v>821</v>
      </c>
      <c r="C325" s="11">
        <v>300</v>
      </c>
      <c r="D325" s="11">
        <v>0.05</v>
      </c>
      <c r="E325" s="11">
        <v>5</v>
      </c>
      <c r="F325" s="12" t="s">
        <v>21</v>
      </c>
      <c r="G325" s="12" t="s">
        <v>14</v>
      </c>
      <c r="H325" s="140">
        <v>2497</v>
      </c>
      <c r="I325" s="140">
        <v>0.125</v>
      </c>
      <c r="J325" s="147">
        <v>0</v>
      </c>
      <c r="K325" s="151">
        <v>1928</v>
      </c>
      <c r="L325" s="153">
        <v>5</v>
      </c>
      <c r="M325" s="153">
        <v>0</v>
      </c>
      <c r="N325" s="145">
        <f>(((Tabela136[[#This Row],[Objetive value Similarity]]-Tabela136[[#This Row],[Objetive value Similarity/GATeS]])/Tabela136[[#This Row],[Objetive value Similarity]]))*100</f>
        <v>22.787344813776532</v>
      </c>
      <c r="O325" s="23">
        <v>2377</v>
      </c>
      <c r="P325" s="53">
        <v>0.41</v>
      </c>
      <c r="Q325" s="53">
        <v>0</v>
      </c>
      <c r="R325" s="55">
        <f>(((Tabela136[[#This Row],[Objetive value Similarity]]-Tabela136[[#This Row],[Objetive value Similarity/H-R1    ]])/Tabela136[[#This Row],[Objetive value Similarity]]))*100</f>
        <v>4.8057669203043654</v>
      </c>
      <c r="S325" s="96">
        <v>2497</v>
      </c>
      <c r="T325" s="21">
        <v>0.3</v>
      </c>
      <c r="U325" s="21">
        <v>0</v>
      </c>
      <c r="V325" s="144">
        <f>(((Tabela136[[#This Row],[Objetive value Similarity]]-Tabela136[[#This Row],[Objetive value Similarity/H-R2]])/Tabela136[[#This Row],[Objetive value Similarity]]))*100</f>
        <v>0</v>
      </c>
    </row>
    <row r="326" spans="1:22" s="34" customFormat="1" x14ac:dyDescent="0.25">
      <c r="A326" s="11" t="s">
        <v>129</v>
      </c>
      <c r="B326" s="12" t="s">
        <v>822</v>
      </c>
      <c r="C326" s="11">
        <v>300</v>
      </c>
      <c r="D326" s="11">
        <v>0.05</v>
      </c>
      <c r="E326" s="11">
        <v>5</v>
      </c>
      <c r="F326" s="12" t="s">
        <v>21</v>
      </c>
      <c r="G326" s="12" t="s">
        <v>16</v>
      </c>
      <c r="H326" s="140">
        <v>2311</v>
      </c>
      <c r="I326" s="140">
        <v>0.109000000054948</v>
      </c>
      <c r="J326" s="147">
        <v>0</v>
      </c>
      <c r="K326" s="151">
        <v>2311</v>
      </c>
      <c r="L326" s="153">
        <v>6</v>
      </c>
      <c r="M326" s="153">
        <v>2</v>
      </c>
      <c r="N326" s="145">
        <f>(((Tabela136[[#This Row],[Objetive value Similarity]]-Tabela136[[#This Row],[Objetive value Similarity/GATeS]])/Tabela136[[#This Row],[Objetive value Similarity]]))*100</f>
        <v>0</v>
      </c>
      <c r="O326" s="23">
        <v>2286</v>
      </c>
      <c r="P326" s="53">
        <v>0.27</v>
      </c>
      <c r="Q326" s="53">
        <v>0</v>
      </c>
      <c r="R326" s="55">
        <f>(((Tabela136[[#This Row],[Objetive value Similarity]]-Tabela136[[#This Row],[Objetive value Similarity/H-R1    ]])/Tabela136[[#This Row],[Objetive value Similarity]]))*100</f>
        <v>1.0817827780181739</v>
      </c>
      <c r="S326" s="96">
        <v>2311</v>
      </c>
      <c r="T326" s="21">
        <v>0.32</v>
      </c>
      <c r="U326" s="21">
        <v>0</v>
      </c>
      <c r="V326" s="144">
        <f>(((Tabela136[[#This Row],[Objetive value Similarity]]-Tabela136[[#This Row],[Objetive value Similarity/H-R2]])/Tabela136[[#This Row],[Objetive value Similarity]]))*100</f>
        <v>0</v>
      </c>
    </row>
    <row r="327" spans="1:22" s="34" customFormat="1" x14ac:dyDescent="0.25">
      <c r="A327" s="3" t="s">
        <v>358</v>
      </c>
      <c r="B327" s="39"/>
      <c r="C327" s="3"/>
      <c r="D327" s="3"/>
      <c r="E327" s="3"/>
      <c r="F327" s="3"/>
      <c r="G327" s="3"/>
      <c r="H327" s="61">
        <f>SUBTOTAL(101,Tabela136[Objetive value Similarity])</f>
        <v>33931.441358024691</v>
      </c>
      <c r="I327" s="61">
        <f>SUBTOTAL(101,Tabela136[Time/s Similarity])</f>
        <v>151.5572716049376</v>
      </c>
      <c r="J327" s="61">
        <f>SUBTOTAL(101,Tabela136[GAP % Similarity])</f>
        <v>1.9537962962962956</v>
      </c>
      <c r="K327" s="86">
        <f>SUBTOTAL(101,Tabela136[Objetive value Similarity/GATeS])</f>
        <v>33077.771604938273</v>
      </c>
      <c r="L327" s="133">
        <f>SUBTOTAL(101,Tabela136[Time/s Similarity/GATeS])</f>
        <v>339.37345679012344</v>
      </c>
      <c r="M327" s="133">
        <f>SUBTOTAL(101,Tabela136[Time/s best solution Similarity/GATeS])</f>
        <v>175.90740740740742</v>
      </c>
      <c r="N327" s="133">
        <f>SUBTOTAL(101,Tabela136[Δ % (2020) Similarity/GATeS])</f>
        <v>2.2366431672742815</v>
      </c>
      <c r="O327" s="68">
        <f>SUBTOTAL(101,Tabela136[Objetive value Similarity/H-R1    ])</f>
        <v>32298.034236760126</v>
      </c>
      <c r="P327" s="68">
        <f>SUBTOTAL(101,Tabela136[Time/s Similarity/H-R1    ])</f>
        <v>1.3749532710280368</v>
      </c>
      <c r="Q327" s="68">
        <f>SUBTOTAL(101,Tabela136[GAP % Similarity/H-R1])</f>
        <v>0</v>
      </c>
      <c r="R327" s="68">
        <f>SUBTOTAL(101,Tabela136[Δ % (2020) Similarity/H-R1])</f>
        <v>6.7939749214965532</v>
      </c>
      <c r="S327" s="68">
        <f>SUBTOTAL(101,Tabela136[Objetive value Similarity/H-R2])</f>
        <v>31693.749969135803</v>
      </c>
      <c r="T327" s="68">
        <f>SUBTOTAL(101,Tabela136[Time/s Similarity/H-R2])</f>
        <v>1.2811728395061717</v>
      </c>
      <c r="U327" s="68">
        <f>SUBTOTAL(101,Tabela136[GAP% Similarity/H-R2                       ])</f>
        <v>0</v>
      </c>
      <c r="V327" s="68">
        <f>SUBTOTAL(101,Tabela136[Δ % (2020) Similarity/H-R2])</f>
        <v>5.3082291663916079</v>
      </c>
    </row>
    <row r="328" spans="1:22" s="34" customFormat="1" x14ac:dyDescent="0.25">
      <c r="A328" s="35"/>
      <c r="B328" s="36"/>
      <c r="C328" s="35"/>
      <c r="D328" s="35"/>
      <c r="E328" s="35"/>
      <c r="F328" s="35"/>
      <c r="G328" s="35"/>
      <c r="H328" s="35"/>
      <c r="I328" s="35"/>
      <c r="J328" s="35"/>
      <c r="K328" s="35"/>
      <c r="L328" s="73"/>
      <c r="M328" s="73"/>
      <c r="N328" s="35"/>
      <c r="O328" s="74"/>
      <c r="P328" s="74"/>
      <c r="Q328" s="74"/>
      <c r="R328" s="74"/>
      <c r="S328" s="74"/>
      <c r="T328" s="74"/>
      <c r="U328" s="74"/>
      <c r="V328" s="74"/>
    </row>
    <row r="329" spans="1:22" s="34" customFormat="1" x14ac:dyDescent="0.25">
      <c r="B329" s="37"/>
      <c r="H329"/>
      <c r="I329"/>
      <c r="J329"/>
      <c r="K329" s="123"/>
      <c r="L329" s="93"/>
      <c r="M329" s="93"/>
      <c r="N329" s="123"/>
      <c r="O329" s="64"/>
      <c r="P329" s="64"/>
      <c r="Q329" s="64"/>
      <c r="R329" s="64"/>
      <c r="S329" s="64"/>
      <c r="T329" s="64"/>
      <c r="U329" s="64"/>
      <c r="V329" s="64"/>
    </row>
    <row r="330" spans="1:22" s="34" customFormat="1" x14ac:dyDescent="0.25">
      <c r="B330" s="37"/>
      <c r="H330" s="38"/>
      <c r="I330" s="38"/>
      <c r="J330" s="38"/>
      <c r="K330" s="38"/>
      <c r="L330" s="97"/>
      <c r="M330" s="97"/>
      <c r="N330" s="38"/>
      <c r="O330" s="64"/>
      <c r="P330" s="64"/>
      <c r="Q330" s="64"/>
      <c r="R330" s="64"/>
      <c r="S330" s="64"/>
      <c r="T330" s="64"/>
      <c r="U330" s="64"/>
      <c r="V330" s="64"/>
    </row>
    <row r="331" spans="1:22" s="34" customFormat="1" x14ac:dyDescent="0.25">
      <c r="B331" s="37"/>
      <c r="L331" s="97"/>
      <c r="M331" s="97"/>
      <c r="O331" s="64"/>
      <c r="P331" s="64"/>
      <c r="Q331" s="64"/>
      <c r="R331" s="64"/>
      <c r="S331" s="64"/>
      <c r="T331" s="64"/>
      <c r="U331" s="64"/>
      <c r="V331" s="64"/>
    </row>
    <row r="332" spans="1:22" s="34" customFormat="1" x14ac:dyDescent="0.25">
      <c r="B332" s="37"/>
      <c r="L332" s="97"/>
      <c r="M332" s="97"/>
      <c r="O332" s="64"/>
      <c r="P332" s="64"/>
      <c r="Q332" s="64"/>
      <c r="R332" s="64"/>
      <c r="S332" s="64"/>
      <c r="T332" s="64"/>
      <c r="U332" s="64"/>
      <c r="V332" s="64"/>
    </row>
    <row r="333" spans="1:22" s="34" customFormat="1" x14ac:dyDescent="0.25">
      <c r="B333" s="37"/>
      <c r="L333" s="97"/>
      <c r="M333" s="97"/>
      <c r="O333" s="64"/>
      <c r="P333" s="64"/>
      <c r="Q333" s="64"/>
      <c r="R333" s="64"/>
      <c r="S333" s="64"/>
      <c r="T333" s="64"/>
      <c r="U333" s="64"/>
      <c r="V333" s="64"/>
    </row>
    <row r="334" spans="1:22" s="34" customFormat="1" x14ac:dyDescent="0.25">
      <c r="B334" s="37"/>
      <c r="L334" s="97"/>
      <c r="M334" s="97"/>
      <c r="O334" s="64"/>
      <c r="P334" s="64"/>
      <c r="Q334" s="64"/>
      <c r="R334" s="64"/>
      <c r="S334" s="64"/>
      <c r="T334" s="64"/>
      <c r="U334" s="64"/>
      <c r="V334" s="64"/>
    </row>
    <row r="335" spans="1:22" s="34" customFormat="1" x14ac:dyDescent="0.25">
      <c r="B335" s="37"/>
      <c r="L335" s="97"/>
      <c r="M335" s="97"/>
      <c r="O335" s="64"/>
      <c r="P335" s="64"/>
      <c r="Q335" s="64"/>
      <c r="R335" s="64"/>
      <c r="S335" s="64"/>
      <c r="T335" s="64"/>
      <c r="U335" s="64"/>
      <c r="V335" s="64"/>
    </row>
    <row r="336" spans="1:22" s="34" customFormat="1" x14ac:dyDescent="0.25">
      <c r="B336" s="37"/>
      <c r="L336" s="97"/>
      <c r="M336" s="97"/>
      <c r="O336" s="64"/>
      <c r="P336" s="64"/>
      <c r="Q336" s="64"/>
      <c r="R336" s="64"/>
      <c r="S336" s="64"/>
      <c r="T336" s="64"/>
      <c r="U336" s="64"/>
      <c r="V336" s="64"/>
    </row>
    <row r="337" spans="2:22" s="34" customFormat="1" x14ac:dyDescent="0.25">
      <c r="B337" s="37"/>
      <c r="L337" s="97"/>
      <c r="M337" s="97"/>
      <c r="O337" s="64"/>
      <c r="P337" s="64"/>
      <c r="Q337" s="64"/>
      <c r="R337" s="64"/>
      <c r="S337" s="64"/>
      <c r="T337" s="64"/>
      <c r="U337" s="64"/>
      <c r="V337" s="64"/>
    </row>
    <row r="338" spans="2:22" s="34" customFormat="1" x14ac:dyDescent="0.25">
      <c r="B338" s="37"/>
      <c r="L338" s="97"/>
      <c r="M338" s="97"/>
      <c r="O338" s="64"/>
      <c r="P338" s="64"/>
      <c r="Q338" s="64"/>
      <c r="R338" s="64"/>
      <c r="S338" s="64"/>
      <c r="T338" s="64"/>
      <c r="U338" s="64"/>
      <c r="V338" s="64"/>
    </row>
    <row r="339" spans="2:22" s="34" customFormat="1" x14ac:dyDescent="0.25">
      <c r="B339" s="37"/>
      <c r="L339" s="97"/>
      <c r="M339" s="97"/>
      <c r="O339" s="64"/>
      <c r="P339" s="64"/>
      <c r="Q339" s="64"/>
      <c r="R339" s="64"/>
      <c r="S339" s="64"/>
      <c r="T339" s="64"/>
      <c r="U339" s="64"/>
      <c r="V339" s="64"/>
    </row>
    <row r="340" spans="2:22" s="34" customFormat="1" x14ac:dyDescent="0.25">
      <c r="B340" s="37"/>
      <c r="L340" s="97"/>
      <c r="M340" s="97"/>
      <c r="O340" s="64"/>
      <c r="P340" s="64"/>
      <c r="Q340" s="64"/>
      <c r="R340" s="64"/>
      <c r="S340" s="64"/>
      <c r="T340" s="64"/>
      <c r="U340" s="64"/>
      <c r="V340" s="64"/>
    </row>
    <row r="341" spans="2:22" s="34" customFormat="1" x14ac:dyDescent="0.25">
      <c r="B341" s="37"/>
      <c r="L341" s="97"/>
      <c r="M341" s="97"/>
      <c r="O341" s="64"/>
      <c r="P341" s="64"/>
      <c r="Q341" s="64"/>
      <c r="R341" s="64"/>
      <c r="S341" s="64"/>
      <c r="T341" s="64"/>
      <c r="U341" s="64"/>
      <c r="V341" s="64"/>
    </row>
    <row r="342" spans="2:22" s="34" customFormat="1" x14ac:dyDescent="0.25">
      <c r="B342" s="37"/>
      <c r="L342" s="97"/>
      <c r="M342" s="97"/>
      <c r="O342" s="64"/>
      <c r="P342" s="64"/>
      <c r="Q342" s="64"/>
      <c r="R342" s="64"/>
      <c r="S342" s="64"/>
      <c r="T342" s="64"/>
      <c r="U342" s="64"/>
      <c r="V342" s="64"/>
    </row>
    <row r="343" spans="2:22" s="34" customFormat="1" x14ac:dyDescent="0.25">
      <c r="B343" s="37"/>
      <c r="L343" s="97"/>
      <c r="M343" s="97"/>
      <c r="O343" s="64"/>
      <c r="P343" s="64"/>
      <c r="Q343" s="64"/>
      <c r="R343" s="64"/>
      <c r="S343" s="64"/>
      <c r="T343" s="64"/>
      <c r="U343" s="64"/>
      <c r="V343" s="64"/>
    </row>
    <row r="344" spans="2:22" s="34" customFormat="1" x14ac:dyDescent="0.25">
      <c r="B344" s="37"/>
      <c r="L344" s="97"/>
      <c r="M344" s="97"/>
      <c r="O344" s="64"/>
      <c r="P344" s="64"/>
      <c r="Q344" s="64"/>
      <c r="R344" s="64"/>
      <c r="S344" s="64"/>
      <c r="T344" s="64"/>
      <c r="U344" s="64"/>
      <c r="V344" s="64"/>
    </row>
    <row r="345" spans="2:22" s="34" customFormat="1" x14ac:dyDescent="0.25">
      <c r="B345" s="37"/>
      <c r="L345" s="97"/>
      <c r="M345" s="97"/>
      <c r="O345" s="64"/>
      <c r="P345" s="64"/>
      <c r="Q345" s="64"/>
      <c r="R345" s="64"/>
      <c r="S345" s="64"/>
      <c r="T345" s="64"/>
      <c r="U345" s="64"/>
      <c r="V345" s="64"/>
    </row>
    <row r="346" spans="2:22" s="34" customFormat="1" x14ac:dyDescent="0.25">
      <c r="B346" s="37"/>
      <c r="L346" s="97"/>
      <c r="M346" s="97"/>
      <c r="O346" s="64"/>
      <c r="P346" s="64"/>
      <c r="Q346" s="64"/>
      <c r="R346" s="64"/>
      <c r="S346" s="64"/>
      <c r="T346" s="64"/>
      <c r="U346" s="64"/>
      <c r="V346" s="64"/>
    </row>
    <row r="347" spans="2:22" s="34" customFormat="1" x14ac:dyDescent="0.25">
      <c r="B347" s="37"/>
      <c r="L347" s="97"/>
      <c r="M347" s="97"/>
      <c r="O347" s="64"/>
      <c r="P347" s="64"/>
      <c r="Q347" s="64"/>
      <c r="R347" s="64"/>
      <c r="S347" s="64"/>
      <c r="T347" s="64"/>
      <c r="U347" s="64"/>
      <c r="V347" s="64"/>
    </row>
    <row r="348" spans="2:22" s="34" customFormat="1" x14ac:dyDescent="0.25">
      <c r="B348" s="37"/>
      <c r="L348" s="97"/>
      <c r="M348" s="97"/>
      <c r="O348" s="64"/>
      <c r="P348" s="64"/>
      <c r="Q348" s="64"/>
      <c r="R348" s="64"/>
      <c r="S348" s="64"/>
      <c r="T348" s="64"/>
      <c r="U348" s="64"/>
      <c r="V348" s="64"/>
    </row>
    <row r="349" spans="2:22" s="34" customFormat="1" x14ac:dyDescent="0.25">
      <c r="B349" s="37"/>
      <c r="L349" s="97"/>
      <c r="M349" s="97"/>
      <c r="O349" s="64"/>
      <c r="P349" s="64"/>
      <c r="Q349" s="64"/>
      <c r="R349" s="64"/>
      <c r="S349" s="64"/>
      <c r="T349" s="64"/>
      <c r="U349" s="64"/>
      <c r="V349" s="64"/>
    </row>
    <row r="350" spans="2:22" s="34" customFormat="1" x14ac:dyDescent="0.25">
      <c r="B350" s="37"/>
      <c r="L350" s="97"/>
      <c r="M350" s="97"/>
      <c r="O350" s="64"/>
      <c r="P350" s="64"/>
      <c r="Q350" s="64"/>
      <c r="R350" s="64"/>
      <c r="S350" s="64"/>
      <c r="T350" s="64"/>
      <c r="U350" s="64"/>
      <c r="V350" s="64"/>
    </row>
    <row r="351" spans="2:22" s="34" customFormat="1" x14ac:dyDescent="0.25">
      <c r="B351" s="37"/>
      <c r="L351" s="97"/>
      <c r="M351" s="97"/>
      <c r="O351" s="64"/>
      <c r="P351" s="64"/>
      <c r="Q351" s="64"/>
      <c r="R351" s="64"/>
      <c r="S351" s="64"/>
      <c r="T351" s="64"/>
      <c r="U351" s="64"/>
      <c r="V351" s="64"/>
    </row>
    <row r="352" spans="2:22" s="34" customFormat="1" x14ac:dyDescent="0.25">
      <c r="B352" s="37"/>
      <c r="L352" s="97"/>
      <c r="M352" s="97"/>
      <c r="O352" s="64"/>
      <c r="P352" s="64"/>
      <c r="Q352" s="64"/>
      <c r="R352" s="64"/>
      <c r="S352" s="64"/>
      <c r="T352" s="64"/>
      <c r="U352" s="64"/>
      <c r="V352" s="64"/>
    </row>
    <row r="353" spans="1:22" s="34" customFormat="1" x14ac:dyDescent="0.25">
      <c r="B353" s="37"/>
      <c r="L353" s="97"/>
      <c r="M353" s="97"/>
      <c r="O353" s="64"/>
      <c r="P353" s="64"/>
      <c r="Q353" s="64"/>
      <c r="R353" s="64"/>
      <c r="S353" s="64"/>
      <c r="T353" s="64"/>
      <c r="U353" s="64"/>
      <c r="V353" s="64"/>
    </row>
    <row r="354" spans="1:22" s="34" customFormat="1" x14ac:dyDescent="0.25">
      <c r="B354" s="37"/>
      <c r="L354" s="97"/>
      <c r="M354" s="97"/>
      <c r="O354" s="64"/>
      <c r="P354" s="64"/>
      <c r="Q354" s="64"/>
      <c r="R354" s="64"/>
      <c r="S354" s="64"/>
      <c r="T354" s="64"/>
      <c r="U354" s="64"/>
      <c r="V354" s="64"/>
    </row>
    <row r="355" spans="1:22" s="34" customFormat="1" x14ac:dyDescent="0.25">
      <c r="B355" s="37"/>
      <c r="L355" s="97"/>
      <c r="M355" s="97"/>
      <c r="O355" s="64"/>
      <c r="P355" s="64"/>
      <c r="Q355" s="64"/>
      <c r="R355" s="64"/>
      <c r="S355" s="64"/>
      <c r="T355" s="64"/>
      <c r="U355" s="64"/>
      <c r="V355" s="64"/>
    </row>
    <row r="356" spans="1:22" s="34" customFormat="1" x14ac:dyDescent="0.25">
      <c r="B356" s="37"/>
      <c r="L356" s="97"/>
      <c r="M356" s="97"/>
      <c r="O356" s="64"/>
      <c r="P356" s="64"/>
      <c r="Q356" s="64"/>
      <c r="R356" s="64"/>
      <c r="S356" s="64"/>
      <c r="T356" s="64"/>
      <c r="U356" s="64"/>
      <c r="V356" s="64"/>
    </row>
    <row r="357" spans="1:22" s="34" customFormat="1" x14ac:dyDescent="0.25">
      <c r="B357" s="37"/>
      <c r="L357" s="97"/>
      <c r="M357" s="97"/>
      <c r="O357" s="64"/>
      <c r="P357" s="64"/>
      <c r="Q357" s="64"/>
      <c r="R357" s="64"/>
      <c r="S357" s="64"/>
      <c r="T357" s="64"/>
      <c r="U357" s="64"/>
      <c r="V357" s="64"/>
    </row>
    <row r="358" spans="1:22" s="34" customFormat="1" x14ac:dyDescent="0.25">
      <c r="B358" s="37"/>
      <c r="L358" s="97"/>
      <c r="M358" s="97"/>
      <c r="O358" s="64"/>
      <c r="P358" s="64"/>
      <c r="Q358" s="64"/>
      <c r="R358" s="64"/>
      <c r="S358" s="64"/>
      <c r="T358" s="64"/>
      <c r="U358" s="64"/>
      <c r="V358" s="64"/>
    </row>
    <row r="359" spans="1:22" s="34" customFormat="1" x14ac:dyDescent="0.25">
      <c r="B359" s="37"/>
      <c r="L359" s="97"/>
      <c r="M359" s="97"/>
      <c r="O359" s="64"/>
      <c r="P359" s="64"/>
      <c r="Q359" s="64"/>
      <c r="R359" s="64"/>
      <c r="S359" s="64"/>
      <c r="T359" s="64"/>
      <c r="U359" s="64"/>
      <c r="V359" s="64"/>
    </row>
    <row r="360" spans="1:22" s="34" customFormat="1" x14ac:dyDescent="0.25">
      <c r="B360" s="37"/>
      <c r="L360" s="97"/>
      <c r="M360" s="97"/>
      <c r="O360" s="64"/>
      <c r="P360" s="64"/>
      <c r="Q360" s="64"/>
      <c r="R360" s="64"/>
      <c r="S360" s="64"/>
      <c r="T360" s="64"/>
      <c r="U360" s="64"/>
      <c r="V360" s="64"/>
    </row>
    <row r="361" spans="1:22" s="34" customFormat="1" x14ac:dyDescent="0.25">
      <c r="B361" s="37"/>
      <c r="L361" s="97"/>
      <c r="M361" s="97"/>
      <c r="O361" s="64"/>
      <c r="P361" s="64"/>
      <c r="Q361" s="64"/>
      <c r="R361" s="64"/>
      <c r="S361" s="64"/>
      <c r="T361" s="64"/>
      <c r="U361" s="64"/>
      <c r="V361" s="64"/>
    </row>
    <row r="362" spans="1:22" s="34" customFormat="1" x14ac:dyDescent="0.25">
      <c r="B362" s="37"/>
      <c r="L362" s="97"/>
      <c r="M362" s="97"/>
      <c r="O362" s="64"/>
      <c r="P362" s="64"/>
      <c r="Q362" s="64"/>
      <c r="R362" s="64"/>
      <c r="S362" s="64"/>
      <c r="T362" s="64"/>
      <c r="U362" s="64"/>
      <c r="V362" s="64"/>
    </row>
    <row r="363" spans="1:22" s="34" customFormat="1" x14ac:dyDescent="0.25">
      <c r="B363" s="37"/>
      <c r="L363" s="97"/>
      <c r="M363" s="97"/>
      <c r="O363" s="64"/>
      <c r="P363" s="64"/>
      <c r="Q363" s="64"/>
      <c r="R363" s="64"/>
      <c r="S363" s="64"/>
      <c r="T363" s="64"/>
      <c r="U363" s="64"/>
      <c r="V363" s="64"/>
    </row>
    <row r="364" spans="1:22" s="34" customFormat="1" x14ac:dyDescent="0.25">
      <c r="B364" s="37"/>
      <c r="L364" s="97"/>
      <c r="M364" s="97"/>
      <c r="O364" s="64"/>
      <c r="P364" s="64"/>
      <c r="Q364" s="64"/>
      <c r="R364" s="72"/>
      <c r="S364" s="72"/>
      <c r="T364" s="72"/>
      <c r="U364" s="64"/>
      <c r="V364" s="64"/>
    </row>
    <row r="365" spans="1:22" s="34" customFormat="1" x14ac:dyDescent="0.25">
      <c r="B365" s="37"/>
      <c r="L365" s="97"/>
      <c r="M365" s="97"/>
      <c r="O365" s="64"/>
      <c r="P365" s="64"/>
      <c r="Q365" s="64"/>
      <c r="R365" s="64"/>
      <c r="S365" s="64"/>
      <c r="T365" s="64"/>
      <c r="U365" s="75"/>
      <c r="V365" s="64"/>
    </row>
    <row r="366" spans="1:22" s="34" customFormat="1" x14ac:dyDescent="0.25">
      <c r="B366" s="37"/>
      <c r="L366" s="97"/>
      <c r="M366" s="97"/>
      <c r="O366" s="64"/>
      <c r="P366" s="64"/>
      <c r="Q366" s="64"/>
      <c r="R366" s="73"/>
      <c r="S366" s="73"/>
      <c r="T366" s="73"/>
      <c r="U366" s="64"/>
      <c r="V366" s="64"/>
    </row>
    <row r="367" spans="1:22" x14ac:dyDescent="0.25">
      <c r="A367" s="34"/>
      <c r="B367" s="37"/>
      <c r="C367" s="34"/>
      <c r="D367" s="34"/>
      <c r="E367" s="34"/>
      <c r="F367" s="34"/>
      <c r="G367" s="34"/>
      <c r="H367" s="34"/>
      <c r="I367" s="34"/>
      <c r="J367" s="34"/>
      <c r="K367" s="34"/>
      <c r="L367" s="97"/>
      <c r="M367" s="97"/>
      <c r="N367" s="34"/>
    </row>
    <row r="368" spans="1:22" x14ac:dyDescent="0.25">
      <c r="A368" s="34"/>
      <c r="B368" s="37"/>
      <c r="C368" s="34"/>
      <c r="D368" s="34"/>
      <c r="E368" s="34"/>
      <c r="F368" s="34"/>
      <c r="G368" s="34"/>
      <c r="H368" s="34"/>
      <c r="I368" s="34"/>
      <c r="J368" s="34"/>
      <c r="K368" s="34"/>
      <c r="L368" s="97"/>
      <c r="M368" s="97"/>
      <c r="N368" s="34"/>
    </row>
    <row r="369" spans="1:14" x14ac:dyDescent="0.25">
      <c r="A369" s="34"/>
      <c r="B369" s="37"/>
      <c r="C369" s="34"/>
      <c r="D369" s="34"/>
      <c r="E369" s="34"/>
      <c r="F369" s="34"/>
      <c r="G369" s="34"/>
      <c r="H369" s="34"/>
      <c r="I369" s="34"/>
      <c r="J369" s="34"/>
      <c r="K369" s="34"/>
      <c r="L369" s="97"/>
      <c r="M369" s="97"/>
      <c r="N369" s="34"/>
    </row>
    <row r="370" spans="1:14" x14ac:dyDescent="0.25">
      <c r="A370" s="34"/>
      <c r="B370" s="37"/>
      <c r="C370" s="34"/>
      <c r="D370" s="34"/>
      <c r="E370" s="34"/>
      <c r="F370" s="34"/>
      <c r="G370" s="34"/>
      <c r="H370" s="34"/>
      <c r="I370" s="34"/>
      <c r="J370" s="34"/>
      <c r="K370" s="34"/>
      <c r="L370" s="97"/>
      <c r="M370" s="97"/>
      <c r="N370" s="34"/>
    </row>
    <row r="371" spans="1:14" x14ac:dyDescent="0.25">
      <c r="A371" s="34"/>
      <c r="B371" s="37"/>
      <c r="C371" s="34"/>
      <c r="D371" s="34"/>
      <c r="E371" s="34"/>
      <c r="F371" s="34"/>
      <c r="G371" s="34"/>
      <c r="H371" s="34"/>
      <c r="I371" s="34"/>
      <c r="J371" s="34"/>
      <c r="K371" s="34"/>
      <c r="L371" s="97"/>
      <c r="M371" s="97"/>
      <c r="N371" s="34"/>
    </row>
    <row r="372" spans="1:14" x14ac:dyDescent="0.25">
      <c r="A372" s="34"/>
      <c r="B372" s="37"/>
      <c r="C372" s="34"/>
      <c r="D372" s="34"/>
      <c r="E372" s="34"/>
      <c r="F372" s="34"/>
      <c r="G372" s="34"/>
      <c r="H372" s="34"/>
      <c r="I372" s="34"/>
      <c r="J372" s="34"/>
      <c r="K372" s="34"/>
      <c r="L372" s="97"/>
      <c r="M372" s="97"/>
      <c r="N372" s="34"/>
    </row>
    <row r="373" spans="1:14" x14ac:dyDescent="0.25">
      <c r="A373" s="34"/>
      <c r="B373" s="37"/>
      <c r="C373" s="34"/>
      <c r="D373" s="34"/>
      <c r="E373" s="34"/>
      <c r="F373" s="34"/>
      <c r="G373" s="34"/>
      <c r="H373" s="34"/>
      <c r="I373" s="34"/>
      <c r="J373" s="34"/>
      <c r="K373" s="34"/>
      <c r="L373" s="97"/>
      <c r="M373" s="97"/>
      <c r="N373" s="34"/>
    </row>
    <row r="374" spans="1:14" x14ac:dyDescent="0.25">
      <c r="A374" s="34"/>
      <c r="B374" s="37"/>
      <c r="C374" s="34"/>
      <c r="D374" s="34"/>
      <c r="E374" s="34"/>
      <c r="F374" s="34"/>
      <c r="G374" s="34"/>
      <c r="H374" s="34"/>
      <c r="I374" s="34"/>
      <c r="J374" s="34"/>
      <c r="K374" s="34"/>
      <c r="L374" s="97"/>
      <c r="M374" s="97"/>
      <c r="N374" s="34"/>
    </row>
    <row r="375" spans="1:14" x14ac:dyDescent="0.25">
      <c r="A375" s="34"/>
      <c r="B375" s="37"/>
      <c r="C375" s="34"/>
      <c r="D375" s="34"/>
      <c r="E375" s="34"/>
      <c r="F375" s="34"/>
      <c r="G375" s="34"/>
      <c r="H375" s="34"/>
      <c r="I375" s="34"/>
      <c r="J375" s="34"/>
      <c r="K375" s="34"/>
      <c r="L375" s="97"/>
      <c r="M375" s="97"/>
      <c r="N375" s="34"/>
    </row>
    <row r="376" spans="1:14" x14ac:dyDescent="0.25">
      <c r="A376" s="34"/>
      <c r="B376" s="37"/>
      <c r="C376" s="34"/>
      <c r="D376" s="34"/>
      <c r="E376" s="34"/>
      <c r="F376" s="34"/>
      <c r="G376" s="34"/>
      <c r="H376" s="34"/>
      <c r="I376" s="34"/>
      <c r="J376" s="34"/>
      <c r="K376" s="34"/>
      <c r="L376" s="97"/>
      <c r="M376" s="97"/>
      <c r="N376" s="34"/>
    </row>
    <row r="377" spans="1:14" x14ac:dyDescent="0.25">
      <c r="A377" s="34"/>
      <c r="B377" s="37"/>
      <c r="C377" s="34"/>
      <c r="D377" s="34"/>
      <c r="E377" s="34"/>
      <c r="F377" s="34"/>
      <c r="G377" s="34"/>
      <c r="H377" s="34"/>
      <c r="I377" s="34"/>
      <c r="J377" s="34"/>
      <c r="K377" s="34"/>
      <c r="L377" s="97"/>
      <c r="M377" s="97"/>
      <c r="N377" s="34"/>
    </row>
    <row r="378" spans="1:14" x14ac:dyDescent="0.25">
      <c r="A378" s="34"/>
      <c r="B378" s="37"/>
      <c r="C378" s="34"/>
      <c r="D378" s="34"/>
      <c r="E378" s="34"/>
      <c r="F378" s="34"/>
      <c r="G378" s="34"/>
      <c r="H378" s="34"/>
      <c r="I378" s="34"/>
      <c r="J378" s="34"/>
      <c r="K378" s="34"/>
      <c r="L378" s="97"/>
      <c r="M378" s="97"/>
      <c r="N378" s="34"/>
    </row>
    <row r="379" spans="1:14" x14ac:dyDescent="0.25">
      <c r="A379" s="34"/>
      <c r="B379" s="37"/>
      <c r="C379" s="34"/>
      <c r="D379" s="34"/>
      <c r="E379" s="34"/>
      <c r="F379" s="34"/>
      <c r="G379" s="34"/>
      <c r="H379" s="34"/>
      <c r="I379" s="34"/>
      <c r="J379" s="34"/>
      <c r="K379" s="34"/>
      <c r="L379" s="97"/>
      <c r="M379" s="97"/>
      <c r="N379" s="34"/>
    </row>
    <row r="380" spans="1:14" x14ac:dyDescent="0.25">
      <c r="A380" s="34"/>
      <c r="B380" s="37"/>
      <c r="C380" s="34"/>
      <c r="D380" s="34"/>
      <c r="E380" s="34"/>
      <c r="F380" s="34"/>
      <c r="G380" s="34"/>
      <c r="H380" s="34"/>
      <c r="I380" s="34"/>
      <c r="J380" s="34"/>
      <c r="K380" s="34"/>
      <c r="L380" s="97"/>
      <c r="M380" s="97"/>
      <c r="N380" s="34"/>
    </row>
  </sheetData>
  <mergeCells count="4">
    <mergeCell ref="S1:V1"/>
    <mergeCell ref="O1:R1"/>
    <mergeCell ref="H1:J1"/>
    <mergeCell ref="K1:N1"/>
  </mergeCells>
  <conditionalFormatting sqref="U3:U24 U26:U30 U32:U42 U45:U48 U50:U66 U68:U78 U80:U84 U86:U96 U98:U102 U104:U108 U110:U120 U122:U126 U128:U132 U134:U138 U140:U144 U146:U150 U152:U156 U158:U162 U164:U326 Q188:Q326">
    <cfRule type="cellIs" dxfId="124" priority="103" operator="greaterThan">
      <formula>3600</formula>
    </cfRule>
  </conditionalFormatting>
  <conditionalFormatting sqref="P3:P8">
    <cfRule type="cellIs" dxfId="121" priority="86" operator="greaterThan">
      <formula>3600</formula>
    </cfRule>
  </conditionalFormatting>
  <conditionalFormatting sqref="P9:P24 P26:P30 P32:P42 P44:P48 P80:P84 P86:P96 P98:P102 P104:P108 P110:P126 P128:P132 P134:P138 P140:P144 P146:P150 P152:P156 P158:P162 P164:P186 P50:P78 P188:P326">
    <cfRule type="cellIs" dxfId="120" priority="85" operator="greaterThan">
      <formula>3600</formula>
    </cfRule>
  </conditionalFormatting>
  <conditionalFormatting sqref="Q3:Q24 Q26:Q30 Q32:Q42 Q44:Q48 Q80:Q84 Q86:Q96 Q98:Q102 Q104:Q108 Q110:Q126 Q128:Q132 Q134:Q138 Q140:Q144 Q146:Q150 Q152:Q156 Q158:Q162 Q164:Q186 Q50:Q78">
    <cfRule type="cellIs" dxfId="119" priority="84" operator="greaterThan">
      <formula>3600</formula>
    </cfRule>
  </conditionalFormatting>
  <conditionalFormatting sqref="T3:T8">
    <cfRule type="cellIs" dxfId="118" priority="83" operator="greaterThan">
      <formula>3600</formula>
    </cfRule>
  </conditionalFormatting>
  <conditionalFormatting sqref="T9:T24 T26:T30 T32:T42 T45:T48 T50:T66 T68:T78 T80:T84 T86:T96 T98:T102 T104:T108 T110:T120 T122:T126 T128:T132 T134:T138 T140:T144 T146:T150 T152:T156 T158:T162 T164:T326">
    <cfRule type="cellIs" dxfId="117" priority="82" operator="greaterThan">
      <formula>3600</formula>
    </cfRule>
  </conditionalFormatting>
  <conditionalFormatting sqref="T212">
    <cfRule type="cellIs" dxfId="116" priority="80" operator="greaterThan">
      <formula>3600</formula>
    </cfRule>
  </conditionalFormatting>
  <conditionalFormatting sqref="P25">
    <cfRule type="cellIs" dxfId="115" priority="73" operator="greaterThan">
      <formula>3600</formula>
    </cfRule>
  </conditionalFormatting>
  <conditionalFormatting sqref="Q25">
    <cfRule type="cellIs" dxfId="114" priority="72" operator="greaterThan">
      <formula>3600</formula>
    </cfRule>
  </conditionalFormatting>
  <conditionalFormatting sqref="U25">
    <cfRule type="cellIs" dxfId="113" priority="71" operator="greaterThan">
      <formula>3600</formula>
    </cfRule>
  </conditionalFormatting>
  <conditionalFormatting sqref="T25">
    <cfRule type="cellIs" dxfId="112" priority="70" operator="greaterThan">
      <formula>3600</formula>
    </cfRule>
  </conditionalFormatting>
  <conditionalFormatting sqref="P31">
    <cfRule type="cellIs" dxfId="111" priority="69" operator="greaterThan">
      <formula>3600</formula>
    </cfRule>
  </conditionalFormatting>
  <conditionalFormatting sqref="Q31">
    <cfRule type="cellIs" dxfId="110" priority="68" operator="greaterThan">
      <formula>3600</formula>
    </cfRule>
  </conditionalFormatting>
  <conditionalFormatting sqref="U31">
    <cfRule type="cellIs" dxfId="109" priority="67" operator="greaterThan">
      <formula>3600</formula>
    </cfRule>
  </conditionalFormatting>
  <conditionalFormatting sqref="T31">
    <cfRule type="cellIs" dxfId="108" priority="66" operator="greaterThan">
      <formula>3600</formula>
    </cfRule>
  </conditionalFormatting>
  <conditionalFormatting sqref="U43:U44">
    <cfRule type="cellIs" dxfId="107" priority="65" operator="greaterThan">
      <formula>3600</formula>
    </cfRule>
  </conditionalFormatting>
  <conditionalFormatting sqref="T43:T44">
    <cfRule type="cellIs" dxfId="106" priority="64" operator="greaterThan">
      <formula>3600</formula>
    </cfRule>
  </conditionalFormatting>
  <conditionalFormatting sqref="P43">
    <cfRule type="cellIs" dxfId="105" priority="63" operator="greaterThan">
      <formula>3600</formula>
    </cfRule>
  </conditionalFormatting>
  <conditionalFormatting sqref="Q43">
    <cfRule type="cellIs" dxfId="104" priority="62" operator="greaterThan">
      <formula>3600</formula>
    </cfRule>
  </conditionalFormatting>
  <conditionalFormatting sqref="P49">
    <cfRule type="cellIs" dxfId="103" priority="61" operator="greaterThan">
      <formula>3600</formula>
    </cfRule>
  </conditionalFormatting>
  <conditionalFormatting sqref="Q49">
    <cfRule type="cellIs" dxfId="102" priority="60" operator="greaterThan">
      <formula>3600</formula>
    </cfRule>
  </conditionalFormatting>
  <conditionalFormatting sqref="U49">
    <cfRule type="cellIs" dxfId="101" priority="59" operator="greaterThan">
      <formula>3600</formula>
    </cfRule>
  </conditionalFormatting>
  <conditionalFormatting sqref="T49">
    <cfRule type="cellIs" dxfId="100" priority="58" operator="greaterThan">
      <formula>3600</formula>
    </cfRule>
  </conditionalFormatting>
  <conditionalFormatting sqref="U67">
    <cfRule type="cellIs" dxfId="99" priority="57" operator="greaterThan">
      <formula>3600</formula>
    </cfRule>
  </conditionalFormatting>
  <conditionalFormatting sqref="T67">
    <cfRule type="cellIs" dxfId="98" priority="56" operator="greaterThan">
      <formula>3600</formula>
    </cfRule>
  </conditionalFormatting>
  <conditionalFormatting sqref="P79">
    <cfRule type="cellIs" dxfId="97" priority="55" operator="greaterThan">
      <formula>3600</formula>
    </cfRule>
  </conditionalFormatting>
  <conditionalFormatting sqref="Q79">
    <cfRule type="cellIs" dxfId="96" priority="54" operator="greaterThan">
      <formula>3600</formula>
    </cfRule>
  </conditionalFormatting>
  <conditionalFormatting sqref="U79">
    <cfRule type="cellIs" dxfId="95" priority="53" operator="greaterThan">
      <formula>3600</formula>
    </cfRule>
  </conditionalFormatting>
  <conditionalFormatting sqref="T79">
    <cfRule type="cellIs" dxfId="94" priority="52" operator="greaterThan">
      <formula>3600</formula>
    </cfRule>
  </conditionalFormatting>
  <conditionalFormatting sqref="P85">
    <cfRule type="cellIs" dxfId="93" priority="51" operator="greaterThan">
      <formula>3600</formula>
    </cfRule>
  </conditionalFormatting>
  <conditionalFormatting sqref="Q85">
    <cfRule type="cellIs" dxfId="92" priority="50" operator="greaterThan">
      <formula>3600</formula>
    </cfRule>
  </conditionalFormatting>
  <conditionalFormatting sqref="P97:Q97">
    <cfRule type="cellIs" dxfId="91" priority="49" operator="greaterThan">
      <formula>3600</formula>
    </cfRule>
  </conditionalFormatting>
  <conditionalFormatting sqref="T97:U97">
    <cfRule type="cellIs" dxfId="90" priority="48" operator="greaterThan">
      <formula>3600</formula>
    </cfRule>
  </conditionalFormatting>
  <conditionalFormatting sqref="P103">
    <cfRule type="cellIs" dxfId="89" priority="47" operator="greaterThan">
      <formula>3600</formula>
    </cfRule>
  </conditionalFormatting>
  <conditionalFormatting sqref="Q103">
    <cfRule type="cellIs" dxfId="88" priority="46" operator="greaterThan">
      <formula>3600</formula>
    </cfRule>
  </conditionalFormatting>
  <conditionalFormatting sqref="T103:U103">
    <cfRule type="cellIs" dxfId="87" priority="45" operator="greaterThan">
      <formula>3600</formula>
    </cfRule>
  </conditionalFormatting>
  <conditionalFormatting sqref="P109">
    <cfRule type="cellIs" dxfId="86" priority="44" operator="greaterThan">
      <formula>3600</formula>
    </cfRule>
  </conditionalFormatting>
  <conditionalFormatting sqref="Q109">
    <cfRule type="cellIs" dxfId="85" priority="43" operator="greaterThan">
      <formula>3600</formula>
    </cfRule>
  </conditionalFormatting>
  <conditionalFormatting sqref="U109">
    <cfRule type="cellIs" dxfId="84" priority="42" operator="greaterThan">
      <formula>3600</formula>
    </cfRule>
  </conditionalFormatting>
  <conditionalFormatting sqref="T109">
    <cfRule type="cellIs" dxfId="83" priority="41" operator="greaterThan">
      <formula>3600</formula>
    </cfRule>
  </conditionalFormatting>
  <conditionalFormatting sqref="U121">
    <cfRule type="cellIs" dxfId="82" priority="40" operator="greaterThan">
      <formula>3600</formula>
    </cfRule>
  </conditionalFormatting>
  <conditionalFormatting sqref="T121">
    <cfRule type="cellIs" dxfId="81" priority="39" operator="greaterThan">
      <formula>3600</formula>
    </cfRule>
  </conditionalFormatting>
  <conditionalFormatting sqref="P127:Q127">
    <cfRule type="cellIs" dxfId="80" priority="38" operator="greaterThan">
      <formula>3600</formula>
    </cfRule>
  </conditionalFormatting>
  <conditionalFormatting sqref="U127">
    <cfRule type="cellIs" dxfId="79" priority="37" operator="greaterThan">
      <formula>3600</formula>
    </cfRule>
  </conditionalFormatting>
  <conditionalFormatting sqref="T127">
    <cfRule type="cellIs" dxfId="78" priority="36" operator="greaterThan">
      <formula>3600</formula>
    </cfRule>
  </conditionalFormatting>
  <conditionalFormatting sqref="P133:Q133">
    <cfRule type="cellIs" dxfId="77" priority="35" operator="greaterThan">
      <formula>3600</formula>
    </cfRule>
  </conditionalFormatting>
  <conditionalFormatting sqref="U133">
    <cfRule type="cellIs" dxfId="76" priority="34" operator="greaterThan">
      <formula>3600</formula>
    </cfRule>
  </conditionalFormatting>
  <conditionalFormatting sqref="T133">
    <cfRule type="cellIs" dxfId="75" priority="33" operator="greaterThan">
      <formula>3600</formula>
    </cfRule>
  </conditionalFormatting>
  <conditionalFormatting sqref="P139">
    <cfRule type="cellIs" dxfId="74" priority="32" operator="greaterThan">
      <formula>3600</formula>
    </cfRule>
  </conditionalFormatting>
  <conditionalFormatting sqref="Q139">
    <cfRule type="cellIs" dxfId="73" priority="31" operator="greaterThan">
      <formula>3600</formula>
    </cfRule>
  </conditionalFormatting>
  <conditionalFormatting sqref="U139">
    <cfRule type="cellIs" dxfId="72" priority="30" operator="greaterThan">
      <formula>3600</formula>
    </cfRule>
  </conditionalFormatting>
  <conditionalFormatting sqref="T139">
    <cfRule type="cellIs" dxfId="71" priority="29" operator="greaterThan">
      <formula>3600</formula>
    </cfRule>
  </conditionalFormatting>
  <conditionalFormatting sqref="U145">
    <cfRule type="cellIs" dxfId="70" priority="28" operator="greaterThan">
      <formula>3600</formula>
    </cfRule>
  </conditionalFormatting>
  <conditionalFormatting sqref="T145">
    <cfRule type="cellIs" dxfId="69" priority="27" operator="greaterThan">
      <formula>3600</formula>
    </cfRule>
  </conditionalFormatting>
  <conditionalFormatting sqref="P145">
    <cfRule type="cellIs" dxfId="68" priority="26" operator="greaterThan">
      <formula>3600</formula>
    </cfRule>
  </conditionalFormatting>
  <conditionalFormatting sqref="Q145">
    <cfRule type="cellIs" dxfId="67" priority="25" operator="greaterThan">
      <formula>3600</formula>
    </cfRule>
  </conditionalFormatting>
  <conditionalFormatting sqref="U151">
    <cfRule type="cellIs" dxfId="66" priority="24" operator="greaterThan">
      <formula>3600</formula>
    </cfRule>
  </conditionalFormatting>
  <conditionalFormatting sqref="T151">
    <cfRule type="cellIs" dxfId="65" priority="23" operator="greaterThan">
      <formula>3600</formula>
    </cfRule>
  </conditionalFormatting>
  <conditionalFormatting sqref="P151">
    <cfRule type="cellIs" dxfId="64" priority="22" operator="greaterThan">
      <formula>3600</formula>
    </cfRule>
  </conditionalFormatting>
  <conditionalFormatting sqref="Q151">
    <cfRule type="cellIs" dxfId="63" priority="21" operator="greaterThan">
      <formula>3600</formula>
    </cfRule>
  </conditionalFormatting>
  <conditionalFormatting sqref="U157">
    <cfRule type="cellIs" dxfId="62" priority="20" operator="greaterThan">
      <formula>3600</formula>
    </cfRule>
  </conditionalFormatting>
  <conditionalFormatting sqref="T157">
    <cfRule type="cellIs" dxfId="61" priority="19" operator="greaterThan">
      <formula>3600</formula>
    </cfRule>
  </conditionalFormatting>
  <conditionalFormatting sqref="P157">
    <cfRule type="cellIs" dxfId="60" priority="18" operator="greaterThan">
      <formula>3600</formula>
    </cfRule>
  </conditionalFormatting>
  <conditionalFormatting sqref="Q157">
    <cfRule type="cellIs" dxfId="59" priority="17" operator="greaterThan">
      <formula>3600</formula>
    </cfRule>
  </conditionalFormatting>
  <conditionalFormatting sqref="U163">
    <cfRule type="cellIs" dxfId="58" priority="16" operator="greaterThan">
      <formula>3600</formula>
    </cfRule>
  </conditionalFormatting>
  <conditionalFormatting sqref="T163">
    <cfRule type="cellIs" dxfId="57" priority="15" operator="greaterThan">
      <formula>3600</formula>
    </cfRule>
  </conditionalFormatting>
  <conditionalFormatting sqref="P163">
    <cfRule type="cellIs" dxfId="56" priority="14" operator="greaterThan">
      <formula>3600</formula>
    </cfRule>
  </conditionalFormatting>
  <conditionalFormatting sqref="Q163">
    <cfRule type="cellIs" dxfId="55" priority="13" operator="greaterThan">
      <formula>3600</formula>
    </cfRule>
  </conditionalFormatting>
  <conditionalFormatting sqref="P187">
    <cfRule type="cellIs" dxfId="54" priority="12" operator="greaterThan">
      <formula>3600</formula>
    </cfRule>
  </conditionalFormatting>
  <conditionalFormatting sqref="Q187">
    <cfRule type="cellIs" dxfId="53" priority="11" operator="greaterThan">
      <formula>3600</formula>
    </cfRule>
  </conditionalFormatting>
  <conditionalFormatting sqref="I3:I326">
    <cfRule type="cellIs" dxfId="52" priority="6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0"/>
  <sheetViews>
    <sheetView workbookViewId="0">
      <pane ySplit="2" topLeftCell="A3" activePane="bottomLeft" state="frozen"/>
      <selection pane="bottomLeft" activeCell="A13" sqref="A13"/>
    </sheetView>
  </sheetViews>
  <sheetFormatPr defaultColWidth="12.140625" defaultRowHeight="15" x14ac:dyDescent="0.25"/>
  <cols>
    <col min="1" max="1" width="11.140625" style="3" bestFit="1" customWidth="1"/>
    <col min="2" max="2" width="29.140625" style="39" bestFit="1" customWidth="1"/>
    <col min="3" max="3" width="10" style="3" customWidth="1"/>
    <col min="4" max="4" width="11.85546875" style="3" customWidth="1"/>
    <col min="5" max="5" width="13" style="3" customWidth="1"/>
    <col min="6" max="6" width="10.85546875" style="3" customWidth="1"/>
    <col min="7" max="7" width="10" style="3" customWidth="1"/>
    <col min="8" max="9" width="15.85546875" style="3" customWidth="1"/>
    <col min="10" max="11" width="15.7109375" style="3" customWidth="1"/>
    <col min="12" max="13" width="15.7109375" style="95" customWidth="1"/>
    <col min="14" max="14" width="15.7109375" style="3" customWidth="1"/>
    <col min="15" max="15" width="14.28515625" style="34" customWidth="1"/>
    <col min="16" max="17" width="11.7109375" style="34" customWidth="1"/>
    <col min="18" max="18" width="11.42578125" style="34" customWidth="1"/>
    <col min="19" max="19" width="13.42578125" style="34" customWidth="1"/>
    <col min="20" max="22" width="11.42578125" style="34" customWidth="1"/>
    <col min="23" max="16384" width="12.140625" style="3"/>
  </cols>
  <sheetData>
    <row r="1" spans="1:22" x14ac:dyDescent="0.25">
      <c r="A1" s="1"/>
      <c r="B1" s="1"/>
      <c r="C1" s="2"/>
      <c r="D1" s="2"/>
      <c r="E1" s="2"/>
      <c r="F1" s="2"/>
      <c r="G1" s="2"/>
      <c r="H1" s="226" t="s">
        <v>1542</v>
      </c>
      <c r="I1" s="227"/>
      <c r="J1" s="227"/>
      <c r="K1" s="236" t="s">
        <v>1543</v>
      </c>
      <c r="L1" s="237"/>
      <c r="M1" s="237"/>
      <c r="N1" s="236"/>
      <c r="O1" s="233" t="s">
        <v>1549</v>
      </c>
      <c r="P1" s="234"/>
      <c r="Q1" s="234"/>
      <c r="R1" s="235"/>
      <c r="S1" s="229" t="s">
        <v>1554</v>
      </c>
      <c r="T1" s="230"/>
      <c r="U1" s="230"/>
      <c r="V1" s="231"/>
    </row>
    <row r="2" spans="1:22" s="10" customFormat="1" ht="75.75" customHeight="1" x14ac:dyDescent="0.25">
      <c r="A2" s="4" t="s">
        <v>1085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383</v>
      </c>
      <c r="I2" s="5" t="s">
        <v>1094</v>
      </c>
      <c r="J2" s="85" t="s">
        <v>1095</v>
      </c>
      <c r="K2" s="100" t="s">
        <v>1544</v>
      </c>
      <c r="L2" s="101" t="s">
        <v>1545</v>
      </c>
      <c r="M2" s="101" t="s">
        <v>1546</v>
      </c>
      <c r="N2" s="87" t="s">
        <v>1547</v>
      </c>
      <c r="O2" s="44" t="s">
        <v>1550</v>
      </c>
      <c r="P2" s="44" t="s">
        <v>1551</v>
      </c>
      <c r="Q2" s="44" t="s">
        <v>1552</v>
      </c>
      <c r="R2" s="44" t="s">
        <v>1553</v>
      </c>
      <c r="S2" s="46" t="s">
        <v>1555</v>
      </c>
      <c r="T2" s="46" t="s">
        <v>1556</v>
      </c>
      <c r="U2" s="46" t="s">
        <v>1557</v>
      </c>
      <c r="V2" s="8" t="s">
        <v>1558</v>
      </c>
    </row>
    <row r="3" spans="1:22" s="10" customFormat="1" x14ac:dyDescent="0.25">
      <c r="A3" s="40" t="s">
        <v>319</v>
      </c>
      <c r="B3" s="41" t="s">
        <v>1098</v>
      </c>
      <c r="C3" s="40">
        <v>10000</v>
      </c>
      <c r="D3" s="82">
        <v>0.1</v>
      </c>
      <c r="E3" s="40">
        <v>10</v>
      </c>
      <c r="F3" s="41" t="s">
        <v>13</v>
      </c>
      <c r="G3" s="41" t="s">
        <v>14</v>
      </c>
      <c r="H3" s="155">
        <v>209317</v>
      </c>
      <c r="I3" s="140">
        <v>213.952999999979</v>
      </c>
      <c r="J3" s="147">
        <v>0</v>
      </c>
      <c r="K3" s="157">
        <v>190781</v>
      </c>
      <c r="L3" s="161">
        <v>1693</v>
      </c>
      <c r="M3" s="161">
        <v>1099</v>
      </c>
      <c r="N3" s="154">
        <f>(((Tabela1369[[#This Row],[Objetive value Dissimilarity]]-Tabela1369[[#This Row],[Objetive value Dissimilarity/GATeS]])/Tabela1369[[#This Row],[Objetive value Dissimilarity]]))*100</f>
        <v>8.8554680221864448</v>
      </c>
      <c r="O3" s="23">
        <v>203903</v>
      </c>
      <c r="P3" s="23">
        <v>3.34</v>
      </c>
      <c r="Q3" s="23">
        <v>0</v>
      </c>
      <c r="R3" s="55">
        <f>(((Tabela1369[[#This Row],[Objetive value Dissimilarity]]-Tabela1369[[#This Row],[Objetive Value Dissimilarity/H-R1]])/Tabela1369[[#This Row],[Objetive value Dissimilarity]]))*100</f>
        <v>2.5865075459709437</v>
      </c>
      <c r="S3" s="96">
        <v>209317</v>
      </c>
      <c r="T3" s="96">
        <v>3.12</v>
      </c>
      <c r="U3" s="96">
        <v>0</v>
      </c>
      <c r="V3" s="144">
        <f>(((Tabela1369[[#This Row],[Objetive value Dissimilarity]]-Tabela1369[[#This Row],[Objetive value Dissimilarity/H-R2]])/Tabela1369[[#This Row],[Objetive value Dissimilarity]]))*100</f>
        <v>0</v>
      </c>
    </row>
    <row r="4" spans="1:22" s="10" customFormat="1" x14ac:dyDescent="0.25">
      <c r="A4" s="11" t="s">
        <v>319</v>
      </c>
      <c r="B4" s="12" t="s">
        <v>1099</v>
      </c>
      <c r="C4" s="11">
        <v>10000</v>
      </c>
      <c r="D4" s="47">
        <v>0.1</v>
      </c>
      <c r="E4" s="11">
        <v>10</v>
      </c>
      <c r="F4" s="12" t="s">
        <v>13</v>
      </c>
      <c r="G4" s="12" t="s">
        <v>16</v>
      </c>
      <c r="H4" s="155">
        <v>120398.999999999</v>
      </c>
      <c r="I4" s="140">
        <v>398.40700000000601</v>
      </c>
      <c r="J4" s="147">
        <v>0</v>
      </c>
      <c r="K4" s="157">
        <v>119706</v>
      </c>
      <c r="L4" s="161">
        <v>1619</v>
      </c>
      <c r="M4" s="161">
        <v>930</v>
      </c>
      <c r="N4" s="154">
        <f>(((Tabela1369[[#This Row],[Objetive value Dissimilarity]]-Tabela1369[[#This Row],[Objetive value Dissimilarity/GATeS]])/Tabela1369[[#This Row],[Objetive value Dissimilarity]]))*100</f>
        <v>0.57558617596408745</v>
      </c>
      <c r="O4" s="23">
        <v>120389</v>
      </c>
      <c r="P4" s="53">
        <v>4.6500000000000004</v>
      </c>
      <c r="Q4" s="53">
        <v>0</v>
      </c>
      <c r="R4" s="55">
        <f>(((Tabela1369[[#This Row],[Objetive value Dissimilarity]]-Tabela1369[[#This Row],[Objetive Value Dissimilarity/H-R1]])/Tabela1369[[#This Row],[Objetive value Dissimilarity]]))*100</f>
        <v>8.30571682405668E-3</v>
      </c>
      <c r="S4" s="21">
        <v>113869</v>
      </c>
      <c r="T4" s="21">
        <v>2.95</v>
      </c>
      <c r="U4" s="21">
        <v>0</v>
      </c>
      <c r="V4" s="144">
        <f>(((Tabela1369[[#This Row],[Objetive value Dissimilarity]]-Tabela1369[[#This Row],[Objetive value Dissimilarity/H-R2]])/Tabela1369[[#This Row],[Objetive value Dissimilarity]]))*100</f>
        <v>5.4236330866527549</v>
      </c>
    </row>
    <row r="5" spans="1:22" s="10" customFormat="1" x14ac:dyDescent="0.25">
      <c r="A5" s="11" t="s">
        <v>319</v>
      </c>
      <c r="B5" s="12" t="s">
        <v>1100</v>
      </c>
      <c r="C5" s="11">
        <v>10000</v>
      </c>
      <c r="D5" s="47">
        <v>0.1</v>
      </c>
      <c r="E5" s="11">
        <v>10</v>
      </c>
      <c r="F5" s="12" t="s">
        <v>18</v>
      </c>
      <c r="G5" s="12" t="s">
        <v>14</v>
      </c>
      <c r="H5" s="155">
        <v>198121</v>
      </c>
      <c r="I5" s="140">
        <v>218.29700000002001</v>
      </c>
      <c r="J5" s="147">
        <v>0</v>
      </c>
      <c r="K5" s="157">
        <v>196088</v>
      </c>
      <c r="L5" s="161">
        <v>1737</v>
      </c>
      <c r="M5" s="161">
        <v>214</v>
      </c>
      <c r="N5" s="154">
        <f>(((Tabela1369[[#This Row],[Objetive value Dissimilarity]]-Tabela1369[[#This Row],[Objetive value Dissimilarity/GATeS]])/Tabela1369[[#This Row],[Objetive value Dissimilarity]]))*100</f>
        <v>1.0261405908510455</v>
      </c>
      <c r="O5" s="23">
        <v>192296</v>
      </c>
      <c r="P5" s="53">
        <v>3.02</v>
      </c>
      <c r="Q5" s="53">
        <v>0</v>
      </c>
      <c r="R5" s="55">
        <f>(((Tabela1369[[#This Row],[Objetive value Dissimilarity]]-Tabela1369[[#This Row],[Objetive Value Dissimilarity/H-R1]])/Tabela1369[[#This Row],[Objetive value Dissimilarity]]))*100</f>
        <v>2.9401224504217121</v>
      </c>
      <c r="S5" s="96">
        <v>196534</v>
      </c>
      <c r="T5" s="21">
        <v>2.91</v>
      </c>
      <c r="U5" s="21">
        <v>0</v>
      </c>
      <c r="V5" s="144">
        <f>(((Tabela1369[[#This Row],[Objetive value Dissimilarity]]-Tabela1369[[#This Row],[Objetive value Dissimilarity/H-R2]])/Tabela1369[[#This Row],[Objetive value Dissimilarity]]))*100</f>
        <v>0.80102563584879949</v>
      </c>
    </row>
    <row r="6" spans="1:22" s="10" customFormat="1" x14ac:dyDescent="0.25">
      <c r="A6" s="11" t="s">
        <v>319</v>
      </c>
      <c r="B6" s="12" t="s">
        <v>1101</v>
      </c>
      <c r="C6" s="11">
        <v>10000</v>
      </c>
      <c r="D6" s="47">
        <v>0.1</v>
      </c>
      <c r="E6" s="11">
        <v>10</v>
      </c>
      <c r="F6" s="12" t="s">
        <v>18</v>
      </c>
      <c r="G6" s="12" t="s">
        <v>16</v>
      </c>
      <c r="H6" s="155">
        <v>125550</v>
      </c>
      <c r="I6" s="140">
        <v>352.56299999996497</v>
      </c>
      <c r="J6" s="147">
        <v>0</v>
      </c>
      <c r="K6" s="157">
        <v>122361</v>
      </c>
      <c r="L6" s="161">
        <v>1643</v>
      </c>
      <c r="M6" s="161">
        <v>1276</v>
      </c>
      <c r="N6" s="154">
        <f>(((Tabela1369[[#This Row],[Objetive value Dissimilarity]]-Tabela1369[[#This Row],[Objetive value Dissimilarity/GATeS]])/Tabela1369[[#This Row],[Objetive value Dissimilarity]]))*100</f>
        <v>2.5400238948626046</v>
      </c>
      <c r="O6" s="23">
        <v>125547</v>
      </c>
      <c r="P6" s="53">
        <v>4.28</v>
      </c>
      <c r="Q6" s="53">
        <v>0</v>
      </c>
      <c r="R6" s="55">
        <f>(((Tabela1369[[#This Row],[Objetive value Dissimilarity]]-Tabela1369[[#This Row],[Objetive Value Dissimilarity/H-R1]])/Tabela1369[[#This Row],[Objetive value Dissimilarity]]))*100</f>
        <v>2.3894862604540027E-3</v>
      </c>
      <c r="S6" s="96">
        <v>124885</v>
      </c>
      <c r="T6" s="21">
        <v>3.33</v>
      </c>
      <c r="U6" s="21">
        <v>0</v>
      </c>
      <c r="V6" s="144">
        <f>(((Tabela1369[[#This Row],[Objetive value Dissimilarity]]-Tabela1369[[#This Row],[Objetive value Dissimilarity/H-R2]])/Tabela1369[[#This Row],[Objetive value Dissimilarity]]))*100</f>
        <v>0.52966945440063729</v>
      </c>
    </row>
    <row r="7" spans="1:22" x14ac:dyDescent="0.25">
      <c r="A7" s="11" t="s">
        <v>319</v>
      </c>
      <c r="B7" s="12" t="s">
        <v>1102</v>
      </c>
      <c r="C7" s="11">
        <v>10000</v>
      </c>
      <c r="D7" s="47">
        <v>0.1</v>
      </c>
      <c r="E7" s="11">
        <v>10</v>
      </c>
      <c r="F7" s="12" t="s">
        <v>21</v>
      </c>
      <c r="G7" s="12" t="s">
        <v>14</v>
      </c>
      <c r="H7" s="155">
        <v>83860</v>
      </c>
      <c r="I7" s="140">
        <v>105.812000000034</v>
      </c>
      <c r="J7" s="147">
        <v>0</v>
      </c>
      <c r="K7" s="157">
        <v>70505</v>
      </c>
      <c r="L7" s="161">
        <v>1554</v>
      </c>
      <c r="M7" s="161">
        <v>27</v>
      </c>
      <c r="N7" s="154">
        <f>(((Tabela1369[[#This Row],[Objetive value Dissimilarity]]-Tabela1369[[#This Row],[Objetive value Dissimilarity/GATeS]])/Tabela1369[[#This Row],[Objetive value Dissimilarity]]))*100</f>
        <v>15.925351776770807</v>
      </c>
      <c r="O7" s="23">
        <v>31966</v>
      </c>
      <c r="P7" s="53">
        <v>6.87</v>
      </c>
      <c r="Q7" s="53">
        <v>0</v>
      </c>
      <c r="R7" s="55">
        <f>(((Tabela1369[[#This Row],[Objetive value Dissimilarity]]-Tabela1369[[#This Row],[Objetive Value Dissimilarity/H-R1]])/Tabela1369[[#This Row],[Objetive value Dissimilarity]]))*100</f>
        <v>61.88170760791796</v>
      </c>
      <c r="S7" s="96">
        <v>70508</v>
      </c>
      <c r="T7" s="21">
        <v>5.13</v>
      </c>
      <c r="U7" s="21">
        <v>0</v>
      </c>
      <c r="V7" s="144">
        <f>(((Tabela1369[[#This Row],[Objetive value Dissimilarity]]-Tabela1369[[#This Row],[Objetive value Dissimilarity/H-R2]])/Tabela1369[[#This Row],[Objetive value Dissimilarity]]))*100</f>
        <v>15.92177438588123</v>
      </c>
    </row>
    <row r="8" spans="1:22" x14ac:dyDescent="0.25">
      <c r="A8" s="11" t="s">
        <v>319</v>
      </c>
      <c r="B8" s="12" t="s">
        <v>1103</v>
      </c>
      <c r="C8" s="11">
        <v>10000</v>
      </c>
      <c r="D8" s="47">
        <v>0.1</v>
      </c>
      <c r="E8" s="11">
        <v>10</v>
      </c>
      <c r="F8" s="12" t="s">
        <v>21</v>
      </c>
      <c r="G8" s="12" t="s">
        <v>16</v>
      </c>
      <c r="H8" s="155">
        <v>115804</v>
      </c>
      <c r="I8" s="140">
        <v>271.17200000001998</v>
      </c>
      <c r="J8" s="147">
        <v>0</v>
      </c>
      <c r="K8" s="157">
        <v>113513</v>
      </c>
      <c r="L8" s="161">
        <v>1600</v>
      </c>
      <c r="M8" s="161">
        <v>294</v>
      </c>
      <c r="N8" s="154">
        <f>(((Tabela1369[[#This Row],[Objetive value Dissimilarity]]-Tabela1369[[#This Row],[Objetive value Dissimilarity/GATeS]])/Tabela1369[[#This Row],[Objetive value Dissimilarity]]))*100</f>
        <v>1.9783427170045937</v>
      </c>
      <c r="O8" s="23">
        <v>114488</v>
      </c>
      <c r="P8" s="53">
        <v>5.96</v>
      </c>
      <c r="Q8" s="53">
        <v>0</v>
      </c>
      <c r="R8" s="55">
        <f>(((Tabela1369[[#This Row],[Objetive value Dissimilarity]]-Tabela1369[[#This Row],[Objetive Value Dissimilarity/H-R1]])/Tabela1369[[#This Row],[Objetive value Dissimilarity]]))*100</f>
        <v>1.1364028876377326</v>
      </c>
      <c r="S8" s="96">
        <v>114488</v>
      </c>
      <c r="T8" s="21">
        <v>5.7</v>
      </c>
      <c r="U8" s="21">
        <v>0</v>
      </c>
      <c r="V8" s="144">
        <f>(((Tabela1369[[#This Row],[Objetive value Dissimilarity]]-Tabela1369[[#This Row],[Objetive value Dissimilarity/H-R2]])/Tabela1369[[#This Row],[Objetive value Dissimilarity]]))*100</f>
        <v>1.1364028876377326</v>
      </c>
    </row>
    <row r="9" spans="1:22" x14ac:dyDescent="0.25">
      <c r="A9" s="11" t="s">
        <v>338</v>
      </c>
      <c r="B9" s="12" t="s">
        <v>1104</v>
      </c>
      <c r="C9" s="11">
        <v>10000</v>
      </c>
      <c r="D9" s="47">
        <v>0.1</v>
      </c>
      <c r="E9" s="11">
        <v>15</v>
      </c>
      <c r="F9" s="12" t="s">
        <v>13</v>
      </c>
      <c r="G9" s="12" t="s">
        <v>14</v>
      </c>
      <c r="H9" s="155">
        <v>259883</v>
      </c>
      <c r="I9" s="140">
        <v>764.625</v>
      </c>
      <c r="J9" s="147">
        <v>11.22</v>
      </c>
      <c r="K9" s="157">
        <v>242356</v>
      </c>
      <c r="L9" s="161">
        <v>1874</v>
      </c>
      <c r="M9" s="161">
        <v>717</v>
      </c>
      <c r="N9" s="154">
        <f>(((Tabela1369[[#This Row],[Objetive value Dissimilarity]]-Tabela1369[[#This Row],[Objetive value Dissimilarity/GATeS]])/Tabela1369[[#This Row],[Objetive value Dissimilarity]]))*100</f>
        <v>6.7441887310828346</v>
      </c>
      <c r="O9" s="23">
        <v>247179</v>
      </c>
      <c r="P9" s="53">
        <v>4.09</v>
      </c>
      <c r="Q9" s="53">
        <v>0</v>
      </c>
      <c r="R9" s="55">
        <f>(((Tabela1369[[#This Row],[Objetive value Dissimilarity]]-Tabela1369[[#This Row],[Objetive Value Dissimilarity/H-R1]])/Tabela1369[[#This Row],[Objetive value Dissimilarity]]))*100</f>
        <v>4.8883536052762206</v>
      </c>
      <c r="S9" s="96">
        <v>232378</v>
      </c>
      <c r="T9" s="21">
        <v>3.99</v>
      </c>
      <c r="U9" s="21">
        <v>0</v>
      </c>
      <c r="V9" s="144">
        <f>(((Tabela1369[[#This Row],[Objetive value Dissimilarity]]-Tabela1369[[#This Row],[Objetive value Dissimilarity/H-R2]])/Tabela1369[[#This Row],[Objetive value Dissimilarity]]))*100</f>
        <v>10.583608777796162</v>
      </c>
    </row>
    <row r="10" spans="1:22" x14ac:dyDescent="0.25">
      <c r="A10" s="11" t="s">
        <v>338</v>
      </c>
      <c r="B10" s="12" t="s">
        <v>1105</v>
      </c>
      <c r="C10" s="11">
        <v>10000</v>
      </c>
      <c r="D10" s="47">
        <v>0.1</v>
      </c>
      <c r="E10" s="11">
        <v>15</v>
      </c>
      <c r="F10" s="12" t="s">
        <v>13</v>
      </c>
      <c r="G10" s="12" t="s">
        <v>16</v>
      </c>
      <c r="H10" s="155">
        <v>163811</v>
      </c>
      <c r="I10" s="140">
        <v>7211.6409999999396</v>
      </c>
      <c r="J10" s="147">
        <v>1.31</v>
      </c>
      <c r="K10" s="157">
        <v>158088</v>
      </c>
      <c r="L10" s="161">
        <v>1742</v>
      </c>
      <c r="M10" s="161">
        <v>683</v>
      </c>
      <c r="N10" s="154">
        <f>(((Tabela1369[[#This Row],[Objetive value Dissimilarity]]-Tabela1369[[#This Row],[Objetive value Dissimilarity/GATeS]])/Tabela1369[[#This Row],[Objetive value Dissimilarity]]))*100</f>
        <v>3.4936603768977661</v>
      </c>
      <c r="O10" s="23">
        <v>158483</v>
      </c>
      <c r="P10" s="53">
        <v>6.03</v>
      </c>
      <c r="Q10" s="53">
        <v>0</v>
      </c>
      <c r="R10" s="55">
        <f>(((Tabela1369[[#This Row],[Objetive value Dissimilarity]]-Tabela1369[[#This Row],[Objetive Value Dissimilarity/H-R1]])/Tabela1369[[#This Row],[Objetive value Dissimilarity]]))*100</f>
        <v>3.2525288289553207</v>
      </c>
      <c r="S10" s="96">
        <v>161488</v>
      </c>
      <c r="T10" s="21">
        <v>8.4600000000000009</v>
      </c>
      <c r="U10" s="21">
        <v>0</v>
      </c>
      <c r="V10" s="144">
        <f>(((Tabela1369[[#This Row],[Objetive value Dissimilarity]]-Tabela1369[[#This Row],[Objetive value Dissimilarity/H-R2]])/Tabela1369[[#This Row],[Objetive value Dissimilarity]]))*100</f>
        <v>1.4180976857475995</v>
      </c>
    </row>
    <row r="11" spans="1:22" x14ac:dyDescent="0.25">
      <c r="A11" s="11" t="s">
        <v>338</v>
      </c>
      <c r="B11" s="12" t="s">
        <v>1106</v>
      </c>
      <c r="C11" s="11">
        <v>10000</v>
      </c>
      <c r="D11" s="47">
        <v>0.1</v>
      </c>
      <c r="E11" s="11">
        <v>15</v>
      </c>
      <c r="F11" s="12" t="s">
        <v>18</v>
      </c>
      <c r="G11" s="12" t="s">
        <v>14</v>
      </c>
      <c r="H11" s="155">
        <v>298299</v>
      </c>
      <c r="I11" s="140">
        <v>635.54699999990396</v>
      </c>
      <c r="J11" s="147">
        <v>4.38</v>
      </c>
      <c r="K11" s="157">
        <v>278242</v>
      </c>
      <c r="L11" s="161">
        <v>1737</v>
      </c>
      <c r="M11" s="161">
        <v>1468</v>
      </c>
      <c r="N11" s="154">
        <f>(((Tabela1369[[#This Row],[Objetive value Dissimilarity]]-Tabela1369[[#This Row],[Objetive value Dissimilarity/GATeS]])/Tabela1369[[#This Row],[Objetive value Dissimilarity]]))*100</f>
        <v>6.7237905591369733</v>
      </c>
      <c r="O11" s="23">
        <v>278194</v>
      </c>
      <c r="P11" s="53">
        <v>4.04</v>
      </c>
      <c r="Q11" s="53">
        <v>0</v>
      </c>
      <c r="R11" s="55">
        <f>(((Tabela1369[[#This Row],[Objetive value Dissimilarity]]-Tabela1369[[#This Row],[Objetive Value Dissimilarity/H-R1]])/Tabela1369[[#This Row],[Objetive value Dissimilarity]]))*100</f>
        <v>6.7398817964525533</v>
      </c>
      <c r="S11" s="96">
        <v>279057</v>
      </c>
      <c r="T11" s="21">
        <v>3.89</v>
      </c>
      <c r="U11" s="21">
        <v>0</v>
      </c>
      <c r="V11" s="144">
        <f>(((Tabela1369[[#This Row],[Objetive value Dissimilarity]]-Tabela1369[[#This Row],[Objetive value Dissimilarity/H-R2]])/Tabela1369[[#This Row],[Objetive value Dissimilarity]]))*100</f>
        <v>6.4505747588828655</v>
      </c>
    </row>
    <row r="12" spans="1:22" x14ac:dyDescent="0.25">
      <c r="A12" s="11" t="s">
        <v>338</v>
      </c>
      <c r="B12" s="12" t="s">
        <v>1107</v>
      </c>
      <c r="C12" s="11">
        <v>10000</v>
      </c>
      <c r="D12" s="47">
        <v>0.1</v>
      </c>
      <c r="E12" s="11">
        <v>15</v>
      </c>
      <c r="F12" s="12" t="s">
        <v>18</v>
      </c>
      <c r="G12" s="12" t="s">
        <v>16</v>
      </c>
      <c r="H12" s="155">
        <v>167504</v>
      </c>
      <c r="I12" s="140">
        <v>4515.3590000000504</v>
      </c>
      <c r="J12" s="147">
        <v>4.26</v>
      </c>
      <c r="K12" s="157">
        <v>162788</v>
      </c>
      <c r="L12" s="161">
        <v>1648</v>
      </c>
      <c r="M12" s="161">
        <v>1648</v>
      </c>
      <c r="N12" s="154">
        <f>(((Tabela1369[[#This Row],[Objetive value Dissimilarity]]-Tabela1369[[#This Row],[Objetive value Dissimilarity/GATeS]])/Tabela1369[[#This Row],[Objetive value Dissimilarity]]))*100</f>
        <v>2.815455153309772</v>
      </c>
      <c r="O12" s="23">
        <v>167363</v>
      </c>
      <c r="P12" s="53">
        <v>6.94</v>
      </c>
      <c r="Q12" s="53">
        <v>0</v>
      </c>
      <c r="R12" s="55">
        <f>(((Tabela1369[[#This Row],[Objetive value Dissimilarity]]-Tabela1369[[#This Row],[Objetive Value Dissimilarity/H-R1]])/Tabela1369[[#This Row],[Objetive value Dissimilarity]]))*100</f>
        <v>8.4177094278345591E-2</v>
      </c>
      <c r="S12" s="96">
        <v>163651</v>
      </c>
      <c r="T12" s="21">
        <v>6.24</v>
      </c>
      <c r="U12" s="21">
        <v>0</v>
      </c>
      <c r="V12" s="144">
        <f>(((Tabela1369[[#This Row],[Objetive value Dissimilarity]]-Tabela1369[[#This Row],[Objetive value Dissimilarity/H-R2]])/Tabela1369[[#This Row],[Objetive value Dissimilarity]]))*100</f>
        <v>2.3002435762728055</v>
      </c>
    </row>
    <row r="13" spans="1:22" x14ac:dyDescent="0.25">
      <c r="A13" s="11" t="s">
        <v>338</v>
      </c>
      <c r="B13" s="12" t="s">
        <v>1108</v>
      </c>
      <c r="C13" s="11">
        <v>10000</v>
      </c>
      <c r="D13" s="47">
        <v>0.1</v>
      </c>
      <c r="E13" s="11">
        <v>15</v>
      </c>
      <c r="F13" s="12" t="s">
        <v>21</v>
      </c>
      <c r="G13" s="12" t="s">
        <v>14</v>
      </c>
      <c r="H13" s="155">
        <v>252777</v>
      </c>
      <c r="I13" s="140">
        <v>171.202999999979</v>
      </c>
      <c r="J13" s="147">
        <v>0</v>
      </c>
      <c r="K13" s="157">
        <v>243795</v>
      </c>
      <c r="L13" s="161">
        <v>1875</v>
      </c>
      <c r="M13" s="161">
        <v>453</v>
      </c>
      <c r="N13" s="154">
        <f>(((Tabela1369[[#This Row],[Objetive value Dissimilarity]]-Tabela1369[[#This Row],[Objetive value Dissimilarity/GATeS]])/Tabela1369[[#This Row],[Objetive value Dissimilarity]]))*100</f>
        <v>3.5533296146405728</v>
      </c>
      <c r="O13" s="23">
        <v>238709</v>
      </c>
      <c r="P13" s="53">
        <v>11.11</v>
      </c>
      <c r="Q13" s="53">
        <v>0</v>
      </c>
      <c r="R13" s="55">
        <f>(((Tabela1369[[#This Row],[Objetive value Dissimilarity]]-Tabela1369[[#This Row],[Objetive Value Dissimilarity/H-R1]])/Tabela1369[[#This Row],[Objetive value Dissimilarity]]))*100</f>
        <v>5.5653797616080585</v>
      </c>
      <c r="S13" s="96">
        <v>251358</v>
      </c>
      <c r="T13" s="21">
        <v>7.94</v>
      </c>
      <c r="U13" s="21">
        <v>0</v>
      </c>
      <c r="V13" s="144">
        <f>(((Tabela1369[[#This Row],[Objetive value Dissimilarity]]-Tabela1369[[#This Row],[Objetive value Dissimilarity/H-R2]])/Tabela1369[[#This Row],[Objetive value Dissimilarity]]))*100</f>
        <v>0.56136436463760553</v>
      </c>
    </row>
    <row r="14" spans="1:22" x14ac:dyDescent="0.25">
      <c r="A14" s="11" t="s">
        <v>338</v>
      </c>
      <c r="B14" s="12" t="s">
        <v>1109</v>
      </c>
      <c r="C14" s="11">
        <v>10000</v>
      </c>
      <c r="D14" s="47">
        <v>0.1</v>
      </c>
      <c r="E14" s="11">
        <v>15</v>
      </c>
      <c r="F14" s="12" t="s">
        <v>21</v>
      </c>
      <c r="G14" s="12" t="s">
        <v>16</v>
      </c>
      <c r="H14" s="155">
        <v>165038</v>
      </c>
      <c r="I14" s="140">
        <v>2748.65600000007</v>
      </c>
      <c r="J14" s="147">
        <v>3.39</v>
      </c>
      <c r="K14" s="157">
        <v>161877</v>
      </c>
      <c r="L14" s="161">
        <v>1672</v>
      </c>
      <c r="M14" s="161">
        <v>243</v>
      </c>
      <c r="N14" s="154">
        <f>(((Tabela1369[[#This Row],[Objetive value Dissimilarity]]-Tabela1369[[#This Row],[Objetive value Dissimilarity/GATeS]])/Tabela1369[[#This Row],[Objetive value Dissimilarity]]))*100</f>
        <v>1.9153164725699536</v>
      </c>
      <c r="O14" s="23">
        <v>160009</v>
      </c>
      <c r="P14" s="53">
        <v>7.66</v>
      </c>
      <c r="Q14" s="53">
        <v>0</v>
      </c>
      <c r="R14" s="55">
        <f>(((Tabela1369[[#This Row],[Objetive value Dissimilarity]]-Tabela1369[[#This Row],[Objetive Value Dissimilarity/H-R1]])/Tabela1369[[#This Row],[Objetive value Dissimilarity]]))*100</f>
        <v>3.0471770137786449</v>
      </c>
      <c r="S14" s="96">
        <v>165038</v>
      </c>
      <c r="T14" s="21">
        <v>5.72</v>
      </c>
      <c r="U14" s="21">
        <v>0</v>
      </c>
      <c r="V14" s="144">
        <f>(((Tabela1369[[#This Row],[Objetive value Dissimilarity]]-Tabela1369[[#This Row],[Objetive value Dissimilarity/H-R2]])/Tabela1369[[#This Row],[Objetive value Dissimilarity]]))*100</f>
        <v>0</v>
      </c>
    </row>
    <row r="15" spans="1:22" x14ac:dyDescent="0.25">
      <c r="A15" s="11" t="s">
        <v>300</v>
      </c>
      <c r="B15" s="12" t="s">
        <v>1110</v>
      </c>
      <c r="C15" s="11">
        <v>10000</v>
      </c>
      <c r="D15" s="47">
        <v>0.1</v>
      </c>
      <c r="E15" s="11">
        <v>5</v>
      </c>
      <c r="F15" s="12" t="s">
        <v>13</v>
      </c>
      <c r="G15" s="12" t="s">
        <v>14</v>
      </c>
      <c r="H15" s="155">
        <v>93297</v>
      </c>
      <c r="I15" s="140">
        <v>80.109999999986002</v>
      </c>
      <c r="J15" s="147">
        <v>0</v>
      </c>
      <c r="K15" s="157">
        <v>93132</v>
      </c>
      <c r="L15" s="161">
        <v>1575</v>
      </c>
      <c r="M15" s="161">
        <v>145</v>
      </c>
      <c r="N15" s="154">
        <f>(((Tabela1369[[#This Row],[Objetive value Dissimilarity]]-Tabela1369[[#This Row],[Objetive value Dissimilarity/GATeS]])/Tabela1369[[#This Row],[Objetive value Dissimilarity]]))*100</f>
        <v>0.17685456123991125</v>
      </c>
      <c r="O15" s="23">
        <v>92674</v>
      </c>
      <c r="P15" s="53">
        <v>1.73</v>
      </c>
      <c r="Q15" s="53">
        <v>0</v>
      </c>
      <c r="R15" s="55">
        <f>(((Tabela1369[[#This Row],[Objetive value Dissimilarity]]-Tabela1369[[#This Row],[Objetive Value Dissimilarity/H-R1]])/Tabela1369[[#This Row],[Objetive value Dissimilarity]]))*100</f>
        <v>0.66775994940887706</v>
      </c>
      <c r="S15" s="96">
        <v>87938</v>
      </c>
      <c r="T15" s="21">
        <v>1.84</v>
      </c>
      <c r="U15" s="21">
        <v>0</v>
      </c>
      <c r="V15" s="144">
        <f>(((Tabela1369[[#This Row],[Objetive value Dissimilarity]]-Tabela1369[[#This Row],[Objetive value Dissimilarity/H-R2]])/Tabela1369[[#This Row],[Objetive value Dissimilarity]]))*100</f>
        <v>5.744021779907178</v>
      </c>
    </row>
    <row r="16" spans="1:22" x14ac:dyDescent="0.25">
      <c r="A16" s="11" t="s">
        <v>300</v>
      </c>
      <c r="B16" s="12" t="s">
        <v>1111</v>
      </c>
      <c r="C16" s="11">
        <v>10000</v>
      </c>
      <c r="D16" s="47">
        <v>0.1</v>
      </c>
      <c r="E16" s="11">
        <v>5</v>
      </c>
      <c r="F16" s="12" t="s">
        <v>13</v>
      </c>
      <c r="G16" s="12" t="s">
        <v>16</v>
      </c>
      <c r="H16" s="155">
        <v>65083</v>
      </c>
      <c r="I16" s="140">
        <v>39.265999999945002</v>
      </c>
      <c r="J16" s="147">
        <v>0</v>
      </c>
      <c r="K16" s="157">
        <v>64958</v>
      </c>
      <c r="L16" s="161">
        <v>1289</v>
      </c>
      <c r="M16" s="161">
        <v>913</v>
      </c>
      <c r="N16" s="154">
        <f>(((Tabela1369[[#This Row],[Objetive value Dissimilarity]]-Tabela1369[[#This Row],[Objetive value Dissimilarity/GATeS]])/Tabela1369[[#This Row],[Objetive value Dissimilarity]]))*100</f>
        <v>0.19206244334157921</v>
      </c>
      <c r="O16" s="23">
        <v>64578</v>
      </c>
      <c r="P16" s="53">
        <v>2.17</v>
      </c>
      <c r="Q16" s="53">
        <v>0</v>
      </c>
      <c r="R16" s="55">
        <f>(((Tabela1369[[#This Row],[Objetive value Dissimilarity]]-Tabela1369[[#This Row],[Objetive Value Dissimilarity/H-R1]])/Tabela1369[[#This Row],[Objetive value Dissimilarity]]))*100</f>
        <v>0.77593227109998009</v>
      </c>
      <c r="S16" s="96">
        <v>59039</v>
      </c>
      <c r="T16" s="21">
        <v>1.61</v>
      </c>
      <c r="U16" s="21">
        <v>0</v>
      </c>
      <c r="V16" s="144">
        <f>(((Tabela1369[[#This Row],[Objetive value Dissimilarity]]-Tabela1369[[#This Row],[Objetive value Dissimilarity/H-R2]])/Tabela1369[[#This Row],[Objetive value Dissimilarity]]))*100</f>
        <v>9.2866032604520381</v>
      </c>
    </row>
    <row r="17" spans="1:22" x14ac:dyDescent="0.25">
      <c r="A17" s="11" t="s">
        <v>300</v>
      </c>
      <c r="B17" s="12" t="s">
        <v>1112</v>
      </c>
      <c r="C17" s="11">
        <v>10000</v>
      </c>
      <c r="D17" s="47">
        <v>0.1</v>
      </c>
      <c r="E17" s="11">
        <v>5</v>
      </c>
      <c r="F17" s="12" t="s">
        <v>18</v>
      </c>
      <c r="G17" s="12" t="s">
        <v>14</v>
      </c>
      <c r="H17" s="155">
        <v>92796</v>
      </c>
      <c r="I17" s="140">
        <v>37.780999999959</v>
      </c>
      <c r="J17" s="147">
        <v>0</v>
      </c>
      <c r="K17" s="157">
        <v>84289</v>
      </c>
      <c r="L17" s="161">
        <v>1601</v>
      </c>
      <c r="M17" s="161">
        <v>770</v>
      </c>
      <c r="N17" s="154">
        <f>(((Tabela1369[[#This Row],[Objetive value Dissimilarity]]-Tabela1369[[#This Row],[Objetive value Dissimilarity/GATeS]])/Tabela1369[[#This Row],[Objetive value Dissimilarity]]))*100</f>
        <v>9.1674210095262723</v>
      </c>
      <c r="O17" s="23">
        <v>92796</v>
      </c>
      <c r="P17" s="53">
        <v>1.93</v>
      </c>
      <c r="Q17" s="53">
        <v>0</v>
      </c>
      <c r="R17" s="55">
        <f>(((Tabela1369[[#This Row],[Objetive value Dissimilarity]]-Tabela1369[[#This Row],[Objetive Value Dissimilarity/H-R1]])/Tabela1369[[#This Row],[Objetive value Dissimilarity]]))*100</f>
        <v>0</v>
      </c>
      <c r="S17" s="96">
        <v>92796</v>
      </c>
      <c r="T17" s="21">
        <v>1.49</v>
      </c>
      <c r="U17" s="21">
        <v>0</v>
      </c>
      <c r="V17" s="144">
        <f>(((Tabela1369[[#This Row],[Objetive value Dissimilarity]]-Tabela1369[[#This Row],[Objetive value Dissimilarity/H-R2]])/Tabela1369[[#This Row],[Objetive value Dissimilarity]]))*100</f>
        <v>0</v>
      </c>
    </row>
    <row r="18" spans="1:22" x14ac:dyDescent="0.25">
      <c r="A18" s="11" t="s">
        <v>300</v>
      </c>
      <c r="B18" s="12" t="s">
        <v>1113</v>
      </c>
      <c r="C18" s="11">
        <v>10000</v>
      </c>
      <c r="D18" s="47">
        <v>0.1</v>
      </c>
      <c r="E18" s="11">
        <v>5</v>
      </c>
      <c r="F18" s="12" t="s">
        <v>18</v>
      </c>
      <c r="G18" s="12" t="s">
        <v>16</v>
      </c>
      <c r="H18" s="155">
        <v>78598</v>
      </c>
      <c r="I18" s="140">
        <v>19.890000000013899</v>
      </c>
      <c r="J18" s="147">
        <v>0</v>
      </c>
      <c r="K18" s="157">
        <v>78594</v>
      </c>
      <c r="L18" s="161">
        <v>1552</v>
      </c>
      <c r="M18" s="161">
        <v>987</v>
      </c>
      <c r="N18" s="154">
        <f>(((Tabela1369[[#This Row],[Objetive value Dissimilarity]]-Tabela1369[[#This Row],[Objetive value Dissimilarity/GATeS]])/Tabela1369[[#This Row],[Objetive value Dissimilarity]]))*100</f>
        <v>5.0891880200514012E-3</v>
      </c>
      <c r="O18" s="23">
        <v>77463</v>
      </c>
      <c r="P18" s="53">
        <v>2.1</v>
      </c>
      <c r="Q18" s="53">
        <v>0</v>
      </c>
      <c r="R18" s="55">
        <f>(((Tabela1369[[#This Row],[Objetive value Dissimilarity]]-Tabela1369[[#This Row],[Objetive Value Dissimilarity/H-R1]])/Tabela1369[[#This Row],[Objetive value Dissimilarity]]))*100</f>
        <v>1.444057100689585</v>
      </c>
      <c r="S18" s="96">
        <v>78598</v>
      </c>
      <c r="T18" s="21">
        <v>2.0299999999999998</v>
      </c>
      <c r="U18" s="21">
        <v>0</v>
      </c>
      <c r="V18" s="144">
        <f>(((Tabela1369[[#This Row],[Objetive value Dissimilarity]]-Tabela1369[[#This Row],[Objetive value Dissimilarity/H-R2]])/Tabela1369[[#This Row],[Objetive value Dissimilarity]]))*100</f>
        <v>0</v>
      </c>
    </row>
    <row r="19" spans="1:22" x14ac:dyDescent="0.25">
      <c r="A19" s="11" t="s">
        <v>300</v>
      </c>
      <c r="B19" s="12" t="s">
        <v>1114</v>
      </c>
      <c r="C19" s="11">
        <v>10000</v>
      </c>
      <c r="D19" s="47">
        <v>0.1</v>
      </c>
      <c r="E19" s="11">
        <v>5</v>
      </c>
      <c r="F19" s="12" t="s">
        <v>21</v>
      </c>
      <c r="G19" s="12" t="s">
        <v>14</v>
      </c>
      <c r="H19" s="155">
        <v>78685</v>
      </c>
      <c r="I19" s="140">
        <v>27.234999999986002</v>
      </c>
      <c r="J19" s="147">
        <v>0</v>
      </c>
      <c r="K19" s="157">
        <v>66919</v>
      </c>
      <c r="L19" s="161">
        <v>561</v>
      </c>
      <c r="M19" s="161">
        <v>12</v>
      </c>
      <c r="N19" s="154">
        <f>(((Tabela1369[[#This Row],[Objetive value Dissimilarity]]-Tabela1369[[#This Row],[Objetive value Dissimilarity/GATeS]])/Tabela1369[[#This Row],[Objetive value Dissimilarity]]))*100</f>
        <v>14.953294782995489</v>
      </c>
      <c r="O19" s="23">
        <v>78685</v>
      </c>
      <c r="P19" s="53">
        <v>1.86</v>
      </c>
      <c r="Q19" s="53">
        <v>0</v>
      </c>
      <c r="R19" s="55">
        <f>(((Tabela1369[[#This Row],[Objetive value Dissimilarity]]-Tabela1369[[#This Row],[Objetive Value Dissimilarity/H-R1]])/Tabela1369[[#This Row],[Objetive value Dissimilarity]]))*100</f>
        <v>0</v>
      </c>
      <c r="S19" s="96">
        <v>78685</v>
      </c>
      <c r="T19" s="21">
        <v>1.57</v>
      </c>
      <c r="U19" s="21">
        <v>0</v>
      </c>
      <c r="V19" s="144">
        <f>(((Tabela1369[[#This Row],[Objetive value Dissimilarity]]-Tabela1369[[#This Row],[Objetive value Dissimilarity/H-R2]])/Tabela1369[[#This Row],[Objetive value Dissimilarity]]))*100</f>
        <v>0</v>
      </c>
    </row>
    <row r="20" spans="1:22" x14ac:dyDescent="0.25">
      <c r="A20" s="11" t="s">
        <v>300</v>
      </c>
      <c r="B20" s="12" t="s">
        <v>1115</v>
      </c>
      <c r="C20" s="11">
        <v>10000</v>
      </c>
      <c r="D20" s="47">
        <v>0.1</v>
      </c>
      <c r="E20" s="11">
        <v>5</v>
      </c>
      <c r="F20" s="12" t="s">
        <v>21</v>
      </c>
      <c r="G20" s="12" t="s">
        <v>16</v>
      </c>
      <c r="H20" s="155">
        <v>70283</v>
      </c>
      <c r="I20" s="140">
        <v>20.545999999972899</v>
      </c>
      <c r="J20" s="147">
        <v>0</v>
      </c>
      <c r="K20" s="157">
        <v>68810</v>
      </c>
      <c r="L20" s="161">
        <v>968</v>
      </c>
      <c r="M20" s="161">
        <v>592</v>
      </c>
      <c r="N20" s="154">
        <f>(((Tabela1369[[#This Row],[Objetive value Dissimilarity]]-Tabela1369[[#This Row],[Objetive value Dissimilarity/GATeS]])/Tabela1369[[#This Row],[Objetive value Dissimilarity]]))*100</f>
        <v>2.0958126431711794</v>
      </c>
      <c r="O20" s="23">
        <v>70282</v>
      </c>
      <c r="P20" s="53">
        <v>2.31</v>
      </c>
      <c r="Q20" s="53">
        <v>0</v>
      </c>
      <c r="R20" s="55">
        <f>(((Tabela1369[[#This Row],[Objetive value Dissimilarity]]-Tabela1369[[#This Row],[Objetive Value Dissimilarity/H-R1]])/Tabela1369[[#This Row],[Objetive value Dissimilarity]]))*100</f>
        <v>1.4228191739111876E-3</v>
      </c>
      <c r="S20" s="96">
        <v>70282</v>
      </c>
      <c r="T20" s="21">
        <v>2.34</v>
      </c>
      <c r="U20" s="21">
        <v>0</v>
      </c>
      <c r="V20" s="144">
        <f>(((Tabela1369[[#This Row],[Objetive value Dissimilarity]]-Tabela1369[[#This Row],[Objetive value Dissimilarity/H-R2]])/Tabela1369[[#This Row],[Objetive value Dissimilarity]]))*100</f>
        <v>1.4228191739111876E-3</v>
      </c>
    </row>
    <row r="21" spans="1:22" x14ac:dyDescent="0.25">
      <c r="A21" s="11" t="s">
        <v>319</v>
      </c>
      <c r="B21" s="12" t="s">
        <v>1116</v>
      </c>
      <c r="C21" s="11">
        <v>10000</v>
      </c>
      <c r="D21" s="11">
        <v>0.15</v>
      </c>
      <c r="E21" s="11">
        <v>10</v>
      </c>
      <c r="F21" s="12" t="s">
        <v>13</v>
      </c>
      <c r="G21" s="12" t="s">
        <v>14</v>
      </c>
      <c r="H21" s="155">
        <v>200887</v>
      </c>
      <c r="I21" s="140">
        <v>272.15700000000601</v>
      </c>
      <c r="J21" s="147">
        <v>6.18</v>
      </c>
      <c r="K21" s="157">
        <v>200510</v>
      </c>
      <c r="L21" s="161">
        <v>1838</v>
      </c>
      <c r="M21" s="161">
        <v>537</v>
      </c>
      <c r="N21" s="154">
        <f>(((Tabela1369[[#This Row],[Objetive value Dissimilarity]]-Tabela1369[[#This Row],[Objetive value Dissimilarity/GATeS]])/Tabela1369[[#This Row],[Objetive value Dissimilarity]]))*100</f>
        <v>0.18766769377809414</v>
      </c>
      <c r="O21" s="23">
        <v>200887</v>
      </c>
      <c r="P21" s="53">
        <v>2.82</v>
      </c>
      <c r="Q21" s="53">
        <v>0</v>
      </c>
      <c r="R21" s="55">
        <f>(((Tabela1369[[#This Row],[Objetive value Dissimilarity]]-Tabela1369[[#This Row],[Objetive Value Dissimilarity/H-R1]])/Tabela1369[[#This Row],[Objetive value Dissimilarity]]))*100</f>
        <v>0</v>
      </c>
      <c r="S21" s="96">
        <v>177666</v>
      </c>
      <c r="T21" s="21">
        <v>2.57</v>
      </c>
      <c r="U21" s="21">
        <v>0</v>
      </c>
      <c r="V21" s="144">
        <f>(((Tabela1369[[#This Row],[Objetive value Dissimilarity]]-Tabela1369[[#This Row],[Objetive value Dissimilarity/H-R2]])/Tabela1369[[#This Row],[Objetive value Dissimilarity]]))*100</f>
        <v>11.559234793689985</v>
      </c>
    </row>
    <row r="22" spans="1:22" x14ac:dyDescent="0.25">
      <c r="A22" s="11" t="s">
        <v>319</v>
      </c>
      <c r="B22" s="12" t="s">
        <v>1117</v>
      </c>
      <c r="C22" s="11">
        <v>10000</v>
      </c>
      <c r="D22" s="11">
        <v>0.15</v>
      </c>
      <c r="E22" s="11">
        <v>10</v>
      </c>
      <c r="F22" s="12" t="s">
        <v>13</v>
      </c>
      <c r="G22" s="12" t="s">
        <v>16</v>
      </c>
      <c r="H22" s="155">
        <v>124518</v>
      </c>
      <c r="I22" s="140">
        <v>367.452999999979</v>
      </c>
      <c r="J22" s="147">
        <v>0</v>
      </c>
      <c r="K22" s="157">
        <v>123162</v>
      </c>
      <c r="L22" s="161">
        <v>1701</v>
      </c>
      <c r="M22" s="161">
        <v>1463</v>
      </c>
      <c r="N22" s="154">
        <f>(((Tabela1369[[#This Row],[Objetive value Dissimilarity]]-Tabela1369[[#This Row],[Objetive value Dissimilarity/GATeS]])/Tabela1369[[#This Row],[Objetive value Dissimilarity]]))*100</f>
        <v>1.088999180841324</v>
      </c>
      <c r="O22" s="23">
        <v>117398</v>
      </c>
      <c r="P22" s="53">
        <v>3.08</v>
      </c>
      <c r="Q22" s="53">
        <v>0</v>
      </c>
      <c r="R22" s="55">
        <f>(((Tabela1369[[#This Row],[Objetive value Dissimilarity]]-Tabela1369[[#This Row],[Objetive Value Dissimilarity/H-R1]])/Tabela1369[[#This Row],[Objetive value Dissimilarity]]))*100</f>
        <v>5.7180487961579853</v>
      </c>
      <c r="S22" s="96">
        <v>117398</v>
      </c>
      <c r="T22" s="21">
        <v>3.05</v>
      </c>
      <c r="U22" s="21">
        <v>0</v>
      </c>
      <c r="V22" s="144">
        <f>(((Tabela1369[[#This Row],[Objetive value Dissimilarity]]-Tabela1369[[#This Row],[Objetive value Dissimilarity/H-R2]])/Tabela1369[[#This Row],[Objetive value Dissimilarity]]))*100</f>
        <v>5.7180487961579853</v>
      </c>
    </row>
    <row r="23" spans="1:22" x14ac:dyDescent="0.25">
      <c r="A23" s="11" t="s">
        <v>319</v>
      </c>
      <c r="B23" s="12" t="s">
        <v>1118</v>
      </c>
      <c r="C23" s="11">
        <v>10000</v>
      </c>
      <c r="D23" s="11">
        <v>0.15</v>
      </c>
      <c r="E23" s="11">
        <v>10</v>
      </c>
      <c r="F23" s="12" t="s">
        <v>18</v>
      </c>
      <c r="G23" s="12" t="s">
        <v>14</v>
      </c>
      <c r="H23" s="155">
        <v>212403</v>
      </c>
      <c r="I23" s="140">
        <v>192.42200000002001</v>
      </c>
      <c r="J23" s="147">
        <v>0</v>
      </c>
      <c r="K23" s="157">
        <v>211544</v>
      </c>
      <c r="L23" s="161">
        <v>1769</v>
      </c>
      <c r="M23" s="161">
        <v>1280</v>
      </c>
      <c r="N23" s="154">
        <f>(((Tabela1369[[#This Row],[Objetive value Dissimilarity]]-Tabela1369[[#This Row],[Objetive value Dissimilarity/GATeS]])/Tabela1369[[#This Row],[Objetive value Dissimilarity]]))*100</f>
        <v>0.4044198999072518</v>
      </c>
      <c r="O23" s="23">
        <v>212101</v>
      </c>
      <c r="P23" s="53">
        <v>2.73</v>
      </c>
      <c r="Q23" s="53">
        <v>0</v>
      </c>
      <c r="R23" s="55">
        <f>(((Tabela1369[[#This Row],[Objetive value Dissimilarity]]-Tabela1369[[#This Row],[Objetive Value Dissimilarity/H-R1]])/Tabela1369[[#This Row],[Objetive value Dissimilarity]]))*100</f>
        <v>0.14218254921069853</v>
      </c>
      <c r="S23" s="96">
        <v>211228</v>
      </c>
      <c r="T23" s="21">
        <v>2.72</v>
      </c>
      <c r="U23" s="21">
        <v>0</v>
      </c>
      <c r="V23" s="144">
        <f>(((Tabela1369[[#This Row],[Objetive value Dissimilarity]]-Tabela1369[[#This Row],[Objetive value Dissimilarity/H-R2]])/Tabela1369[[#This Row],[Objetive value Dissimilarity]]))*100</f>
        <v>0.55319369312109523</v>
      </c>
    </row>
    <row r="24" spans="1:22" x14ac:dyDescent="0.25">
      <c r="A24" s="11" t="s">
        <v>319</v>
      </c>
      <c r="B24" s="12" t="s">
        <v>1119</v>
      </c>
      <c r="C24" s="11">
        <v>10000</v>
      </c>
      <c r="D24" s="11">
        <v>0.15</v>
      </c>
      <c r="E24" s="11">
        <v>10</v>
      </c>
      <c r="F24" s="12" t="s">
        <v>18</v>
      </c>
      <c r="G24" s="12" t="s">
        <v>16</v>
      </c>
      <c r="H24" s="155">
        <v>122238</v>
      </c>
      <c r="I24" s="140">
        <v>311.73499999998597</v>
      </c>
      <c r="J24" s="147">
        <v>0</v>
      </c>
      <c r="K24" s="157">
        <v>121764</v>
      </c>
      <c r="L24" s="161">
        <v>1774</v>
      </c>
      <c r="M24" s="161">
        <v>163</v>
      </c>
      <c r="N24" s="154">
        <f>(((Tabela1369[[#This Row],[Objetive value Dissimilarity]]-Tabela1369[[#This Row],[Objetive value Dissimilarity/GATeS]])/Tabela1369[[#This Row],[Objetive value Dissimilarity]]))*100</f>
        <v>0.38776812447847642</v>
      </c>
      <c r="O24" s="23">
        <v>122232</v>
      </c>
      <c r="P24" s="53">
        <v>3.4</v>
      </c>
      <c r="Q24" s="53">
        <v>0</v>
      </c>
      <c r="R24" s="55">
        <f>(((Tabela1369[[#This Row],[Objetive value Dissimilarity]]-Tabela1369[[#This Row],[Objetive Value Dissimilarity/H-R1]])/Tabela1369[[#This Row],[Objetive value Dissimilarity]]))*100</f>
        <v>4.9084572718794484E-3</v>
      </c>
      <c r="S24" s="96">
        <v>122232</v>
      </c>
      <c r="T24" s="21">
        <v>3.44</v>
      </c>
      <c r="U24" s="21">
        <v>0</v>
      </c>
      <c r="V24" s="144">
        <f>(((Tabela1369[[#This Row],[Objetive value Dissimilarity]]-Tabela1369[[#This Row],[Objetive value Dissimilarity/H-R2]])/Tabela1369[[#This Row],[Objetive value Dissimilarity]]))*100</f>
        <v>4.9084572718794484E-3</v>
      </c>
    </row>
    <row r="25" spans="1:22" x14ac:dyDescent="0.25">
      <c r="A25" s="11" t="s">
        <v>319</v>
      </c>
      <c r="B25" s="12" t="s">
        <v>1120</v>
      </c>
      <c r="C25" s="11">
        <v>10000</v>
      </c>
      <c r="D25" s="11">
        <v>0.15</v>
      </c>
      <c r="E25" s="11">
        <v>10</v>
      </c>
      <c r="F25" s="12" t="s">
        <v>21</v>
      </c>
      <c r="G25" s="12" t="s">
        <v>14</v>
      </c>
      <c r="H25" s="155">
        <v>113725</v>
      </c>
      <c r="I25" s="140">
        <v>109.092999999993</v>
      </c>
      <c r="J25" s="147">
        <v>0</v>
      </c>
      <c r="K25" s="157">
        <v>113550</v>
      </c>
      <c r="L25" s="161">
        <v>2866</v>
      </c>
      <c r="M25" s="161">
        <v>85</v>
      </c>
      <c r="N25" s="154">
        <f>(((Tabela1369[[#This Row],[Objetive value Dissimilarity]]-Tabela1369[[#This Row],[Objetive value Dissimilarity/GATeS]])/Tabela1369[[#This Row],[Objetive value Dissimilarity]]))*100</f>
        <v>0.15387997362057595</v>
      </c>
      <c r="O25" s="23">
        <v>113550</v>
      </c>
      <c r="P25" s="53">
        <v>8.2200000000000006</v>
      </c>
      <c r="Q25" s="53">
        <v>0</v>
      </c>
      <c r="R25" s="55">
        <f>(((Tabela1369[[#This Row],[Objetive value Dissimilarity]]-Tabela1369[[#This Row],[Objetive Value Dissimilarity/H-R1]])/Tabela1369[[#This Row],[Objetive value Dissimilarity]]))*100</f>
        <v>0.15387997362057595</v>
      </c>
      <c r="S25" s="96">
        <v>113550</v>
      </c>
      <c r="T25" s="21">
        <v>7.69</v>
      </c>
      <c r="U25" s="21">
        <v>0</v>
      </c>
      <c r="V25" s="144">
        <f>(((Tabela1369[[#This Row],[Objetive value Dissimilarity]]-Tabela1369[[#This Row],[Objetive value Dissimilarity/H-R2]])/Tabela1369[[#This Row],[Objetive value Dissimilarity]]))*100</f>
        <v>0.15387997362057595</v>
      </c>
    </row>
    <row r="26" spans="1:22" x14ac:dyDescent="0.25">
      <c r="A26" s="11" t="s">
        <v>319</v>
      </c>
      <c r="B26" s="12" t="s">
        <v>1121</v>
      </c>
      <c r="C26" s="11">
        <v>10000</v>
      </c>
      <c r="D26" s="11">
        <v>0.15</v>
      </c>
      <c r="E26" s="11">
        <v>10</v>
      </c>
      <c r="F26" s="12" t="s">
        <v>21</v>
      </c>
      <c r="G26" s="12" t="s">
        <v>16</v>
      </c>
      <c r="H26" s="155">
        <v>124823</v>
      </c>
      <c r="I26" s="140">
        <v>277.640999999945</v>
      </c>
      <c r="J26" s="147">
        <v>0</v>
      </c>
      <c r="K26" s="157">
        <v>123545</v>
      </c>
      <c r="L26" s="161">
        <v>1850</v>
      </c>
      <c r="M26" s="161">
        <v>1556</v>
      </c>
      <c r="N26" s="154">
        <f>(((Tabela1369[[#This Row],[Objetive value Dissimilarity]]-Tabela1369[[#This Row],[Objetive value Dissimilarity/GATeS]])/Tabela1369[[#This Row],[Objetive value Dissimilarity]]))*100</f>
        <v>1.023849771276127</v>
      </c>
      <c r="O26" s="23">
        <v>123840</v>
      </c>
      <c r="P26" s="53">
        <v>5.0999999999999996</v>
      </c>
      <c r="Q26" s="53">
        <v>0</v>
      </c>
      <c r="R26" s="55">
        <f>(((Tabela1369[[#This Row],[Objetive value Dissimilarity]]-Tabela1369[[#This Row],[Objetive Value Dissimilarity/H-R1]])/Tabela1369[[#This Row],[Objetive value Dissimilarity]]))*100</f>
        <v>0.78751512141191937</v>
      </c>
      <c r="S26" s="96">
        <v>122985</v>
      </c>
      <c r="T26" s="21">
        <v>4.18</v>
      </c>
      <c r="U26" s="21">
        <v>0</v>
      </c>
      <c r="V26" s="144">
        <f>(((Tabela1369[[#This Row],[Objetive value Dissimilarity]]-Tabela1369[[#This Row],[Objetive value Dissimilarity/H-R2]])/Tabela1369[[#This Row],[Objetive value Dissimilarity]]))*100</f>
        <v>1.472485038814962</v>
      </c>
    </row>
    <row r="27" spans="1:22" x14ac:dyDescent="0.25">
      <c r="A27" s="11" t="s">
        <v>338</v>
      </c>
      <c r="B27" s="12" t="s">
        <v>1122</v>
      </c>
      <c r="C27" s="11">
        <v>10000</v>
      </c>
      <c r="D27" s="11">
        <v>0.15</v>
      </c>
      <c r="E27" s="11">
        <v>15</v>
      </c>
      <c r="F27" s="12" t="s">
        <v>13</v>
      </c>
      <c r="G27" s="12" t="s">
        <v>14</v>
      </c>
      <c r="H27" s="155">
        <v>302760</v>
      </c>
      <c r="I27" s="140">
        <v>1059.67200000002</v>
      </c>
      <c r="J27" s="147">
        <v>6.84</v>
      </c>
      <c r="K27" s="157">
        <v>273928</v>
      </c>
      <c r="L27" s="161">
        <v>2093</v>
      </c>
      <c r="M27" s="161">
        <v>1512</v>
      </c>
      <c r="N27" s="154">
        <f>(((Tabela1369[[#This Row],[Objetive value Dissimilarity]]-Tabela1369[[#This Row],[Objetive value Dissimilarity/GATeS]])/Tabela1369[[#This Row],[Objetive value Dissimilarity]]))*100</f>
        <v>9.5230545646716873</v>
      </c>
      <c r="O27" s="23">
        <v>277199</v>
      </c>
      <c r="P27" s="53">
        <v>4.07</v>
      </c>
      <c r="Q27" s="53">
        <v>0</v>
      </c>
      <c r="R27" s="55">
        <f>(((Tabela1369[[#This Row],[Objetive value Dissimilarity]]-Tabela1369[[#This Row],[Objetive Value Dissimilarity/H-R1]])/Tabela1369[[#This Row],[Objetive value Dissimilarity]]))*100</f>
        <v>8.4426608534813052</v>
      </c>
      <c r="S27" s="96">
        <v>272367</v>
      </c>
      <c r="T27" s="21">
        <v>4.29</v>
      </c>
      <c r="U27" s="21">
        <v>0</v>
      </c>
      <c r="V27" s="144">
        <f>(((Tabela1369[[#This Row],[Objetive value Dissimilarity]]-Tabela1369[[#This Row],[Objetive value Dissimilarity/H-R2]])/Tabela1369[[#This Row],[Objetive value Dissimilarity]]))*100</f>
        <v>10.038644470868014</v>
      </c>
    </row>
    <row r="28" spans="1:22" x14ac:dyDescent="0.25">
      <c r="A28" s="11" t="s">
        <v>338</v>
      </c>
      <c r="B28" s="12" t="s">
        <v>1123</v>
      </c>
      <c r="C28" s="11">
        <v>10000</v>
      </c>
      <c r="D28" s="11">
        <v>0.15</v>
      </c>
      <c r="E28" s="11">
        <v>15</v>
      </c>
      <c r="F28" s="12" t="s">
        <v>13</v>
      </c>
      <c r="G28" s="12" t="s">
        <v>16</v>
      </c>
      <c r="H28" s="155">
        <v>165042.99999999901</v>
      </c>
      <c r="I28" s="140">
        <v>6031.7029999999704</v>
      </c>
      <c r="J28" s="147">
        <v>0.3</v>
      </c>
      <c r="K28" s="157">
        <v>159618</v>
      </c>
      <c r="L28" s="161">
        <v>1741</v>
      </c>
      <c r="M28" s="161">
        <v>239</v>
      </c>
      <c r="N28" s="154">
        <f>(((Tabela1369[[#This Row],[Objetive value Dissimilarity]]-Tabela1369[[#This Row],[Objetive value Dissimilarity/GATeS]])/Tabela1369[[#This Row],[Objetive value Dissimilarity]]))*100</f>
        <v>3.2870221699793643</v>
      </c>
      <c r="O28" s="23">
        <v>158526</v>
      </c>
      <c r="P28" s="53">
        <v>6.35</v>
      </c>
      <c r="Q28" s="53">
        <v>0</v>
      </c>
      <c r="R28" s="55">
        <f>(((Tabela1369[[#This Row],[Objetive value Dissimilarity]]-Tabela1369[[#This Row],[Objetive Value Dissimilarity/H-R1]])/Tabela1369[[#This Row],[Objetive value Dissimilarity]]))*100</f>
        <v>3.948667922904364</v>
      </c>
      <c r="S28" s="96">
        <v>152688</v>
      </c>
      <c r="T28" s="21">
        <v>5.36</v>
      </c>
      <c r="U28" s="21">
        <v>0</v>
      </c>
      <c r="V28" s="144">
        <f>(((Tabela1369[[#This Row],[Objetive value Dissimilarity]]-Tabela1369[[#This Row],[Objetive value Dissimilarity/H-R2]])/Tabela1369[[#This Row],[Objetive value Dissimilarity]]))*100</f>
        <v>7.4859279096957065</v>
      </c>
    </row>
    <row r="29" spans="1:22" x14ac:dyDescent="0.25">
      <c r="A29" s="11" t="s">
        <v>338</v>
      </c>
      <c r="B29" s="12" t="s">
        <v>1124</v>
      </c>
      <c r="C29" s="11">
        <v>10000</v>
      </c>
      <c r="D29" s="11">
        <v>0.15</v>
      </c>
      <c r="E29" s="11">
        <v>15</v>
      </c>
      <c r="F29" s="12" t="s">
        <v>18</v>
      </c>
      <c r="G29" s="12" t="s">
        <v>14</v>
      </c>
      <c r="H29" s="155">
        <v>311345</v>
      </c>
      <c r="I29" s="140">
        <v>621.79700000002003</v>
      </c>
      <c r="J29" s="147">
        <v>2.4</v>
      </c>
      <c r="K29" s="157">
        <v>299805</v>
      </c>
      <c r="L29" s="161">
        <v>1905</v>
      </c>
      <c r="M29" s="161">
        <v>1905</v>
      </c>
      <c r="N29" s="154">
        <f>(((Tabela1369[[#This Row],[Objetive value Dissimilarity]]-Tabela1369[[#This Row],[Objetive value Dissimilarity/GATeS]])/Tabela1369[[#This Row],[Objetive value Dissimilarity]]))*100</f>
        <v>3.7064992211212644</v>
      </c>
      <c r="O29" s="23">
        <v>296280</v>
      </c>
      <c r="P29" s="53">
        <v>4.7</v>
      </c>
      <c r="Q29" s="53">
        <v>0</v>
      </c>
      <c r="R29" s="55">
        <f>(((Tabela1369[[#This Row],[Objetive value Dissimilarity]]-Tabela1369[[#This Row],[Objetive Value Dissimilarity/H-R1]])/Tabela1369[[#This Row],[Objetive value Dissimilarity]]))*100</f>
        <v>4.8386837752332621</v>
      </c>
      <c r="S29" s="96">
        <v>295754</v>
      </c>
      <c r="T29" s="21">
        <v>4.7</v>
      </c>
      <c r="U29" s="21">
        <v>0</v>
      </c>
      <c r="V29" s="144">
        <f>(((Tabela1369[[#This Row],[Objetive value Dissimilarity]]-Tabela1369[[#This Row],[Objetive value Dissimilarity/H-R2]])/Tabela1369[[#This Row],[Objetive value Dissimilarity]]))*100</f>
        <v>5.0076281938043001</v>
      </c>
    </row>
    <row r="30" spans="1:22" x14ac:dyDescent="0.25">
      <c r="A30" s="11" t="s">
        <v>338</v>
      </c>
      <c r="B30" s="12" t="s">
        <v>1125</v>
      </c>
      <c r="C30" s="11">
        <v>10000</v>
      </c>
      <c r="D30" s="11">
        <v>0.15</v>
      </c>
      <c r="E30" s="11">
        <v>15</v>
      </c>
      <c r="F30" s="12" t="s">
        <v>18</v>
      </c>
      <c r="G30" s="12" t="s">
        <v>16</v>
      </c>
      <c r="H30" s="155">
        <v>177006</v>
      </c>
      <c r="I30" s="140">
        <v>3066.29700000002</v>
      </c>
      <c r="J30" s="147">
        <v>3.57</v>
      </c>
      <c r="K30" s="157">
        <v>174730</v>
      </c>
      <c r="L30" s="161">
        <v>1796</v>
      </c>
      <c r="M30" s="161">
        <v>775</v>
      </c>
      <c r="N30" s="154">
        <f>(((Tabela1369[[#This Row],[Objetive value Dissimilarity]]-Tabela1369[[#This Row],[Objetive value Dissimilarity/GATeS]])/Tabela1369[[#This Row],[Objetive value Dissimilarity]]))*100</f>
        <v>1.2858321186852424</v>
      </c>
      <c r="O30" s="23">
        <v>176077</v>
      </c>
      <c r="P30" s="53">
        <v>7.12</v>
      </c>
      <c r="Q30" s="53">
        <v>0</v>
      </c>
      <c r="R30" s="55">
        <f>(((Tabela1369[[#This Row],[Objetive value Dissimilarity]]-Tabela1369[[#This Row],[Objetive Value Dissimilarity/H-R1]])/Tabela1369[[#This Row],[Objetive value Dissimilarity]]))*100</f>
        <v>0.5248409658429658</v>
      </c>
      <c r="S30" s="96">
        <v>177002</v>
      </c>
      <c r="T30" s="21">
        <v>7.94</v>
      </c>
      <c r="U30" s="21">
        <v>0</v>
      </c>
      <c r="V30" s="144">
        <f>(((Tabela1369[[#This Row],[Objetive value Dissimilarity]]-Tabela1369[[#This Row],[Objetive value Dissimilarity/H-R2]])/Tabela1369[[#This Row],[Objetive value Dissimilarity]]))*100</f>
        <v>2.2598104019072801E-3</v>
      </c>
    </row>
    <row r="31" spans="1:22" x14ac:dyDescent="0.25">
      <c r="A31" s="11" t="s">
        <v>338</v>
      </c>
      <c r="B31" s="12" t="s">
        <v>1126</v>
      </c>
      <c r="C31" s="11">
        <v>10000</v>
      </c>
      <c r="D31" s="11">
        <v>0.15</v>
      </c>
      <c r="E31" s="11">
        <v>15</v>
      </c>
      <c r="F31" s="12" t="s">
        <v>21</v>
      </c>
      <c r="G31" s="12" t="s">
        <v>14</v>
      </c>
      <c r="H31" s="155">
        <v>263292</v>
      </c>
      <c r="I31" s="140">
        <v>168.92200000002001</v>
      </c>
      <c r="J31" s="147">
        <v>0</v>
      </c>
      <c r="K31" s="157">
        <v>262761</v>
      </c>
      <c r="L31" s="161">
        <v>2183</v>
      </c>
      <c r="M31" s="161">
        <v>1527</v>
      </c>
      <c r="N31" s="154">
        <f>(((Tabela1369[[#This Row],[Objetive value Dissimilarity]]-Tabela1369[[#This Row],[Objetive value Dissimilarity/GATeS]])/Tabela1369[[#This Row],[Objetive value Dissimilarity]]))*100</f>
        <v>0.20167722528599427</v>
      </c>
      <c r="O31" s="23">
        <v>245987</v>
      </c>
      <c r="P31" s="53">
        <v>13.53</v>
      </c>
      <c r="Q31" s="53">
        <v>0</v>
      </c>
      <c r="R31" s="55">
        <f>(((Tabela1369[[#This Row],[Objetive value Dissimilarity]]-Tabela1369[[#This Row],[Objetive Value Dissimilarity/H-R1]])/Tabela1369[[#This Row],[Objetive value Dissimilarity]]))*100</f>
        <v>6.5725506281998687</v>
      </c>
      <c r="S31" s="96">
        <v>263292</v>
      </c>
      <c r="T31" s="21">
        <v>4.47</v>
      </c>
      <c r="U31" s="21">
        <v>0</v>
      </c>
      <c r="V31" s="144">
        <f>(((Tabela1369[[#This Row],[Objetive value Dissimilarity]]-Tabela1369[[#This Row],[Objetive value Dissimilarity/H-R2]])/Tabela1369[[#This Row],[Objetive value Dissimilarity]]))*100</f>
        <v>0</v>
      </c>
    </row>
    <row r="32" spans="1:22" x14ac:dyDescent="0.25">
      <c r="A32" s="11" t="s">
        <v>338</v>
      </c>
      <c r="B32" s="12" t="s">
        <v>1127</v>
      </c>
      <c r="C32" s="11">
        <v>10000</v>
      </c>
      <c r="D32" s="11">
        <v>0.15</v>
      </c>
      <c r="E32" s="11">
        <v>15</v>
      </c>
      <c r="F32" s="12" t="s">
        <v>21</v>
      </c>
      <c r="G32" s="12" t="s">
        <v>16</v>
      </c>
      <c r="H32" s="155">
        <v>167492.99999999901</v>
      </c>
      <c r="I32" s="140">
        <v>2845.3590000000499</v>
      </c>
      <c r="J32" s="147">
        <v>0</v>
      </c>
      <c r="K32" s="157">
        <v>163596</v>
      </c>
      <c r="L32" s="161">
        <v>1828</v>
      </c>
      <c r="M32" s="161">
        <v>1572</v>
      </c>
      <c r="N32" s="154">
        <f>(((Tabela1369[[#This Row],[Objetive value Dissimilarity]]-Tabela1369[[#This Row],[Objetive value Dissimilarity/GATeS]])/Tabela1369[[#This Row],[Objetive value Dissimilarity]]))*100</f>
        <v>2.3266643979145596</v>
      </c>
      <c r="O32" s="23">
        <v>167489</v>
      </c>
      <c r="P32" s="53">
        <v>6.39</v>
      </c>
      <c r="Q32" s="53">
        <v>0</v>
      </c>
      <c r="R32" s="55">
        <f>(((Tabela1369[[#This Row],[Objetive value Dissimilarity]]-Tabela1369[[#This Row],[Objetive Value Dissimilarity/H-R1]])/Tabela1369[[#This Row],[Objetive value Dissimilarity]]))*100</f>
        <v>2.3881595045825758E-3</v>
      </c>
      <c r="S32" s="96">
        <v>165697</v>
      </c>
      <c r="T32" s="21">
        <v>5.98</v>
      </c>
      <c r="U32" s="21">
        <v>0</v>
      </c>
      <c r="V32" s="144">
        <f>(((Tabela1369[[#This Row],[Objetive value Dissimilarity]]-Tabela1369[[#This Row],[Objetive value Dissimilarity/H-R2]])/Tabela1369[[#This Row],[Objetive value Dissimilarity]]))*100</f>
        <v>1.0722836178222499</v>
      </c>
    </row>
    <row r="33" spans="1:22" x14ac:dyDescent="0.25">
      <c r="A33" s="11" t="s">
        <v>300</v>
      </c>
      <c r="B33" s="12" t="s">
        <v>1128</v>
      </c>
      <c r="C33" s="11">
        <v>10000</v>
      </c>
      <c r="D33" s="11">
        <v>0.15</v>
      </c>
      <c r="E33" s="11">
        <v>5</v>
      </c>
      <c r="F33" s="12" t="s">
        <v>13</v>
      </c>
      <c r="G33" s="12" t="s">
        <v>14</v>
      </c>
      <c r="H33" s="155">
        <v>99760</v>
      </c>
      <c r="I33" s="140">
        <v>23.405999999959</v>
      </c>
      <c r="J33" s="147">
        <v>0</v>
      </c>
      <c r="K33" s="157">
        <v>77161</v>
      </c>
      <c r="L33" s="161">
        <v>1623</v>
      </c>
      <c r="M33" s="161">
        <v>294</v>
      </c>
      <c r="N33" s="154">
        <f>(((Tabela1369[[#This Row],[Objetive value Dissimilarity]]-Tabela1369[[#This Row],[Objetive value Dissimilarity/GATeS]])/Tabela1369[[#This Row],[Objetive value Dissimilarity]]))*100</f>
        <v>22.65336808340016</v>
      </c>
      <c r="O33" s="23">
        <v>99760</v>
      </c>
      <c r="P33" s="53">
        <v>1.77</v>
      </c>
      <c r="Q33" s="53">
        <v>0</v>
      </c>
      <c r="R33" s="55">
        <f>(((Tabela1369[[#This Row],[Objetive value Dissimilarity]]-Tabela1369[[#This Row],[Objetive Value Dissimilarity/H-R1]])/Tabela1369[[#This Row],[Objetive value Dissimilarity]]))*100</f>
        <v>0</v>
      </c>
      <c r="S33" s="96">
        <v>76922</v>
      </c>
      <c r="T33" s="21">
        <v>1.04</v>
      </c>
      <c r="U33" s="21">
        <v>0</v>
      </c>
      <c r="V33" s="144">
        <f>(((Tabela1369[[#This Row],[Objetive value Dissimilarity]]-Tabela1369[[#This Row],[Objetive value Dissimilarity/H-R2]])/Tabela1369[[#This Row],[Objetive value Dissimilarity]]))*100</f>
        <v>22.892943063352046</v>
      </c>
    </row>
    <row r="34" spans="1:22" x14ac:dyDescent="0.25">
      <c r="A34" s="11" t="s">
        <v>300</v>
      </c>
      <c r="B34" s="12" t="s">
        <v>1129</v>
      </c>
      <c r="C34" s="11">
        <v>10000</v>
      </c>
      <c r="D34" s="11">
        <v>0.15</v>
      </c>
      <c r="E34" s="11">
        <v>5</v>
      </c>
      <c r="F34" s="12" t="s">
        <v>13</v>
      </c>
      <c r="G34" s="12" t="s">
        <v>16</v>
      </c>
      <c r="H34" s="155">
        <v>66405</v>
      </c>
      <c r="I34" s="140">
        <v>37.187999999965498</v>
      </c>
      <c r="J34" s="147">
        <v>0</v>
      </c>
      <c r="K34" s="157">
        <v>66397</v>
      </c>
      <c r="L34" s="161">
        <v>1650</v>
      </c>
      <c r="M34" s="161">
        <v>301</v>
      </c>
      <c r="N34" s="154">
        <f>(((Tabela1369[[#This Row],[Objetive value Dissimilarity]]-Tabela1369[[#This Row],[Objetive value Dissimilarity/GATeS]])/Tabela1369[[#This Row],[Objetive value Dissimilarity]]))*100</f>
        <v>1.204728559596416E-2</v>
      </c>
      <c r="O34" s="23">
        <v>56354</v>
      </c>
      <c r="P34" s="53">
        <v>1.73</v>
      </c>
      <c r="Q34" s="53">
        <v>0</v>
      </c>
      <c r="R34" s="55">
        <f>(((Tabela1369[[#This Row],[Objetive value Dissimilarity]]-Tabela1369[[#This Row],[Objetive Value Dissimilarity/H-R1]])/Tabela1369[[#This Row],[Objetive value Dissimilarity]]))*100</f>
        <v>15.135908440629469</v>
      </c>
      <c r="S34" s="96">
        <v>58139</v>
      </c>
      <c r="T34" s="21">
        <v>1.37</v>
      </c>
      <c r="U34" s="21">
        <v>0</v>
      </c>
      <c r="V34" s="144">
        <f>(((Tabela1369[[#This Row],[Objetive value Dissimilarity]]-Tabela1369[[#This Row],[Objetive value Dissimilarity/H-R2]])/Tabela1369[[#This Row],[Objetive value Dissimilarity]]))*100</f>
        <v>12.447857842029968</v>
      </c>
    </row>
    <row r="35" spans="1:22" x14ac:dyDescent="0.25">
      <c r="A35" s="11" t="s">
        <v>300</v>
      </c>
      <c r="B35" s="12" t="s">
        <v>1130</v>
      </c>
      <c r="C35" s="11">
        <v>10000</v>
      </c>
      <c r="D35" s="11">
        <v>0.15</v>
      </c>
      <c r="E35" s="11">
        <v>5</v>
      </c>
      <c r="F35" s="12" t="s">
        <v>18</v>
      </c>
      <c r="G35" s="12" t="s">
        <v>14</v>
      </c>
      <c r="H35" s="155">
        <v>103600</v>
      </c>
      <c r="I35" s="140">
        <v>41.172000000020397</v>
      </c>
      <c r="J35" s="147">
        <v>69.23</v>
      </c>
      <c r="K35" s="157">
        <v>103344</v>
      </c>
      <c r="L35" s="161">
        <v>1606</v>
      </c>
      <c r="M35" s="161">
        <v>120</v>
      </c>
      <c r="N35" s="154">
        <f>(((Tabela1369[[#This Row],[Objetive value Dissimilarity]]-Tabela1369[[#This Row],[Objetive value Dissimilarity/GATeS]])/Tabela1369[[#This Row],[Objetive value Dissimilarity]]))*100</f>
        <v>0.24710424710424711</v>
      </c>
      <c r="O35" s="23">
        <v>103600</v>
      </c>
      <c r="P35" s="53">
        <v>1.6</v>
      </c>
      <c r="Q35" s="53">
        <v>0</v>
      </c>
      <c r="R35" s="55">
        <f>(((Tabela1369[[#This Row],[Objetive value Dissimilarity]]-Tabela1369[[#This Row],[Objetive Value Dissimilarity/H-R1]])/Tabela1369[[#This Row],[Objetive value Dissimilarity]]))*100</f>
        <v>0</v>
      </c>
      <c r="S35" s="96">
        <v>95231</v>
      </c>
      <c r="T35" s="21">
        <v>1.76</v>
      </c>
      <c r="U35" s="21">
        <v>0</v>
      </c>
      <c r="V35" s="144">
        <f>(((Tabela1369[[#This Row],[Objetive value Dissimilarity]]-Tabela1369[[#This Row],[Objetive value Dissimilarity/H-R2]])/Tabela1369[[#This Row],[Objetive value Dissimilarity]]))*100</f>
        <v>8.0781853281853273</v>
      </c>
    </row>
    <row r="36" spans="1:22" x14ac:dyDescent="0.25">
      <c r="A36" s="11" t="s">
        <v>300</v>
      </c>
      <c r="B36" s="12" t="s">
        <v>1131</v>
      </c>
      <c r="C36" s="11">
        <v>10000</v>
      </c>
      <c r="D36" s="11">
        <v>0.15</v>
      </c>
      <c r="E36" s="11">
        <v>5</v>
      </c>
      <c r="F36" s="12" t="s">
        <v>18</v>
      </c>
      <c r="G36" s="12" t="s">
        <v>16</v>
      </c>
      <c r="H36" s="155">
        <v>78387</v>
      </c>
      <c r="I36" s="140">
        <v>19.375</v>
      </c>
      <c r="J36" s="147">
        <v>0</v>
      </c>
      <c r="K36" s="157">
        <v>78272</v>
      </c>
      <c r="L36" s="161">
        <v>1618</v>
      </c>
      <c r="M36" s="161">
        <v>164</v>
      </c>
      <c r="N36" s="154">
        <f>(((Tabela1369[[#This Row],[Objetive value Dissimilarity]]-Tabela1369[[#This Row],[Objetive value Dissimilarity/GATeS]])/Tabela1369[[#This Row],[Objetive value Dissimilarity]]))*100</f>
        <v>0.14670800005102885</v>
      </c>
      <c r="O36" s="23">
        <v>78386</v>
      </c>
      <c r="P36" s="53">
        <v>2.37</v>
      </c>
      <c r="Q36" s="53">
        <v>0</v>
      </c>
      <c r="R36" s="55">
        <f>(((Tabela1369[[#This Row],[Objetive value Dissimilarity]]-Tabela1369[[#This Row],[Objetive Value Dissimilarity/H-R1]])/Tabela1369[[#This Row],[Objetive value Dissimilarity]]))*100</f>
        <v>1.2757217395741641E-3</v>
      </c>
      <c r="S36" s="96">
        <v>78386</v>
      </c>
      <c r="T36" s="21">
        <v>2.11</v>
      </c>
      <c r="U36" s="21">
        <v>0</v>
      </c>
      <c r="V36" s="144">
        <f>(((Tabela1369[[#This Row],[Objetive value Dissimilarity]]-Tabela1369[[#This Row],[Objetive value Dissimilarity/H-R2]])/Tabela1369[[#This Row],[Objetive value Dissimilarity]]))*100</f>
        <v>1.2757217395741641E-3</v>
      </c>
    </row>
    <row r="37" spans="1:22" x14ac:dyDescent="0.25">
      <c r="A37" s="11" t="s">
        <v>300</v>
      </c>
      <c r="B37" s="12" t="s">
        <v>1132</v>
      </c>
      <c r="C37" s="11">
        <v>10000</v>
      </c>
      <c r="D37" s="11">
        <v>0.15</v>
      </c>
      <c r="E37" s="11">
        <v>5</v>
      </c>
      <c r="F37" s="12" t="s">
        <v>21</v>
      </c>
      <c r="G37" s="12" t="s">
        <v>14</v>
      </c>
      <c r="H37" s="155">
        <v>94209</v>
      </c>
      <c r="I37" s="140">
        <v>31.375</v>
      </c>
      <c r="J37" s="147">
        <v>0</v>
      </c>
      <c r="K37" s="157">
        <v>94209</v>
      </c>
      <c r="L37" s="161">
        <v>2408</v>
      </c>
      <c r="M37" s="161">
        <v>326</v>
      </c>
      <c r="N37" s="154">
        <f>(((Tabela1369[[#This Row],[Objetive value Dissimilarity]]-Tabela1369[[#This Row],[Objetive value Dissimilarity/GATeS]])/Tabela1369[[#This Row],[Objetive value Dissimilarity]]))*100</f>
        <v>0</v>
      </c>
      <c r="O37" s="23">
        <v>94209</v>
      </c>
      <c r="P37" s="53">
        <v>1.71</v>
      </c>
      <c r="Q37" s="53">
        <v>0</v>
      </c>
      <c r="R37" s="55">
        <f>(((Tabela1369[[#This Row],[Objetive value Dissimilarity]]-Tabela1369[[#This Row],[Objetive Value Dissimilarity/H-R1]])/Tabela1369[[#This Row],[Objetive value Dissimilarity]]))*100</f>
        <v>0</v>
      </c>
      <c r="S37" s="96">
        <v>94209</v>
      </c>
      <c r="T37" s="21">
        <v>1.73</v>
      </c>
      <c r="U37" s="21">
        <v>0</v>
      </c>
      <c r="V37" s="144">
        <f>(((Tabela1369[[#This Row],[Objetive value Dissimilarity]]-Tabela1369[[#This Row],[Objetive value Dissimilarity/H-R2]])/Tabela1369[[#This Row],[Objetive value Dissimilarity]]))*100</f>
        <v>0</v>
      </c>
    </row>
    <row r="38" spans="1:22" x14ac:dyDescent="0.25">
      <c r="A38" s="11" t="s">
        <v>300</v>
      </c>
      <c r="B38" s="12" t="s">
        <v>1133</v>
      </c>
      <c r="C38" s="11">
        <v>10000</v>
      </c>
      <c r="D38" s="11">
        <v>0.15</v>
      </c>
      <c r="E38" s="11">
        <v>5</v>
      </c>
      <c r="F38" s="12" t="s">
        <v>21</v>
      </c>
      <c r="G38" s="12" t="s">
        <v>16</v>
      </c>
      <c r="H38" s="155">
        <v>76597</v>
      </c>
      <c r="I38" s="140">
        <v>18.609000000054898</v>
      </c>
      <c r="J38" s="147">
        <v>0</v>
      </c>
      <c r="K38" s="157">
        <v>76543</v>
      </c>
      <c r="L38" s="161">
        <v>1627</v>
      </c>
      <c r="M38" s="161">
        <v>1369</v>
      </c>
      <c r="N38" s="154">
        <f>(((Tabela1369[[#This Row],[Objetive value Dissimilarity]]-Tabela1369[[#This Row],[Objetive value Dissimilarity/GATeS]])/Tabela1369[[#This Row],[Objetive value Dissimilarity]]))*100</f>
        <v>7.0498844602269017E-2</v>
      </c>
      <c r="O38" s="23">
        <v>76597</v>
      </c>
      <c r="P38" s="53">
        <v>2.33</v>
      </c>
      <c r="Q38" s="53">
        <v>0</v>
      </c>
      <c r="R38" s="55">
        <f>(((Tabela1369[[#This Row],[Objetive value Dissimilarity]]-Tabela1369[[#This Row],[Objetive Value Dissimilarity/H-R1]])/Tabela1369[[#This Row],[Objetive value Dissimilarity]]))*100</f>
        <v>0</v>
      </c>
      <c r="S38" s="96">
        <v>75291</v>
      </c>
      <c r="T38" s="21">
        <v>1.65</v>
      </c>
      <c r="U38" s="21">
        <v>0</v>
      </c>
      <c r="V38" s="144">
        <f>(((Tabela1369[[#This Row],[Objetive value Dissimilarity]]-Tabela1369[[#This Row],[Objetive value Dissimilarity/H-R2]])/Tabela1369[[#This Row],[Objetive value Dissimilarity]]))*100</f>
        <v>1.7050276120474692</v>
      </c>
    </row>
    <row r="39" spans="1:22" x14ac:dyDescent="0.25">
      <c r="A39" s="11" t="s">
        <v>319</v>
      </c>
      <c r="B39" s="12" t="s">
        <v>1134</v>
      </c>
      <c r="C39" s="11">
        <v>10000</v>
      </c>
      <c r="D39" s="11">
        <v>0.05</v>
      </c>
      <c r="E39" s="11">
        <v>10</v>
      </c>
      <c r="F39" s="12" t="s">
        <v>13</v>
      </c>
      <c r="G39" s="12" t="s">
        <v>14</v>
      </c>
      <c r="H39" s="155">
        <v>179815</v>
      </c>
      <c r="I39" s="140">
        <v>197.25</v>
      </c>
      <c r="J39" s="147">
        <v>0</v>
      </c>
      <c r="K39" s="157">
        <v>170253</v>
      </c>
      <c r="L39" s="161">
        <v>1645</v>
      </c>
      <c r="M39" s="161">
        <v>880</v>
      </c>
      <c r="N39" s="154">
        <f>(((Tabela1369[[#This Row],[Objetive value Dissimilarity]]-Tabela1369[[#This Row],[Objetive value Dissimilarity/GATeS]])/Tabela1369[[#This Row],[Objetive value Dissimilarity]]))*100</f>
        <v>5.3176876233907073</v>
      </c>
      <c r="O39" s="23">
        <v>178013</v>
      </c>
      <c r="P39" s="53">
        <v>2.9</v>
      </c>
      <c r="Q39" s="53">
        <v>0</v>
      </c>
      <c r="R39" s="55">
        <f>(((Tabela1369[[#This Row],[Objetive value Dissimilarity]]-Tabela1369[[#This Row],[Objetive Value Dissimilarity/H-R1]])/Tabela1369[[#This Row],[Objetive value Dissimilarity]]))*100</f>
        <v>1.0021410894530489</v>
      </c>
      <c r="S39" s="96">
        <v>158261</v>
      </c>
      <c r="T39" s="21">
        <v>2.42</v>
      </c>
      <c r="U39" s="21">
        <v>0</v>
      </c>
      <c r="V39" s="144">
        <f>(((Tabela1369[[#This Row],[Objetive value Dissimilarity]]-Tabela1369[[#This Row],[Objetive value Dissimilarity/H-R2]])/Tabela1369[[#This Row],[Objetive value Dissimilarity]]))*100</f>
        <v>11.986764174290244</v>
      </c>
    </row>
    <row r="40" spans="1:22" x14ac:dyDescent="0.25">
      <c r="A40" s="11" t="s">
        <v>319</v>
      </c>
      <c r="B40" s="12" t="s">
        <v>1135</v>
      </c>
      <c r="C40" s="11">
        <v>10000</v>
      </c>
      <c r="D40" s="11">
        <v>0.05</v>
      </c>
      <c r="E40" s="11">
        <v>10</v>
      </c>
      <c r="F40" s="12" t="s">
        <v>13</v>
      </c>
      <c r="G40" s="12" t="s">
        <v>16</v>
      </c>
      <c r="H40" s="155">
        <v>116193</v>
      </c>
      <c r="I40" s="140">
        <v>163.46899999992399</v>
      </c>
      <c r="J40" s="147">
        <v>1.01</v>
      </c>
      <c r="K40" s="157">
        <v>113744</v>
      </c>
      <c r="L40" s="161">
        <v>1624</v>
      </c>
      <c r="M40" s="161">
        <v>1310</v>
      </c>
      <c r="N40" s="154">
        <f>(((Tabela1369[[#This Row],[Objetive value Dissimilarity]]-Tabela1369[[#This Row],[Objetive value Dissimilarity/GATeS]])/Tabela1369[[#This Row],[Objetive value Dissimilarity]]))*100</f>
        <v>2.1077001196285488</v>
      </c>
      <c r="O40" s="23">
        <v>112799</v>
      </c>
      <c r="P40" s="53">
        <v>3.34</v>
      </c>
      <c r="Q40" s="53">
        <v>0</v>
      </c>
      <c r="R40" s="55">
        <f>(((Tabela1369[[#This Row],[Objetive value Dissimilarity]]-Tabela1369[[#This Row],[Objetive Value Dissimilarity/H-R1]])/Tabela1369[[#This Row],[Objetive value Dissimilarity]]))*100</f>
        <v>2.9210021257734975</v>
      </c>
      <c r="S40" s="96">
        <v>112799</v>
      </c>
      <c r="T40" s="21">
        <v>3.02</v>
      </c>
      <c r="U40" s="21">
        <v>0</v>
      </c>
      <c r="V40" s="144">
        <f>(((Tabela1369[[#This Row],[Objetive value Dissimilarity]]-Tabela1369[[#This Row],[Objetive value Dissimilarity/H-R2]])/Tabela1369[[#This Row],[Objetive value Dissimilarity]]))*100</f>
        <v>2.9210021257734975</v>
      </c>
    </row>
    <row r="41" spans="1:22" x14ac:dyDescent="0.25">
      <c r="A41" s="11" t="s">
        <v>319</v>
      </c>
      <c r="B41" s="12" t="s">
        <v>1136</v>
      </c>
      <c r="C41" s="11">
        <v>10000</v>
      </c>
      <c r="D41" s="11">
        <v>0.05</v>
      </c>
      <c r="E41" s="11">
        <v>10</v>
      </c>
      <c r="F41" s="12" t="s">
        <v>18</v>
      </c>
      <c r="G41" s="12" t="s">
        <v>14</v>
      </c>
      <c r="H41" s="155">
        <v>197502</v>
      </c>
      <c r="I41" s="140">
        <v>109.109999999986</v>
      </c>
      <c r="J41" s="147">
        <v>0</v>
      </c>
      <c r="K41" s="157">
        <v>187314</v>
      </c>
      <c r="L41" s="161">
        <v>1644</v>
      </c>
      <c r="M41" s="161">
        <v>1400</v>
      </c>
      <c r="N41" s="154">
        <f>(((Tabela1369[[#This Row],[Objetive value Dissimilarity]]-Tabela1369[[#This Row],[Objetive value Dissimilarity/GATeS]])/Tabela1369[[#This Row],[Objetive value Dissimilarity]]))*100</f>
        <v>5.1584287754048059</v>
      </c>
      <c r="O41" s="23">
        <v>184190</v>
      </c>
      <c r="P41" s="53">
        <v>3.02</v>
      </c>
      <c r="Q41" s="53">
        <v>0</v>
      </c>
      <c r="R41" s="55">
        <f>(((Tabela1369[[#This Row],[Objetive value Dissimilarity]]-Tabela1369[[#This Row],[Objetive Value Dissimilarity/H-R1]])/Tabela1369[[#This Row],[Objetive value Dissimilarity]]))*100</f>
        <v>6.740184909519904</v>
      </c>
      <c r="S41" s="96">
        <v>186201</v>
      </c>
      <c r="T41" s="21">
        <v>2.68</v>
      </c>
      <c r="U41" s="21">
        <v>0</v>
      </c>
      <c r="V41" s="144">
        <f>(((Tabela1369[[#This Row],[Objetive value Dissimilarity]]-Tabela1369[[#This Row],[Objetive value Dissimilarity/H-R2]])/Tabela1369[[#This Row],[Objetive value Dissimilarity]]))*100</f>
        <v>5.7219673724823039</v>
      </c>
    </row>
    <row r="42" spans="1:22" x14ac:dyDescent="0.25">
      <c r="A42" s="11" t="s">
        <v>319</v>
      </c>
      <c r="B42" s="12" t="s">
        <v>1137</v>
      </c>
      <c r="C42" s="11">
        <v>10000</v>
      </c>
      <c r="D42" s="11">
        <v>0.05</v>
      </c>
      <c r="E42" s="11">
        <v>10</v>
      </c>
      <c r="F42" s="12" t="s">
        <v>18</v>
      </c>
      <c r="G42" s="12" t="s">
        <v>16</v>
      </c>
      <c r="H42" s="155">
        <v>112687</v>
      </c>
      <c r="I42" s="140">
        <v>428.125</v>
      </c>
      <c r="J42" s="147">
        <v>0</v>
      </c>
      <c r="K42" s="157">
        <v>112463</v>
      </c>
      <c r="L42" s="161">
        <v>1612</v>
      </c>
      <c r="M42" s="161">
        <v>437</v>
      </c>
      <c r="N42" s="154">
        <f>(((Tabela1369[[#This Row],[Objetive value Dissimilarity]]-Tabela1369[[#This Row],[Objetive value Dissimilarity/GATeS]])/Tabela1369[[#This Row],[Objetive value Dissimilarity]]))*100</f>
        <v>0.19878069342515106</v>
      </c>
      <c r="O42" s="23">
        <v>112604</v>
      </c>
      <c r="P42" s="53">
        <v>4.28</v>
      </c>
      <c r="Q42" s="53">
        <v>0</v>
      </c>
      <c r="R42" s="55">
        <f>(((Tabela1369[[#This Row],[Objetive value Dissimilarity]]-Tabela1369[[#This Row],[Objetive Value Dissimilarity/H-R1]])/Tabela1369[[#This Row],[Objetive value Dissimilarity]]))*100</f>
        <v>7.3655346224497945E-2</v>
      </c>
      <c r="S42" s="96">
        <v>112604</v>
      </c>
      <c r="T42" s="21">
        <v>4.2699999999999996</v>
      </c>
      <c r="U42" s="21">
        <v>0</v>
      </c>
      <c r="V42" s="144">
        <f>(((Tabela1369[[#This Row],[Objetive value Dissimilarity]]-Tabela1369[[#This Row],[Objetive value Dissimilarity/H-R2]])/Tabela1369[[#This Row],[Objetive value Dissimilarity]]))*100</f>
        <v>7.3655346224497945E-2</v>
      </c>
    </row>
    <row r="43" spans="1:22" x14ac:dyDescent="0.25">
      <c r="A43" s="11" t="s">
        <v>319</v>
      </c>
      <c r="B43" s="12" t="s">
        <v>1138</v>
      </c>
      <c r="C43" s="11">
        <v>10000</v>
      </c>
      <c r="D43" s="11">
        <v>0.05</v>
      </c>
      <c r="E43" s="11">
        <v>10</v>
      </c>
      <c r="F43" s="12" t="s">
        <v>21</v>
      </c>
      <c r="G43" s="12" t="s">
        <v>14</v>
      </c>
      <c r="H43" s="155">
        <v>131922</v>
      </c>
      <c r="I43" s="140">
        <v>106.04700000002001</v>
      </c>
      <c r="J43" s="147">
        <v>0</v>
      </c>
      <c r="K43" s="157">
        <v>131449</v>
      </c>
      <c r="L43" s="161">
        <v>1724</v>
      </c>
      <c r="M43" s="161">
        <v>79</v>
      </c>
      <c r="N43" s="154">
        <f>(((Tabela1369[[#This Row],[Objetive value Dissimilarity]]-Tabela1369[[#This Row],[Objetive value Dissimilarity/GATeS]])/Tabela1369[[#This Row],[Objetive value Dissimilarity]]))*100</f>
        <v>0.3585452009520777</v>
      </c>
      <c r="O43" s="23">
        <v>131922</v>
      </c>
      <c r="P43" s="53">
        <v>2.2000000000000002</v>
      </c>
      <c r="Q43" s="53">
        <v>0</v>
      </c>
      <c r="R43" s="55">
        <f>(((Tabela1369[[#This Row],[Objetive value Dissimilarity]]-Tabela1369[[#This Row],[Objetive Value Dissimilarity/H-R1]])/Tabela1369[[#This Row],[Objetive value Dissimilarity]]))*100</f>
        <v>0</v>
      </c>
      <c r="S43" s="96">
        <v>131922</v>
      </c>
      <c r="T43" s="21">
        <v>2.16</v>
      </c>
      <c r="U43" s="21">
        <v>0</v>
      </c>
      <c r="V43" s="144">
        <f>(((Tabela1369[[#This Row],[Objetive value Dissimilarity]]-Tabela1369[[#This Row],[Objetive value Dissimilarity/H-R2]])/Tabela1369[[#This Row],[Objetive value Dissimilarity]]))*100</f>
        <v>0</v>
      </c>
    </row>
    <row r="44" spans="1:22" x14ac:dyDescent="0.25">
      <c r="A44" s="11" t="s">
        <v>319</v>
      </c>
      <c r="B44" s="12" t="s">
        <v>1139</v>
      </c>
      <c r="C44" s="11">
        <v>10000</v>
      </c>
      <c r="D44" s="11">
        <v>0.05</v>
      </c>
      <c r="E44" s="11">
        <v>10</v>
      </c>
      <c r="F44" s="12" t="s">
        <v>21</v>
      </c>
      <c r="G44" s="12" t="s">
        <v>16</v>
      </c>
      <c r="H44" s="155">
        <v>113917</v>
      </c>
      <c r="I44" s="140">
        <v>334.202999999979</v>
      </c>
      <c r="J44" s="147">
        <v>0</v>
      </c>
      <c r="K44" s="157">
        <v>112024</v>
      </c>
      <c r="L44" s="161">
        <v>1643</v>
      </c>
      <c r="M44" s="161">
        <v>921</v>
      </c>
      <c r="N44" s="154">
        <f>(((Tabela1369[[#This Row],[Objetive value Dissimilarity]]-Tabela1369[[#This Row],[Objetive value Dissimilarity/GATeS]])/Tabela1369[[#This Row],[Objetive value Dissimilarity]]))*100</f>
        <v>1.6617361763389134</v>
      </c>
      <c r="O44" s="23">
        <v>113915</v>
      </c>
      <c r="P44" s="53">
        <v>4.9800000000000004</v>
      </c>
      <c r="Q44" s="53">
        <v>0</v>
      </c>
      <c r="R44" s="55">
        <f>(((Tabela1369[[#This Row],[Objetive value Dissimilarity]]-Tabela1369[[#This Row],[Objetive Value Dissimilarity/H-R1]])/Tabela1369[[#This Row],[Objetive value Dissimilarity]]))*100</f>
        <v>1.7556642116628774E-3</v>
      </c>
      <c r="S44" s="96">
        <v>112593</v>
      </c>
      <c r="T44" s="21">
        <v>3.85</v>
      </c>
      <c r="U44" s="21">
        <v>0</v>
      </c>
      <c r="V44" s="144">
        <f>(((Tabela1369[[#This Row],[Objetive value Dissimilarity]]-Tabela1369[[#This Row],[Objetive value Dissimilarity/H-R2]])/Tabela1369[[#This Row],[Objetive value Dissimilarity]]))*100</f>
        <v>1.1622497081208247</v>
      </c>
    </row>
    <row r="45" spans="1:22" x14ac:dyDescent="0.25">
      <c r="A45" s="11" t="s">
        <v>338</v>
      </c>
      <c r="B45" s="12" t="s">
        <v>1140</v>
      </c>
      <c r="C45" s="11">
        <v>10000</v>
      </c>
      <c r="D45" s="11">
        <v>0.05</v>
      </c>
      <c r="E45" s="11">
        <v>15</v>
      </c>
      <c r="F45" s="12" t="s">
        <v>13</v>
      </c>
      <c r="G45" s="12" t="s">
        <v>14</v>
      </c>
      <c r="H45" s="155">
        <v>297732</v>
      </c>
      <c r="I45" s="140">
        <v>850.71899999992399</v>
      </c>
      <c r="J45" s="147">
        <v>8.34</v>
      </c>
      <c r="K45" s="157">
        <v>278375</v>
      </c>
      <c r="L45" s="161">
        <v>2051</v>
      </c>
      <c r="M45" s="161">
        <v>1096</v>
      </c>
      <c r="N45" s="154">
        <f>(((Tabela1369[[#This Row],[Objetive value Dissimilarity]]-Tabela1369[[#This Row],[Objetive value Dissimilarity/GATeS]])/Tabela1369[[#This Row],[Objetive value Dissimilarity]]))*100</f>
        <v>6.5014845565810857</v>
      </c>
      <c r="O45" s="23">
        <v>292033</v>
      </c>
      <c r="P45" s="53">
        <v>4.55</v>
      </c>
      <c r="Q45" s="53">
        <v>0</v>
      </c>
      <c r="R45" s="55">
        <f>(((Tabela1369[[#This Row],[Objetive value Dissimilarity]]-Tabela1369[[#This Row],[Objetive Value Dissimilarity/H-R1]])/Tabela1369[[#This Row],[Objetive value Dissimilarity]]))*100</f>
        <v>1.9141375465183452</v>
      </c>
      <c r="S45" s="96">
        <v>264152</v>
      </c>
      <c r="T45" s="21">
        <v>3.89</v>
      </c>
      <c r="U45" s="21">
        <v>0</v>
      </c>
      <c r="V45" s="144">
        <f>(((Tabela1369[[#This Row],[Objetive value Dissimilarity]]-Tabela1369[[#This Row],[Objetive value Dissimilarity/H-R2]])/Tabela1369[[#This Row],[Objetive value Dissimilarity]]))*100</f>
        <v>11.27859954590034</v>
      </c>
    </row>
    <row r="46" spans="1:22" x14ac:dyDescent="0.25">
      <c r="A46" s="11" t="s">
        <v>338</v>
      </c>
      <c r="B46" s="12" t="s">
        <v>1141</v>
      </c>
      <c r="C46" s="11">
        <v>10000</v>
      </c>
      <c r="D46" s="11">
        <v>0.05</v>
      </c>
      <c r="E46" s="11">
        <v>15</v>
      </c>
      <c r="F46" s="12" t="s">
        <v>13</v>
      </c>
      <c r="G46" s="12" t="s">
        <v>16</v>
      </c>
      <c r="H46" s="155">
        <v>167145</v>
      </c>
      <c r="I46" s="140">
        <v>4361.7190000000401</v>
      </c>
      <c r="J46" s="147">
        <v>4.38</v>
      </c>
      <c r="K46" s="157">
        <v>165488</v>
      </c>
      <c r="L46" s="161">
        <v>1643</v>
      </c>
      <c r="M46" s="161">
        <v>174</v>
      </c>
      <c r="N46" s="154">
        <f>(((Tabela1369[[#This Row],[Objetive value Dissimilarity]]-Tabela1369[[#This Row],[Objetive value Dissimilarity/GATeS]])/Tabela1369[[#This Row],[Objetive value Dissimilarity]]))*100</f>
        <v>0.99135481169044837</v>
      </c>
      <c r="O46" s="23">
        <v>160388</v>
      </c>
      <c r="P46" s="53">
        <v>5.17</v>
      </c>
      <c r="Q46" s="53">
        <v>0</v>
      </c>
      <c r="R46" s="55">
        <f>(((Tabela1369[[#This Row],[Objetive value Dissimilarity]]-Tabela1369[[#This Row],[Objetive Value Dissimilarity/H-R1]])/Tabela1369[[#This Row],[Objetive value Dissimilarity]]))*100</f>
        <v>4.042597744473361</v>
      </c>
      <c r="S46" s="96">
        <v>160388</v>
      </c>
      <c r="T46" s="21">
        <v>4.9800000000000004</v>
      </c>
      <c r="U46" s="21">
        <v>0</v>
      </c>
      <c r="V46" s="144">
        <f>(((Tabela1369[[#This Row],[Objetive value Dissimilarity]]-Tabela1369[[#This Row],[Objetive value Dissimilarity/H-R2]])/Tabela1369[[#This Row],[Objetive value Dissimilarity]]))*100</f>
        <v>4.042597744473361</v>
      </c>
    </row>
    <row r="47" spans="1:22" x14ac:dyDescent="0.25">
      <c r="A47" s="11" t="s">
        <v>338</v>
      </c>
      <c r="B47" s="12" t="s">
        <v>1142</v>
      </c>
      <c r="C47" s="11">
        <v>10000</v>
      </c>
      <c r="D47" s="11">
        <v>0.05</v>
      </c>
      <c r="E47" s="11">
        <v>15</v>
      </c>
      <c r="F47" s="12" t="s">
        <v>18</v>
      </c>
      <c r="G47" s="12" t="s">
        <v>14</v>
      </c>
      <c r="H47" s="155">
        <v>266743</v>
      </c>
      <c r="I47" s="140">
        <v>577.96900000004098</v>
      </c>
      <c r="J47" s="147">
        <v>5.7</v>
      </c>
      <c r="K47" s="157">
        <v>262064</v>
      </c>
      <c r="L47" s="161">
        <v>1840</v>
      </c>
      <c r="M47" s="161">
        <v>739</v>
      </c>
      <c r="N47" s="154">
        <f>(((Tabela1369[[#This Row],[Objetive value Dissimilarity]]-Tabela1369[[#This Row],[Objetive value Dissimilarity/GATeS]])/Tabela1369[[#This Row],[Objetive value Dissimilarity]]))*100</f>
        <v>1.7541228823249346</v>
      </c>
      <c r="O47" s="23">
        <v>264020</v>
      </c>
      <c r="P47" s="53">
        <v>5.03</v>
      </c>
      <c r="Q47" s="53">
        <v>0</v>
      </c>
      <c r="R47" s="55">
        <f>(((Tabela1369[[#This Row],[Objetive value Dissimilarity]]-Tabela1369[[#This Row],[Objetive Value Dissimilarity/H-R1]])/Tabela1369[[#This Row],[Objetive value Dissimilarity]]))*100</f>
        <v>1.0208327866148315</v>
      </c>
      <c r="S47" s="96">
        <v>247572</v>
      </c>
      <c r="T47" s="21">
        <v>5.79</v>
      </c>
      <c r="U47" s="21">
        <v>0</v>
      </c>
      <c r="V47" s="144">
        <f>(((Tabela1369[[#This Row],[Objetive value Dissimilarity]]-Tabela1369[[#This Row],[Objetive value Dissimilarity/H-R2]])/Tabela1369[[#This Row],[Objetive value Dissimilarity]]))*100</f>
        <v>7.1870677018703395</v>
      </c>
    </row>
    <row r="48" spans="1:22" x14ac:dyDescent="0.25">
      <c r="A48" s="11" t="s">
        <v>338</v>
      </c>
      <c r="B48" s="12" t="s">
        <v>1143</v>
      </c>
      <c r="C48" s="11">
        <v>10000</v>
      </c>
      <c r="D48" s="11">
        <v>0.05</v>
      </c>
      <c r="E48" s="11">
        <v>15</v>
      </c>
      <c r="F48" s="12" t="s">
        <v>18</v>
      </c>
      <c r="G48" s="12" t="s">
        <v>16</v>
      </c>
      <c r="H48" s="155">
        <v>172583</v>
      </c>
      <c r="I48" s="140">
        <v>3328.375</v>
      </c>
      <c r="J48" s="147">
        <v>0</v>
      </c>
      <c r="K48" s="157">
        <v>167378</v>
      </c>
      <c r="L48" s="161">
        <v>1629</v>
      </c>
      <c r="M48" s="161">
        <v>710</v>
      </c>
      <c r="N48" s="154">
        <f>(((Tabela1369[[#This Row],[Objetive value Dissimilarity]]-Tabela1369[[#This Row],[Objetive value Dissimilarity/GATeS]])/Tabela1369[[#This Row],[Objetive value Dissimilarity]]))*100</f>
        <v>3.0159401563305774</v>
      </c>
      <c r="O48" s="23">
        <v>172581</v>
      </c>
      <c r="P48" s="53">
        <v>6.59</v>
      </c>
      <c r="Q48" s="53">
        <v>0</v>
      </c>
      <c r="R48" s="55">
        <f>(((Tabela1369[[#This Row],[Objetive value Dissimilarity]]-Tabela1369[[#This Row],[Objetive Value Dissimilarity/H-R1]])/Tabela1369[[#This Row],[Objetive value Dissimilarity]]))*100</f>
        <v>1.15886269215392E-3</v>
      </c>
      <c r="S48" s="96">
        <v>172234</v>
      </c>
      <c r="T48" s="21">
        <v>8</v>
      </c>
      <c r="U48" s="21">
        <v>0</v>
      </c>
      <c r="V48" s="144">
        <f>(((Tabela1369[[#This Row],[Objetive value Dissimilarity]]-Tabela1369[[#This Row],[Objetive value Dissimilarity/H-R2]])/Tabela1369[[#This Row],[Objetive value Dissimilarity]]))*100</f>
        <v>0.20222153978085908</v>
      </c>
    </row>
    <row r="49" spans="1:22" x14ac:dyDescent="0.25">
      <c r="A49" s="11" t="s">
        <v>338</v>
      </c>
      <c r="B49" s="12" t="s">
        <v>1144</v>
      </c>
      <c r="C49" s="11">
        <v>10000</v>
      </c>
      <c r="D49" s="11">
        <v>0.05</v>
      </c>
      <c r="E49" s="11">
        <v>15</v>
      </c>
      <c r="F49" s="12" t="s">
        <v>21</v>
      </c>
      <c r="G49" s="12" t="s">
        <v>14</v>
      </c>
      <c r="H49" s="155">
        <v>213872</v>
      </c>
      <c r="I49" s="140">
        <v>179.875</v>
      </c>
      <c r="J49" s="147">
        <v>0</v>
      </c>
      <c r="K49" s="157">
        <v>150717</v>
      </c>
      <c r="L49" s="161">
        <v>2040</v>
      </c>
      <c r="M49" s="161">
        <v>123</v>
      </c>
      <c r="N49" s="154">
        <f>(((Tabela1369[[#This Row],[Objetive value Dissimilarity]]-Tabela1369[[#This Row],[Objetive value Dissimilarity/GATeS]])/Tabela1369[[#This Row],[Objetive value Dissimilarity]]))*100</f>
        <v>29.529344654746765</v>
      </c>
      <c r="O49" s="23">
        <v>131436</v>
      </c>
      <c r="P49" s="53">
        <v>21.55</v>
      </c>
      <c r="Q49" s="53">
        <v>0</v>
      </c>
      <c r="R49" s="55">
        <f>(((Tabela1369[[#This Row],[Objetive value Dissimilarity]]-Tabela1369[[#This Row],[Objetive Value Dissimilarity/H-R1]])/Tabela1369[[#This Row],[Objetive value Dissimilarity]]))*100</f>
        <v>38.544550011221666</v>
      </c>
      <c r="S49" s="96">
        <v>182426</v>
      </c>
      <c r="T49" s="21">
        <v>14.18</v>
      </c>
      <c r="U49" s="21">
        <v>0</v>
      </c>
      <c r="V49" s="144">
        <f>(((Tabela1369[[#This Row],[Objetive value Dissimilarity]]-Tabela1369[[#This Row],[Objetive value Dissimilarity/H-R2]])/Tabela1369[[#This Row],[Objetive value Dissimilarity]]))*100</f>
        <v>14.703186952943817</v>
      </c>
    </row>
    <row r="50" spans="1:22" x14ac:dyDescent="0.25">
      <c r="A50" s="11" t="s">
        <v>338</v>
      </c>
      <c r="B50" s="12" t="s">
        <v>1145</v>
      </c>
      <c r="C50" s="11">
        <v>10000</v>
      </c>
      <c r="D50" s="11">
        <v>0.05</v>
      </c>
      <c r="E50" s="11">
        <v>15</v>
      </c>
      <c r="F50" s="12" t="s">
        <v>21</v>
      </c>
      <c r="G50" s="12" t="s">
        <v>16</v>
      </c>
      <c r="H50" s="155">
        <v>157861.99999999901</v>
      </c>
      <c r="I50" s="140">
        <v>3624.79700000002</v>
      </c>
      <c r="J50" s="147">
        <v>0.15</v>
      </c>
      <c r="K50" s="157">
        <v>156497</v>
      </c>
      <c r="L50" s="161">
        <v>1717</v>
      </c>
      <c r="M50" s="161">
        <v>1106</v>
      </c>
      <c r="N50" s="154">
        <f>(((Tabela1369[[#This Row],[Objetive value Dissimilarity]]-Tabela1369[[#This Row],[Objetive value Dissimilarity/GATeS]])/Tabela1369[[#This Row],[Objetive value Dissimilarity]]))*100</f>
        <v>0.86467927683610935</v>
      </c>
      <c r="O50" s="23">
        <v>155557</v>
      </c>
      <c r="P50" s="53">
        <v>7.63</v>
      </c>
      <c r="Q50" s="53">
        <v>0</v>
      </c>
      <c r="R50" s="55">
        <f>(((Tabela1369[[#This Row],[Objetive value Dissimilarity]]-Tabela1369[[#This Row],[Objetive Value Dissimilarity/H-R1]])/Tabela1369[[#This Row],[Objetive value Dissimilarity]]))*100</f>
        <v>1.4601360682108582</v>
      </c>
      <c r="S50" s="96">
        <v>154939</v>
      </c>
      <c r="T50" s="21">
        <v>7.29</v>
      </c>
      <c r="U50" s="21">
        <v>0</v>
      </c>
      <c r="V50" s="144">
        <f>(((Tabela1369[[#This Row],[Objetive value Dissimilarity]]-Tabela1369[[#This Row],[Objetive value Dissimilarity/H-R2]])/Tabela1369[[#This Row],[Objetive value Dissimilarity]]))*100</f>
        <v>1.8516172353061715</v>
      </c>
    </row>
    <row r="51" spans="1:22" x14ac:dyDescent="0.25">
      <c r="A51" s="11" t="s">
        <v>300</v>
      </c>
      <c r="B51" s="30" t="s">
        <v>1146</v>
      </c>
      <c r="C51" s="11">
        <v>10000</v>
      </c>
      <c r="D51" s="11">
        <v>0.05</v>
      </c>
      <c r="E51" s="11">
        <v>5</v>
      </c>
      <c r="F51" s="12" t="s">
        <v>13</v>
      </c>
      <c r="G51" s="12" t="s">
        <v>14</v>
      </c>
      <c r="H51" s="155">
        <v>95376</v>
      </c>
      <c r="I51" s="140">
        <v>37.109000000054898</v>
      </c>
      <c r="J51" s="147">
        <v>0</v>
      </c>
      <c r="K51" s="157">
        <v>95139</v>
      </c>
      <c r="L51" s="161">
        <v>1575</v>
      </c>
      <c r="M51" s="161">
        <v>1131</v>
      </c>
      <c r="N51" s="154">
        <f>(((Tabela1369[[#This Row],[Objetive value Dissimilarity]]-Tabela1369[[#This Row],[Objetive value Dissimilarity/GATeS]])/Tabela1369[[#This Row],[Objetive value Dissimilarity]]))*100</f>
        <v>0.24849018621036739</v>
      </c>
      <c r="O51" s="23">
        <v>95375</v>
      </c>
      <c r="P51" s="53">
        <v>2</v>
      </c>
      <c r="Q51" s="53">
        <v>0</v>
      </c>
      <c r="R51" s="55">
        <f>(((Tabela1369[[#This Row],[Objetive value Dissimilarity]]-Tabela1369[[#This Row],[Objetive Value Dissimilarity/H-R1]])/Tabela1369[[#This Row],[Objetive value Dissimilarity]]))*100</f>
        <v>1.0484817983559805E-3</v>
      </c>
      <c r="S51" s="96">
        <v>74566</v>
      </c>
      <c r="T51" s="21">
        <v>1.04</v>
      </c>
      <c r="U51" s="21">
        <v>0</v>
      </c>
      <c r="V51" s="144">
        <f>(((Tabela1369[[#This Row],[Objetive value Dissimilarity]]-Tabela1369[[#This Row],[Objetive value Dissimilarity/H-R2]])/Tabela1369[[#This Row],[Objetive value Dissimilarity]]))*100</f>
        <v>21.818906223787955</v>
      </c>
    </row>
    <row r="52" spans="1:22" x14ac:dyDescent="0.25">
      <c r="A52" s="11" t="s">
        <v>300</v>
      </c>
      <c r="B52" s="12" t="s">
        <v>1147</v>
      </c>
      <c r="C52" s="11">
        <v>10000</v>
      </c>
      <c r="D52" s="11">
        <v>0.05</v>
      </c>
      <c r="E52" s="11">
        <v>5</v>
      </c>
      <c r="F52" s="12" t="s">
        <v>13</v>
      </c>
      <c r="G52" s="12" t="s">
        <v>16</v>
      </c>
      <c r="H52" s="155">
        <v>55594</v>
      </c>
      <c r="I52" s="140">
        <v>38.672000000020397</v>
      </c>
      <c r="J52" s="147">
        <v>0</v>
      </c>
      <c r="K52" s="157">
        <v>55298</v>
      </c>
      <c r="L52" s="161">
        <v>987</v>
      </c>
      <c r="M52" s="161">
        <v>292</v>
      </c>
      <c r="N52" s="154">
        <f>(((Tabela1369[[#This Row],[Objetive value Dissimilarity]]-Tabela1369[[#This Row],[Objetive value Dissimilarity/GATeS]])/Tabela1369[[#This Row],[Objetive value Dissimilarity]]))*100</f>
        <v>0.5324315573623053</v>
      </c>
      <c r="O52" s="23">
        <v>52698</v>
      </c>
      <c r="P52" s="53">
        <v>1.59</v>
      </c>
      <c r="Q52" s="53">
        <v>0</v>
      </c>
      <c r="R52" s="55">
        <f>(((Tabela1369[[#This Row],[Objetive value Dissimilarity]]-Tabela1369[[#This Row],[Objetive Value Dissimilarity/H-R1]])/Tabela1369[[#This Row],[Objetive value Dissimilarity]]))*100</f>
        <v>5.2091952368960674</v>
      </c>
      <c r="S52" s="96">
        <v>55594</v>
      </c>
      <c r="T52" s="21">
        <v>1.59</v>
      </c>
      <c r="U52" s="21">
        <v>0</v>
      </c>
      <c r="V52" s="144">
        <f>(((Tabela1369[[#This Row],[Objetive value Dissimilarity]]-Tabela1369[[#This Row],[Objetive value Dissimilarity/H-R2]])/Tabela1369[[#This Row],[Objetive value Dissimilarity]]))*100</f>
        <v>0</v>
      </c>
    </row>
    <row r="53" spans="1:22" x14ac:dyDescent="0.25">
      <c r="A53" s="11" t="s">
        <v>300</v>
      </c>
      <c r="B53" s="12" t="s">
        <v>1148</v>
      </c>
      <c r="C53" s="11">
        <v>10000</v>
      </c>
      <c r="D53" s="11">
        <v>0.05</v>
      </c>
      <c r="E53" s="11">
        <v>5</v>
      </c>
      <c r="F53" s="12" t="s">
        <v>18</v>
      </c>
      <c r="G53" s="12" t="s">
        <v>14</v>
      </c>
      <c r="H53" s="155">
        <v>108821</v>
      </c>
      <c r="I53" s="140">
        <v>34.375</v>
      </c>
      <c r="J53" s="147">
        <v>0</v>
      </c>
      <c r="K53" s="157">
        <v>108702</v>
      </c>
      <c r="L53" s="161">
        <v>1607</v>
      </c>
      <c r="M53" s="161">
        <v>1467</v>
      </c>
      <c r="N53" s="154">
        <f>(((Tabela1369[[#This Row],[Objetive value Dissimilarity]]-Tabela1369[[#This Row],[Objetive value Dissimilarity/GATeS]])/Tabela1369[[#This Row],[Objetive value Dissimilarity]]))*100</f>
        <v>0.10935389309048806</v>
      </c>
      <c r="O53" s="23">
        <v>108821</v>
      </c>
      <c r="P53" s="53">
        <v>1.78</v>
      </c>
      <c r="Q53" s="53">
        <v>0</v>
      </c>
      <c r="R53" s="55">
        <f>(((Tabela1369[[#This Row],[Objetive value Dissimilarity]]-Tabela1369[[#This Row],[Objetive Value Dissimilarity/H-R1]])/Tabela1369[[#This Row],[Objetive value Dissimilarity]]))*100</f>
        <v>0</v>
      </c>
      <c r="S53" s="96">
        <v>108663</v>
      </c>
      <c r="T53" s="21">
        <v>1.41</v>
      </c>
      <c r="U53" s="21">
        <v>0</v>
      </c>
      <c r="V53" s="144">
        <f>(((Tabela1369[[#This Row],[Objetive value Dissimilarity]]-Tabela1369[[#This Row],[Objetive value Dissimilarity/H-R2]])/Tabela1369[[#This Row],[Objetive value Dissimilarity]]))*100</f>
        <v>0.14519256393526986</v>
      </c>
    </row>
    <row r="54" spans="1:22" x14ac:dyDescent="0.25">
      <c r="A54" s="11" t="s">
        <v>300</v>
      </c>
      <c r="B54" s="12" t="s">
        <v>1149</v>
      </c>
      <c r="C54" s="11">
        <v>10000</v>
      </c>
      <c r="D54" s="11">
        <v>0.05</v>
      </c>
      <c r="E54" s="11">
        <v>5</v>
      </c>
      <c r="F54" s="12" t="s">
        <v>18</v>
      </c>
      <c r="G54" s="12" t="s">
        <v>16</v>
      </c>
      <c r="H54" s="155">
        <v>71584</v>
      </c>
      <c r="I54" s="140">
        <v>41.641000000061403</v>
      </c>
      <c r="J54" s="147">
        <v>0</v>
      </c>
      <c r="K54" s="157">
        <v>71584</v>
      </c>
      <c r="L54" s="161">
        <v>1675</v>
      </c>
      <c r="M54" s="161">
        <v>671</v>
      </c>
      <c r="N54" s="154">
        <f>(((Tabela1369[[#This Row],[Objetive value Dissimilarity]]-Tabela1369[[#This Row],[Objetive value Dissimilarity/GATeS]])/Tabela1369[[#This Row],[Objetive value Dissimilarity]]))*100</f>
        <v>0</v>
      </c>
      <c r="O54" s="23">
        <v>71584</v>
      </c>
      <c r="P54" s="53">
        <v>2.0699999999999998</v>
      </c>
      <c r="Q54" s="53">
        <v>0</v>
      </c>
      <c r="R54" s="55">
        <f>(((Tabela1369[[#This Row],[Objetive value Dissimilarity]]-Tabela1369[[#This Row],[Objetive Value Dissimilarity/H-R1]])/Tabela1369[[#This Row],[Objetive value Dissimilarity]]))*100</f>
        <v>0</v>
      </c>
      <c r="S54" s="96">
        <v>71584</v>
      </c>
      <c r="T54" s="21">
        <v>1.95</v>
      </c>
      <c r="U54" s="21">
        <v>0</v>
      </c>
      <c r="V54" s="144">
        <f>(((Tabela1369[[#This Row],[Objetive value Dissimilarity]]-Tabela1369[[#This Row],[Objetive value Dissimilarity/H-R2]])/Tabela1369[[#This Row],[Objetive value Dissimilarity]]))*100</f>
        <v>0</v>
      </c>
    </row>
    <row r="55" spans="1:22" x14ac:dyDescent="0.25">
      <c r="A55" s="11" t="s">
        <v>300</v>
      </c>
      <c r="B55" s="12" t="s">
        <v>1150</v>
      </c>
      <c r="C55" s="11">
        <v>10000</v>
      </c>
      <c r="D55" s="11">
        <v>0.05</v>
      </c>
      <c r="E55" s="11">
        <v>5</v>
      </c>
      <c r="F55" s="12" t="s">
        <v>21</v>
      </c>
      <c r="G55" s="12" t="s">
        <v>14</v>
      </c>
      <c r="H55" s="155">
        <v>62032</v>
      </c>
      <c r="I55" s="140">
        <v>31.390000000013899</v>
      </c>
      <c r="J55" s="147">
        <v>0</v>
      </c>
      <c r="K55" s="157">
        <v>33687</v>
      </c>
      <c r="L55" s="161">
        <v>47</v>
      </c>
      <c r="M55" s="161">
        <v>18</v>
      </c>
      <c r="N55" s="154">
        <f>(((Tabela1369[[#This Row],[Objetive value Dissimilarity]]-Tabela1369[[#This Row],[Objetive value Dissimilarity/GATeS]])/Tabela1369[[#This Row],[Objetive value Dissimilarity]]))*100</f>
        <v>45.694157854010832</v>
      </c>
      <c r="O55" s="23">
        <v>28345</v>
      </c>
      <c r="P55" s="53">
        <v>3.42</v>
      </c>
      <c r="Q55" s="53">
        <v>0</v>
      </c>
      <c r="R55" s="55">
        <f>(((Tabela1369[[#This Row],[Objetive value Dissimilarity]]-Tabela1369[[#This Row],[Objetive Value Dissimilarity/H-R1]])/Tabela1369[[#This Row],[Objetive value Dissimilarity]]))*100</f>
        <v>54.305842145989168</v>
      </c>
      <c r="S55" s="96">
        <v>62032</v>
      </c>
      <c r="T55" s="21">
        <v>2.63</v>
      </c>
      <c r="U55" s="21">
        <v>0</v>
      </c>
      <c r="V55" s="144">
        <f>(((Tabela1369[[#This Row],[Objetive value Dissimilarity]]-Tabela1369[[#This Row],[Objetive value Dissimilarity/H-R2]])/Tabela1369[[#This Row],[Objetive value Dissimilarity]]))*100</f>
        <v>0</v>
      </c>
    </row>
    <row r="56" spans="1:22" x14ac:dyDescent="0.25">
      <c r="A56" s="11" t="s">
        <v>300</v>
      </c>
      <c r="B56" s="12" t="s">
        <v>1151</v>
      </c>
      <c r="C56" s="11">
        <v>10000</v>
      </c>
      <c r="D56" s="11">
        <v>0.05</v>
      </c>
      <c r="E56" s="11">
        <v>5</v>
      </c>
      <c r="F56" s="12" t="s">
        <v>21</v>
      </c>
      <c r="G56" s="12" t="s">
        <v>16</v>
      </c>
      <c r="H56" s="155">
        <v>51863</v>
      </c>
      <c r="I56" s="140">
        <v>37.483999999938497</v>
      </c>
      <c r="J56" s="147">
        <v>0</v>
      </c>
      <c r="K56" s="157">
        <v>31472</v>
      </c>
      <c r="L56" s="161">
        <v>17</v>
      </c>
      <c r="M56" s="161">
        <v>9</v>
      </c>
      <c r="N56" s="154">
        <f>(((Tabela1369[[#This Row],[Objetive value Dissimilarity]]-Tabela1369[[#This Row],[Objetive value Dissimilarity/GATeS]])/Tabela1369[[#This Row],[Objetive value Dissimilarity]]))*100</f>
        <v>39.317046834930494</v>
      </c>
      <c r="O56" s="23">
        <v>51863</v>
      </c>
      <c r="P56" s="53">
        <v>1.95</v>
      </c>
      <c r="Q56" s="53">
        <v>0</v>
      </c>
      <c r="R56" s="55">
        <f>(((Tabela1369[[#This Row],[Objetive value Dissimilarity]]-Tabela1369[[#This Row],[Objetive Value Dissimilarity/H-R1]])/Tabela1369[[#This Row],[Objetive value Dissimilarity]]))*100</f>
        <v>0</v>
      </c>
      <c r="S56" s="96">
        <v>51863</v>
      </c>
      <c r="T56" s="21">
        <v>1.57</v>
      </c>
      <c r="U56" s="21">
        <v>0</v>
      </c>
      <c r="V56" s="144">
        <f>(((Tabela1369[[#This Row],[Objetive value Dissimilarity]]-Tabela1369[[#This Row],[Objetive value Dissimilarity/H-R2]])/Tabela1369[[#This Row],[Objetive value Dissimilarity]]))*100</f>
        <v>0</v>
      </c>
    </row>
    <row r="57" spans="1:22" x14ac:dyDescent="0.25">
      <c r="A57" s="11" t="s">
        <v>205</v>
      </c>
      <c r="B57" s="30" t="s">
        <v>1152</v>
      </c>
      <c r="C57" s="11">
        <v>1000</v>
      </c>
      <c r="D57" s="24">
        <v>0.1</v>
      </c>
      <c r="E57" s="11">
        <v>10</v>
      </c>
      <c r="F57" s="12" t="s">
        <v>13</v>
      </c>
      <c r="G57" s="12" t="s">
        <v>14</v>
      </c>
      <c r="H57" s="155">
        <v>20206</v>
      </c>
      <c r="I57" s="140">
        <v>3.2190000000409702</v>
      </c>
      <c r="J57" s="147">
        <v>0</v>
      </c>
      <c r="K57" s="157">
        <v>20163</v>
      </c>
      <c r="L57" s="161">
        <v>81</v>
      </c>
      <c r="M57" s="161">
        <v>4</v>
      </c>
      <c r="N57" s="154">
        <f>(((Tabela1369[[#This Row],[Objetive value Dissimilarity]]-Tabela1369[[#This Row],[Objetive value Dissimilarity/GATeS]])/Tabela1369[[#This Row],[Objetive value Dissimilarity]]))*100</f>
        <v>0.21280807680886865</v>
      </c>
      <c r="O57" s="23">
        <v>20205</v>
      </c>
      <c r="P57" s="53">
        <v>0.94</v>
      </c>
      <c r="Q57" s="53">
        <v>0</v>
      </c>
      <c r="R57" s="55">
        <f>(((Tabela1369[[#This Row],[Objetive value Dissimilarity]]-Tabela1369[[#This Row],[Objetive Value Dissimilarity/H-R1]])/Tabela1369[[#This Row],[Objetive value Dissimilarity]]))*100</f>
        <v>4.9490250420667131E-3</v>
      </c>
      <c r="S57" s="96">
        <v>19555</v>
      </c>
      <c r="T57" s="21">
        <v>0.74</v>
      </c>
      <c r="U57" s="21">
        <v>0</v>
      </c>
      <c r="V57" s="144">
        <f>(((Tabela1369[[#This Row],[Objetive value Dissimilarity]]-Tabela1369[[#This Row],[Objetive value Dissimilarity/H-R2]])/Tabela1369[[#This Row],[Objetive value Dissimilarity]]))*100</f>
        <v>3.2218153023854299</v>
      </c>
    </row>
    <row r="58" spans="1:22" x14ac:dyDescent="0.25">
      <c r="A58" s="11" t="s">
        <v>205</v>
      </c>
      <c r="B58" s="12" t="s">
        <v>1153</v>
      </c>
      <c r="C58" s="11">
        <v>1000</v>
      </c>
      <c r="D58" s="24">
        <v>0.1</v>
      </c>
      <c r="E58" s="11">
        <v>10</v>
      </c>
      <c r="F58" s="12" t="s">
        <v>13</v>
      </c>
      <c r="G58" s="12" t="s">
        <v>16</v>
      </c>
      <c r="H58" s="155">
        <v>12297</v>
      </c>
      <c r="I58" s="140">
        <v>6.7190000000409702</v>
      </c>
      <c r="J58" s="147">
        <v>4.88</v>
      </c>
      <c r="K58" s="157">
        <v>12228</v>
      </c>
      <c r="L58" s="161">
        <v>73</v>
      </c>
      <c r="M58" s="161">
        <v>11</v>
      </c>
      <c r="N58" s="154">
        <f>(((Tabela1369[[#This Row],[Objetive value Dissimilarity]]-Tabela1369[[#This Row],[Objetive value Dissimilarity/GATeS]])/Tabela1369[[#This Row],[Objetive value Dissimilarity]]))*100</f>
        <v>0.56111246645523305</v>
      </c>
      <c r="O58" s="23">
        <v>11252</v>
      </c>
      <c r="P58" s="53">
        <v>0.63</v>
      </c>
      <c r="Q58" s="53">
        <v>0</v>
      </c>
      <c r="R58" s="55">
        <f>(((Tabela1369[[#This Row],[Objetive value Dissimilarity]]-Tabela1369[[#This Row],[Objetive Value Dissimilarity/H-R1]])/Tabela1369[[#This Row],[Objetive value Dissimilarity]]))*100</f>
        <v>8.4980076441408468</v>
      </c>
      <c r="S58" s="96">
        <v>11854</v>
      </c>
      <c r="T58" s="21">
        <v>1.22</v>
      </c>
      <c r="U58" s="21">
        <v>0</v>
      </c>
      <c r="V58" s="144">
        <f>(((Tabela1369[[#This Row],[Objetive value Dissimilarity]]-Tabela1369[[#This Row],[Objetive value Dissimilarity/H-R2]])/Tabela1369[[#This Row],[Objetive value Dissimilarity]]))*100</f>
        <v>3.6025046759372201</v>
      </c>
    </row>
    <row r="59" spans="1:22" x14ac:dyDescent="0.25">
      <c r="A59" s="11" t="s">
        <v>205</v>
      </c>
      <c r="B59" s="12" t="s">
        <v>1154</v>
      </c>
      <c r="C59" s="11">
        <v>1000</v>
      </c>
      <c r="D59" s="24">
        <v>0.1</v>
      </c>
      <c r="E59" s="11">
        <v>10</v>
      </c>
      <c r="F59" s="11" t="s">
        <v>18</v>
      </c>
      <c r="G59" s="12" t="s">
        <v>14</v>
      </c>
      <c r="H59" s="155">
        <v>16778</v>
      </c>
      <c r="I59" s="140">
        <v>4.375</v>
      </c>
      <c r="J59" s="147">
        <v>11.04</v>
      </c>
      <c r="K59" s="157">
        <v>15782</v>
      </c>
      <c r="L59" s="161">
        <v>44</v>
      </c>
      <c r="M59" s="161">
        <v>0</v>
      </c>
      <c r="N59" s="154">
        <f>(((Tabela1369[[#This Row],[Objetive value Dissimilarity]]-Tabela1369[[#This Row],[Objetive value Dissimilarity/GATeS]])/Tabela1369[[#This Row],[Objetive value Dissimilarity]]))*100</f>
        <v>5.936345213970676</v>
      </c>
      <c r="O59" s="23">
        <v>14837</v>
      </c>
      <c r="P59" s="53">
        <v>0.62</v>
      </c>
      <c r="Q59" s="53">
        <v>0</v>
      </c>
      <c r="R59" s="55">
        <f>(((Tabela1369[[#This Row],[Objetive value Dissimilarity]]-Tabela1369[[#This Row],[Objetive Value Dissimilarity/H-R1]])/Tabela1369[[#This Row],[Objetive value Dissimilarity]]))*100</f>
        <v>11.568720944093455</v>
      </c>
      <c r="S59" s="96">
        <v>16510</v>
      </c>
      <c r="T59" s="21">
        <v>0.84</v>
      </c>
      <c r="U59" s="21">
        <v>0</v>
      </c>
      <c r="V59" s="144">
        <f>(((Tabela1369[[#This Row],[Objetive value Dissimilarity]]-Tabela1369[[#This Row],[Objetive value Dissimilarity/H-R2]])/Tabela1369[[#This Row],[Objetive value Dissimilarity]]))*100</f>
        <v>1.5973298366909048</v>
      </c>
    </row>
    <row r="60" spans="1:22" x14ac:dyDescent="0.25">
      <c r="A60" s="11" t="s">
        <v>205</v>
      </c>
      <c r="B60" s="12" t="s">
        <v>1155</v>
      </c>
      <c r="C60" s="11">
        <v>1000</v>
      </c>
      <c r="D60" s="24">
        <v>0.1</v>
      </c>
      <c r="E60" s="11">
        <v>10</v>
      </c>
      <c r="F60" s="11" t="s">
        <v>18</v>
      </c>
      <c r="G60" s="12" t="s">
        <v>16</v>
      </c>
      <c r="H60" s="155">
        <v>12881</v>
      </c>
      <c r="I60" s="140">
        <v>4.75</v>
      </c>
      <c r="J60" s="147">
        <v>0</v>
      </c>
      <c r="K60" s="157">
        <v>12470</v>
      </c>
      <c r="L60" s="161">
        <v>69</v>
      </c>
      <c r="M60" s="161">
        <v>47</v>
      </c>
      <c r="N60" s="154">
        <f>(((Tabela1369[[#This Row],[Objetive value Dissimilarity]]-Tabela1369[[#This Row],[Objetive value Dissimilarity/GATeS]])/Tabela1369[[#This Row],[Objetive value Dissimilarity]]))*100</f>
        <v>3.1907460600885029</v>
      </c>
      <c r="O60" s="23">
        <v>12795</v>
      </c>
      <c r="P60" s="53">
        <v>0.65</v>
      </c>
      <c r="Q60" s="53">
        <v>0</v>
      </c>
      <c r="R60" s="55">
        <f>(((Tabela1369[[#This Row],[Objetive value Dissimilarity]]-Tabela1369[[#This Row],[Objetive Value Dissimilarity/H-R1]])/Tabela1369[[#This Row],[Objetive value Dissimilarity]]))*100</f>
        <v>0.66765002717180344</v>
      </c>
      <c r="S60" s="96">
        <v>12795</v>
      </c>
      <c r="T60" s="21">
        <v>0.67</v>
      </c>
      <c r="U60" s="21">
        <v>0</v>
      </c>
      <c r="V60" s="144">
        <f>(((Tabela1369[[#This Row],[Objetive value Dissimilarity]]-Tabela1369[[#This Row],[Objetive value Dissimilarity/H-R2]])/Tabela1369[[#This Row],[Objetive value Dissimilarity]]))*100</f>
        <v>0.66765002717180344</v>
      </c>
    </row>
    <row r="61" spans="1:22" x14ac:dyDescent="0.25">
      <c r="A61" s="11" t="s">
        <v>205</v>
      </c>
      <c r="B61" s="12" t="s">
        <v>1156</v>
      </c>
      <c r="C61" s="11">
        <v>1000</v>
      </c>
      <c r="D61" s="24">
        <v>0.1</v>
      </c>
      <c r="E61" s="11">
        <v>10</v>
      </c>
      <c r="F61" s="12" t="s">
        <v>21</v>
      </c>
      <c r="G61" s="12" t="s">
        <v>14</v>
      </c>
      <c r="H61" s="155">
        <v>17666</v>
      </c>
      <c r="I61" s="140">
        <v>1.78100000007543</v>
      </c>
      <c r="J61" s="147">
        <v>0</v>
      </c>
      <c r="K61" s="157">
        <v>14674</v>
      </c>
      <c r="L61" s="161">
        <v>56</v>
      </c>
      <c r="M61" s="161">
        <v>34</v>
      </c>
      <c r="N61" s="154">
        <f>(((Tabela1369[[#This Row],[Objetive value Dissimilarity]]-Tabela1369[[#This Row],[Objetive value Dissimilarity/GATeS]])/Tabela1369[[#This Row],[Objetive value Dissimilarity]]))*100</f>
        <v>16.936488169364882</v>
      </c>
      <c r="O61" s="23">
        <v>17666</v>
      </c>
      <c r="P61" s="53">
        <v>0.84</v>
      </c>
      <c r="Q61" s="53">
        <v>0</v>
      </c>
      <c r="R61" s="55">
        <f>(((Tabela1369[[#This Row],[Objetive value Dissimilarity]]-Tabela1369[[#This Row],[Objetive Value Dissimilarity/H-R1]])/Tabela1369[[#This Row],[Objetive value Dissimilarity]]))*100</f>
        <v>0</v>
      </c>
      <c r="S61" s="96">
        <v>17666</v>
      </c>
      <c r="T61" s="21">
        <v>1.0900000000000001</v>
      </c>
      <c r="U61" s="21">
        <v>0</v>
      </c>
      <c r="V61" s="144">
        <f>(((Tabela1369[[#This Row],[Objetive value Dissimilarity]]-Tabela1369[[#This Row],[Objetive value Dissimilarity/H-R2]])/Tabela1369[[#This Row],[Objetive value Dissimilarity]]))*100</f>
        <v>0</v>
      </c>
    </row>
    <row r="62" spans="1:22" x14ac:dyDescent="0.25">
      <c r="A62" s="11" t="s">
        <v>205</v>
      </c>
      <c r="B62" s="12" t="s">
        <v>1157</v>
      </c>
      <c r="C62" s="11">
        <v>1000</v>
      </c>
      <c r="D62" s="24">
        <v>0.1</v>
      </c>
      <c r="E62" s="11">
        <v>10</v>
      </c>
      <c r="F62" s="12" t="s">
        <v>21</v>
      </c>
      <c r="G62" s="12" t="s">
        <v>16</v>
      </c>
      <c r="H62" s="155">
        <v>11100</v>
      </c>
      <c r="I62" s="140">
        <v>5.5150000000139698</v>
      </c>
      <c r="J62" s="147">
        <v>0</v>
      </c>
      <c r="K62" s="157">
        <v>10169</v>
      </c>
      <c r="L62" s="161">
        <v>29</v>
      </c>
      <c r="M62" s="161">
        <v>21</v>
      </c>
      <c r="N62" s="154">
        <f>(((Tabela1369[[#This Row],[Objetive value Dissimilarity]]-Tabela1369[[#This Row],[Objetive value Dissimilarity/GATeS]])/Tabela1369[[#This Row],[Objetive value Dissimilarity]]))*100</f>
        <v>8.3873873873873883</v>
      </c>
      <c r="O62" s="23">
        <v>10560</v>
      </c>
      <c r="P62" s="53">
        <v>0.88</v>
      </c>
      <c r="Q62" s="53">
        <v>0</v>
      </c>
      <c r="R62" s="55">
        <f>(((Tabela1369[[#This Row],[Objetive value Dissimilarity]]-Tabela1369[[#This Row],[Objetive Value Dissimilarity/H-R1]])/Tabela1369[[#This Row],[Objetive value Dissimilarity]]))*100</f>
        <v>4.8648648648648649</v>
      </c>
      <c r="S62" s="96">
        <v>10810</v>
      </c>
      <c r="T62" s="21">
        <v>0.96</v>
      </c>
      <c r="U62" s="21">
        <v>0</v>
      </c>
      <c r="V62" s="144">
        <f>(((Tabela1369[[#This Row],[Objetive value Dissimilarity]]-Tabela1369[[#This Row],[Objetive value Dissimilarity/H-R2]])/Tabela1369[[#This Row],[Objetive value Dissimilarity]]))*100</f>
        <v>2.6126126126126126</v>
      </c>
    </row>
    <row r="63" spans="1:22" x14ac:dyDescent="0.25">
      <c r="A63" s="11" t="s">
        <v>224</v>
      </c>
      <c r="B63" s="30" t="s">
        <v>1158</v>
      </c>
      <c r="C63" s="11">
        <v>1000</v>
      </c>
      <c r="D63" s="24">
        <v>0.1</v>
      </c>
      <c r="E63" s="11">
        <v>15</v>
      </c>
      <c r="F63" s="12" t="s">
        <v>13</v>
      </c>
      <c r="G63" s="12" t="s">
        <v>14</v>
      </c>
      <c r="H63" s="155">
        <v>27453</v>
      </c>
      <c r="I63" s="140">
        <v>16.031000000075402</v>
      </c>
      <c r="J63" s="147">
        <v>14.1</v>
      </c>
      <c r="K63" s="157">
        <v>25638</v>
      </c>
      <c r="L63" s="161">
        <v>99</v>
      </c>
      <c r="M63" s="161">
        <v>18</v>
      </c>
      <c r="N63" s="154">
        <f>(((Tabela1369[[#This Row],[Objetive value Dissimilarity]]-Tabela1369[[#This Row],[Objetive value Dissimilarity/GATeS]])/Tabela1369[[#This Row],[Objetive value Dissimilarity]]))*100</f>
        <v>6.61129931155065</v>
      </c>
      <c r="O63" s="23">
        <v>25427</v>
      </c>
      <c r="P63" s="53">
        <v>0.69</v>
      </c>
      <c r="Q63" s="53">
        <v>0</v>
      </c>
      <c r="R63" s="55">
        <f>(((Tabela1369[[#This Row],[Objetive value Dissimilarity]]-Tabela1369[[#This Row],[Objetive Value Dissimilarity/H-R1]])/Tabela1369[[#This Row],[Objetive value Dissimilarity]]))*100</f>
        <v>7.3798856227006162</v>
      </c>
      <c r="S63" s="96">
        <v>25637</v>
      </c>
      <c r="T63" s="21">
        <v>1.03</v>
      </c>
      <c r="U63" s="21">
        <v>0</v>
      </c>
      <c r="V63" s="144">
        <f>(((Tabela1369[[#This Row],[Objetive value Dissimilarity]]-Tabela1369[[#This Row],[Objetive value Dissimilarity/H-R2]])/Tabela1369[[#This Row],[Objetive value Dissimilarity]]))*100</f>
        <v>6.6149419007030197</v>
      </c>
    </row>
    <row r="64" spans="1:22" x14ac:dyDescent="0.25">
      <c r="A64" s="11" t="s">
        <v>224</v>
      </c>
      <c r="B64" s="12" t="s">
        <v>1159</v>
      </c>
      <c r="C64" s="11">
        <v>1000</v>
      </c>
      <c r="D64" s="24">
        <v>0.1</v>
      </c>
      <c r="E64" s="11">
        <v>15</v>
      </c>
      <c r="F64" s="12" t="s">
        <v>13</v>
      </c>
      <c r="G64" s="12" t="s">
        <v>16</v>
      </c>
      <c r="H64" s="155">
        <v>17005</v>
      </c>
      <c r="I64" s="140">
        <v>113.561999999918</v>
      </c>
      <c r="J64" s="147">
        <v>0</v>
      </c>
      <c r="K64" s="157">
        <v>16931</v>
      </c>
      <c r="L64" s="161">
        <v>170</v>
      </c>
      <c r="M64" s="161">
        <v>118</v>
      </c>
      <c r="N64" s="154">
        <f>(((Tabela1369[[#This Row],[Objetive value Dissimilarity]]-Tabela1369[[#This Row],[Objetive value Dissimilarity/GATeS]])/Tabela1369[[#This Row],[Objetive value Dissimilarity]]))*100</f>
        <v>0.43516612760952661</v>
      </c>
      <c r="O64" s="23">
        <v>16540</v>
      </c>
      <c r="P64" s="53">
        <v>0.77</v>
      </c>
      <c r="Q64" s="53">
        <v>0</v>
      </c>
      <c r="R64" s="55">
        <f>(((Tabela1369[[#This Row],[Objetive value Dissimilarity]]-Tabela1369[[#This Row],[Objetive Value Dissimilarity/H-R1]])/Tabela1369[[#This Row],[Objetive value Dissimilarity]]))*100</f>
        <v>2.7344898559247279</v>
      </c>
      <c r="S64" s="96">
        <v>16630</v>
      </c>
      <c r="T64" s="21">
        <v>1.08</v>
      </c>
      <c r="U64" s="21">
        <v>0</v>
      </c>
      <c r="V64" s="144">
        <f>(((Tabela1369[[#This Row],[Objetive value Dissimilarity]]-Tabela1369[[#This Row],[Objetive value Dissimilarity/H-R2]])/Tabela1369[[#This Row],[Objetive value Dissimilarity]]))*100</f>
        <v>2.2052337547780065</v>
      </c>
    </row>
    <row r="65" spans="1:22" x14ac:dyDescent="0.25">
      <c r="A65" s="11" t="s">
        <v>224</v>
      </c>
      <c r="B65" s="12" t="s">
        <v>1160</v>
      </c>
      <c r="C65" s="11">
        <v>1000</v>
      </c>
      <c r="D65" s="24">
        <v>0.1</v>
      </c>
      <c r="E65" s="11">
        <v>15</v>
      </c>
      <c r="F65" s="11" t="s">
        <v>18</v>
      </c>
      <c r="G65" s="12" t="s">
        <v>14</v>
      </c>
      <c r="H65" s="155">
        <v>27266</v>
      </c>
      <c r="I65" s="140">
        <v>14.4529999999795</v>
      </c>
      <c r="J65" s="147">
        <v>11.17</v>
      </c>
      <c r="K65" s="157">
        <v>27064</v>
      </c>
      <c r="L65" s="161">
        <v>86</v>
      </c>
      <c r="M65" s="161">
        <v>45</v>
      </c>
      <c r="N65" s="154">
        <f>(((Tabela1369[[#This Row],[Objetive value Dissimilarity]]-Tabela1369[[#This Row],[Objetive value Dissimilarity/GATeS]])/Tabela1369[[#This Row],[Objetive value Dissimilarity]]))*100</f>
        <v>0.74084940952101519</v>
      </c>
      <c r="O65" s="23">
        <v>26052</v>
      </c>
      <c r="P65" s="53">
        <v>0.84</v>
      </c>
      <c r="Q65" s="53">
        <v>0</v>
      </c>
      <c r="R65" s="55">
        <f>(((Tabela1369[[#This Row],[Objetive value Dissimilarity]]-Tabela1369[[#This Row],[Objetive Value Dissimilarity/H-R1]])/Tabela1369[[#This Row],[Objetive value Dissimilarity]]))*100</f>
        <v>4.4524315997946156</v>
      </c>
      <c r="S65" s="96">
        <v>27137</v>
      </c>
      <c r="T65" s="21">
        <v>0.97</v>
      </c>
      <c r="U65" s="21">
        <v>0</v>
      </c>
      <c r="V65" s="144">
        <f>(((Tabela1369[[#This Row],[Objetive value Dissimilarity]]-Tabela1369[[#This Row],[Objetive value Dissimilarity/H-R2]])/Tabela1369[[#This Row],[Objetive value Dissimilarity]]))*100</f>
        <v>0.47311670211985624</v>
      </c>
    </row>
    <row r="66" spans="1:22" x14ac:dyDescent="0.25">
      <c r="A66" s="11" t="s">
        <v>224</v>
      </c>
      <c r="B66" s="12" t="s">
        <v>1161</v>
      </c>
      <c r="C66" s="11">
        <v>1000</v>
      </c>
      <c r="D66" s="24">
        <v>0.1</v>
      </c>
      <c r="E66" s="11">
        <v>15</v>
      </c>
      <c r="F66" s="11" t="s">
        <v>18</v>
      </c>
      <c r="G66" s="12" t="s">
        <v>16</v>
      </c>
      <c r="H66" s="155">
        <v>17236</v>
      </c>
      <c r="I66" s="140">
        <v>83.967999999993395</v>
      </c>
      <c r="J66" s="147">
        <v>0</v>
      </c>
      <c r="K66" s="157">
        <v>16996</v>
      </c>
      <c r="L66" s="161">
        <v>218</v>
      </c>
      <c r="M66" s="161">
        <v>170</v>
      </c>
      <c r="N66" s="154">
        <f>(((Tabela1369[[#This Row],[Objetive value Dissimilarity]]-Tabela1369[[#This Row],[Objetive value Dissimilarity/GATeS]])/Tabela1369[[#This Row],[Objetive value Dissimilarity]]))*100</f>
        <v>1.3924344395451382</v>
      </c>
      <c r="O66" s="49">
        <v>17018</v>
      </c>
      <c r="P66" s="54">
        <v>1.1499999999999999</v>
      </c>
      <c r="Q66" s="54">
        <v>0</v>
      </c>
      <c r="R66" s="55">
        <f>(((Tabela1369[[#This Row],[Objetive value Dissimilarity]]-Tabela1369[[#This Row],[Objetive Value Dissimilarity/H-R1]])/Tabela1369[[#This Row],[Objetive value Dissimilarity]]))*100</f>
        <v>1.2647946159201671</v>
      </c>
      <c r="S66" s="96">
        <v>17097</v>
      </c>
      <c r="T66" s="21">
        <v>1.21</v>
      </c>
      <c r="U66" s="21">
        <v>0</v>
      </c>
      <c r="V66" s="144">
        <f>(((Tabela1369[[#This Row],[Objetive value Dissimilarity]]-Tabela1369[[#This Row],[Objetive value Dissimilarity/H-R2]])/Tabela1369[[#This Row],[Objetive value Dissimilarity]]))*100</f>
        <v>0.80645161290322576</v>
      </c>
    </row>
    <row r="67" spans="1:22" x14ac:dyDescent="0.25">
      <c r="A67" s="11" t="s">
        <v>224</v>
      </c>
      <c r="B67" s="12" t="s">
        <v>1162</v>
      </c>
      <c r="C67" s="11">
        <v>1000</v>
      </c>
      <c r="D67" s="24">
        <v>0.1</v>
      </c>
      <c r="E67" s="11">
        <v>15</v>
      </c>
      <c r="F67" s="12" t="s">
        <v>21</v>
      </c>
      <c r="G67" s="12" t="s">
        <v>14</v>
      </c>
      <c r="H67" s="155">
        <v>13690</v>
      </c>
      <c r="I67" s="140">
        <v>2.5939999999245602</v>
      </c>
      <c r="J67" s="147">
        <v>0</v>
      </c>
      <c r="K67" s="157">
        <v>13690</v>
      </c>
      <c r="L67" s="161">
        <v>36</v>
      </c>
      <c r="M67" s="161">
        <v>5</v>
      </c>
      <c r="N67" s="154">
        <f>(((Tabela1369[[#This Row],[Objetive value Dissimilarity]]-Tabela1369[[#This Row],[Objetive value Dissimilarity/GATeS]])/Tabela1369[[#This Row],[Objetive value Dissimilarity]]))*100</f>
        <v>0</v>
      </c>
      <c r="O67" s="49">
        <v>6028</v>
      </c>
      <c r="P67" s="54">
        <v>4.3499999999999996</v>
      </c>
      <c r="Q67" s="54">
        <v>0</v>
      </c>
      <c r="R67" s="55">
        <f>(((Tabela1369[[#This Row],[Objetive value Dissimilarity]]-Tabela1369[[#This Row],[Objetive Value Dissimilarity/H-R1]])/Tabela1369[[#This Row],[Objetive value Dissimilarity]]))*100</f>
        <v>55.96785975164353</v>
      </c>
      <c r="S67" s="156">
        <v>13690</v>
      </c>
      <c r="T67" s="21">
        <v>2.97</v>
      </c>
      <c r="U67" s="21">
        <v>0</v>
      </c>
      <c r="V67" s="144">
        <f>(((Tabela1369[[#This Row],[Objetive value Dissimilarity]]-Tabela1369[[#This Row],[Objetive value Dissimilarity/H-R2]])/Tabela1369[[#This Row],[Objetive value Dissimilarity]]))*100</f>
        <v>0</v>
      </c>
    </row>
    <row r="68" spans="1:22" x14ac:dyDescent="0.25">
      <c r="A68" s="11" t="s">
        <v>224</v>
      </c>
      <c r="B68" s="12" t="s">
        <v>1163</v>
      </c>
      <c r="C68" s="11">
        <v>1000</v>
      </c>
      <c r="D68" s="24">
        <v>0.1</v>
      </c>
      <c r="E68" s="11">
        <v>15</v>
      </c>
      <c r="F68" s="12" t="s">
        <v>21</v>
      </c>
      <c r="G68" s="12" t="s">
        <v>16</v>
      </c>
      <c r="H68" s="155">
        <v>16383</v>
      </c>
      <c r="I68" s="140">
        <v>83.953000000095898</v>
      </c>
      <c r="J68" s="147">
        <v>0</v>
      </c>
      <c r="K68" s="157">
        <v>16129</v>
      </c>
      <c r="L68" s="161">
        <v>59</v>
      </c>
      <c r="M68" s="161">
        <v>10</v>
      </c>
      <c r="N68" s="154">
        <f>(((Tabela1369[[#This Row],[Objetive value Dissimilarity]]-Tabela1369[[#This Row],[Objetive value Dissimilarity/GATeS]])/Tabela1369[[#This Row],[Objetive value Dissimilarity]]))*100</f>
        <v>1.5503875968992249</v>
      </c>
      <c r="O68" s="23">
        <v>16119</v>
      </c>
      <c r="P68" s="23">
        <v>1.1599999999999999</v>
      </c>
      <c r="Q68" s="23">
        <v>0</v>
      </c>
      <c r="R68" s="55">
        <f>(((Tabela1369[[#This Row],[Objetive value Dissimilarity]]-Tabela1369[[#This Row],[Objetive Value Dissimilarity/H-R1]])/Tabela1369[[#This Row],[Objetive value Dissimilarity]]))*100</f>
        <v>1.6114264786669108</v>
      </c>
      <c r="S68" s="96">
        <v>16210</v>
      </c>
      <c r="T68" s="21">
        <v>1.19</v>
      </c>
      <c r="U68" s="21">
        <v>0</v>
      </c>
      <c r="V68" s="144">
        <f>(((Tabela1369[[#This Row],[Objetive value Dissimilarity]]-Tabela1369[[#This Row],[Objetive value Dissimilarity/H-R2]])/Tabela1369[[#This Row],[Objetive value Dissimilarity]]))*100</f>
        <v>1.055972654580968</v>
      </c>
    </row>
    <row r="69" spans="1:22" x14ac:dyDescent="0.25">
      <c r="A69" s="29" t="s">
        <v>186</v>
      </c>
      <c r="B69" s="12" t="s">
        <v>1164</v>
      </c>
      <c r="C69" s="11">
        <v>1000</v>
      </c>
      <c r="D69" s="24">
        <v>0.1</v>
      </c>
      <c r="E69" s="11">
        <v>5</v>
      </c>
      <c r="F69" s="12" t="s">
        <v>13</v>
      </c>
      <c r="G69" s="12" t="s">
        <v>14</v>
      </c>
      <c r="H69" s="155">
        <v>9138</v>
      </c>
      <c r="I69" s="140">
        <v>0.53099999995902103</v>
      </c>
      <c r="J69" s="147">
        <v>0</v>
      </c>
      <c r="K69" s="157">
        <v>9105</v>
      </c>
      <c r="L69" s="161">
        <v>22</v>
      </c>
      <c r="M69" s="161">
        <v>16</v>
      </c>
      <c r="N69" s="154">
        <f>(((Tabela1369[[#This Row],[Objetive value Dissimilarity]]-Tabela1369[[#This Row],[Objetive value Dissimilarity/GATeS]])/Tabela1369[[#This Row],[Objetive value Dissimilarity]]))*100</f>
        <v>0.36112934996717005</v>
      </c>
      <c r="O69" s="23">
        <v>9138</v>
      </c>
      <c r="P69" s="53">
        <v>0.77</v>
      </c>
      <c r="Q69" s="53">
        <v>0</v>
      </c>
      <c r="R69" s="55">
        <f>(((Tabela1369[[#This Row],[Objetive value Dissimilarity]]-Tabela1369[[#This Row],[Objetive Value Dissimilarity/H-R1]])/Tabela1369[[#This Row],[Objetive value Dissimilarity]]))*100</f>
        <v>0</v>
      </c>
      <c r="S69" s="96">
        <v>8974</v>
      </c>
      <c r="T69" s="21">
        <v>0.92</v>
      </c>
      <c r="U69" s="21">
        <v>0</v>
      </c>
      <c r="V69" s="144">
        <f>(((Tabela1369[[#This Row],[Objetive value Dissimilarity]]-Tabela1369[[#This Row],[Objetive value Dissimilarity/H-R2]])/Tabela1369[[#This Row],[Objetive value Dissimilarity]]))*100</f>
        <v>1.7947034362004817</v>
      </c>
    </row>
    <row r="70" spans="1:22" x14ac:dyDescent="0.25">
      <c r="A70" s="11" t="s">
        <v>186</v>
      </c>
      <c r="B70" s="12" t="s">
        <v>1165</v>
      </c>
      <c r="C70" s="11">
        <v>1000</v>
      </c>
      <c r="D70" s="24">
        <v>0.1</v>
      </c>
      <c r="E70" s="11">
        <v>5</v>
      </c>
      <c r="F70" s="12" t="s">
        <v>13</v>
      </c>
      <c r="G70" s="12" t="s">
        <v>16</v>
      </c>
      <c r="H70" s="155">
        <v>6543</v>
      </c>
      <c r="I70" s="140">
        <v>0.71899999992456198</v>
      </c>
      <c r="J70" s="147">
        <v>0</v>
      </c>
      <c r="K70" s="157">
        <v>6532</v>
      </c>
      <c r="L70" s="161">
        <v>28</v>
      </c>
      <c r="M70" s="161">
        <v>11</v>
      </c>
      <c r="N70" s="154">
        <f>(((Tabela1369[[#This Row],[Objetive value Dissimilarity]]-Tabela1369[[#This Row],[Objetive value Dissimilarity/GATeS]])/Tabela1369[[#This Row],[Objetive value Dissimilarity]]))*100</f>
        <v>0.168118600030567</v>
      </c>
      <c r="O70" s="23">
        <v>6543</v>
      </c>
      <c r="P70" s="53">
        <v>0.55000000000000004</v>
      </c>
      <c r="Q70" s="53">
        <v>0</v>
      </c>
      <c r="R70" s="55">
        <f>(((Tabela1369[[#This Row],[Objetive value Dissimilarity]]-Tabela1369[[#This Row],[Objetive Value Dissimilarity/H-R1]])/Tabela1369[[#This Row],[Objetive value Dissimilarity]]))*100</f>
        <v>0</v>
      </c>
      <c r="S70" s="96">
        <v>6443</v>
      </c>
      <c r="T70" s="21">
        <v>0.62</v>
      </c>
      <c r="U70" s="21">
        <v>0</v>
      </c>
      <c r="V70" s="144">
        <f>(((Tabela1369[[#This Row],[Objetive value Dissimilarity]]-Tabela1369[[#This Row],[Objetive value Dissimilarity/H-R2]])/Tabela1369[[#This Row],[Objetive value Dissimilarity]]))*100</f>
        <v>1.528350909368791</v>
      </c>
    </row>
    <row r="71" spans="1:22" x14ac:dyDescent="0.25">
      <c r="A71" s="11" t="s">
        <v>186</v>
      </c>
      <c r="B71" s="12" t="s">
        <v>1166</v>
      </c>
      <c r="C71" s="11">
        <v>1000</v>
      </c>
      <c r="D71" s="24">
        <v>0.1</v>
      </c>
      <c r="E71" s="11">
        <v>5</v>
      </c>
      <c r="F71" s="12" t="s">
        <v>18</v>
      </c>
      <c r="G71" s="12" t="s">
        <v>14</v>
      </c>
      <c r="H71" s="155">
        <v>8628</v>
      </c>
      <c r="I71" s="140">
        <v>0.56200000003445805</v>
      </c>
      <c r="J71" s="147">
        <v>0</v>
      </c>
      <c r="K71" s="157">
        <v>8592</v>
      </c>
      <c r="L71" s="161">
        <v>19</v>
      </c>
      <c r="M71" s="161">
        <v>17</v>
      </c>
      <c r="N71" s="154">
        <f>(((Tabela1369[[#This Row],[Objetive value Dissimilarity]]-Tabela1369[[#This Row],[Objetive value Dissimilarity/GATeS]])/Tabela1369[[#This Row],[Objetive value Dissimilarity]]))*100</f>
        <v>0.41724617524339358</v>
      </c>
      <c r="O71" s="23">
        <v>8390</v>
      </c>
      <c r="P71" s="53">
        <v>0.55000000000000004</v>
      </c>
      <c r="Q71" s="53">
        <v>0</v>
      </c>
      <c r="R71" s="55">
        <f>(((Tabela1369[[#This Row],[Objetive value Dissimilarity]]-Tabela1369[[#This Row],[Objetive Value Dissimilarity/H-R1]])/Tabela1369[[#This Row],[Objetive value Dissimilarity]]))*100</f>
        <v>2.7584608252202134</v>
      </c>
      <c r="S71" s="96">
        <v>8628</v>
      </c>
      <c r="T71" s="21">
        <v>0.62</v>
      </c>
      <c r="U71" s="21">
        <v>0</v>
      </c>
      <c r="V71" s="144">
        <f>(((Tabela1369[[#This Row],[Objetive value Dissimilarity]]-Tabela1369[[#This Row],[Objetive value Dissimilarity/H-R2]])/Tabela1369[[#This Row],[Objetive value Dissimilarity]]))*100</f>
        <v>0</v>
      </c>
    </row>
    <row r="72" spans="1:22" x14ac:dyDescent="0.25">
      <c r="A72" s="11" t="s">
        <v>186</v>
      </c>
      <c r="B72" s="12" t="s">
        <v>1167</v>
      </c>
      <c r="C72" s="11">
        <v>1000</v>
      </c>
      <c r="D72" s="24">
        <v>0.1</v>
      </c>
      <c r="E72" s="11">
        <v>5</v>
      </c>
      <c r="F72" s="12" t="s">
        <v>18</v>
      </c>
      <c r="G72" s="12" t="s">
        <v>16</v>
      </c>
      <c r="H72" s="155">
        <v>7153</v>
      </c>
      <c r="I72" s="140">
        <v>0.70299999997951002</v>
      </c>
      <c r="J72" s="147">
        <v>0</v>
      </c>
      <c r="K72" s="157">
        <v>7113</v>
      </c>
      <c r="L72" s="161">
        <v>25</v>
      </c>
      <c r="M72" s="161">
        <v>15</v>
      </c>
      <c r="N72" s="154">
        <f>(((Tabela1369[[#This Row],[Objetive value Dissimilarity]]-Tabela1369[[#This Row],[Objetive value Dissimilarity/GATeS]])/Tabela1369[[#This Row],[Objetive value Dissimilarity]]))*100</f>
        <v>0.55920592758283238</v>
      </c>
      <c r="O72" s="23">
        <v>7153</v>
      </c>
      <c r="P72" s="53">
        <v>0.65</v>
      </c>
      <c r="Q72" s="53">
        <v>0</v>
      </c>
      <c r="R72" s="55">
        <f>(((Tabela1369[[#This Row],[Objetive value Dissimilarity]]-Tabela1369[[#This Row],[Objetive Value Dissimilarity/H-R1]])/Tabela1369[[#This Row],[Objetive value Dissimilarity]]))*100</f>
        <v>0</v>
      </c>
      <c r="S72" s="96">
        <v>7024</v>
      </c>
      <c r="T72" s="21">
        <v>0.57999999999999996</v>
      </c>
      <c r="U72" s="21">
        <v>0</v>
      </c>
      <c r="V72" s="144">
        <f>(((Tabela1369[[#This Row],[Objetive value Dissimilarity]]-Tabela1369[[#This Row],[Objetive value Dissimilarity/H-R2]])/Tabela1369[[#This Row],[Objetive value Dissimilarity]]))*100</f>
        <v>1.8034391164546346</v>
      </c>
    </row>
    <row r="73" spans="1:22" x14ac:dyDescent="0.25">
      <c r="A73" s="11" t="s">
        <v>186</v>
      </c>
      <c r="B73" s="12" t="s">
        <v>1168</v>
      </c>
      <c r="C73" s="11">
        <v>1000</v>
      </c>
      <c r="D73" s="24">
        <v>0.1</v>
      </c>
      <c r="E73" s="11">
        <v>5</v>
      </c>
      <c r="F73" s="12" t="s">
        <v>21</v>
      </c>
      <c r="G73" s="12" t="s">
        <v>14</v>
      </c>
      <c r="H73" s="155">
        <v>4527</v>
      </c>
      <c r="I73" s="140">
        <v>0.48400000005494798</v>
      </c>
      <c r="J73" s="147">
        <v>0</v>
      </c>
      <c r="K73" s="157">
        <v>4527</v>
      </c>
      <c r="L73" s="161">
        <v>18</v>
      </c>
      <c r="M73" s="161">
        <v>0</v>
      </c>
      <c r="N73" s="154">
        <f>(((Tabela1369[[#This Row],[Objetive value Dissimilarity]]-Tabela1369[[#This Row],[Objetive value Dissimilarity/GATeS]])/Tabela1369[[#This Row],[Objetive value Dissimilarity]]))*100</f>
        <v>0</v>
      </c>
      <c r="O73" s="23">
        <v>4527</v>
      </c>
      <c r="P73" s="53">
        <v>0.46</v>
      </c>
      <c r="Q73" s="53">
        <v>0</v>
      </c>
      <c r="R73" s="55">
        <f>(((Tabela1369[[#This Row],[Objetive value Dissimilarity]]-Tabela1369[[#This Row],[Objetive Value Dissimilarity/H-R1]])/Tabela1369[[#This Row],[Objetive value Dissimilarity]]))*100</f>
        <v>0</v>
      </c>
      <c r="S73" s="96">
        <v>4527</v>
      </c>
      <c r="T73" s="21">
        <v>0.5</v>
      </c>
      <c r="U73" s="21">
        <v>0</v>
      </c>
      <c r="V73" s="144">
        <f>(((Tabela1369[[#This Row],[Objetive value Dissimilarity]]-Tabela1369[[#This Row],[Objetive value Dissimilarity/H-R2]])/Tabela1369[[#This Row],[Objetive value Dissimilarity]]))*100</f>
        <v>0</v>
      </c>
    </row>
    <row r="74" spans="1:22" x14ac:dyDescent="0.25">
      <c r="A74" s="11" t="s">
        <v>186</v>
      </c>
      <c r="B74" s="12" t="s">
        <v>1169</v>
      </c>
      <c r="C74" s="11">
        <v>1000</v>
      </c>
      <c r="D74" s="24">
        <v>0.1</v>
      </c>
      <c r="E74" s="11">
        <v>5</v>
      </c>
      <c r="F74" s="12" t="s">
        <v>21</v>
      </c>
      <c r="G74" s="12" t="s">
        <v>16</v>
      </c>
      <c r="H74" s="155">
        <v>6448</v>
      </c>
      <c r="I74" s="140">
        <v>0.43700000003445799</v>
      </c>
      <c r="J74" s="147">
        <v>0</v>
      </c>
      <c r="K74" s="157">
        <v>6292</v>
      </c>
      <c r="L74" s="161">
        <v>17</v>
      </c>
      <c r="M74" s="161">
        <v>10</v>
      </c>
      <c r="N74" s="154">
        <f>(((Tabela1369[[#This Row],[Objetive value Dissimilarity]]-Tabela1369[[#This Row],[Objetive value Dissimilarity/GATeS]])/Tabela1369[[#This Row],[Objetive value Dissimilarity]]))*100</f>
        <v>2.4193548387096775</v>
      </c>
      <c r="O74" s="23">
        <v>6448</v>
      </c>
      <c r="P74" s="53">
        <v>0.57999999999999996</v>
      </c>
      <c r="Q74" s="53">
        <v>0</v>
      </c>
      <c r="R74" s="55">
        <f>(((Tabela1369[[#This Row],[Objetive value Dissimilarity]]-Tabela1369[[#This Row],[Objetive Value Dissimilarity/H-R1]])/Tabela1369[[#This Row],[Objetive value Dissimilarity]]))*100</f>
        <v>0</v>
      </c>
      <c r="S74" s="96">
        <v>6342</v>
      </c>
      <c r="T74" s="21">
        <v>0.62</v>
      </c>
      <c r="U74" s="21">
        <v>0</v>
      </c>
      <c r="V74" s="144">
        <f>(((Tabela1369[[#This Row],[Objetive value Dissimilarity]]-Tabela1369[[#This Row],[Objetive value Dissimilarity/H-R2]])/Tabela1369[[#This Row],[Objetive value Dissimilarity]]))*100</f>
        <v>1.6439205955334986</v>
      </c>
    </row>
    <row r="75" spans="1:22" x14ac:dyDescent="0.25">
      <c r="A75" s="11" t="s">
        <v>205</v>
      </c>
      <c r="B75" s="30" t="s">
        <v>1170</v>
      </c>
      <c r="C75" s="11">
        <v>1000</v>
      </c>
      <c r="D75" s="11">
        <v>0.15</v>
      </c>
      <c r="E75" s="11">
        <v>10</v>
      </c>
      <c r="F75" s="12" t="s">
        <v>13</v>
      </c>
      <c r="G75" s="12" t="s">
        <v>14</v>
      </c>
      <c r="H75" s="155">
        <v>18487</v>
      </c>
      <c r="I75" s="140">
        <v>5.0160000000614602</v>
      </c>
      <c r="J75" s="147">
        <v>14.41</v>
      </c>
      <c r="K75" s="157">
        <v>16570</v>
      </c>
      <c r="L75" s="161">
        <v>44</v>
      </c>
      <c r="M75" s="161">
        <v>8</v>
      </c>
      <c r="N75" s="154">
        <f>(((Tabela1369[[#This Row],[Objetive value Dissimilarity]]-Tabela1369[[#This Row],[Objetive value Dissimilarity/GATeS]])/Tabela1369[[#This Row],[Objetive value Dissimilarity]]))*100</f>
        <v>10.369448801860766</v>
      </c>
      <c r="O75" s="23">
        <v>16570</v>
      </c>
      <c r="P75" s="53">
        <v>0.63</v>
      </c>
      <c r="Q75" s="53">
        <v>0</v>
      </c>
      <c r="R75" s="55">
        <f>(((Tabela1369[[#This Row],[Objetive value Dissimilarity]]-Tabela1369[[#This Row],[Objetive Value Dissimilarity/H-R1]])/Tabela1369[[#This Row],[Objetive value Dissimilarity]]))*100</f>
        <v>10.369448801860766</v>
      </c>
      <c r="S75" s="96">
        <v>16532</v>
      </c>
      <c r="T75" s="21">
        <v>0.89</v>
      </c>
      <c r="U75" s="21">
        <v>0</v>
      </c>
      <c r="V75" s="144">
        <f>(((Tabela1369[[#This Row],[Objetive value Dissimilarity]]-Tabela1369[[#This Row],[Objetive value Dissimilarity/H-R2]])/Tabela1369[[#This Row],[Objetive value Dissimilarity]]))*100</f>
        <v>10.574998647698383</v>
      </c>
    </row>
    <row r="76" spans="1:22" x14ac:dyDescent="0.25">
      <c r="A76" s="11" t="s">
        <v>205</v>
      </c>
      <c r="B76" s="12" t="s">
        <v>1171</v>
      </c>
      <c r="C76" s="11">
        <v>1000</v>
      </c>
      <c r="D76" s="11">
        <v>0.15</v>
      </c>
      <c r="E76" s="11">
        <v>10</v>
      </c>
      <c r="F76" s="12" t="s">
        <v>13</v>
      </c>
      <c r="G76" s="12" t="s">
        <v>16</v>
      </c>
      <c r="H76" s="155">
        <v>11484</v>
      </c>
      <c r="I76" s="140">
        <v>6.9220000000204802</v>
      </c>
      <c r="J76" s="147">
        <v>0</v>
      </c>
      <c r="K76" s="157">
        <v>11122</v>
      </c>
      <c r="L76" s="161">
        <v>41</v>
      </c>
      <c r="M76" s="161">
        <v>1</v>
      </c>
      <c r="N76" s="154">
        <f>(((Tabela1369[[#This Row],[Objetive value Dissimilarity]]-Tabela1369[[#This Row],[Objetive value Dissimilarity/GATeS]])/Tabela1369[[#This Row],[Objetive value Dissimilarity]]))*100</f>
        <v>3.1522117729014281</v>
      </c>
      <c r="O76" s="23">
        <v>10980</v>
      </c>
      <c r="P76" s="53">
        <v>0.91</v>
      </c>
      <c r="Q76" s="53">
        <v>0</v>
      </c>
      <c r="R76" s="55">
        <f>(((Tabela1369[[#This Row],[Objetive value Dissimilarity]]-Tabela1369[[#This Row],[Objetive Value Dissimilarity/H-R1]])/Tabela1369[[#This Row],[Objetive value Dissimilarity]]))*100</f>
        <v>4.3887147335423196</v>
      </c>
      <c r="S76" s="96">
        <v>11216</v>
      </c>
      <c r="T76" s="21">
        <v>1.1499999999999999</v>
      </c>
      <c r="U76" s="21">
        <v>0</v>
      </c>
      <c r="V76" s="144">
        <f>(((Tabela1369[[#This Row],[Objetive value Dissimilarity]]-Tabela1369[[#This Row],[Objetive value Dissimilarity/H-R2]])/Tabela1369[[#This Row],[Objetive value Dissimilarity]]))*100</f>
        <v>2.3336816440264716</v>
      </c>
    </row>
    <row r="77" spans="1:22" x14ac:dyDescent="0.25">
      <c r="A77" s="11" t="s">
        <v>205</v>
      </c>
      <c r="B77" s="12" t="s">
        <v>1172</v>
      </c>
      <c r="C77" s="11">
        <v>1000</v>
      </c>
      <c r="D77" s="11">
        <v>0.15</v>
      </c>
      <c r="E77" s="11">
        <v>10</v>
      </c>
      <c r="F77" s="12" t="s">
        <v>18</v>
      </c>
      <c r="G77" s="12" t="s">
        <v>14</v>
      </c>
      <c r="H77" s="155">
        <v>17029</v>
      </c>
      <c r="I77" s="140">
        <v>3.6720000000204802</v>
      </c>
      <c r="J77" s="147">
        <v>0</v>
      </c>
      <c r="K77" s="157">
        <v>16233</v>
      </c>
      <c r="L77" s="161">
        <v>56</v>
      </c>
      <c r="M77" s="161">
        <v>45</v>
      </c>
      <c r="N77" s="154">
        <f>(((Tabela1369[[#This Row],[Objetive value Dissimilarity]]-Tabela1369[[#This Row],[Objetive value Dissimilarity/GATeS]])/Tabela1369[[#This Row],[Objetive value Dissimilarity]]))*100</f>
        <v>4.6743790005285097</v>
      </c>
      <c r="O77" s="23">
        <v>16270</v>
      </c>
      <c r="P77" s="53">
        <v>0.66</v>
      </c>
      <c r="Q77" s="53">
        <v>0</v>
      </c>
      <c r="R77" s="55">
        <f>(((Tabela1369[[#This Row],[Objetive value Dissimilarity]]-Tabela1369[[#This Row],[Objetive Value Dissimilarity/H-R1]])/Tabela1369[[#This Row],[Objetive value Dissimilarity]]))*100</f>
        <v>4.4571025896999235</v>
      </c>
      <c r="S77" s="96">
        <v>16450</v>
      </c>
      <c r="T77" s="21">
        <v>0.72</v>
      </c>
      <c r="U77" s="21">
        <v>0</v>
      </c>
      <c r="V77" s="144">
        <f>(((Tabela1369[[#This Row],[Objetive value Dissimilarity]]-Tabela1369[[#This Row],[Objetive value Dissimilarity/H-R2]])/Tabela1369[[#This Row],[Objetive value Dissimilarity]]))*100</f>
        <v>3.4000822126959895</v>
      </c>
    </row>
    <row r="78" spans="1:22" x14ac:dyDescent="0.25">
      <c r="A78" s="11" t="s">
        <v>205</v>
      </c>
      <c r="B78" s="12" t="s">
        <v>1173</v>
      </c>
      <c r="C78" s="11">
        <v>1000</v>
      </c>
      <c r="D78" s="11">
        <v>0.15</v>
      </c>
      <c r="E78" s="11">
        <v>10</v>
      </c>
      <c r="F78" s="12" t="s">
        <v>18</v>
      </c>
      <c r="G78" s="12" t="s">
        <v>16</v>
      </c>
      <c r="H78" s="155">
        <v>12805</v>
      </c>
      <c r="I78" s="140">
        <v>4.82799999997951</v>
      </c>
      <c r="J78" s="147">
        <v>0</v>
      </c>
      <c r="K78" s="157">
        <v>12784</v>
      </c>
      <c r="L78" s="161">
        <v>106</v>
      </c>
      <c r="M78" s="161">
        <v>17</v>
      </c>
      <c r="N78" s="154">
        <f>(((Tabela1369[[#This Row],[Objetive value Dissimilarity]]-Tabela1369[[#This Row],[Objetive value Dissimilarity/GATeS]])/Tabela1369[[#This Row],[Objetive value Dissimilarity]]))*100</f>
        <v>0.16399843811011325</v>
      </c>
      <c r="O78" s="23">
        <v>12799</v>
      </c>
      <c r="P78" s="53">
        <v>1.01</v>
      </c>
      <c r="Q78" s="53">
        <v>0</v>
      </c>
      <c r="R78" s="55">
        <f>(((Tabela1369[[#This Row],[Objetive value Dissimilarity]]-Tabela1369[[#This Row],[Objetive Value Dissimilarity/H-R1]])/Tabela1369[[#This Row],[Objetive value Dissimilarity]]))*100</f>
        <v>4.6856696602889499E-2</v>
      </c>
      <c r="S78" s="96">
        <v>12805</v>
      </c>
      <c r="T78" s="21">
        <v>0.73</v>
      </c>
      <c r="U78" s="21">
        <v>0</v>
      </c>
      <c r="V78" s="144">
        <f>(((Tabela1369[[#This Row],[Objetive value Dissimilarity]]-Tabela1369[[#This Row],[Objetive value Dissimilarity/H-R2]])/Tabela1369[[#This Row],[Objetive value Dissimilarity]]))*100</f>
        <v>0</v>
      </c>
    </row>
    <row r="79" spans="1:22" x14ac:dyDescent="0.25">
      <c r="A79" s="11" t="s">
        <v>205</v>
      </c>
      <c r="B79" s="12" t="s">
        <v>1174</v>
      </c>
      <c r="C79" s="11">
        <v>1000</v>
      </c>
      <c r="D79" s="11">
        <v>0.15</v>
      </c>
      <c r="E79" s="11">
        <v>10</v>
      </c>
      <c r="F79" s="12" t="s">
        <v>21</v>
      </c>
      <c r="G79" s="12" t="s">
        <v>14</v>
      </c>
      <c r="H79" s="155">
        <v>12552</v>
      </c>
      <c r="I79" s="140">
        <v>1.73399999993853</v>
      </c>
      <c r="J79" s="147">
        <v>0</v>
      </c>
      <c r="K79" s="157">
        <v>12552</v>
      </c>
      <c r="L79" s="161">
        <v>47</v>
      </c>
      <c r="M79" s="161">
        <v>33</v>
      </c>
      <c r="N79" s="154">
        <f>(((Tabela1369[[#This Row],[Objetive value Dissimilarity]]-Tabela1369[[#This Row],[Objetive value Dissimilarity/GATeS]])/Tabela1369[[#This Row],[Objetive value Dissimilarity]]))*100</f>
        <v>0</v>
      </c>
      <c r="O79" s="23">
        <v>3381</v>
      </c>
      <c r="P79" s="53">
        <v>2.94</v>
      </c>
      <c r="Q79" s="53">
        <v>0</v>
      </c>
      <c r="R79" s="55">
        <f>(((Tabela1369[[#This Row],[Objetive value Dissimilarity]]-Tabela1369[[#This Row],[Objetive Value Dissimilarity/H-R1]])/Tabela1369[[#This Row],[Objetive value Dissimilarity]]))*100</f>
        <v>73.064053537284892</v>
      </c>
      <c r="S79" s="96">
        <v>12552</v>
      </c>
      <c r="T79" s="21">
        <v>2.71</v>
      </c>
      <c r="U79" s="21">
        <v>0</v>
      </c>
      <c r="V79" s="144">
        <f>(((Tabela1369[[#This Row],[Objetive value Dissimilarity]]-Tabela1369[[#This Row],[Objetive value Dissimilarity/H-R2]])/Tabela1369[[#This Row],[Objetive value Dissimilarity]]))*100</f>
        <v>0</v>
      </c>
    </row>
    <row r="80" spans="1:22" x14ac:dyDescent="0.25">
      <c r="A80" s="11" t="s">
        <v>205</v>
      </c>
      <c r="B80" s="12" t="s">
        <v>1175</v>
      </c>
      <c r="C80" s="11">
        <v>1000</v>
      </c>
      <c r="D80" s="11">
        <v>0.15</v>
      </c>
      <c r="E80" s="11">
        <v>10</v>
      </c>
      <c r="F80" s="12" t="s">
        <v>21</v>
      </c>
      <c r="G80" s="12" t="s">
        <v>16</v>
      </c>
      <c r="H80" s="155">
        <v>12359</v>
      </c>
      <c r="I80" s="140">
        <v>10.593999999924501</v>
      </c>
      <c r="J80" s="147">
        <v>0</v>
      </c>
      <c r="K80" s="157">
        <v>12331</v>
      </c>
      <c r="L80" s="161">
        <v>69</v>
      </c>
      <c r="M80" s="161">
        <v>58</v>
      </c>
      <c r="N80" s="154">
        <f>(((Tabela1369[[#This Row],[Objetive value Dissimilarity]]-Tabela1369[[#This Row],[Objetive value Dissimilarity/GATeS]])/Tabela1369[[#This Row],[Objetive value Dissimilarity]]))*100</f>
        <v>0.22655554656525612</v>
      </c>
      <c r="O80" s="23">
        <v>12359</v>
      </c>
      <c r="P80" s="53">
        <v>0.72</v>
      </c>
      <c r="Q80" s="53">
        <v>0</v>
      </c>
      <c r="R80" s="55">
        <f>(((Tabela1369[[#This Row],[Objetive value Dissimilarity]]-Tabela1369[[#This Row],[Objetive Value Dissimilarity/H-R1]])/Tabela1369[[#This Row],[Objetive value Dissimilarity]]))*100</f>
        <v>0</v>
      </c>
      <c r="S80" s="96">
        <v>12324</v>
      </c>
      <c r="T80" s="21">
        <v>0.71</v>
      </c>
      <c r="U80" s="21">
        <v>0</v>
      </c>
      <c r="V80" s="144">
        <f>(((Tabela1369[[#This Row],[Objetive value Dissimilarity]]-Tabela1369[[#This Row],[Objetive value Dissimilarity/H-R2]])/Tabela1369[[#This Row],[Objetive value Dissimilarity]]))*100</f>
        <v>0.28319443320657012</v>
      </c>
    </row>
    <row r="81" spans="1:22" x14ac:dyDescent="0.25">
      <c r="A81" s="11" t="s">
        <v>224</v>
      </c>
      <c r="B81" s="30" t="s">
        <v>1176</v>
      </c>
      <c r="C81" s="11">
        <v>1000</v>
      </c>
      <c r="D81" s="11">
        <v>0.15</v>
      </c>
      <c r="E81" s="11">
        <v>15</v>
      </c>
      <c r="F81" s="12" t="s">
        <v>13</v>
      </c>
      <c r="G81" s="12" t="s">
        <v>14</v>
      </c>
      <c r="H81" s="155">
        <v>29283</v>
      </c>
      <c r="I81" s="140">
        <v>12.9370000000344</v>
      </c>
      <c r="J81" s="147">
        <v>2.62</v>
      </c>
      <c r="K81" s="157">
        <v>27852</v>
      </c>
      <c r="L81" s="161">
        <v>74</v>
      </c>
      <c r="M81" s="161">
        <v>51</v>
      </c>
      <c r="N81" s="154">
        <f>(((Tabela1369[[#This Row],[Objetive value Dissimilarity]]-Tabela1369[[#This Row],[Objetive value Dissimilarity/GATeS]])/Tabela1369[[#This Row],[Objetive value Dissimilarity]]))*100</f>
        <v>4.8867943858211245</v>
      </c>
      <c r="O81" s="23">
        <v>27938</v>
      </c>
      <c r="P81" s="53">
        <v>0.94</v>
      </c>
      <c r="Q81" s="53">
        <v>0</v>
      </c>
      <c r="R81" s="55">
        <f>(((Tabela1369[[#This Row],[Objetive value Dissimilarity]]-Tabela1369[[#This Row],[Objetive Value Dissimilarity/H-R1]])/Tabela1369[[#This Row],[Objetive value Dissimilarity]]))*100</f>
        <v>4.5931086295803025</v>
      </c>
      <c r="S81" s="96">
        <v>27301</v>
      </c>
      <c r="T81" s="21">
        <v>1.02</v>
      </c>
      <c r="U81" s="21">
        <v>0</v>
      </c>
      <c r="V81" s="144">
        <f>(((Tabela1369[[#This Row],[Objetive value Dissimilarity]]-Tabela1369[[#This Row],[Objetive value Dissimilarity/H-R2]])/Tabela1369[[#This Row],[Objetive value Dissimilarity]]))*100</f>
        <v>6.7684321961547651</v>
      </c>
    </row>
    <row r="82" spans="1:22" x14ac:dyDescent="0.25">
      <c r="A82" s="11" t="s">
        <v>224</v>
      </c>
      <c r="B82" s="12" t="s">
        <v>1177</v>
      </c>
      <c r="C82" s="11">
        <v>1000</v>
      </c>
      <c r="D82" s="11">
        <v>0.15</v>
      </c>
      <c r="E82" s="11">
        <v>15</v>
      </c>
      <c r="F82" s="12" t="s">
        <v>13</v>
      </c>
      <c r="G82" s="12" t="s">
        <v>16</v>
      </c>
      <c r="H82" s="155">
        <v>17802</v>
      </c>
      <c r="I82" s="140">
        <v>72</v>
      </c>
      <c r="J82" s="147">
        <v>0.48</v>
      </c>
      <c r="K82" s="157">
        <v>17763</v>
      </c>
      <c r="L82" s="161">
        <v>149</v>
      </c>
      <c r="M82" s="161">
        <v>95</v>
      </c>
      <c r="N82" s="154">
        <f>(((Tabela1369[[#This Row],[Objetive value Dissimilarity]]-Tabela1369[[#This Row],[Objetive value Dissimilarity/GATeS]])/Tabela1369[[#This Row],[Objetive value Dissimilarity]]))*100</f>
        <v>0.21907650825749914</v>
      </c>
      <c r="O82" s="23">
        <v>17397</v>
      </c>
      <c r="P82" s="53">
        <v>0.93</v>
      </c>
      <c r="Q82" s="53">
        <v>0</v>
      </c>
      <c r="R82" s="55">
        <f>(((Tabela1369[[#This Row],[Objetive value Dissimilarity]]-Tabela1369[[#This Row],[Objetive Value Dissimilarity/H-R1]])/Tabela1369[[#This Row],[Objetive value Dissimilarity]]))*100</f>
        <v>2.2750252780586453</v>
      </c>
      <c r="S82" s="96">
        <v>17243</v>
      </c>
      <c r="T82" s="21">
        <v>1.07</v>
      </c>
      <c r="U82" s="21">
        <v>0</v>
      </c>
      <c r="V82" s="144">
        <f>(((Tabela1369[[#This Row],[Objetive value Dissimilarity]]-Tabela1369[[#This Row],[Objetive value Dissimilarity/H-R2]])/Tabela1369[[#This Row],[Objetive value Dissimilarity]]))*100</f>
        <v>3.1400966183574881</v>
      </c>
    </row>
    <row r="83" spans="1:22" x14ac:dyDescent="0.25">
      <c r="A83" s="11" t="s">
        <v>224</v>
      </c>
      <c r="B83" s="12" t="s">
        <v>1178</v>
      </c>
      <c r="C83" s="11">
        <v>1000</v>
      </c>
      <c r="D83" s="11">
        <v>0.15</v>
      </c>
      <c r="E83" s="11">
        <v>15</v>
      </c>
      <c r="F83" s="12" t="s">
        <v>18</v>
      </c>
      <c r="G83" s="12" t="s">
        <v>14</v>
      </c>
      <c r="H83" s="155">
        <v>26152</v>
      </c>
      <c r="I83" s="140">
        <v>16.782000000006501</v>
      </c>
      <c r="J83" s="147">
        <v>8.32</v>
      </c>
      <c r="K83" s="157">
        <v>25055</v>
      </c>
      <c r="L83" s="161">
        <v>81</v>
      </c>
      <c r="M83" s="161">
        <v>0</v>
      </c>
      <c r="N83" s="154">
        <f>(((Tabela1369[[#This Row],[Objetive value Dissimilarity]]-Tabela1369[[#This Row],[Objetive value Dissimilarity/GATeS]])/Tabela1369[[#This Row],[Objetive value Dissimilarity]]))*100</f>
        <v>4.1947078617314162</v>
      </c>
      <c r="O83" s="23">
        <v>25270</v>
      </c>
      <c r="P83" s="53">
        <v>0.8</v>
      </c>
      <c r="Q83" s="53">
        <v>0</v>
      </c>
      <c r="R83" s="55">
        <f>(((Tabela1369[[#This Row],[Objetive value Dissimilarity]]-Tabela1369[[#This Row],[Objetive Value Dissimilarity/H-R1]])/Tabela1369[[#This Row],[Objetive value Dissimilarity]]))*100</f>
        <v>3.3725910064239826</v>
      </c>
      <c r="S83" s="96">
        <v>25662</v>
      </c>
      <c r="T83" s="21">
        <v>0.94</v>
      </c>
      <c r="U83" s="21">
        <v>0</v>
      </c>
      <c r="V83" s="144">
        <f>(((Tabela1369[[#This Row],[Objetive value Dissimilarity]]-Tabela1369[[#This Row],[Objetive value Dissimilarity/H-R2]])/Tabela1369[[#This Row],[Objetive value Dissimilarity]]))*100</f>
        <v>1.873661670235546</v>
      </c>
    </row>
    <row r="84" spans="1:22" x14ac:dyDescent="0.25">
      <c r="A84" s="11" t="s">
        <v>224</v>
      </c>
      <c r="B84" s="12" t="s">
        <v>1179</v>
      </c>
      <c r="C84" s="11">
        <v>1000</v>
      </c>
      <c r="D84" s="11">
        <v>0.15</v>
      </c>
      <c r="E84" s="11">
        <v>15</v>
      </c>
      <c r="F84" s="12" t="s">
        <v>18</v>
      </c>
      <c r="G84" s="12" t="s">
        <v>16</v>
      </c>
      <c r="H84" s="155">
        <v>17414</v>
      </c>
      <c r="I84" s="140">
        <v>79.625</v>
      </c>
      <c r="J84" s="147">
        <v>0</v>
      </c>
      <c r="K84" s="157">
        <v>17303</v>
      </c>
      <c r="L84" s="161">
        <v>140</v>
      </c>
      <c r="M84" s="161">
        <v>97</v>
      </c>
      <c r="N84" s="154">
        <f>(((Tabela1369[[#This Row],[Objetive value Dissimilarity]]-Tabela1369[[#This Row],[Objetive value Dissimilarity/GATeS]])/Tabela1369[[#This Row],[Objetive value Dissimilarity]]))*100</f>
        <v>0.63741816928907769</v>
      </c>
      <c r="O84" s="23">
        <v>16994</v>
      </c>
      <c r="P84" s="53">
        <v>0.85</v>
      </c>
      <c r="Q84" s="53">
        <v>0</v>
      </c>
      <c r="R84" s="55">
        <f>(((Tabela1369[[#This Row],[Objetive value Dissimilarity]]-Tabela1369[[#This Row],[Objetive Value Dissimilarity/H-R1]])/Tabela1369[[#This Row],[Objetive value Dissimilarity]]))*100</f>
        <v>2.4118525324451592</v>
      </c>
      <c r="S84" s="96">
        <v>16934</v>
      </c>
      <c r="T84" s="21">
        <v>1.1499999999999999</v>
      </c>
      <c r="U84" s="21">
        <v>0</v>
      </c>
      <c r="V84" s="144">
        <f>(((Tabela1369[[#This Row],[Objetive value Dissimilarity]]-Tabela1369[[#This Row],[Objetive value Dissimilarity/H-R2]])/Tabela1369[[#This Row],[Objetive value Dissimilarity]]))*100</f>
        <v>2.7564028942230387</v>
      </c>
    </row>
    <row r="85" spans="1:22" x14ac:dyDescent="0.25">
      <c r="A85" s="11" t="s">
        <v>224</v>
      </c>
      <c r="B85" s="12" t="s">
        <v>1180</v>
      </c>
      <c r="C85" s="11">
        <v>1000</v>
      </c>
      <c r="D85" s="11">
        <v>0.15</v>
      </c>
      <c r="E85" s="11">
        <v>15</v>
      </c>
      <c r="F85" s="12" t="s">
        <v>21</v>
      </c>
      <c r="G85" s="12" t="s">
        <v>14</v>
      </c>
      <c r="H85" s="155">
        <v>16087</v>
      </c>
      <c r="I85" s="140">
        <v>2.6409999999450502</v>
      </c>
      <c r="J85" s="147">
        <v>0</v>
      </c>
      <c r="K85" s="157">
        <v>16058</v>
      </c>
      <c r="L85" s="161">
        <v>96</v>
      </c>
      <c r="M85" s="161">
        <v>35</v>
      </c>
      <c r="N85" s="154">
        <f>(((Tabela1369[[#This Row],[Objetive value Dissimilarity]]-Tabela1369[[#This Row],[Objetive value Dissimilarity/GATeS]])/Tabela1369[[#This Row],[Objetive value Dissimilarity]]))*100</f>
        <v>0.18026978305464039</v>
      </c>
      <c r="O85" s="80"/>
      <c r="P85" s="79"/>
      <c r="Q85" s="79"/>
      <c r="R85" s="81">
        <v>100</v>
      </c>
      <c r="S85" s="96">
        <v>14394</v>
      </c>
      <c r="T85" s="96">
        <v>1.95</v>
      </c>
      <c r="U85" s="96">
        <v>0</v>
      </c>
      <c r="V85" s="144">
        <f>(((Tabela1369[[#This Row],[Objetive value Dissimilarity]]-Tabela1369[[#This Row],[Objetive value Dissimilarity/H-R2]])/Tabela1369[[#This Row],[Objetive value Dissimilarity]]))*100</f>
        <v>10.524025610741592</v>
      </c>
    </row>
    <row r="86" spans="1:22" x14ac:dyDescent="0.25">
      <c r="A86" s="11" t="s">
        <v>224</v>
      </c>
      <c r="B86" s="12" t="s">
        <v>1181</v>
      </c>
      <c r="C86" s="11">
        <v>1000</v>
      </c>
      <c r="D86" s="11">
        <v>0.15</v>
      </c>
      <c r="E86" s="11">
        <v>15</v>
      </c>
      <c r="F86" s="12" t="s">
        <v>21</v>
      </c>
      <c r="G86" s="12" t="s">
        <v>16</v>
      </c>
      <c r="H86" s="155">
        <v>17052</v>
      </c>
      <c r="I86" s="140">
        <v>64.265999999944995</v>
      </c>
      <c r="J86" s="147">
        <v>0</v>
      </c>
      <c r="K86" s="157">
        <v>16630</v>
      </c>
      <c r="L86" s="161">
        <v>173</v>
      </c>
      <c r="M86" s="161">
        <v>73</v>
      </c>
      <c r="N86" s="154">
        <f>(((Tabela1369[[#This Row],[Objetive value Dissimilarity]]-Tabela1369[[#This Row],[Objetive value Dissimilarity/GATeS]])/Tabela1369[[#This Row],[Objetive value Dissimilarity]]))*100</f>
        <v>2.4747830166549378</v>
      </c>
      <c r="O86" s="23">
        <v>16489</v>
      </c>
      <c r="P86" s="53">
        <v>0.69</v>
      </c>
      <c r="Q86" s="53">
        <v>0</v>
      </c>
      <c r="R86" s="55">
        <f>(((Tabela1369[[#This Row],[Objetive value Dissimilarity]]-Tabela1369[[#This Row],[Objetive Value Dissimilarity/H-R1]])/Tabela1369[[#This Row],[Objetive value Dissimilarity]]))*100</f>
        <v>3.3016654937837204</v>
      </c>
      <c r="S86" s="96">
        <v>16657</v>
      </c>
      <c r="T86" s="21">
        <v>0.73</v>
      </c>
      <c r="U86" s="21">
        <v>0</v>
      </c>
      <c r="V86" s="144">
        <f>(((Tabela1369[[#This Row],[Objetive value Dissimilarity]]-Tabela1369[[#This Row],[Objetive value Dissimilarity/H-R2]])/Tabela1369[[#This Row],[Objetive value Dissimilarity]]))*100</f>
        <v>2.316443818906873</v>
      </c>
    </row>
    <row r="87" spans="1:22" x14ac:dyDescent="0.25">
      <c r="A87" s="29" t="s">
        <v>186</v>
      </c>
      <c r="B87" s="12" t="s">
        <v>1182</v>
      </c>
      <c r="C87" s="11">
        <v>1000</v>
      </c>
      <c r="D87" s="11">
        <v>0.15</v>
      </c>
      <c r="E87" s="11">
        <v>5</v>
      </c>
      <c r="F87" s="12" t="s">
        <v>13</v>
      </c>
      <c r="G87" s="12" t="s">
        <v>14</v>
      </c>
      <c r="H87" s="155">
        <v>10017</v>
      </c>
      <c r="I87" s="140">
        <v>0.53200000000651904</v>
      </c>
      <c r="J87" s="147">
        <v>0</v>
      </c>
      <c r="K87" s="157">
        <v>9996</v>
      </c>
      <c r="L87" s="161">
        <v>27</v>
      </c>
      <c r="M87" s="161">
        <v>9</v>
      </c>
      <c r="N87" s="154">
        <f>(((Tabela1369[[#This Row],[Objetive value Dissimilarity]]-Tabela1369[[#This Row],[Objetive value Dissimilarity/GATeS]])/Tabela1369[[#This Row],[Objetive value Dissimilarity]]))*100</f>
        <v>0.20964360587002098</v>
      </c>
      <c r="O87" s="23">
        <v>9789</v>
      </c>
      <c r="P87" s="53">
        <v>0.6</v>
      </c>
      <c r="Q87" s="53">
        <v>0</v>
      </c>
      <c r="R87" s="55">
        <f>(((Tabela1369[[#This Row],[Objetive value Dissimilarity]]-Tabela1369[[#This Row],[Objetive Value Dissimilarity/H-R1]])/Tabela1369[[#This Row],[Objetive value Dissimilarity]]))*100</f>
        <v>2.2761305780173706</v>
      </c>
      <c r="S87" s="96">
        <v>9789</v>
      </c>
      <c r="T87" s="21">
        <v>0.7</v>
      </c>
      <c r="U87" s="21">
        <v>0</v>
      </c>
      <c r="V87" s="144">
        <f>(((Tabela1369[[#This Row],[Objetive value Dissimilarity]]-Tabela1369[[#This Row],[Objetive value Dissimilarity/H-R2]])/Tabela1369[[#This Row],[Objetive value Dissimilarity]]))*100</f>
        <v>2.2761305780173706</v>
      </c>
    </row>
    <row r="88" spans="1:22" x14ac:dyDescent="0.25">
      <c r="A88" s="11" t="s">
        <v>186</v>
      </c>
      <c r="B88" s="12" t="s">
        <v>1183</v>
      </c>
      <c r="C88" s="11">
        <v>1000</v>
      </c>
      <c r="D88" s="11">
        <v>0.15</v>
      </c>
      <c r="E88" s="11">
        <v>5</v>
      </c>
      <c r="F88" s="12" t="s">
        <v>13</v>
      </c>
      <c r="G88" s="12" t="s">
        <v>16</v>
      </c>
      <c r="H88" s="155">
        <v>6239</v>
      </c>
      <c r="I88" s="140">
        <v>0.85899999993853204</v>
      </c>
      <c r="J88" s="147">
        <v>0</v>
      </c>
      <c r="K88" s="157">
        <v>6143</v>
      </c>
      <c r="L88" s="161">
        <v>26</v>
      </c>
      <c r="M88" s="161">
        <v>24</v>
      </c>
      <c r="N88" s="154">
        <f>(((Tabela1369[[#This Row],[Objetive value Dissimilarity]]-Tabela1369[[#This Row],[Objetive value Dissimilarity/GATeS]])/Tabela1369[[#This Row],[Objetive value Dissimilarity]]))*100</f>
        <v>1.5387081263022919</v>
      </c>
      <c r="O88" s="23">
        <v>6206.99</v>
      </c>
      <c r="P88" s="53">
        <v>0.76</v>
      </c>
      <c r="Q88" s="53">
        <v>0</v>
      </c>
      <c r="R88" s="55">
        <f>(((Tabela1369[[#This Row],[Objetive value Dissimilarity]]-Tabela1369[[#This Row],[Objetive Value Dissimilarity/H-R1]])/Tabela1369[[#This Row],[Objetive value Dissimilarity]]))*100</f>
        <v>0.51306299086392393</v>
      </c>
      <c r="S88" s="96">
        <v>6206.99</v>
      </c>
      <c r="T88" s="21">
        <v>0.8</v>
      </c>
      <c r="U88" s="21">
        <v>0</v>
      </c>
      <c r="V88" s="144">
        <f>(((Tabela1369[[#This Row],[Objetive value Dissimilarity]]-Tabela1369[[#This Row],[Objetive value Dissimilarity/H-R2]])/Tabela1369[[#This Row],[Objetive value Dissimilarity]]))*100</f>
        <v>0.51306299086392393</v>
      </c>
    </row>
    <row r="89" spans="1:22" x14ac:dyDescent="0.25">
      <c r="A89" s="11" t="s">
        <v>186</v>
      </c>
      <c r="B89" s="12" t="s">
        <v>1184</v>
      </c>
      <c r="C89" s="11">
        <v>1000</v>
      </c>
      <c r="D89" s="11">
        <v>0.15</v>
      </c>
      <c r="E89" s="11">
        <v>5</v>
      </c>
      <c r="F89" s="12" t="s">
        <v>18</v>
      </c>
      <c r="G89" s="12" t="s">
        <v>14</v>
      </c>
      <c r="H89" s="155">
        <v>11249</v>
      </c>
      <c r="I89" s="140">
        <v>0.53099999995902103</v>
      </c>
      <c r="J89" s="147">
        <v>0</v>
      </c>
      <c r="K89" s="157">
        <v>11230</v>
      </c>
      <c r="L89" s="161">
        <v>22</v>
      </c>
      <c r="M89" s="161">
        <v>6</v>
      </c>
      <c r="N89" s="154">
        <f>(((Tabela1369[[#This Row],[Objetive value Dissimilarity]]-Tabela1369[[#This Row],[Objetive value Dissimilarity/GATeS]])/Tabela1369[[#This Row],[Objetive value Dissimilarity]]))*100</f>
        <v>0.16890390256911725</v>
      </c>
      <c r="O89" s="23">
        <v>10574</v>
      </c>
      <c r="P89" s="53">
        <v>0.57999999999999996</v>
      </c>
      <c r="Q89" s="53">
        <v>0</v>
      </c>
      <c r="R89" s="55">
        <f>(((Tabela1369[[#This Row],[Objetive value Dissimilarity]]-Tabela1369[[#This Row],[Objetive Value Dissimilarity/H-R1]])/Tabela1369[[#This Row],[Objetive value Dissimilarity]]))*100</f>
        <v>6.0005333807449555</v>
      </c>
      <c r="S89" s="96">
        <v>11249</v>
      </c>
      <c r="T89" s="21">
        <v>0.56999999999999995</v>
      </c>
      <c r="U89" s="21">
        <v>0</v>
      </c>
      <c r="V89" s="144">
        <f>(((Tabela1369[[#This Row],[Objetive value Dissimilarity]]-Tabela1369[[#This Row],[Objetive value Dissimilarity/H-R2]])/Tabela1369[[#This Row],[Objetive value Dissimilarity]]))*100</f>
        <v>0</v>
      </c>
    </row>
    <row r="90" spans="1:22" x14ac:dyDescent="0.25">
      <c r="A90" s="11" t="s">
        <v>186</v>
      </c>
      <c r="B90" s="12" t="s">
        <v>1185</v>
      </c>
      <c r="C90" s="11">
        <v>1000</v>
      </c>
      <c r="D90" s="11">
        <v>0.15</v>
      </c>
      <c r="E90" s="11">
        <v>5</v>
      </c>
      <c r="F90" s="12" t="s">
        <v>18</v>
      </c>
      <c r="G90" s="12" t="s">
        <v>16</v>
      </c>
      <c r="H90" s="155">
        <v>7130</v>
      </c>
      <c r="I90" s="140">
        <v>0.89100000006146696</v>
      </c>
      <c r="J90" s="147">
        <v>0</v>
      </c>
      <c r="K90" s="157">
        <v>7109</v>
      </c>
      <c r="L90" s="161">
        <v>18</v>
      </c>
      <c r="M90" s="161">
        <v>10</v>
      </c>
      <c r="N90" s="154">
        <f>(((Tabela1369[[#This Row],[Objetive value Dissimilarity]]-Tabela1369[[#This Row],[Objetive value Dissimilarity/GATeS]])/Tabela1369[[#This Row],[Objetive value Dissimilarity]]))*100</f>
        <v>0.29453015427769985</v>
      </c>
      <c r="O90" s="23">
        <v>7130</v>
      </c>
      <c r="P90" s="53">
        <v>0.68</v>
      </c>
      <c r="Q90" s="53">
        <v>0</v>
      </c>
      <c r="R90" s="55">
        <f>(((Tabela1369[[#This Row],[Objetive value Dissimilarity]]-Tabela1369[[#This Row],[Objetive Value Dissimilarity/H-R1]])/Tabela1369[[#This Row],[Objetive value Dissimilarity]]))*100</f>
        <v>0</v>
      </c>
      <c r="S90" s="96">
        <v>7130</v>
      </c>
      <c r="T90" s="21">
        <v>1</v>
      </c>
      <c r="U90" s="21">
        <v>0</v>
      </c>
      <c r="V90" s="144">
        <f>(((Tabela1369[[#This Row],[Objetive value Dissimilarity]]-Tabela1369[[#This Row],[Objetive value Dissimilarity/H-R2]])/Tabela1369[[#This Row],[Objetive value Dissimilarity]]))*100</f>
        <v>0</v>
      </c>
    </row>
    <row r="91" spans="1:22" x14ac:dyDescent="0.25">
      <c r="A91" s="11" t="s">
        <v>186</v>
      </c>
      <c r="B91" s="12" t="s">
        <v>1186</v>
      </c>
      <c r="C91" s="11">
        <v>1000</v>
      </c>
      <c r="D91" s="11">
        <v>0.15</v>
      </c>
      <c r="E91" s="11">
        <v>5</v>
      </c>
      <c r="F91" s="12" t="s">
        <v>21</v>
      </c>
      <c r="G91" s="12" t="s">
        <v>14</v>
      </c>
      <c r="H91" s="155">
        <v>9306</v>
      </c>
      <c r="I91" s="140">
        <v>0.45299999997951002</v>
      </c>
      <c r="J91" s="147">
        <v>0</v>
      </c>
      <c r="K91" s="157">
        <v>9273</v>
      </c>
      <c r="L91" s="161">
        <v>20</v>
      </c>
      <c r="M91" s="161">
        <v>6</v>
      </c>
      <c r="N91" s="154">
        <f>(((Tabela1369[[#This Row],[Objetive value Dissimilarity]]-Tabela1369[[#This Row],[Objetive value Dissimilarity/GATeS]])/Tabela1369[[#This Row],[Objetive value Dissimilarity]]))*100</f>
        <v>0.3546099290780142</v>
      </c>
      <c r="O91" s="23">
        <v>9306</v>
      </c>
      <c r="P91" s="53">
        <v>0.59</v>
      </c>
      <c r="Q91" s="53">
        <v>0</v>
      </c>
      <c r="R91" s="55">
        <f>(((Tabela1369[[#This Row],[Objetive value Dissimilarity]]-Tabela1369[[#This Row],[Objetive Value Dissimilarity/H-R1]])/Tabela1369[[#This Row],[Objetive value Dissimilarity]]))*100</f>
        <v>0</v>
      </c>
      <c r="S91" s="96">
        <v>9306</v>
      </c>
      <c r="T91" s="21">
        <v>0.78</v>
      </c>
      <c r="U91" s="21">
        <v>0</v>
      </c>
      <c r="V91" s="144">
        <f>(((Tabela1369[[#This Row],[Objetive value Dissimilarity]]-Tabela1369[[#This Row],[Objetive value Dissimilarity/H-R2]])/Tabela1369[[#This Row],[Objetive value Dissimilarity]]))*100</f>
        <v>0</v>
      </c>
    </row>
    <row r="92" spans="1:22" x14ac:dyDescent="0.25">
      <c r="A92" s="11" t="s">
        <v>186</v>
      </c>
      <c r="B92" s="12" t="s">
        <v>1187</v>
      </c>
      <c r="C92" s="11">
        <v>1000</v>
      </c>
      <c r="D92" s="11">
        <v>0.15</v>
      </c>
      <c r="E92" s="11">
        <v>5</v>
      </c>
      <c r="F92" s="12" t="s">
        <v>21</v>
      </c>
      <c r="G92" s="12" t="s">
        <v>16</v>
      </c>
      <c r="H92" s="155">
        <v>6178</v>
      </c>
      <c r="I92" s="140">
        <v>0.70400000002700802</v>
      </c>
      <c r="J92" s="147">
        <v>0</v>
      </c>
      <c r="K92" s="157">
        <v>6138</v>
      </c>
      <c r="L92" s="161">
        <v>20</v>
      </c>
      <c r="M92" s="161">
        <v>3</v>
      </c>
      <c r="N92" s="154">
        <f>(((Tabela1369[[#This Row],[Objetive value Dissimilarity]]-Tabela1369[[#This Row],[Objetive value Dissimilarity/GATeS]])/Tabela1369[[#This Row],[Objetive value Dissimilarity]]))*100</f>
        <v>0.6474587245063127</v>
      </c>
      <c r="O92" s="23">
        <v>6178</v>
      </c>
      <c r="P92" s="53">
        <v>0.62</v>
      </c>
      <c r="Q92" s="53">
        <v>0</v>
      </c>
      <c r="R92" s="55">
        <f>(((Tabela1369[[#This Row],[Objetive value Dissimilarity]]-Tabela1369[[#This Row],[Objetive Value Dissimilarity/H-R1]])/Tabela1369[[#This Row],[Objetive value Dissimilarity]]))*100</f>
        <v>0</v>
      </c>
      <c r="S92" s="96">
        <v>6178</v>
      </c>
      <c r="T92" s="21">
        <v>0.76</v>
      </c>
      <c r="U92" s="21">
        <v>0</v>
      </c>
      <c r="V92" s="144">
        <f>(((Tabela1369[[#This Row],[Objetive value Dissimilarity]]-Tabela1369[[#This Row],[Objetive value Dissimilarity/H-R2]])/Tabela1369[[#This Row],[Objetive value Dissimilarity]]))*100</f>
        <v>0</v>
      </c>
    </row>
    <row r="93" spans="1:22" x14ac:dyDescent="0.25">
      <c r="A93" s="11" t="s">
        <v>205</v>
      </c>
      <c r="B93" s="12" t="s">
        <v>1188</v>
      </c>
      <c r="C93" s="11">
        <v>1000</v>
      </c>
      <c r="D93" s="11">
        <v>0.05</v>
      </c>
      <c r="E93" s="11">
        <v>10</v>
      </c>
      <c r="F93" s="12" t="s">
        <v>13</v>
      </c>
      <c r="G93" s="12" t="s">
        <v>14</v>
      </c>
      <c r="H93" s="155">
        <v>12188</v>
      </c>
      <c r="I93" s="140">
        <v>6.1099999999860302</v>
      </c>
      <c r="J93" s="147">
        <v>12.22</v>
      </c>
      <c r="K93" s="157">
        <v>12034</v>
      </c>
      <c r="L93" s="161">
        <v>43</v>
      </c>
      <c r="M93" s="161">
        <v>27</v>
      </c>
      <c r="N93" s="154">
        <f>(((Tabela1369[[#This Row],[Objetive value Dissimilarity]]-Tabela1369[[#This Row],[Objetive value Dissimilarity/GATeS]])/Tabela1369[[#This Row],[Objetive value Dissimilarity]]))*100</f>
        <v>1.2635379061371841</v>
      </c>
      <c r="O93" s="23">
        <v>12188</v>
      </c>
      <c r="P93" s="53">
        <v>0.67</v>
      </c>
      <c r="Q93" s="53">
        <v>0</v>
      </c>
      <c r="R93" s="55">
        <f>(((Tabela1369[[#This Row],[Objetive value Dissimilarity]]-Tabela1369[[#This Row],[Objetive Value Dissimilarity/H-R1]])/Tabela1369[[#This Row],[Objetive value Dissimilarity]]))*100</f>
        <v>0</v>
      </c>
      <c r="S93" s="96">
        <v>11520</v>
      </c>
      <c r="T93" s="21">
        <v>0.71</v>
      </c>
      <c r="U93" s="21">
        <v>0</v>
      </c>
      <c r="V93" s="144">
        <f>(((Tabela1369[[#This Row],[Objetive value Dissimilarity]]-Tabela1369[[#This Row],[Objetive value Dissimilarity/H-R2]])/Tabela1369[[#This Row],[Objetive value Dissimilarity]]))*100</f>
        <v>5.4808007876599936</v>
      </c>
    </row>
    <row r="94" spans="1:22" x14ac:dyDescent="0.25">
      <c r="A94" s="11" t="s">
        <v>205</v>
      </c>
      <c r="B94" s="12" t="s">
        <v>1189</v>
      </c>
      <c r="C94" s="11">
        <v>1000</v>
      </c>
      <c r="D94" s="11">
        <v>0.05</v>
      </c>
      <c r="E94" s="11">
        <v>10</v>
      </c>
      <c r="F94" s="12" t="s">
        <v>13</v>
      </c>
      <c r="G94" s="12" t="s">
        <v>16</v>
      </c>
      <c r="H94" s="155">
        <v>11936</v>
      </c>
      <c r="I94" s="140">
        <v>5.5940000000409702</v>
      </c>
      <c r="J94" s="147">
        <v>11.52</v>
      </c>
      <c r="K94" s="157">
        <v>11323</v>
      </c>
      <c r="L94" s="161">
        <v>41</v>
      </c>
      <c r="M94" s="161">
        <v>31</v>
      </c>
      <c r="N94" s="154">
        <f>(((Tabela1369[[#This Row],[Objetive value Dissimilarity]]-Tabela1369[[#This Row],[Objetive value Dissimilarity/GATeS]])/Tabela1369[[#This Row],[Objetive value Dissimilarity]]))*100</f>
        <v>5.1357238605898123</v>
      </c>
      <c r="O94" s="23">
        <v>10927</v>
      </c>
      <c r="P94" s="53">
        <v>0.77</v>
      </c>
      <c r="Q94" s="53">
        <v>0</v>
      </c>
      <c r="R94" s="55">
        <f>(((Tabela1369[[#This Row],[Objetive value Dissimilarity]]-Tabela1369[[#This Row],[Objetive Value Dissimilarity/H-R1]])/Tabela1369[[#This Row],[Objetive value Dissimilarity]]))*100</f>
        <v>8.4534182305630026</v>
      </c>
      <c r="S94" s="96">
        <v>11317</v>
      </c>
      <c r="T94" s="21">
        <v>0.91</v>
      </c>
      <c r="U94" s="21">
        <v>0</v>
      </c>
      <c r="V94" s="144">
        <f>(((Tabela1369[[#This Row],[Objetive value Dissimilarity]]-Tabela1369[[#This Row],[Objetive value Dissimilarity/H-R2]])/Tabela1369[[#This Row],[Objetive value Dissimilarity]]))*100</f>
        <v>5.1859919571045578</v>
      </c>
    </row>
    <row r="95" spans="1:22" x14ac:dyDescent="0.25">
      <c r="A95" s="11" t="s">
        <v>205</v>
      </c>
      <c r="B95" s="12" t="s">
        <v>1190</v>
      </c>
      <c r="C95" s="11">
        <v>1000</v>
      </c>
      <c r="D95" s="11">
        <v>0.05</v>
      </c>
      <c r="E95" s="11">
        <v>10</v>
      </c>
      <c r="F95" s="12" t="s">
        <v>18</v>
      </c>
      <c r="G95" s="12" t="s">
        <v>14</v>
      </c>
      <c r="H95" s="155">
        <v>18398</v>
      </c>
      <c r="I95" s="140">
        <v>2.82799999997951</v>
      </c>
      <c r="J95" s="147">
        <v>0</v>
      </c>
      <c r="K95" s="157">
        <v>17910</v>
      </c>
      <c r="L95" s="161">
        <v>66</v>
      </c>
      <c r="M95" s="161">
        <v>23</v>
      </c>
      <c r="N95" s="154">
        <f>(((Tabela1369[[#This Row],[Objetive value Dissimilarity]]-Tabela1369[[#This Row],[Objetive value Dissimilarity/GATeS]])/Tabela1369[[#This Row],[Objetive value Dissimilarity]]))*100</f>
        <v>2.6524622241547995</v>
      </c>
      <c r="O95" s="23">
        <v>17576</v>
      </c>
      <c r="P95" s="53">
        <v>0.66</v>
      </c>
      <c r="Q95" s="53">
        <v>0</v>
      </c>
      <c r="R95" s="55">
        <f>(((Tabela1369[[#This Row],[Objetive value Dissimilarity]]-Tabela1369[[#This Row],[Objetive Value Dissimilarity/H-R1]])/Tabela1369[[#This Row],[Objetive value Dissimilarity]]))*100</f>
        <v>4.4678769431459946</v>
      </c>
      <c r="S95" s="96">
        <v>18398</v>
      </c>
      <c r="T95" s="21">
        <v>0.63</v>
      </c>
      <c r="U95" s="21">
        <v>0</v>
      </c>
      <c r="V95" s="144">
        <f>(((Tabela1369[[#This Row],[Objetive value Dissimilarity]]-Tabela1369[[#This Row],[Objetive value Dissimilarity/H-R2]])/Tabela1369[[#This Row],[Objetive value Dissimilarity]]))*100</f>
        <v>0</v>
      </c>
    </row>
    <row r="96" spans="1:22" x14ac:dyDescent="0.25">
      <c r="A96" s="11" t="s">
        <v>205</v>
      </c>
      <c r="B96" s="12" t="s">
        <v>1191</v>
      </c>
      <c r="C96" s="11">
        <v>1000</v>
      </c>
      <c r="D96" s="11">
        <v>0.05</v>
      </c>
      <c r="E96" s="11">
        <v>10</v>
      </c>
      <c r="F96" s="12" t="s">
        <v>18</v>
      </c>
      <c r="G96" s="12" t="s">
        <v>16</v>
      </c>
      <c r="H96" s="155">
        <v>11666</v>
      </c>
      <c r="I96" s="140">
        <v>6.4379999999655402</v>
      </c>
      <c r="J96" s="147">
        <v>0</v>
      </c>
      <c r="K96" s="157">
        <v>11619</v>
      </c>
      <c r="L96" s="161">
        <v>66</v>
      </c>
      <c r="M96" s="161">
        <v>61</v>
      </c>
      <c r="N96" s="154">
        <f>(((Tabela1369[[#This Row],[Objetive value Dissimilarity]]-Tabela1369[[#This Row],[Objetive value Dissimilarity/GATeS]])/Tabela1369[[#This Row],[Objetive value Dissimilarity]]))*100</f>
        <v>0.40288016458083314</v>
      </c>
      <c r="O96" s="23">
        <v>11666</v>
      </c>
      <c r="P96" s="53">
        <v>1.1299999999999999</v>
      </c>
      <c r="Q96" s="53">
        <v>0</v>
      </c>
      <c r="R96" s="55">
        <f>(((Tabela1369[[#This Row],[Objetive value Dissimilarity]]-Tabela1369[[#This Row],[Objetive Value Dissimilarity/H-R1]])/Tabela1369[[#This Row],[Objetive value Dissimilarity]]))*100</f>
        <v>0</v>
      </c>
      <c r="S96" s="96">
        <v>11573</v>
      </c>
      <c r="T96" s="21">
        <v>0.73</v>
      </c>
      <c r="U96" s="21">
        <v>0</v>
      </c>
      <c r="V96" s="144">
        <f>(((Tabela1369[[#This Row],[Objetive value Dissimilarity]]-Tabela1369[[#This Row],[Objetive value Dissimilarity/H-R2]])/Tabela1369[[#This Row],[Objetive value Dissimilarity]]))*100</f>
        <v>0.79718841076632951</v>
      </c>
    </row>
    <row r="97" spans="1:22" x14ac:dyDescent="0.25">
      <c r="A97" s="11" t="s">
        <v>205</v>
      </c>
      <c r="B97" s="12" t="s">
        <v>1192</v>
      </c>
      <c r="C97" s="11">
        <v>1000</v>
      </c>
      <c r="D97" s="11">
        <v>0.05</v>
      </c>
      <c r="E97" s="11">
        <v>10</v>
      </c>
      <c r="F97" s="12" t="s">
        <v>21</v>
      </c>
      <c r="G97" s="12" t="s">
        <v>14</v>
      </c>
      <c r="H97" s="155">
        <v>12142</v>
      </c>
      <c r="I97" s="140">
        <v>1.45299999997951</v>
      </c>
      <c r="J97" s="147">
        <v>0</v>
      </c>
      <c r="K97" s="157">
        <v>11867</v>
      </c>
      <c r="L97" s="161">
        <v>30</v>
      </c>
      <c r="M97" s="161">
        <v>17</v>
      </c>
      <c r="N97" s="154">
        <f>(((Tabela1369[[#This Row],[Objetive value Dissimilarity]]-Tabela1369[[#This Row],[Objetive value Dissimilarity/GATeS]])/Tabela1369[[#This Row],[Objetive value Dissimilarity]]))*100</f>
        <v>2.2648657552297813</v>
      </c>
      <c r="O97" s="23">
        <v>12141</v>
      </c>
      <c r="P97" s="53">
        <v>1.45</v>
      </c>
      <c r="Q97" s="53">
        <v>0</v>
      </c>
      <c r="R97" s="55">
        <f>(((Tabela1369[[#This Row],[Objetive value Dissimilarity]]-Tabela1369[[#This Row],[Objetive Value Dissimilarity/H-R1]])/Tabela1369[[#This Row],[Objetive value Dissimilarity]]))*100</f>
        <v>8.2358754735628384E-3</v>
      </c>
      <c r="S97" s="96">
        <v>11876</v>
      </c>
      <c r="T97" s="21">
        <v>1.1299999999999999</v>
      </c>
      <c r="U97" s="21">
        <v>0</v>
      </c>
      <c r="V97" s="144">
        <f>(((Tabela1369[[#This Row],[Objetive value Dissimilarity]]-Tabela1369[[#This Row],[Objetive value Dissimilarity/H-R2]])/Tabela1369[[#This Row],[Objetive value Dissimilarity]]))*100</f>
        <v>2.1907428759677154</v>
      </c>
    </row>
    <row r="98" spans="1:22" x14ac:dyDescent="0.25">
      <c r="A98" s="11" t="s">
        <v>205</v>
      </c>
      <c r="B98" s="12" t="s">
        <v>1193</v>
      </c>
      <c r="C98" s="11">
        <v>1000</v>
      </c>
      <c r="D98" s="11">
        <v>0.05</v>
      </c>
      <c r="E98" s="11">
        <v>10</v>
      </c>
      <c r="F98" s="12" t="s">
        <v>21</v>
      </c>
      <c r="G98" s="12" t="s">
        <v>16</v>
      </c>
      <c r="H98" s="155">
        <v>11426</v>
      </c>
      <c r="I98" s="140">
        <v>2.1720000000204802</v>
      </c>
      <c r="J98" s="147">
        <v>0</v>
      </c>
      <c r="K98" s="157">
        <v>10600</v>
      </c>
      <c r="L98" s="161">
        <v>32</v>
      </c>
      <c r="M98" s="161">
        <v>23</v>
      </c>
      <c r="N98" s="154">
        <f>(((Tabela1369[[#This Row],[Objetive value Dissimilarity]]-Tabela1369[[#This Row],[Objetive value Dissimilarity/GATeS]])/Tabela1369[[#This Row],[Objetive value Dissimilarity]]))*100</f>
        <v>7.229126553474531</v>
      </c>
      <c r="O98" s="23">
        <v>11425</v>
      </c>
      <c r="P98" s="53">
        <v>0.88</v>
      </c>
      <c r="Q98" s="53">
        <v>0</v>
      </c>
      <c r="R98" s="55">
        <f>(((Tabela1369[[#This Row],[Objetive value Dissimilarity]]-Tabela1369[[#This Row],[Objetive Value Dissimilarity/H-R1]])/Tabela1369[[#This Row],[Objetive value Dissimilarity]]))*100</f>
        <v>8.7519691930684415E-3</v>
      </c>
      <c r="S98" s="96">
        <v>11425</v>
      </c>
      <c r="T98" s="21">
        <v>0.95</v>
      </c>
      <c r="U98" s="21">
        <v>0</v>
      </c>
      <c r="V98" s="144">
        <f>(((Tabela1369[[#This Row],[Objetive value Dissimilarity]]-Tabela1369[[#This Row],[Objetive value Dissimilarity/H-R2]])/Tabela1369[[#This Row],[Objetive value Dissimilarity]]))*100</f>
        <v>8.7519691930684415E-3</v>
      </c>
    </row>
    <row r="99" spans="1:22" x14ac:dyDescent="0.25">
      <c r="A99" s="11" t="s">
        <v>224</v>
      </c>
      <c r="B99" s="30" t="s">
        <v>1194</v>
      </c>
      <c r="C99" s="11">
        <v>1000</v>
      </c>
      <c r="D99" s="11">
        <v>0.05</v>
      </c>
      <c r="E99" s="11">
        <v>15</v>
      </c>
      <c r="F99" s="12" t="s">
        <v>13</v>
      </c>
      <c r="G99" s="12" t="s">
        <v>14</v>
      </c>
      <c r="H99" s="155">
        <v>25805</v>
      </c>
      <c r="I99" s="140">
        <v>19.5470000000204</v>
      </c>
      <c r="J99" s="147">
        <v>13.49</v>
      </c>
      <c r="K99" s="157">
        <v>24185</v>
      </c>
      <c r="L99" s="161">
        <v>87</v>
      </c>
      <c r="M99" s="161">
        <v>12</v>
      </c>
      <c r="N99" s="154">
        <f>(((Tabela1369[[#This Row],[Objetive value Dissimilarity]]-Tabela1369[[#This Row],[Objetive value Dissimilarity/GATeS]])/Tabela1369[[#This Row],[Objetive value Dissimilarity]]))*100</f>
        <v>6.2778531292385198</v>
      </c>
      <c r="O99" s="23">
        <v>23719</v>
      </c>
      <c r="P99" s="53">
        <v>0.9</v>
      </c>
      <c r="Q99" s="53">
        <v>0</v>
      </c>
      <c r="R99" s="55">
        <f>(((Tabela1369[[#This Row],[Objetive value Dissimilarity]]-Tabela1369[[#This Row],[Objetive Value Dissimilarity/H-R1]])/Tabela1369[[#This Row],[Objetive value Dissimilarity]]))*100</f>
        <v>8.0837047083898472</v>
      </c>
      <c r="S99" s="96">
        <v>24326</v>
      </c>
      <c r="T99" s="21">
        <v>0.71</v>
      </c>
      <c r="U99" s="21">
        <v>0</v>
      </c>
      <c r="V99" s="144">
        <f>(((Tabela1369[[#This Row],[Objetive value Dissimilarity]]-Tabela1369[[#This Row],[Objetive value Dissimilarity/H-R2]])/Tabela1369[[#This Row],[Objetive value Dissimilarity]]))*100</f>
        <v>5.7314473939159072</v>
      </c>
    </row>
    <row r="100" spans="1:22" x14ac:dyDescent="0.25">
      <c r="A100" s="11" t="s">
        <v>224</v>
      </c>
      <c r="B100" s="12" t="s">
        <v>1195</v>
      </c>
      <c r="C100" s="11">
        <v>1000</v>
      </c>
      <c r="D100" s="11">
        <v>0.05</v>
      </c>
      <c r="E100" s="11">
        <v>15</v>
      </c>
      <c r="F100" s="12" t="s">
        <v>13</v>
      </c>
      <c r="G100" s="12" t="s">
        <v>16</v>
      </c>
      <c r="H100" s="155">
        <v>16758</v>
      </c>
      <c r="I100" s="140">
        <v>84.687999999965498</v>
      </c>
      <c r="J100" s="147">
        <v>0</v>
      </c>
      <c r="K100" s="157">
        <v>16326</v>
      </c>
      <c r="L100" s="161">
        <v>117</v>
      </c>
      <c r="M100" s="161">
        <v>13</v>
      </c>
      <c r="N100" s="154">
        <f>(((Tabela1369[[#This Row],[Objetive value Dissimilarity]]-Tabela1369[[#This Row],[Objetive value Dissimilarity/GATeS]])/Tabela1369[[#This Row],[Objetive value Dissimilarity]]))*100</f>
        <v>2.5778732545649841</v>
      </c>
      <c r="O100" s="23">
        <v>16521</v>
      </c>
      <c r="P100" s="53">
        <v>1.28</v>
      </c>
      <c r="Q100" s="53">
        <v>0</v>
      </c>
      <c r="R100" s="55">
        <f>(((Tabela1369[[#This Row],[Objetive value Dissimilarity]]-Tabela1369[[#This Row],[Objetive Value Dissimilarity/H-R1]])/Tabela1369[[#This Row],[Objetive value Dissimilarity]]))*100</f>
        <v>1.414249910490512</v>
      </c>
      <c r="S100" s="96">
        <v>16532</v>
      </c>
      <c r="T100" s="21">
        <v>1.03</v>
      </c>
      <c r="U100" s="21">
        <v>0</v>
      </c>
      <c r="V100" s="144">
        <f>(((Tabela1369[[#This Row],[Objetive value Dissimilarity]]-Tabela1369[[#This Row],[Objetive value Dissimilarity/H-R2]])/Tabela1369[[#This Row],[Objetive value Dissimilarity]]))*100</f>
        <v>1.3486096192863111</v>
      </c>
    </row>
    <row r="101" spans="1:22" x14ac:dyDescent="0.25">
      <c r="A101" s="11" t="s">
        <v>224</v>
      </c>
      <c r="B101" s="12" t="s">
        <v>1196</v>
      </c>
      <c r="C101" s="11">
        <v>1000</v>
      </c>
      <c r="D101" s="11">
        <v>0.05</v>
      </c>
      <c r="E101" s="11">
        <v>15</v>
      </c>
      <c r="F101" s="12" t="s">
        <v>18</v>
      </c>
      <c r="G101" s="12" t="s">
        <v>14</v>
      </c>
      <c r="H101" s="155">
        <v>28118</v>
      </c>
      <c r="I101" s="140">
        <v>12.0310000000754</v>
      </c>
      <c r="J101" s="147">
        <v>14.23</v>
      </c>
      <c r="K101" s="157">
        <v>27427</v>
      </c>
      <c r="L101" s="161">
        <v>137</v>
      </c>
      <c r="M101" s="161">
        <v>91</v>
      </c>
      <c r="N101" s="154">
        <f>(((Tabela1369[[#This Row],[Objetive value Dissimilarity]]-Tabela1369[[#This Row],[Objetive value Dissimilarity/GATeS]])/Tabela1369[[#This Row],[Objetive value Dissimilarity]]))*100</f>
        <v>2.4575005334661069</v>
      </c>
      <c r="O101" s="23">
        <v>26659</v>
      </c>
      <c r="P101" s="53">
        <v>0.78</v>
      </c>
      <c r="Q101" s="53">
        <v>0</v>
      </c>
      <c r="R101" s="55">
        <f>(((Tabela1369[[#This Row],[Objetive value Dissimilarity]]-Tabela1369[[#This Row],[Objetive Value Dissimilarity/H-R1]])/Tabela1369[[#This Row],[Objetive value Dissimilarity]]))*100</f>
        <v>5.188847001920478</v>
      </c>
      <c r="S101" s="96">
        <v>27347</v>
      </c>
      <c r="T101" s="21">
        <v>0.98</v>
      </c>
      <c r="U101" s="21">
        <v>0</v>
      </c>
      <c r="V101" s="144">
        <f>(((Tabela1369[[#This Row],[Objetive value Dissimilarity]]-Tabela1369[[#This Row],[Objetive value Dissimilarity/H-R2]])/Tabela1369[[#This Row],[Objetive value Dissimilarity]]))*100</f>
        <v>2.7420157905967706</v>
      </c>
    </row>
    <row r="102" spans="1:22" x14ac:dyDescent="0.25">
      <c r="A102" s="11" t="s">
        <v>224</v>
      </c>
      <c r="B102" s="12" t="s">
        <v>1197</v>
      </c>
      <c r="C102" s="11">
        <v>1000</v>
      </c>
      <c r="D102" s="11">
        <v>0.05</v>
      </c>
      <c r="E102" s="11">
        <v>15</v>
      </c>
      <c r="F102" s="12" t="s">
        <v>18</v>
      </c>
      <c r="G102" s="12" t="s">
        <v>16</v>
      </c>
      <c r="H102" s="155">
        <v>17197</v>
      </c>
      <c r="I102" s="140">
        <v>80.422000000020404</v>
      </c>
      <c r="J102" s="147">
        <v>0</v>
      </c>
      <c r="K102" s="157">
        <v>16782</v>
      </c>
      <c r="L102" s="161">
        <v>186</v>
      </c>
      <c r="M102" s="161">
        <v>178</v>
      </c>
      <c r="N102" s="154">
        <f>(((Tabela1369[[#This Row],[Objetive value Dissimilarity]]-Tabela1369[[#This Row],[Objetive value Dissimilarity/GATeS]])/Tabela1369[[#This Row],[Objetive value Dissimilarity]]))*100</f>
        <v>2.4132116066755827</v>
      </c>
      <c r="O102" s="23">
        <v>17196</v>
      </c>
      <c r="P102" s="53">
        <v>1.24</v>
      </c>
      <c r="Q102" s="53">
        <v>0</v>
      </c>
      <c r="R102" s="55">
        <f>(((Tabela1369[[#This Row],[Objetive value Dissimilarity]]-Tabela1369[[#This Row],[Objetive Value Dissimilarity/H-R1]])/Tabela1369[[#This Row],[Objetive value Dissimilarity]]))*100</f>
        <v>5.8149677269291157E-3</v>
      </c>
      <c r="S102" s="96">
        <v>16999</v>
      </c>
      <c r="T102" s="21">
        <v>1.1200000000000001</v>
      </c>
      <c r="U102" s="21">
        <v>0</v>
      </c>
      <c r="V102" s="144">
        <f>(((Tabela1369[[#This Row],[Objetive value Dissimilarity]]-Tabela1369[[#This Row],[Objetive value Dissimilarity/H-R2]])/Tabela1369[[#This Row],[Objetive value Dissimilarity]]))*100</f>
        <v>1.1513636099319648</v>
      </c>
    </row>
    <row r="103" spans="1:22" x14ac:dyDescent="0.25">
      <c r="A103" s="11" t="s">
        <v>224</v>
      </c>
      <c r="B103" s="12" t="s">
        <v>1198</v>
      </c>
      <c r="C103" s="11">
        <v>1000</v>
      </c>
      <c r="D103" s="11">
        <v>0.05</v>
      </c>
      <c r="E103" s="11">
        <v>15</v>
      </c>
      <c r="F103" s="12" t="s">
        <v>21</v>
      </c>
      <c r="G103" s="12" t="s">
        <v>14</v>
      </c>
      <c r="H103" s="155">
        <v>15362</v>
      </c>
      <c r="I103" s="140">
        <v>2.4849999999860302</v>
      </c>
      <c r="J103" s="147">
        <v>0</v>
      </c>
      <c r="K103" s="157">
        <v>15346</v>
      </c>
      <c r="L103" s="161">
        <v>71</v>
      </c>
      <c r="M103" s="161">
        <v>33</v>
      </c>
      <c r="N103" s="154">
        <f>(((Tabela1369[[#This Row],[Objetive value Dissimilarity]]-Tabela1369[[#This Row],[Objetive value Dissimilarity/GATeS]])/Tabela1369[[#This Row],[Objetive value Dissimilarity]]))*100</f>
        <v>0.10415310506444472</v>
      </c>
      <c r="O103" s="23">
        <v>1954</v>
      </c>
      <c r="P103" s="53">
        <v>3.71</v>
      </c>
      <c r="Q103" s="53">
        <v>0</v>
      </c>
      <c r="R103" s="55">
        <f>(((Tabela1369[[#This Row],[Objetive value Dissimilarity]]-Tabela1369[[#This Row],[Objetive Value Dissimilarity/H-R1]])/Tabela1369[[#This Row],[Objetive value Dissimilarity]]))*100</f>
        <v>87.280302044004685</v>
      </c>
      <c r="S103" s="96">
        <v>15362</v>
      </c>
      <c r="T103" s="21">
        <v>1.44</v>
      </c>
      <c r="U103" s="21">
        <v>0</v>
      </c>
      <c r="V103" s="144">
        <f>(((Tabela1369[[#This Row],[Objetive value Dissimilarity]]-Tabela1369[[#This Row],[Objetive value Dissimilarity/H-R2]])/Tabela1369[[#This Row],[Objetive value Dissimilarity]]))*100</f>
        <v>0</v>
      </c>
    </row>
    <row r="104" spans="1:22" x14ac:dyDescent="0.25">
      <c r="A104" s="11" t="s">
        <v>224</v>
      </c>
      <c r="B104" s="12" t="s">
        <v>1199</v>
      </c>
      <c r="C104" s="11">
        <v>1000</v>
      </c>
      <c r="D104" s="11">
        <v>0.05</v>
      </c>
      <c r="E104" s="11">
        <v>15</v>
      </c>
      <c r="F104" s="12" t="s">
        <v>21</v>
      </c>
      <c r="G104" s="12" t="s">
        <v>16</v>
      </c>
      <c r="H104" s="155">
        <v>15950</v>
      </c>
      <c r="I104" s="140">
        <v>68.187000000034402</v>
      </c>
      <c r="J104" s="147">
        <v>0</v>
      </c>
      <c r="K104" s="157">
        <v>15693</v>
      </c>
      <c r="L104" s="161">
        <v>86</v>
      </c>
      <c r="M104" s="161">
        <v>26</v>
      </c>
      <c r="N104" s="154">
        <f>(((Tabela1369[[#This Row],[Objetive value Dissimilarity]]-Tabela1369[[#This Row],[Objetive value Dissimilarity/GATeS]])/Tabela1369[[#This Row],[Objetive value Dissimilarity]]))*100</f>
        <v>1.6112852664576804</v>
      </c>
      <c r="O104" s="23">
        <v>15944</v>
      </c>
      <c r="P104" s="53">
        <v>1.34</v>
      </c>
      <c r="Q104" s="53">
        <v>0</v>
      </c>
      <c r="R104" s="55">
        <f>(((Tabela1369[[#This Row],[Objetive value Dissimilarity]]-Tabela1369[[#This Row],[Objetive Value Dissimilarity/H-R1]])/Tabela1369[[#This Row],[Objetive value Dissimilarity]]))*100</f>
        <v>3.7617554858934164E-2</v>
      </c>
      <c r="S104" s="96">
        <v>15693</v>
      </c>
      <c r="T104" s="21">
        <v>1.01</v>
      </c>
      <c r="U104" s="21">
        <v>0</v>
      </c>
      <c r="V104" s="144">
        <f>(((Tabela1369[[#This Row],[Objetive value Dissimilarity]]-Tabela1369[[#This Row],[Objetive value Dissimilarity/H-R2]])/Tabela1369[[#This Row],[Objetive value Dissimilarity]]))*100</f>
        <v>1.6112852664576804</v>
      </c>
    </row>
    <row r="105" spans="1:22" x14ac:dyDescent="0.25">
      <c r="A105" s="29" t="s">
        <v>186</v>
      </c>
      <c r="B105" s="12" t="s">
        <v>1200</v>
      </c>
      <c r="C105" s="11">
        <v>1000</v>
      </c>
      <c r="D105" s="11">
        <v>0.05</v>
      </c>
      <c r="E105" s="11">
        <v>5</v>
      </c>
      <c r="F105" s="12" t="s">
        <v>13</v>
      </c>
      <c r="G105" s="12" t="s">
        <v>14</v>
      </c>
      <c r="H105" s="155">
        <v>10213</v>
      </c>
      <c r="I105" s="140">
        <v>0.53099999995902103</v>
      </c>
      <c r="J105" s="147">
        <v>0</v>
      </c>
      <c r="K105" s="157">
        <v>10199</v>
      </c>
      <c r="L105" s="161">
        <v>41</v>
      </c>
      <c r="M105" s="161">
        <v>23</v>
      </c>
      <c r="N105" s="154">
        <f>(((Tabela1369[[#This Row],[Objetive value Dissimilarity]]-Tabela1369[[#This Row],[Objetive value Dissimilarity/GATeS]])/Tabela1369[[#This Row],[Objetive value Dissimilarity]]))*100</f>
        <v>0.1370801919122687</v>
      </c>
      <c r="O105" s="23">
        <v>10213</v>
      </c>
      <c r="P105" s="53">
        <v>0.51</v>
      </c>
      <c r="Q105" s="53">
        <v>0</v>
      </c>
      <c r="R105" s="55">
        <f>(((Tabela1369[[#This Row],[Objetive value Dissimilarity]]-Tabela1369[[#This Row],[Objetive Value Dissimilarity/H-R1]])/Tabela1369[[#This Row],[Objetive value Dissimilarity]]))*100</f>
        <v>0</v>
      </c>
      <c r="S105" s="96">
        <v>9732</v>
      </c>
      <c r="T105" s="21">
        <v>0.59</v>
      </c>
      <c r="U105" s="21">
        <v>0</v>
      </c>
      <c r="V105" s="144">
        <f>(((Tabela1369[[#This Row],[Objetive value Dissimilarity]]-Tabela1369[[#This Row],[Objetive value Dissimilarity/H-R2]])/Tabela1369[[#This Row],[Objetive value Dissimilarity]]))*100</f>
        <v>4.709683736414374</v>
      </c>
    </row>
    <row r="106" spans="1:22" x14ac:dyDescent="0.25">
      <c r="A106" s="11" t="s">
        <v>186</v>
      </c>
      <c r="B106" s="12" t="s">
        <v>1201</v>
      </c>
      <c r="C106" s="11">
        <v>1000</v>
      </c>
      <c r="D106" s="11">
        <v>0.05</v>
      </c>
      <c r="E106" s="11">
        <v>5</v>
      </c>
      <c r="F106" s="12" t="s">
        <v>13</v>
      </c>
      <c r="G106" s="12" t="s">
        <v>16</v>
      </c>
      <c r="H106" s="155">
        <v>7169</v>
      </c>
      <c r="I106" s="140">
        <v>0.82799999997951002</v>
      </c>
      <c r="J106" s="147">
        <v>0</v>
      </c>
      <c r="K106" s="157">
        <v>7165</v>
      </c>
      <c r="L106" s="161">
        <v>28</v>
      </c>
      <c r="M106" s="161">
        <v>25</v>
      </c>
      <c r="N106" s="154">
        <f>(((Tabela1369[[#This Row],[Objetive value Dissimilarity]]-Tabela1369[[#This Row],[Objetive value Dissimilarity/GATeS]])/Tabela1369[[#This Row],[Objetive value Dissimilarity]]))*100</f>
        <v>5.5795787418049934E-2</v>
      </c>
      <c r="O106" s="23">
        <v>7152</v>
      </c>
      <c r="P106" s="53">
        <v>0.78</v>
      </c>
      <c r="Q106" s="53">
        <v>0</v>
      </c>
      <c r="R106" s="55">
        <f>(((Tabela1369[[#This Row],[Objetive value Dissimilarity]]-Tabela1369[[#This Row],[Objetive Value Dissimilarity/H-R1]])/Tabela1369[[#This Row],[Objetive value Dissimilarity]]))*100</f>
        <v>0.23713209652671224</v>
      </c>
      <c r="S106" s="96">
        <v>7169</v>
      </c>
      <c r="T106" s="21">
        <v>0.92</v>
      </c>
      <c r="U106" s="21">
        <v>0</v>
      </c>
      <c r="V106" s="144">
        <f>(((Tabela1369[[#This Row],[Objetive value Dissimilarity]]-Tabela1369[[#This Row],[Objetive value Dissimilarity/H-R2]])/Tabela1369[[#This Row],[Objetive value Dissimilarity]]))*100</f>
        <v>0</v>
      </c>
    </row>
    <row r="107" spans="1:22" x14ac:dyDescent="0.25">
      <c r="A107" s="11" t="s">
        <v>186</v>
      </c>
      <c r="B107" s="12" t="s">
        <v>1202</v>
      </c>
      <c r="C107" s="11">
        <v>1000</v>
      </c>
      <c r="D107" s="11">
        <v>0.05</v>
      </c>
      <c r="E107" s="11">
        <v>5</v>
      </c>
      <c r="F107" s="12" t="s">
        <v>18</v>
      </c>
      <c r="G107" s="12" t="s">
        <v>14</v>
      </c>
      <c r="H107" s="155">
        <v>9210</v>
      </c>
      <c r="I107" s="140">
        <v>0.51500000001396895</v>
      </c>
      <c r="J107" s="147">
        <v>0</v>
      </c>
      <c r="K107" s="157">
        <v>9120</v>
      </c>
      <c r="L107" s="161">
        <v>17</v>
      </c>
      <c r="M107" s="161">
        <v>3</v>
      </c>
      <c r="N107" s="154">
        <f>(((Tabela1369[[#This Row],[Objetive value Dissimilarity]]-Tabela1369[[#This Row],[Objetive value Dissimilarity/GATeS]])/Tabela1369[[#This Row],[Objetive value Dissimilarity]]))*100</f>
        <v>0.97719869706840379</v>
      </c>
      <c r="O107" s="23">
        <v>9210</v>
      </c>
      <c r="P107" s="53">
        <v>0.63</v>
      </c>
      <c r="Q107" s="53">
        <v>0</v>
      </c>
      <c r="R107" s="55">
        <f>(((Tabela1369[[#This Row],[Objetive value Dissimilarity]]-Tabela1369[[#This Row],[Objetive Value Dissimilarity/H-R1]])/Tabela1369[[#This Row],[Objetive value Dissimilarity]]))*100</f>
        <v>0</v>
      </c>
      <c r="S107" s="96">
        <v>9210</v>
      </c>
      <c r="T107" s="21">
        <v>0.65</v>
      </c>
      <c r="U107" s="21">
        <v>0</v>
      </c>
      <c r="V107" s="144">
        <f>(((Tabela1369[[#This Row],[Objetive value Dissimilarity]]-Tabela1369[[#This Row],[Objetive value Dissimilarity/H-R2]])/Tabela1369[[#This Row],[Objetive value Dissimilarity]]))*100</f>
        <v>0</v>
      </c>
    </row>
    <row r="108" spans="1:22" x14ac:dyDescent="0.25">
      <c r="A108" s="11" t="s">
        <v>186</v>
      </c>
      <c r="B108" s="12" t="s">
        <v>1203</v>
      </c>
      <c r="C108" s="11">
        <v>1000</v>
      </c>
      <c r="D108" s="11">
        <v>0.05</v>
      </c>
      <c r="E108" s="11">
        <v>5</v>
      </c>
      <c r="F108" s="12" t="s">
        <v>18</v>
      </c>
      <c r="G108" s="12" t="s">
        <v>16</v>
      </c>
      <c r="H108" s="155">
        <v>7469</v>
      </c>
      <c r="I108" s="140">
        <v>0.39100000006146701</v>
      </c>
      <c r="J108" s="147">
        <v>0</v>
      </c>
      <c r="K108" s="157">
        <v>7468</v>
      </c>
      <c r="L108" s="161">
        <v>28</v>
      </c>
      <c r="M108" s="161">
        <v>23</v>
      </c>
      <c r="N108" s="154">
        <f>(((Tabela1369[[#This Row],[Objetive value Dissimilarity]]-Tabela1369[[#This Row],[Objetive value Dissimilarity/GATeS]])/Tabela1369[[#This Row],[Objetive value Dissimilarity]]))*100</f>
        <v>1.3388673182487614E-2</v>
      </c>
      <c r="O108" s="23">
        <v>7469</v>
      </c>
      <c r="P108" s="53">
        <v>0.51</v>
      </c>
      <c r="Q108" s="53">
        <v>0</v>
      </c>
      <c r="R108" s="55">
        <f>(((Tabela1369[[#This Row],[Objetive value Dissimilarity]]-Tabela1369[[#This Row],[Objetive Value Dissimilarity/H-R1]])/Tabela1369[[#This Row],[Objetive value Dissimilarity]]))*100</f>
        <v>0</v>
      </c>
      <c r="S108" s="96">
        <v>7469</v>
      </c>
      <c r="T108" s="21">
        <v>0.63</v>
      </c>
      <c r="U108" s="21">
        <v>0</v>
      </c>
      <c r="V108" s="144">
        <f>(((Tabela1369[[#This Row],[Objetive value Dissimilarity]]-Tabela1369[[#This Row],[Objetive value Dissimilarity/H-R2]])/Tabela1369[[#This Row],[Objetive value Dissimilarity]]))*100</f>
        <v>0</v>
      </c>
    </row>
    <row r="109" spans="1:22" x14ac:dyDescent="0.25">
      <c r="A109" s="11" t="s">
        <v>186</v>
      </c>
      <c r="B109" s="12" t="s">
        <v>1204</v>
      </c>
      <c r="C109" s="11">
        <v>1000</v>
      </c>
      <c r="D109" s="11">
        <v>0.05</v>
      </c>
      <c r="E109" s="11">
        <v>5</v>
      </c>
      <c r="F109" s="12" t="s">
        <v>21</v>
      </c>
      <c r="G109" s="12" t="s">
        <v>14</v>
      </c>
      <c r="H109" s="155">
        <v>6520</v>
      </c>
      <c r="I109" s="140">
        <v>0.46900000004097803</v>
      </c>
      <c r="J109" s="147">
        <v>0</v>
      </c>
      <c r="K109" s="157">
        <v>6492</v>
      </c>
      <c r="L109" s="161">
        <v>17</v>
      </c>
      <c r="M109" s="161">
        <v>10</v>
      </c>
      <c r="N109" s="154">
        <f>(((Tabela1369[[#This Row],[Objetive value Dissimilarity]]-Tabela1369[[#This Row],[Objetive value Dissimilarity/GATeS]])/Tabela1369[[#This Row],[Objetive value Dissimilarity]]))*100</f>
        <v>0.42944785276073622</v>
      </c>
      <c r="O109" s="23">
        <v>6520</v>
      </c>
      <c r="P109" s="53">
        <v>0.6</v>
      </c>
      <c r="Q109" s="53">
        <v>0</v>
      </c>
      <c r="R109" s="55">
        <f>(((Tabela1369[[#This Row],[Objetive value Dissimilarity]]-Tabela1369[[#This Row],[Objetive Value Dissimilarity/H-R1]])/Tabela1369[[#This Row],[Objetive value Dissimilarity]]))*100</f>
        <v>0</v>
      </c>
      <c r="S109" s="96">
        <v>6520</v>
      </c>
      <c r="T109" s="21">
        <v>0.55000000000000004</v>
      </c>
      <c r="U109" s="21">
        <v>0</v>
      </c>
      <c r="V109" s="144">
        <f>(((Tabela1369[[#This Row],[Objetive value Dissimilarity]]-Tabela1369[[#This Row],[Objetive value Dissimilarity/H-R2]])/Tabela1369[[#This Row],[Objetive value Dissimilarity]]))*100</f>
        <v>0</v>
      </c>
    </row>
    <row r="110" spans="1:22" x14ac:dyDescent="0.25">
      <c r="A110" s="11" t="s">
        <v>186</v>
      </c>
      <c r="B110" s="12" t="s">
        <v>1205</v>
      </c>
      <c r="C110" s="11">
        <v>1000</v>
      </c>
      <c r="D110" s="11">
        <v>0.05</v>
      </c>
      <c r="E110" s="11">
        <v>5</v>
      </c>
      <c r="F110" s="12" t="s">
        <v>21</v>
      </c>
      <c r="G110" s="12" t="s">
        <v>16</v>
      </c>
      <c r="H110" s="155">
        <v>7072</v>
      </c>
      <c r="I110" s="140">
        <v>0.57799999997951002</v>
      </c>
      <c r="J110" s="147">
        <v>0</v>
      </c>
      <c r="K110" s="157">
        <v>7063</v>
      </c>
      <c r="L110" s="161">
        <v>28</v>
      </c>
      <c r="M110" s="161">
        <v>0</v>
      </c>
      <c r="N110" s="154">
        <f>(((Tabela1369[[#This Row],[Objetive value Dissimilarity]]-Tabela1369[[#This Row],[Objetive value Dissimilarity/GATeS]])/Tabela1369[[#This Row],[Objetive value Dissimilarity]]))*100</f>
        <v>0.12726244343891402</v>
      </c>
      <c r="O110" s="23">
        <v>7040</v>
      </c>
      <c r="P110" s="53">
        <v>0.55000000000000004</v>
      </c>
      <c r="Q110" s="53">
        <v>0</v>
      </c>
      <c r="R110" s="55">
        <f>(((Tabela1369[[#This Row],[Objetive value Dissimilarity]]-Tabela1369[[#This Row],[Objetive Value Dissimilarity/H-R1]])/Tabela1369[[#This Row],[Objetive value Dissimilarity]]))*100</f>
        <v>0.45248868778280549</v>
      </c>
      <c r="S110" s="96">
        <v>6483</v>
      </c>
      <c r="T110" s="21">
        <v>0.56000000000000005</v>
      </c>
      <c r="U110" s="21">
        <v>0</v>
      </c>
      <c r="V110" s="144">
        <f>(((Tabela1369[[#This Row],[Objetive value Dissimilarity]]-Tabela1369[[#This Row],[Objetive value Dissimilarity/H-R2]])/Tabela1369[[#This Row],[Objetive value Dissimilarity]]))*100</f>
        <v>8.3286199095022617</v>
      </c>
    </row>
    <row r="111" spans="1:22" x14ac:dyDescent="0.25">
      <c r="A111" s="11" t="s">
        <v>262</v>
      </c>
      <c r="B111" s="30" t="s">
        <v>1206</v>
      </c>
      <c r="C111" s="11">
        <v>2000</v>
      </c>
      <c r="D111" s="47">
        <v>0.1</v>
      </c>
      <c r="E111" s="11">
        <v>10</v>
      </c>
      <c r="F111" s="12" t="s">
        <v>13</v>
      </c>
      <c r="G111" s="12" t="s">
        <v>14</v>
      </c>
      <c r="H111" s="155">
        <v>27634</v>
      </c>
      <c r="I111" s="140">
        <v>16.9529999999795</v>
      </c>
      <c r="J111" s="147">
        <v>7.54</v>
      </c>
      <c r="K111" s="157">
        <v>26056</v>
      </c>
      <c r="L111" s="161">
        <v>141</v>
      </c>
      <c r="M111" s="161">
        <v>68</v>
      </c>
      <c r="N111" s="154">
        <f>(((Tabela1369[[#This Row],[Objetive value Dissimilarity]]-Tabela1369[[#This Row],[Objetive value Dissimilarity/GATeS]])/Tabela1369[[#This Row],[Objetive value Dissimilarity]]))*100</f>
        <v>5.7103568068321637</v>
      </c>
      <c r="O111" s="23">
        <v>27178</v>
      </c>
      <c r="P111" s="53">
        <v>0.78</v>
      </c>
      <c r="Q111" s="53">
        <v>0</v>
      </c>
      <c r="R111" s="55">
        <f>(((Tabela1369[[#This Row],[Objetive value Dissimilarity]]-Tabela1369[[#This Row],[Objetive Value Dissimilarity/H-R1]])/Tabela1369[[#This Row],[Objetive value Dissimilarity]]))*100</f>
        <v>1.6501411304914237</v>
      </c>
      <c r="S111" s="96">
        <v>27634</v>
      </c>
      <c r="T111" s="21">
        <v>0.72</v>
      </c>
      <c r="U111" s="21">
        <v>0</v>
      </c>
      <c r="V111" s="144">
        <f>(((Tabela1369[[#This Row],[Objetive value Dissimilarity]]-Tabela1369[[#This Row],[Objetive value Dissimilarity/H-R2]])/Tabela1369[[#This Row],[Objetive value Dissimilarity]]))*100</f>
        <v>0</v>
      </c>
    </row>
    <row r="112" spans="1:22" x14ac:dyDescent="0.25">
      <c r="A112" s="11" t="s">
        <v>262</v>
      </c>
      <c r="B112" s="12" t="s">
        <v>1207</v>
      </c>
      <c r="C112" s="11">
        <v>2000</v>
      </c>
      <c r="D112" s="47">
        <v>0.1</v>
      </c>
      <c r="E112" s="11">
        <v>10</v>
      </c>
      <c r="F112" s="12" t="s">
        <v>13</v>
      </c>
      <c r="G112" s="12" t="s">
        <v>16</v>
      </c>
      <c r="H112" s="155">
        <v>22942</v>
      </c>
      <c r="I112" s="140">
        <v>29.0940000000409</v>
      </c>
      <c r="J112" s="147">
        <v>9.1300000000000008</v>
      </c>
      <c r="K112" s="157">
        <v>22496</v>
      </c>
      <c r="L112" s="161">
        <v>142</v>
      </c>
      <c r="M112" s="161">
        <v>127</v>
      </c>
      <c r="N112" s="154">
        <f>(((Tabela1369[[#This Row],[Objetive value Dissimilarity]]-Tabela1369[[#This Row],[Objetive value Dissimilarity/GATeS]])/Tabela1369[[#This Row],[Objetive value Dissimilarity]]))*100</f>
        <v>1.9440327783105222</v>
      </c>
      <c r="O112" s="23">
        <v>22098</v>
      </c>
      <c r="P112" s="53">
        <v>1.23</v>
      </c>
      <c r="Q112" s="53">
        <v>0</v>
      </c>
      <c r="R112" s="55">
        <f>(((Tabela1369[[#This Row],[Objetive value Dissimilarity]]-Tabela1369[[#This Row],[Objetive Value Dissimilarity/H-R1]])/Tabela1369[[#This Row],[Objetive value Dissimilarity]]))*100</f>
        <v>3.6788422979687909</v>
      </c>
      <c r="S112" s="96">
        <v>22098</v>
      </c>
      <c r="T112" s="21">
        <v>0.9</v>
      </c>
      <c r="U112" s="21">
        <v>0</v>
      </c>
      <c r="V112" s="144">
        <f>(((Tabela1369[[#This Row],[Objetive value Dissimilarity]]-Tabela1369[[#This Row],[Objetive value Dissimilarity/H-R2]])/Tabela1369[[#This Row],[Objetive value Dissimilarity]]))*100</f>
        <v>3.6788422979687909</v>
      </c>
    </row>
    <row r="113" spans="1:22" x14ac:dyDescent="0.25">
      <c r="A113" s="11" t="s">
        <v>262</v>
      </c>
      <c r="B113" s="12" t="s">
        <v>1208</v>
      </c>
      <c r="C113" s="11">
        <v>2000</v>
      </c>
      <c r="D113" s="24">
        <v>0.1</v>
      </c>
      <c r="E113" s="11">
        <v>10</v>
      </c>
      <c r="F113" s="12" t="s">
        <v>18</v>
      </c>
      <c r="G113" s="12" t="s">
        <v>14</v>
      </c>
      <c r="H113" s="155">
        <v>41507</v>
      </c>
      <c r="I113" s="140">
        <v>11.25</v>
      </c>
      <c r="J113" s="147">
        <v>0</v>
      </c>
      <c r="K113" s="157">
        <v>39327</v>
      </c>
      <c r="L113" s="161">
        <v>163</v>
      </c>
      <c r="M113" s="161">
        <v>144</v>
      </c>
      <c r="N113" s="154">
        <f>(((Tabela1369[[#This Row],[Objetive value Dissimilarity]]-Tabela1369[[#This Row],[Objetive value Dissimilarity/GATeS]])/Tabela1369[[#This Row],[Objetive value Dissimilarity]]))*100</f>
        <v>5.252126147396825</v>
      </c>
      <c r="O113" s="23">
        <v>37464</v>
      </c>
      <c r="P113" s="53">
        <v>0.88</v>
      </c>
      <c r="Q113" s="53">
        <v>0</v>
      </c>
      <c r="R113" s="55">
        <f>(((Tabela1369[[#This Row],[Objetive value Dissimilarity]]-Tabela1369[[#This Row],[Objetive Value Dissimilarity/H-R1]])/Tabela1369[[#This Row],[Objetive value Dissimilarity]]))*100</f>
        <v>9.7405256944611747</v>
      </c>
      <c r="S113" s="96">
        <v>38145</v>
      </c>
      <c r="T113" s="21">
        <v>0.86</v>
      </c>
      <c r="U113" s="21">
        <v>0</v>
      </c>
      <c r="V113" s="144">
        <f>(((Tabela1369[[#This Row],[Objetive value Dissimilarity]]-Tabela1369[[#This Row],[Objetive value Dissimilarity/H-R2]])/Tabela1369[[#This Row],[Objetive value Dissimilarity]]))*100</f>
        <v>8.099838581444093</v>
      </c>
    </row>
    <row r="114" spans="1:22" x14ac:dyDescent="0.25">
      <c r="A114" s="11" t="s">
        <v>262</v>
      </c>
      <c r="B114" s="12" t="s">
        <v>1209</v>
      </c>
      <c r="C114" s="11">
        <v>2000</v>
      </c>
      <c r="D114" s="24">
        <v>0.1</v>
      </c>
      <c r="E114" s="11">
        <v>10</v>
      </c>
      <c r="F114" s="12" t="s">
        <v>18</v>
      </c>
      <c r="G114" s="12" t="s">
        <v>16</v>
      </c>
      <c r="H114" s="155">
        <v>22874</v>
      </c>
      <c r="I114" s="140">
        <v>23.3279999999795</v>
      </c>
      <c r="J114" s="147">
        <v>0</v>
      </c>
      <c r="K114" s="157">
        <v>22530</v>
      </c>
      <c r="L114" s="161">
        <v>143</v>
      </c>
      <c r="M114" s="161">
        <v>45</v>
      </c>
      <c r="N114" s="154">
        <f>(((Tabela1369[[#This Row],[Objetive value Dissimilarity]]-Tabela1369[[#This Row],[Objetive value Dissimilarity/GATeS]])/Tabela1369[[#This Row],[Objetive value Dissimilarity]]))*100</f>
        <v>1.5038908804756492</v>
      </c>
      <c r="O114" s="23">
        <v>22873</v>
      </c>
      <c r="P114" s="53">
        <v>0.89</v>
      </c>
      <c r="Q114" s="53">
        <v>0</v>
      </c>
      <c r="R114" s="55">
        <f>(((Tabela1369[[#This Row],[Objetive value Dissimilarity]]-Tabela1369[[#This Row],[Objetive Value Dissimilarity/H-R1]])/Tabela1369[[#This Row],[Objetive value Dissimilarity]]))*100</f>
        <v>4.3717758153361897E-3</v>
      </c>
      <c r="S114" s="96">
        <v>22801</v>
      </c>
      <c r="T114" s="21">
        <v>1.19</v>
      </c>
      <c r="U114" s="21">
        <v>0</v>
      </c>
      <c r="V114" s="144">
        <f>(((Tabela1369[[#This Row],[Objetive value Dissimilarity]]-Tabela1369[[#This Row],[Objetive value Dissimilarity/H-R2]])/Tabela1369[[#This Row],[Objetive value Dissimilarity]]))*100</f>
        <v>0.3191396345195418</v>
      </c>
    </row>
    <row r="115" spans="1:22" x14ac:dyDescent="0.25">
      <c r="A115" s="11" t="s">
        <v>262</v>
      </c>
      <c r="B115" s="12" t="s">
        <v>1210</v>
      </c>
      <c r="C115" s="11">
        <v>2000</v>
      </c>
      <c r="D115" s="47">
        <v>0.1</v>
      </c>
      <c r="E115" s="11">
        <v>10</v>
      </c>
      <c r="F115" s="12" t="s">
        <v>21</v>
      </c>
      <c r="G115" s="12" t="s">
        <v>14</v>
      </c>
      <c r="H115" s="155">
        <v>32203</v>
      </c>
      <c r="I115" s="140">
        <v>6.0470000000204802</v>
      </c>
      <c r="J115" s="147">
        <v>0</v>
      </c>
      <c r="K115" s="157">
        <v>30922</v>
      </c>
      <c r="L115" s="161">
        <v>213</v>
      </c>
      <c r="M115" s="161">
        <v>75</v>
      </c>
      <c r="N115" s="154">
        <f>(((Tabela1369[[#This Row],[Objetive value Dissimilarity]]-Tabela1369[[#This Row],[Objetive value Dissimilarity/GATeS]])/Tabela1369[[#This Row],[Objetive value Dissimilarity]]))*100</f>
        <v>3.9778902586715521</v>
      </c>
      <c r="O115" s="23">
        <v>21403</v>
      </c>
      <c r="P115" s="53">
        <v>2.21</v>
      </c>
      <c r="Q115" s="53">
        <v>0</v>
      </c>
      <c r="R115" s="55">
        <f>(((Tabela1369[[#This Row],[Objetive value Dissimilarity]]-Tabela1369[[#This Row],[Objetive Value Dissimilarity/H-R1]])/Tabela1369[[#This Row],[Objetive value Dissimilarity]]))*100</f>
        <v>33.537248082476786</v>
      </c>
      <c r="S115" s="96">
        <v>31467</v>
      </c>
      <c r="T115" s="21">
        <v>0.72</v>
      </c>
      <c r="U115" s="21">
        <v>0</v>
      </c>
      <c r="V115" s="144">
        <f>(((Tabela1369[[#This Row],[Objetive value Dissimilarity]]-Tabela1369[[#This Row],[Objetive value Dissimilarity/H-R2]])/Tabela1369[[#This Row],[Objetive value Dissimilarity]]))*100</f>
        <v>2.2855013508058257</v>
      </c>
    </row>
    <row r="116" spans="1:22" x14ac:dyDescent="0.25">
      <c r="A116" s="11" t="s">
        <v>262</v>
      </c>
      <c r="B116" s="12" t="s">
        <v>1211</v>
      </c>
      <c r="C116" s="11">
        <v>2000</v>
      </c>
      <c r="D116" s="47">
        <v>0.1</v>
      </c>
      <c r="E116" s="11">
        <v>10</v>
      </c>
      <c r="F116" s="12" t="s">
        <v>21</v>
      </c>
      <c r="G116" s="12" t="s">
        <v>16</v>
      </c>
      <c r="H116" s="155">
        <v>24273</v>
      </c>
      <c r="I116" s="140">
        <v>17.562999999965498</v>
      </c>
      <c r="J116" s="147">
        <v>0</v>
      </c>
      <c r="K116" s="157">
        <v>24134</v>
      </c>
      <c r="L116" s="161">
        <v>143</v>
      </c>
      <c r="M116" s="161">
        <v>103</v>
      </c>
      <c r="N116" s="154">
        <f>(((Tabela1369[[#This Row],[Objetive value Dissimilarity]]-Tabela1369[[#This Row],[Objetive value Dissimilarity/GATeS]])/Tabela1369[[#This Row],[Objetive value Dissimilarity]]))*100</f>
        <v>0.57265274172949365</v>
      </c>
      <c r="O116" s="23">
        <v>22852</v>
      </c>
      <c r="P116" s="53">
        <v>0.88</v>
      </c>
      <c r="Q116" s="53">
        <v>0</v>
      </c>
      <c r="R116" s="55">
        <f>(((Tabela1369[[#This Row],[Objetive value Dissimilarity]]-Tabela1369[[#This Row],[Objetive Value Dissimilarity/H-R1]])/Tabela1369[[#This Row],[Objetive value Dissimilarity]]))*100</f>
        <v>5.8542413381123062</v>
      </c>
      <c r="S116" s="96">
        <v>22493</v>
      </c>
      <c r="T116" s="21">
        <v>1.1499999999999999</v>
      </c>
      <c r="U116" s="21">
        <v>0</v>
      </c>
      <c r="V116" s="144">
        <f>(((Tabela1369[[#This Row],[Objetive value Dissimilarity]]-Tabela1369[[#This Row],[Objetive value Dissimilarity/H-R2]])/Tabela1369[[#This Row],[Objetive value Dissimilarity]]))*100</f>
        <v>7.3332509372553867</v>
      </c>
    </row>
    <row r="117" spans="1:22" x14ac:dyDescent="0.25">
      <c r="A117" s="11" t="s">
        <v>281</v>
      </c>
      <c r="B117" s="30" t="s">
        <v>1212</v>
      </c>
      <c r="C117" s="11">
        <v>2000</v>
      </c>
      <c r="D117" s="24">
        <v>0.1</v>
      </c>
      <c r="E117" s="11">
        <v>15</v>
      </c>
      <c r="F117" s="12" t="s">
        <v>13</v>
      </c>
      <c r="G117" s="12" t="s">
        <v>14</v>
      </c>
      <c r="H117" s="155">
        <v>60080</v>
      </c>
      <c r="I117" s="140">
        <v>44.233999999938497</v>
      </c>
      <c r="J117" s="147">
        <v>4.79</v>
      </c>
      <c r="K117" s="157">
        <v>58217</v>
      </c>
      <c r="L117" s="161">
        <v>352</v>
      </c>
      <c r="M117" s="161">
        <v>182</v>
      </c>
      <c r="N117" s="154">
        <f>(((Tabela1369[[#This Row],[Objetive value Dissimilarity]]-Tabela1369[[#This Row],[Objetive value Dissimilarity/GATeS]])/Tabela1369[[#This Row],[Objetive value Dissimilarity]]))*100</f>
        <v>3.1008655126498001</v>
      </c>
      <c r="O117" s="23">
        <v>58365</v>
      </c>
      <c r="P117" s="53">
        <v>1.1000000000000001</v>
      </c>
      <c r="Q117" s="53">
        <v>0</v>
      </c>
      <c r="R117" s="55">
        <f>(((Tabela1369[[#This Row],[Objetive value Dissimilarity]]-Tabela1369[[#This Row],[Objetive Value Dissimilarity/H-R1]])/Tabela1369[[#This Row],[Objetive value Dissimilarity]]))*100</f>
        <v>2.8545272969374169</v>
      </c>
      <c r="S117" s="96">
        <v>52674</v>
      </c>
      <c r="T117" s="21">
        <v>1.21</v>
      </c>
      <c r="U117" s="21">
        <v>0</v>
      </c>
      <c r="V117" s="144">
        <f>(((Tabela1369[[#This Row],[Objetive value Dissimilarity]]-Tabela1369[[#This Row],[Objetive value Dissimilarity/H-R2]])/Tabela1369[[#This Row],[Objetive value Dissimilarity]]))*100</f>
        <v>12.326897470039947</v>
      </c>
    </row>
    <row r="118" spans="1:22" x14ac:dyDescent="0.25">
      <c r="A118" s="11" t="s">
        <v>281</v>
      </c>
      <c r="B118" s="12" t="s">
        <v>1213</v>
      </c>
      <c r="C118" s="11">
        <v>2000</v>
      </c>
      <c r="D118" s="24">
        <v>0.1</v>
      </c>
      <c r="E118" s="11">
        <v>15</v>
      </c>
      <c r="F118" s="12" t="s">
        <v>13</v>
      </c>
      <c r="G118" s="12" t="s">
        <v>16</v>
      </c>
      <c r="H118" s="155">
        <v>34393</v>
      </c>
      <c r="I118" s="140">
        <v>230.467999999993</v>
      </c>
      <c r="J118" s="147">
        <v>0.2</v>
      </c>
      <c r="K118" s="157">
        <v>34102</v>
      </c>
      <c r="L118" s="161">
        <v>532</v>
      </c>
      <c r="M118" s="161">
        <v>167</v>
      </c>
      <c r="N118" s="154">
        <f>(((Tabela1369[[#This Row],[Objetive value Dissimilarity]]-Tabela1369[[#This Row],[Objetive value Dissimilarity/GATeS]])/Tabela1369[[#This Row],[Objetive value Dissimilarity]]))*100</f>
        <v>0.84610240455906727</v>
      </c>
      <c r="O118" s="23">
        <v>33323</v>
      </c>
      <c r="P118" s="53">
        <v>1.43</v>
      </c>
      <c r="Q118" s="53">
        <v>0</v>
      </c>
      <c r="R118" s="55">
        <f>(((Tabela1369[[#This Row],[Objetive value Dissimilarity]]-Tabela1369[[#This Row],[Objetive Value Dissimilarity/H-R1]])/Tabela1369[[#This Row],[Objetive value Dissimilarity]]))*100</f>
        <v>3.1110981885848865</v>
      </c>
      <c r="S118" s="96">
        <v>33297</v>
      </c>
      <c r="T118" s="21">
        <v>1.1599999999999999</v>
      </c>
      <c r="U118" s="21">
        <v>0</v>
      </c>
      <c r="V118" s="144">
        <f>(((Tabela1369[[#This Row],[Objetive value Dissimilarity]]-Tabela1369[[#This Row],[Objetive value Dissimilarity/H-R2]])/Tabela1369[[#This Row],[Objetive value Dissimilarity]]))*100</f>
        <v>3.1866949669990987</v>
      </c>
    </row>
    <row r="119" spans="1:22" x14ac:dyDescent="0.25">
      <c r="A119" s="11" t="s">
        <v>281</v>
      </c>
      <c r="B119" s="12" t="s">
        <v>1214</v>
      </c>
      <c r="C119" s="11">
        <v>2000</v>
      </c>
      <c r="D119" s="24">
        <v>0.1</v>
      </c>
      <c r="E119" s="11">
        <v>15</v>
      </c>
      <c r="F119" s="11" t="s">
        <v>18</v>
      </c>
      <c r="G119" s="12" t="s">
        <v>14</v>
      </c>
      <c r="H119" s="155">
        <v>59674</v>
      </c>
      <c r="I119" s="140">
        <v>36.922000000020397</v>
      </c>
      <c r="J119" s="147">
        <v>11.63</v>
      </c>
      <c r="K119" s="157">
        <v>57797</v>
      </c>
      <c r="L119" s="161">
        <v>299</v>
      </c>
      <c r="M119" s="161">
        <v>3</v>
      </c>
      <c r="N119" s="154">
        <f>(((Tabela1369[[#This Row],[Objetive value Dissimilarity]]-Tabela1369[[#This Row],[Objetive value Dissimilarity/GATeS]])/Tabela1369[[#This Row],[Objetive value Dissimilarity]]))*100</f>
        <v>3.1454234675067867</v>
      </c>
      <c r="O119" s="23">
        <v>57867</v>
      </c>
      <c r="P119" s="53">
        <v>1.0900000000000001</v>
      </c>
      <c r="Q119" s="53">
        <v>0</v>
      </c>
      <c r="R119" s="55">
        <f>(((Tabela1369[[#This Row],[Objetive value Dissimilarity]]-Tabela1369[[#This Row],[Objetive Value Dissimilarity/H-R1]])/Tabela1369[[#This Row],[Objetive value Dissimilarity]]))*100</f>
        <v>3.0281194490062675</v>
      </c>
      <c r="S119" s="96">
        <v>57009</v>
      </c>
      <c r="T119" s="21">
        <v>1.1100000000000001</v>
      </c>
      <c r="U119" s="21">
        <v>0</v>
      </c>
      <c r="V119" s="144">
        <f>(((Tabela1369[[#This Row],[Objetive value Dissimilarity]]-Tabela1369[[#This Row],[Objetive value Dissimilarity/H-R2]])/Tabela1369[[#This Row],[Objetive value Dissimilarity]]))*100</f>
        <v>4.4659315614840631</v>
      </c>
    </row>
    <row r="120" spans="1:22" x14ac:dyDescent="0.25">
      <c r="A120" s="11" t="s">
        <v>281</v>
      </c>
      <c r="B120" s="12" t="s">
        <v>1215</v>
      </c>
      <c r="C120" s="11">
        <v>2000</v>
      </c>
      <c r="D120" s="24">
        <v>0.1</v>
      </c>
      <c r="E120" s="11">
        <v>15</v>
      </c>
      <c r="F120" s="11" t="s">
        <v>18</v>
      </c>
      <c r="G120" s="12" t="s">
        <v>16</v>
      </c>
      <c r="H120" s="155">
        <v>33613</v>
      </c>
      <c r="I120" s="140">
        <v>225.015000000013</v>
      </c>
      <c r="J120" s="147">
        <v>0.65</v>
      </c>
      <c r="K120" s="157">
        <v>32894</v>
      </c>
      <c r="L120" s="161">
        <v>350</v>
      </c>
      <c r="M120" s="161">
        <v>263</v>
      </c>
      <c r="N120" s="154">
        <f>(((Tabela1369[[#This Row],[Objetive value Dissimilarity]]-Tabela1369[[#This Row],[Objetive value Dissimilarity/GATeS]])/Tabela1369[[#This Row],[Objetive value Dissimilarity]]))*100</f>
        <v>2.1390533424567879</v>
      </c>
      <c r="O120" s="23">
        <v>33469</v>
      </c>
      <c r="P120" s="53">
        <v>1.33</v>
      </c>
      <c r="Q120" s="53">
        <v>0</v>
      </c>
      <c r="R120" s="55">
        <f>(((Tabela1369[[#This Row],[Objetive value Dissimilarity]]-Tabela1369[[#This Row],[Objetive Value Dissimilarity/H-R1]])/Tabela1369[[#This Row],[Objetive value Dissimilarity]]))*100</f>
        <v>0.42840567637521193</v>
      </c>
      <c r="S120" s="96">
        <v>33240</v>
      </c>
      <c r="T120" s="21">
        <v>0.94</v>
      </c>
      <c r="U120" s="21">
        <v>0</v>
      </c>
      <c r="V120" s="144">
        <f>(((Tabela1369[[#This Row],[Objetive value Dissimilarity]]-Tabela1369[[#This Row],[Objetive value Dissimilarity/H-R2]])/Tabela1369[[#This Row],[Objetive value Dissimilarity]]))*100</f>
        <v>1.10968970338857</v>
      </c>
    </row>
    <row r="121" spans="1:22" x14ac:dyDescent="0.25">
      <c r="A121" s="11" t="s">
        <v>281</v>
      </c>
      <c r="B121" s="12" t="s">
        <v>1216</v>
      </c>
      <c r="C121" s="11">
        <v>2000</v>
      </c>
      <c r="D121" s="24">
        <v>0.1</v>
      </c>
      <c r="E121" s="11">
        <v>15</v>
      </c>
      <c r="F121" s="12" t="s">
        <v>21</v>
      </c>
      <c r="G121" s="12" t="s">
        <v>14</v>
      </c>
      <c r="H121" s="155">
        <v>44761</v>
      </c>
      <c r="I121" s="140">
        <v>8.1400000000139698</v>
      </c>
      <c r="J121" s="147">
        <v>139.24</v>
      </c>
      <c r="K121" s="157">
        <v>44758</v>
      </c>
      <c r="L121" s="161">
        <v>222</v>
      </c>
      <c r="M121" s="161">
        <v>61</v>
      </c>
      <c r="N121" s="154">
        <f>(((Tabela1369[[#This Row],[Objetive value Dissimilarity]]-Tabela1369[[#This Row],[Objetive value Dissimilarity/GATeS]])/Tabela1369[[#This Row],[Objetive value Dissimilarity]]))*100</f>
        <v>6.702263130850517E-3</v>
      </c>
      <c r="O121" s="23">
        <v>7952</v>
      </c>
      <c r="P121" s="53">
        <v>4.46</v>
      </c>
      <c r="Q121" s="53">
        <v>0</v>
      </c>
      <c r="R121" s="55">
        <f>(((Tabela1369[[#This Row],[Objetive value Dissimilarity]]-Tabela1369[[#This Row],[Objetive Value Dissimilarity/H-R1]])/Tabela1369[[#This Row],[Objetive value Dissimilarity]]))*100</f>
        <v>82.234534527825559</v>
      </c>
      <c r="S121" s="96">
        <v>41157</v>
      </c>
      <c r="T121" s="21">
        <v>2.44</v>
      </c>
      <c r="U121" s="21">
        <v>0</v>
      </c>
      <c r="V121" s="144">
        <f>(((Tabela1369[[#This Row],[Objetive value Dissimilarity]]-Tabela1369[[#This Row],[Objetive value Dissimilarity/H-R2]])/Tabela1369[[#This Row],[Objetive value Dissimilarity]]))*100</f>
        <v>8.0516521078617558</v>
      </c>
    </row>
    <row r="122" spans="1:22" x14ac:dyDescent="0.25">
      <c r="A122" s="11" t="s">
        <v>281</v>
      </c>
      <c r="B122" s="12" t="s">
        <v>1217</v>
      </c>
      <c r="C122" s="11">
        <v>2000</v>
      </c>
      <c r="D122" s="24">
        <v>0.1</v>
      </c>
      <c r="E122" s="11">
        <v>15</v>
      </c>
      <c r="F122" s="12" t="s">
        <v>21</v>
      </c>
      <c r="G122" s="12" t="s">
        <v>16</v>
      </c>
      <c r="H122" s="155">
        <v>35345</v>
      </c>
      <c r="I122" s="140">
        <v>135.85899999993799</v>
      </c>
      <c r="J122" s="147">
        <v>0</v>
      </c>
      <c r="K122" s="157">
        <v>34874</v>
      </c>
      <c r="L122" s="161">
        <v>374</v>
      </c>
      <c r="M122" s="161">
        <v>134</v>
      </c>
      <c r="N122" s="154">
        <f>(((Tabela1369[[#This Row],[Objetive value Dissimilarity]]-Tabela1369[[#This Row],[Objetive value Dissimilarity/GATeS]])/Tabela1369[[#This Row],[Objetive value Dissimilarity]]))*100</f>
        <v>1.332578865468949</v>
      </c>
      <c r="O122" s="23">
        <v>35343</v>
      </c>
      <c r="P122" s="53">
        <v>1.57</v>
      </c>
      <c r="Q122" s="53">
        <v>0</v>
      </c>
      <c r="R122" s="55">
        <f>(((Tabela1369[[#This Row],[Objetive value Dissimilarity]]-Tabela1369[[#This Row],[Objetive Value Dissimilarity/H-R1]])/Tabela1369[[#This Row],[Objetive value Dissimilarity]]))*100</f>
        <v>5.6585089828830107E-3</v>
      </c>
      <c r="S122" s="96">
        <v>35168</v>
      </c>
      <c r="T122" s="21">
        <v>1.19</v>
      </c>
      <c r="U122" s="21">
        <v>0</v>
      </c>
      <c r="V122" s="144">
        <f>(((Tabela1369[[#This Row],[Objetive value Dissimilarity]]-Tabela1369[[#This Row],[Objetive value Dissimilarity/H-R2]])/Tabela1369[[#This Row],[Objetive value Dissimilarity]]))*100</f>
        <v>0.50077804498514644</v>
      </c>
    </row>
    <row r="123" spans="1:22" x14ac:dyDescent="0.25">
      <c r="A123" s="11" t="s">
        <v>243</v>
      </c>
      <c r="B123" s="30" t="s">
        <v>1218</v>
      </c>
      <c r="C123" s="11">
        <v>2000</v>
      </c>
      <c r="D123" s="24">
        <v>0.1</v>
      </c>
      <c r="E123" s="11">
        <v>5</v>
      </c>
      <c r="F123" s="12" t="s">
        <v>13</v>
      </c>
      <c r="G123" s="12" t="s">
        <v>14</v>
      </c>
      <c r="H123" s="155">
        <v>18556</v>
      </c>
      <c r="I123" s="140">
        <v>1.875</v>
      </c>
      <c r="J123" s="147">
        <v>0</v>
      </c>
      <c r="K123" s="157">
        <v>18530</v>
      </c>
      <c r="L123" s="161">
        <v>90</v>
      </c>
      <c r="M123" s="161">
        <v>25</v>
      </c>
      <c r="N123" s="154">
        <f>(((Tabela1369[[#This Row],[Objetive value Dissimilarity]]-Tabela1369[[#This Row],[Objetive value Dissimilarity/GATeS]])/Tabela1369[[#This Row],[Objetive value Dissimilarity]]))*100</f>
        <v>0.14011640439749945</v>
      </c>
      <c r="O123" s="23">
        <v>17819</v>
      </c>
      <c r="P123" s="53">
        <v>0.72</v>
      </c>
      <c r="Q123" s="53">
        <v>0</v>
      </c>
      <c r="R123" s="55">
        <f>(((Tabela1369[[#This Row],[Objetive value Dissimilarity]]-Tabela1369[[#This Row],[Objetive Value Dissimilarity/H-R1]])/Tabela1369[[#This Row],[Objetive value Dissimilarity]]))*100</f>
        <v>3.9717611554214272</v>
      </c>
      <c r="S123" s="96">
        <v>17797</v>
      </c>
      <c r="T123" s="21">
        <v>1.07</v>
      </c>
      <c r="U123" s="21">
        <v>0</v>
      </c>
      <c r="V123" s="144">
        <f>(((Tabela1369[[#This Row],[Objetive value Dissimilarity]]-Tabela1369[[#This Row],[Objetive value Dissimilarity/H-R2]])/Tabela1369[[#This Row],[Objetive value Dissimilarity]]))*100</f>
        <v>4.0903211899116183</v>
      </c>
    </row>
    <row r="124" spans="1:22" x14ac:dyDescent="0.25">
      <c r="A124" s="11" t="s">
        <v>243</v>
      </c>
      <c r="B124" s="12" t="s">
        <v>1219</v>
      </c>
      <c r="C124" s="11">
        <v>2000</v>
      </c>
      <c r="D124" s="24">
        <v>0.1</v>
      </c>
      <c r="E124" s="11">
        <v>5</v>
      </c>
      <c r="F124" s="12" t="s">
        <v>13</v>
      </c>
      <c r="G124" s="12" t="s">
        <v>16</v>
      </c>
      <c r="H124" s="155">
        <v>14399</v>
      </c>
      <c r="I124" s="140">
        <v>2.4370000000344501</v>
      </c>
      <c r="J124" s="147">
        <v>0</v>
      </c>
      <c r="K124" s="157">
        <v>14329</v>
      </c>
      <c r="L124" s="161">
        <v>80</v>
      </c>
      <c r="M124" s="161">
        <v>24</v>
      </c>
      <c r="N124" s="154">
        <f>(((Tabela1369[[#This Row],[Objetive value Dissimilarity]]-Tabela1369[[#This Row],[Objetive value Dissimilarity/GATeS]])/Tabela1369[[#This Row],[Objetive value Dissimilarity]]))*100</f>
        <v>0.48614487117160915</v>
      </c>
      <c r="O124" s="23">
        <v>14113</v>
      </c>
      <c r="P124" s="53">
        <v>0.88</v>
      </c>
      <c r="Q124" s="53">
        <v>0</v>
      </c>
      <c r="R124" s="55">
        <f>(((Tabela1369[[#This Row],[Objetive value Dissimilarity]]-Tabela1369[[#This Row],[Objetive Value Dissimilarity/H-R1]])/Tabela1369[[#This Row],[Objetive value Dissimilarity]]))*100</f>
        <v>1.9862490450725745</v>
      </c>
      <c r="S124" s="96">
        <v>14384</v>
      </c>
      <c r="T124" s="21">
        <v>1.03</v>
      </c>
      <c r="U124" s="21">
        <v>0</v>
      </c>
      <c r="V124" s="144">
        <f>(((Tabela1369[[#This Row],[Objetive value Dissimilarity]]-Tabela1369[[#This Row],[Objetive value Dissimilarity/H-R2]])/Tabela1369[[#This Row],[Objetive value Dissimilarity]]))*100</f>
        <v>0.10417390096534483</v>
      </c>
    </row>
    <row r="125" spans="1:22" x14ac:dyDescent="0.25">
      <c r="A125" s="11" t="s">
        <v>243</v>
      </c>
      <c r="B125" s="12" t="s">
        <v>1220</v>
      </c>
      <c r="C125" s="11">
        <v>2000</v>
      </c>
      <c r="D125" s="24">
        <v>0.1</v>
      </c>
      <c r="E125" s="11">
        <v>5</v>
      </c>
      <c r="F125" s="11" t="s">
        <v>18</v>
      </c>
      <c r="G125" s="12" t="s">
        <v>14</v>
      </c>
      <c r="H125" s="155">
        <v>18990</v>
      </c>
      <c r="I125" s="140">
        <v>2</v>
      </c>
      <c r="J125" s="147">
        <v>0</v>
      </c>
      <c r="K125" s="157">
        <v>18887</v>
      </c>
      <c r="L125" s="161">
        <v>68</v>
      </c>
      <c r="M125" s="161">
        <v>43</v>
      </c>
      <c r="N125" s="154">
        <f>(((Tabela1369[[#This Row],[Objetive value Dissimilarity]]-Tabela1369[[#This Row],[Objetive value Dissimilarity/GATeS]])/Tabela1369[[#This Row],[Objetive value Dissimilarity]]))*100</f>
        <v>0.54239073196419163</v>
      </c>
      <c r="O125" s="23">
        <v>18990</v>
      </c>
      <c r="P125" s="53">
        <v>0.73</v>
      </c>
      <c r="Q125" s="53">
        <v>0</v>
      </c>
      <c r="R125" s="55">
        <f>(((Tabela1369[[#This Row],[Objetive value Dissimilarity]]-Tabela1369[[#This Row],[Objetive Value Dissimilarity/H-R1]])/Tabela1369[[#This Row],[Objetive value Dissimilarity]]))*100</f>
        <v>0</v>
      </c>
      <c r="S125" s="96">
        <v>18990</v>
      </c>
      <c r="T125" s="21">
        <v>1.08</v>
      </c>
      <c r="U125" s="21">
        <v>0</v>
      </c>
      <c r="V125" s="144">
        <f>(((Tabela1369[[#This Row],[Objetive value Dissimilarity]]-Tabela1369[[#This Row],[Objetive value Dissimilarity/H-R2]])/Tabela1369[[#This Row],[Objetive value Dissimilarity]]))*100</f>
        <v>0</v>
      </c>
    </row>
    <row r="126" spans="1:22" x14ac:dyDescent="0.25">
      <c r="A126" s="11" t="s">
        <v>243</v>
      </c>
      <c r="B126" s="12" t="s">
        <v>1221</v>
      </c>
      <c r="C126" s="11">
        <v>2000</v>
      </c>
      <c r="D126" s="24">
        <v>0.1</v>
      </c>
      <c r="E126" s="11">
        <v>5</v>
      </c>
      <c r="F126" s="11" t="s">
        <v>18</v>
      </c>
      <c r="G126" s="12" t="s">
        <v>16</v>
      </c>
      <c r="H126" s="155">
        <v>14732</v>
      </c>
      <c r="I126" s="140">
        <v>1.39099999994505</v>
      </c>
      <c r="J126" s="147">
        <v>0</v>
      </c>
      <c r="K126" s="157">
        <v>14722</v>
      </c>
      <c r="L126" s="161">
        <v>68</v>
      </c>
      <c r="M126" s="161">
        <v>53</v>
      </c>
      <c r="N126" s="154">
        <f>(((Tabela1369[[#This Row],[Objetive value Dissimilarity]]-Tabela1369[[#This Row],[Objetive value Dissimilarity/GATeS]])/Tabela1369[[#This Row],[Objetive value Dissimilarity]]))*100</f>
        <v>6.7879446103719793E-2</v>
      </c>
      <c r="O126" s="23">
        <v>14732</v>
      </c>
      <c r="P126" s="53">
        <v>0.82</v>
      </c>
      <c r="Q126" s="53">
        <v>0</v>
      </c>
      <c r="R126" s="55">
        <f>(((Tabela1369[[#This Row],[Objetive value Dissimilarity]]-Tabela1369[[#This Row],[Objetive Value Dissimilarity/H-R1]])/Tabela1369[[#This Row],[Objetive value Dissimilarity]]))*100</f>
        <v>0</v>
      </c>
      <c r="S126" s="96">
        <v>14732</v>
      </c>
      <c r="T126" s="21">
        <v>0.88</v>
      </c>
      <c r="U126" s="21">
        <v>0</v>
      </c>
      <c r="V126" s="144">
        <f>(((Tabela1369[[#This Row],[Objetive value Dissimilarity]]-Tabela1369[[#This Row],[Objetive value Dissimilarity/H-R2]])/Tabela1369[[#This Row],[Objetive value Dissimilarity]]))*100</f>
        <v>0</v>
      </c>
    </row>
    <row r="127" spans="1:22" x14ac:dyDescent="0.25">
      <c r="A127" s="11" t="s">
        <v>243</v>
      </c>
      <c r="B127" s="12" t="s">
        <v>1222</v>
      </c>
      <c r="C127" s="11">
        <v>2000</v>
      </c>
      <c r="D127" s="24">
        <v>0.1</v>
      </c>
      <c r="E127" s="11">
        <v>5</v>
      </c>
      <c r="F127" s="12" t="s">
        <v>21</v>
      </c>
      <c r="G127" s="12" t="s">
        <v>14</v>
      </c>
      <c r="H127" s="155">
        <v>10693</v>
      </c>
      <c r="I127" s="140">
        <v>2.0629999999655402</v>
      </c>
      <c r="J127" s="147">
        <v>0</v>
      </c>
      <c r="K127" s="157">
        <v>10693</v>
      </c>
      <c r="L127" s="161">
        <v>40</v>
      </c>
      <c r="M127" s="161">
        <v>0</v>
      </c>
      <c r="N127" s="154">
        <f>(((Tabela1369[[#This Row],[Objetive value Dissimilarity]]-Tabela1369[[#This Row],[Objetive value Dissimilarity/GATeS]])/Tabela1369[[#This Row],[Objetive value Dissimilarity]]))*100</f>
        <v>0</v>
      </c>
      <c r="O127" s="23">
        <v>6593</v>
      </c>
      <c r="P127" s="53">
        <v>1.6</v>
      </c>
      <c r="Q127" s="53">
        <v>0</v>
      </c>
      <c r="R127" s="55">
        <f>(((Tabela1369[[#This Row],[Objetive value Dissimilarity]]-Tabela1369[[#This Row],[Objetive Value Dissimilarity/H-R1]])/Tabela1369[[#This Row],[Objetive value Dissimilarity]]))*100</f>
        <v>38.342841111007203</v>
      </c>
      <c r="S127" s="96">
        <v>10693</v>
      </c>
      <c r="T127" s="21">
        <v>0.96</v>
      </c>
      <c r="U127" s="21">
        <v>0</v>
      </c>
      <c r="V127" s="144">
        <f>(((Tabela1369[[#This Row],[Objetive value Dissimilarity]]-Tabela1369[[#This Row],[Objetive value Dissimilarity/H-R2]])/Tabela1369[[#This Row],[Objetive value Dissimilarity]]))*100</f>
        <v>0</v>
      </c>
    </row>
    <row r="128" spans="1:22" x14ac:dyDescent="0.25">
      <c r="A128" s="11" t="s">
        <v>243</v>
      </c>
      <c r="B128" s="12" t="s">
        <v>1223</v>
      </c>
      <c r="C128" s="11">
        <v>2000</v>
      </c>
      <c r="D128" s="24">
        <v>0.1</v>
      </c>
      <c r="E128" s="11">
        <v>5</v>
      </c>
      <c r="F128" s="12" t="s">
        <v>21</v>
      </c>
      <c r="G128" s="12" t="s">
        <v>16</v>
      </c>
      <c r="H128" s="155">
        <v>11927</v>
      </c>
      <c r="I128" s="140">
        <v>2.25</v>
      </c>
      <c r="J128" s="147">
        <v>0</v>
      </c>
      <c r="K128" s="157">
        <v>11856</v>
      </c>
      <c r="L128" s="161">
        <v>49</v>
      </c>
      <c r="M128" s="161">
        <v>13</v>
      </c>
      <c r="N128" s="154">
        <f>(((Tabela1369[[#This Row],[Objetive value Dissimilarity]]-Tabela1369[[#This Row],[Objetive value Dissimilarity/GATeS]])/Tabela1369[[#This Row],[Objetive value Dissimilarity]]))*100</f>
        <v>0.59528800201224108</v>
      </c>
      <c r="O128" s="23">
        <v>11842</v>
      </c>
      <c r="P128" s="53">
        <v>0.85</v>
      </c>
      <c r="Q128" s="53">
        <v>0</v>
      </c>
      <c r="R128" s="55">
        <f>(((Tabela1369[[#This Row],[Objetive value Dissimilarity]]-Tabela1369[[#This Row],[Objetive Value Dissimilarity/H-R1]])/Tabela1369[[#This Row],[Objetive value Dissimilarity]]))*100</f>
        <v>0.71266873480338733</v>
      </c>
      <c r="S128" s="96">
        <v>11926</v>
      </c>
      <c r="T128" s="21">
        <v>0.96</v>
      </c>
      <c r="U128" s="21">
        <v>0</v>
      </c>
      <c r="V128" s="144">
        <f>(((Tabela1369[[#This Row],[Objetive value Dissimilarity]]-Tabela1369[[#This Row],[Objetive value Dissimilarity/H-R2]])/Tabela1369[[#This Row],[Objetive value Dissimilarity]]))*100</f>
        <v>8.3843380565104385E-3</v>
      </c>
    </row>
    <row r="129" spans="1:22" x14ac:dyDescent="0.25">
      <c r="A129" s="11" t="s">
        <v>262</v>
      </c>
      <c r="B129" s="30" t="s">
        <v>1224</v>
      </c>
      <c r="C129" s="11">
        <v>2000</v>
      </c>
      <c r="D129" s="11">
        <v>0.15</v>
      </c>
      <c r="E129" s="11">
        <v>10</v>
      </c>
      <c r="F129" s="12" t="s">
        <v>13</v>
      </c>
      <c r="G129" s="12" t="s">
        <v>14</v>
      </c>
      <c r="H129" s="155">
        <v>33089</v>
      </c>
      <c r="I129" s="140">
        <v>13.375</v>
      </c>
      <c r="J129" s="147">
        <v>0</v>
      </c>
      <c r="K129" s="157">
        <v>32347</v>
      </c>
      <c r="L129" s="161">
        <v>159</v>
      </c>
      <c r="M129" s="161">
        <v>122</v>
      </c>
      <c r="N129" s="154">
        <f>(((Tabela1369[[#This Row],[Objetive value Dissimilarity]]-Tabela1369[[#This Row],[Objetive value Dissimilarity/GATeS]])/Tabela1369[[#This Row],[Objetive value Dissimilarity]]))*100</f>
        <v>2.2424370636767508</v>
      </c>
      <c r="O129" s="23">
        <v>33089</v>
      </c>
      <c r="P129" s="53">
        <v>1.17</v>
      </c>
      <c r="Q129" s="53">
        <v>0</v>
      </c>
      <c r="R129" s="55">
        <f>(((Tabela1369[[#This Row],[Objetive value Dissimilarity]]-Tabela1369[[#This Row],[Objetive Value Dissimilarity/H-R1]])/Tabela1369[[#This Row],[Objetive value Dissimilarity]]))*100</f>
        <v>0</v>
      </c>
      <c r="S129" s="96">
        <v>31798</v>
      </c>
      <c r="T129" s="21">
        <v>0.64</v>
      </c>
      <c r="U129" s="21">
        <v>0</v>
      </c>
      <c r="V129" s="144">
        <f>(((Tabela1369[[#This Row],[Objetive value Dissimilarity]]-Tabela1369[[#This Row],[Objetive value Dissimilarity/H-R2]])/Tabela1369[[#This Row],[Objetive value Dissimilarity]]))*100</f>
        <v>3.9015987186073922</v>
      </c>
    </row>
    <row r="130" spans="1:22" x14ac:dyDescent="0.25">
      <c r="A130" s="11" t="s">
        <v>262</v>
      </c>
      <c r="B130" s="12" t="s">
        <v>1225</v>
      </c>
      <c r="C130" s="11">
        <v>2000</v>
      </c>
      <c r="D130" s="11">
        <v>0.15</v>
      </c>
      <c r="E130" s="11">
        <v>10</v>
      </c>
      <c r="F130" s="12" t="s">
        <v>13</v>
      </c>
      <c r="G130" s="12" t="s">
        <v>16</v>
      </c>
      <c r="H130" s="155">
        <v>23295</v>
      </c>
      <c r="I130" s="140">
        <v>31.515999999944999</v>
      </c>
      <c r="J130" s="147">
        <v>0</v>
      </c>
      <c r="K130" s="157">
        <v>22840</v>
      </c>
      <c r="L130" s="161">
        <v>148</v>
      </c>
      <c r="M130" s="161">
        <v>66</v>
      </c>
      <c r="N130" s="154">
        <f>(((Tabela1369[[#This Row],[Objetive value Dissimilarity]]-Tabela1369[[#This Row],[Objetive value Dissimilarity/GATeS]])/Tabela1369[[#This Row],[Objetive value Dissimilarity]]))*100</f>
        <v>1.9532088430993775</v>
      </c>
      <c r="O130" s="23">
        <v>22457</v>
      </c>
      <c r="P130" s="53">
        <v>0.94</v>
      </c>
      <c r="Q130" s="53">
        <v>0</v>
      </c>
      <c r="R130" s="55">
        <f>(((Tabela1369[[#This Row],[Objetive value Dissimilarity]]-Tabela1369[[#This Row],[Objetive Value Dissimilarity/H-R1]])/Tabela1369[[#This Row],[Objetive value Dissimilarity]]))*100</f>
        <v>3.5973384846533589</v>
      </c>
      <c r="S130" s="96">
        <v>23049</v>
      </c>
      <c r="T130" s="21">
        <v>1.1399999999999999</v>
      </c>
      <c r="U130" s="21">
        <v>0</v>
      </c>
      <c r="V130" s="144">
        <f>(((Tabela1369[[#This Row],[Objetive value Dissimilarity]]-Tabela1369[[#This Row],[Objetive value Dissimilarity/H-R2]])/Tabela1369[[#This Row],[Objetive value Dissimilarity]]))*100</f>
        <v>1.0560206052801031</v>
      </c>
    </row>
    <row r="131" spans="1:22" x14ac:dyDescent="0.25">
      <c r="A131" s="11" t="s">
        <v>262</v>
      </c>
      <c r="B131" s="12" t="s">
        <v>1226</v>
      </c>
      <c r="C131" s="11">
        <v>2000</v>
      </c>
      <c r="D131" s="11">
        <v>0.15</v>
      </c>
      <c r="E131" s="11">
        <v>10</v>
      </c>
      <c r="F131" s="12" t="s">
        <v>18</v>
      </c>
      <c r="G131" s="12" t="s">
        <v>14</v>
      </c>
      <c r="H131" s="155">
        <v>42225</v>
      </c>
      <c r="I131" s="140">
        <v>11.734999999986</v>
      </c>
      <c r="J131" s="147">
        <v>0</v>
      </c>
      <c r="K131" s="157">
        <v>40412</v>
      </c>
      <c r="L131" s="161">
        <v>155</v>
      </c>
      <c r="M131" s="161">
        <v>66</v>
      </c>
      <c r="N131" s="154">
        <f>(((Tabela1369[[#This Row],[Objetive value Dissimilarity]]-Tabela1369[[#This Row],[Objetive value Dissimilarity/GATeS]])/Tabela1369[[#This Row],[Objetive value Dissimilarity]]))*100</f>
        <v>4.293664890467733</v>
      </c>
      <c r="O131" s="23">
        <v>41531</v>
      </c>
      <c r="P131" s="53">
        <v>0.81</v>
      </c>
      <c r="Q131" s="53">
        <v>0</v>
      </c>
      <c r="R131" s="55">
        <f>(((Tabela1369[[#This Row],[Objetive value Dissimilarity]]-Tabela1369[[#This Row],[Objetive Value Dissimilarity/H-R1]])/Tabela1369[[#This Row],[Objetive value Dissimilarity]]))*100</f>
        <v>1.6435760805210184</v>
      </c>
      <c r="S131" s="96">
        <v>41728</v>
      </c>
      <c r="T131" s="21">
        <v>1.01</v>
      </c>
      <c r="U131" s="21">
        <v>0</v>
      </c>
      <c r="V131" s="144">
        <f>(((Tabela1369[[#This Row],[Objetive value Dissimilarity]]-Tabela1369[[#This Row],[Objetive value Dissimilarity/H-R2]])/Tabela1369[[#This Row],[Objetive value Dissimilarity]]))*100</f>
        <v>1.177027827116637</v>
      </c>
    </row>
    <row r="132" spans="1:22" x14ac:dyDescent="0.25">
      <c r="A132" s="11" t="s">
        <v>262</v>
      </c>
      <c r="B132" s="12" t="s">
        <v>1227</v>
      </c>
      <c r="C132" s="11">
        <v>2000</v>
      </c>
      <c r="D132" s="11">
        <v>0.15</v>
      </c>
      <c r="E132" s="11">
        <v>10</v>
      </c>
      <c r="F132" s="12" t="s">
        <v>18</v>
      </c>
      <c r="G132" s="12" t="s">
        <v>16</v>
      </c>
      <c r="H132" s="155">
        <v>24320</v>
      </c>
      <c r="I132" s="140">
        <v>22.032000000006501</v>
      </c>
      <c r="J132" s="147">
        <v>6.58</v>
      </c>
      <c r="K132" s="157">
        <v>23661</v>
      </c>
      <c r="L132" s="161">
        <v>308</v>
      </c>
      <c r="M132" s="161">
        <v>191</v>
      </c>
      <c r="N132" s="154">
        <f>(((Tabela1369[[#This Row],[Objetive value Dissimilarity]]-Tabela1369[[#This Row],[Objetive value Dissimilarity/GATeS]])/Tabela1369[[#This Row],[Objetive value Dissimilarity]]))*100</f>
        <v>2.7097039473684208</v>
      </c>
      <c r="O132" s="23">
        <v>24320</v>
      </c>
      <c r="P132" s="53">
        <v>0.99</v>
      </c>
      <c r="Q132" s="53">
        <v>0</v>
      </c>
      <c r="R132" s="55">
        <f>(((Tabela1369[[#This Row],[Objetive value Dissimilarity]]-Tabela1369[[#This Row],[Objetive Value Dissimilarity/H-R1]])/Tabela1369[[#This Row],[Objetive value Dissimilarity]]))*100</f>
        <v>0</v>
      </c>
      <c r="S132" s="96">
        <v>24163</v>
      </c>
      <c r="T132" s="21">
        <v>0.87</v>
      </c>
      <c r="U132" s="21">
        <v>0</v>
      </c>
      <c r="V132" s="144">
        <f>(((Tabela1369[[#This Row],[Objetive value Dissimilarity]]-Tabela1369[[#This Row],[Objetive value Dissimilarity/H-R2]])/Tabela1369[[#This Row],[Objetive value Dissimilarity]]))*100</f>
        <v>0.64555921052631582</v>
      </c>
    </row>
    <row r="133" spans="1:22" x14ac:dyDescent="0.25">
      <c r="A133" s="11" t="s">
        <v>262</v>
      </c>
      <c r="B133" s="12" t="s">
        <v>1228</v>
      </c>
      <c r="C133" s="11">
        <v>2000</v>
      </c>
      <c r="D133" s="11">
        <v>0.15</v>
      </c>
      <c r="E133" s="11">
        <v>10</v>
      </c>
      <c r="F133" s="12" t="s">
        <v>21</v>
      </c>
      <c r="G133" s="12" t="s">
        <v>14</v>
      </c>
      <c r="H133" s="155">
        <v>18247</v>
      </c>
      <c r="I133" s="140">
        <v>5.57799999997951</v>
      </c>
      <c r="J133" s="147">
        <v>0</v>
      </c>
      <c r="K133" s="157">
        <v>18247</v>
      </c>
      <c r="L133" s="161">
        <v>80</v>
      </c>
      <c r="M133" s="161">
        <v>0</v>
      </c>
      <c r="N133" s="154">
        <f>(((Tabela1369[[#This Row],[Objetive value Dissimilarity]]-Tabela1369[[#This Row],[Objetive value Dissimilarity/GATeS]])/Tabela1369[[#This Row],[Objetive value Dissimilarity]]))*100</f>
        <v>0</v>
      </c>
      <c r="O133" s="80"/>
      <c r="P133" s="79"/>
      <c r="Q133" s="79"/>
      <c r="R133" s="81">
        <v>100</v>
      </c>
      <c r="S133" s="96">
        <v>18247</v>
      </c>
      <c r="T133" s="21">
        <v>1.19</v>
      </c>
      <c r="U133" s="21">
        <v>0</v>
      </c>
      <c r="V133" s="144">
        <f>(((Tabela1369[[#This Row],[Objetive value Dissimilarity]]-Tabela1369[[#This Row],[Objetive value Dissimilarity/H-R2]])/Tabela1369[[#This Row],[Objetive value Dissimilarity]]))*100</f>
        <v>0</v>
      </c>
    </row>
    <row r="134" spans="1:22" x14ac:dyDescent="0.25">
      <c r="A134" s="11" t="s">
        <v>262</v>
      </c>
      <c r="B134" s="12" t="s">
        <v>1229</v>
      </c>
      <c r="C134" s="11">
        <v>2000</v>
      </c>
      <c r="D134" s="11">
        <v>0.15</v>
      </c>
      <c r="E134" s="11">
        <v>10</v>
      </c>
      <c r="F134" s="12" t="s">
        <v>21</v>
      </c>
      <c r="G134" s="12" t="s">
        <v>16</v>
      </c>
      <c r="H134" s="155">
        <v>24775</v>
      </c>
      <c r="I134" s="140">
        <v>21.5</v>
      </c>
      <c r="J134" s="147">
        <v>0</v>
      </c>
      <c r="K134" s="157">
        <v>24012</v>
      </c>
      <c r="L134" s="161">
        <v>150</v>
      </c>
      <c r="M134" s="161">
        <v>135</v>
      </c>
      <c r="N134" s="154">
        <f>(((Tabela1369[[#This Row],[Objetive value Dissimilarity]]-Tabela1369[[#This Row],[Objetive value Dissimilarity/GATeS]])/Tabela1369[[#This Row],[Objetive value Dissimilarity]]))*100</f>
        <v>3.0797174571140262</v>
      </c>
      <c r="O134" s="23">
        <v>24055</v>
      </c>
      <c r="P134" s="53">
        <v>0.8</v>
      </c>
      <c r="Q134" s="53">
        <v>0</v>
      </c>
      <c r="R134" s="55">
        <f>(((Tabela1369[[#This Row],[Objetive value Dissimilarity]]-Tabela1369[[#This Row],[Objetive Value Dissimilarity/H-R1]])/Tabela1369[[#This Row],[Objetive value Dissimilarity]]))*100</f>
        <v>2.9061553985872854</v>
      </c>
      <c r="S134" s="96">
        <v>24112</v>
      </c>
      <c r="T134" s="21">
        <v>0.89</v>
      </c>
      <c r="U134" s="21">
        <v>0</v>
      </c>
      <c r="V134" s="144">
        <f>(((Tabela1369[[#This Row],[Objetive value Dissimilarity]]-Tabela1369[[#This Row],[Objetive value Dissimilarity/H-R2]])/Tabela1369[[#This Row],[Objetive value Dissimilarity]]))*100</f>
        <v>2.6760847628657922</v>
      </c>
    </row>
    <row r="135" spans="1:22" x14ac:dyDescent="0.25">
      <c r="A135" s="11" t="s">
        <v>281</v>
      </c>
      <c r="B135" s="12" t="s">
        <v>1230</v>
      </c>
      <c r="C135" s="11">
        <v>2000</v>
      </c>
      <c r="D135" s="11">
        <v>0.15</v>
      </c>
      <c r="E135" s="11">
        <v>15</v>
      </c>
      <c r="F135" s="12" t="s">
        <v>13</v>
      </c>
      <c r="G135" s="12" t="s">
        <v>14</v>
      </c>
      <c r="H135" s="155">
        <v>58545</v>
      </c>
      <c r="I135" s="140">
        <v>35.780999999959</v>
      </c>
      <c r="J135" s="147">
        <v>4.92</v>
      </c>
      <c r="K135" s="157">
        <v>57209</v>
      </c>
      <c r="L135" s="161">
        <v>340</v>
      </c>
      <c r="M135" s="161">
        <v>29</v>
      </c>
      <c r="N135" s="154">
        <f>(((Tabela1369[[#This Row],[Objetive value Dissimilarity]]-Tabela1369[[#This Row],[Objetive value Dissimilarity/GATeS]])/Tabela1369[[#This Row],[Objetive value Dissimilarity]]))*100</f>
        <v>2.282005295072167</v>
      </c>
      <c r="O135" s="23">
        <v>53941</v>
      </c>
      <c r="P135" s="53">
        <v>1.1399999999999999</v>
      </c>
      <c r="Q135" s="53">
        <v>0</v>
      </c>
      <c r="R135" s="55">
        <f>(((Tabela1369[[#This Row],[Objetive value Dissimilarity]]-Tabela1369[[#This Row],[Objetive Value Dissimilarity/H-R1]])/Tabela1369[[#This Row],[Objetive value Dissimilarity]]))*100</f>
        <v>7.8640362114612685</v>
      </c>
      <c r="S135" s="96">
        <v>53916</v>
      </c>
      <c r="T135" s="21">
        <v>0.85</v>
      </c>
      <c r="U135" s="21">
        <v>0</v>
      </c>
      <c r="V135" s="144">
        <f>(((Tabela1369[[#This Row],[Objetive value Dissimilarity]]-Tabela1369[[#This Row],[Objetive value Dissimilarity/H-R2]])/Tabela1369[[#This Row],[Objetive value Dissimilarity]]))*100</f>
        <v>7.9067384063540871</v>
      </c>
    </row>
    <row r="136" spans="1:22" x14ac:dyDescent="0.25">
      <c r="A136" s="11" t="s">
        <v>281</v>
      </c>
      <c r="B136" s="12" t="s">
        <v>1231</v>
      </c>
      <c r="C136" s="11">
        <v>2000</v>
      </c>
      <c r="D136" s="11">
        <v>0.15</v>
      </c>
      <c r="E136" s="11">
        <v>15</v>
      </c>
      <c r="F136" s="12" t="s">
        <v>13</v>
      </c>
      <c r="G136" s="12" t="s">
        <v>16</v>
      </c>
      <c r="H136" s="155">
        <v>33850</v>
      </c>
      <c r="I136" s="140">
        <v>226.312999999965</v>
      </c>
      <c r="J136" s="147">
        <v>3.36</v>
      </c>
      <c r="K136" s="157">
        <v>33228</v>
      </c>
      <c r="L136" s="161">
        <v>308</v>
      </c>
      <c r="M136" s="161">
        <v>7</v>
      </c>
      <c r="N136" s="154">
        <f>(((Tabela1369[[#This Row],[Objetive value Dissimilarity]]-Tabela1369[[#This Row],[Objetive value Dissimilarity/GATeS]])/Tabela1369[[#This Row],[Objetive value Dissimilarity]]))*100</f>
        <v>1.8375184638109303</v>
      </c>
      <c r="O136" s="23">
        <v>33499</v>
      </c>
      <c r="P136" s="53">
        <v>1.49</v>
      </c>
      <c r="Q136" s="53">
        <v>0</v>
      </c>
      <c r="R136" s="55">
        <f>(((Tabela1369[[#This Row],[Objetive value Dissimilarity]]-Tabela1369[[#This Row],[Objetive Value Dissimilarity/H-R1]])/Tabela1369[[#This Row],[Objetive value Dissimilarity]]))*100</f>
        <v>1.0369276218611521</v>
      </c>
      <c r="S136" s="96">
        <v>33628</v>
      </c>
      <c r="T136" s="21">
        <v>1.19</v>
      </c>
      <c r="U136" s="21">
        <v>0</v>
      </c>
      <c r="V136" s="144">
        <f>(((Tabela1369[[#This Row],[Objetive value Dissimilarity]]-Tabela1369[[#This Row],[Objetive value Dissimilarity/H-R2]])/Tabela1369[[#This Row],[Objetive value Dissimilarity]]))*100</f>
        <v>0.65583456425406206</v>
      </c>
    </row>
    <row r="137" spans="1:22" x14ac:dyDescent="0.25">
      <c r="A137" s="11" t="s">
        <v>281</v>
      </c>
      <c r="B137" s="12" t="s">
        <v>1232</v>
      </c>
      <c r="C137" s="11">
        <v>2000</v>
      </c>
      <c r="D137" s="11">
        <v>0.15</v>
      </c>
      <c r="E137" s="11">
        <v>15</v>
      </c>
      <c r="F137" s="12" t="s">
        <v>18</v>
      </c>
      <c r="G137" s="12" t="s">
        <v>14</v>
      </c>
      <c r="H137" s="155">
        <v>54409</v>
      </c>
      <c r="I137" s="140">
        <v>36.359000000054898</v>
      </c>
      <c r="J137" s="147">
        <v>12.4</v>
      </c>
      <c r="K137" s="157">
        <v>52993</v>
      </c>
      <c r="L137" s="161">
        <v>296</v>
      </c>
      <c r="M137" s="161">
        <v>134</v>
      </c>
      <c r="N137" s="154">
        <f>(((Tabela1369[[#This Row],[Objetive value Dissimilarity]]-Tabela1369[[#This Row],[Objetive value Dissimilarity/GATeS]])/Tabela1369[[#This Row],[Objetive value Dissimilarity]]))*100</f>
        <v>2.602510614052822</v>
      </c>
      <c r="O137" s="23">
        <v>50815</v>
      </c>
      <c r="P137" s="53">
        <v>1.07</v>
      </c>
      <c r="Q137" s="53">
        <v>0</v>
      </c>
      <c r="R137" s="55">
        <f>(((Tabela1369[[#This Row],[Objetive value Dissimilarity]]-Tabela1369[[#This Row],[Objetive Value Dissimilarity/H-R1]])/Tabela1369[[#This Row],[Objetive value Dissimilarity]]))*100</f>
        <v>6.6055248212611879</v>
      </c>
      <c r="S137" s="96">
        <v>52422</v>
      </c>
      <c r="T137" s="21">
        <v>0.94</v>
      </c>
      <c r="U137" s="21">
        <v>0</v>
      </c>
      <c r="V137" s="144">
        <f>(((Tabela1369[[#This Row],[Objetive value Dissimilarity]]-Tabela1369[[#This Row],[Objetive value Dissimilarity/H-R2]])/Tabela1369[[#This Row],[Objetive value Dissimilarity]]))*100</f>
        <v>3.6519693433071736</v>
      </c>
    </row>
    <row r="138" spans="1:22" x14ac:dyDescent="0.25">
      <c r="A138" s="11" t="s">
        <v>281</v>
      </c>
      <c r="B138" s="12" t="s">
        <v>1233</v>
      </c>
      <c r="C138" s="11">
        <v>2000</v>
      </c>
      <c r="D138" s="11">
        <v>0.15</v>
      </c>
      <c r="E138" s="11">
        <v>15</v>
      </c>
      <c r="F138" s="12" t="s">
        <v>18</v>
      </c>
      <c r="G138" s="12" t="s">
        <v>16</v>
      </c>
      <c r="H138" s="155">
        <v>33978</v>
      </c>
      <c r="I138" s="140">
        <v>463.73400000005398</v>
      </c>
      <c r="J138" s="147">
        <v>0.54</v>
      </c>
      <c r="K138" s="157">
        <v>33619</v>
      </c>
      <c r="L138" s="161">
        <v>728</v>
      </c>
      <c r="M138" s="161">
        <v>289</v>
      </c>
      <c r="N138" s="154">
        <f>(((Tabela1369[[#This Row],[Objetive value Dissimilarity]]-Tabela1369[[#This Row],[Objetive value Dissimilarity/GATeS]])/Tabela1369[[#This Row],[Objetive value Dissimilarity]]))*100</f>
        <v>1.0565660133027253</v>
      </c>
      <c r="O138" s="23">
        <v>33861</v>
      </c>
      <c r="P138" s="53">
        <v>1.82</v>
      </c>
      <c r="Q138" s="53">
        <v>0</v>
      </c>
      <c r="R138" s="55">
        <f>(((Tabela1369[[#This Row],[Objetive value Dissimilarity]]-Tabela1369[[#This Row],[Objetive Value Dissimilarity/H-R1]])/Tabela1369[[#This Row],[Objetive value Dissimilarity]]))*100</f>
        <v>0.34434045558891047</v>
      </c>
      <c r="S138" s="96">
        <v>33711</v>
      </c>
      <c r="T138" s="21">
        <v>1.1499999999999999</v>
      </c>
      <c r="U138" s="21">
        <v>0</v>
      </c>
      <c r="V138" s="144">
        <f>(((Tabela1369[[#This Row],[Objetive value Dissimilarity]]-Tabela1369[[#This Row],[Objetive value Dissimilarity/H-R2]])/Tabela1369[[#This Row],[Objetive value Dissimilarity]]))*100</f>
        <v>0.78580257813879573</v>
      </c>
    </row>
    <row r="139" spans="1:22" x14ac:dyDescent="0.25">
      <c r="A139" s="11" t="s">
        <v>281</v>
      </c>
      <c r="B139" s="12" t="s">
        <v>1234</v>
      </c>
      <c r="C139" s="11">
        <v>2000</v>
      </c>
      <c r="D139" s="11">
        <v>0.15</v>
      </c>
      <c r="E139" s="11">
        <v>15</v>
      </c>
      <c r="F139" s="12" t="s">
        <v>21</v>
      </c>
      <c r="G139" s="12" t="s">
        <v>14</v>
      </c>
      <c r="H139" s="155">
        <v>51244</v>
      </c>
      <c r="I139" s="140">
        <v>8.6709999999729899</v>
      </c>
      <c r="J139" s="147">
        <v>0</v>
      </c>
      <c r="K139" s="157">
        <v>51141</v>
      </c>
      <c r="L139" s="161">
        <v>288</v>
      </c>
      <c r="M139" s="161">
        <v>2</v>
      </c>
      <c r="N139" s="154">
        <f>(((Tabela1369[[#This Row],[Objetive value Dissimilarity]]-Tabela1369[[#This Row],[Objetive value Dissimilarity/GATeS]])/Tabela1369[[#This Row],[Objetive value Dissimilarity]]))*100</f>
        <v>0.20099914136289129</v>
      </c>
      <c r="O139" s="23">
        <v>30011</v>
      </c>
      <c r="P139" s="53">
        <v>3.61</v>
      </c>
      <c r="Q139" s="53">
        <v>0</v>
      </c>
      <c r="R139" s="55">
        <f>(((Tabela1369[[#This Row],[Objetive value Dissimilarity]]-Tabela1369[[#This Row],[Objetive Value Dissimilarity/H-R1]])/Tabela1369[[#This Row],[Objetive value Dissimilarity]]))*100</f>
        <v>41.435094840371555</v>
      </c>
      <c r="S139" s="96">
        <v>51189</v>
      </c>
      <c r="T139" s="21">
        <v>1.62</v>
      </c>
      <c r="U139" s="21">
        <v>0</v>
      </c>
      <c r="V139" s="144">
        <f>(((Tabela1369[[#This Row],[Objetive value Dissimilarity]]-Tabela1369[[#This Row],[Objetive value Dissimilarity/H-R2]])/Tabela1369[[#This Row],[Objetive value Dissimilarity]]))*100</f>
        <v>0.10732963859183514</v>
      </c>
    </row>
    <row r="140" spans="1:22" x14ac:dyDescent="0.25">
      <c r="A140" s="11" t="s">
        <v>281</v>
      </c>
      <c r="B140" s="12" t="s">
        <v>1235</v>
      </c>
      <c r="C140" s="11">
        <v>2000</v>
      </c>
      <c r="D140" s="11">
        <v>0.15</v>
      </c>
      <c r="E140" s="11">
        <v>15</v>
      </c>
      <c r="F140" s="12" t="s">
        <v>21</v>
      </c>
      <c r="G140" s="12" t="s">
        <v>16</v>
      </c>
      <c r="H140" s="155">
        <v>35263</v>
      </c>
      <c r="I140" s="140">
        <v>89.609000000054905</v>
      </c>
      <c r="J140" s="147">
        <v>0</v>
      </c>
      <c r="K140" s="157">
        <v>35218</v>
      </c>
      <c r="L140" s="161">
        <v>581</v>
      </c>
      <c r="M140" s="161">
        <v>422</v>
      </c>
      <c r="N140" s="154">
        <f>(((Tabela1369[[#This Row],[Objetive value Dissimilarity]]-Tabela1369[[#This Row],[Objetive value Dissimilarity/GATeS]])/Tabela1369[[#This Row],[Objetive value Dissimilarity]]))*100</f>
        <v>0.12761251169781357</v>
      </c>
      <c r="O140" s="23">
        <v>35231</v>
      </c>
      <c r="P140" s="53">
        <v>1.67</v>
      </c>
      <c r="Q140" s="53">
        <v>0</v>
      </c>
      <c r="R140" s="55">
        <f>(((Tabela1369[[#This Row],[Objetive value Dissimilarity]]-Tabela1369[[#This Row],[Objetive Value Dissimilarity/H-R1]])/Tabela1369[[#This Row],[Objetive value Dissimilarity]]))*100</f>
        <v>9.0746674985111866E-2</v>
      </c>
      <c r="S140" s="96">
        <v>34787</v>
      </c>
      <c r="T140" s="21">
        <v>1.04</v>
      </c>
      <c r="U140" s="21">
        <v>0</v>
      </c>
      <c r="V140" s="144">
        <f>(((Tabela1369[[#This Row],[Objetive value Dissimilarity]]-Tabela1369[[#This Row],[Objetive value Dissimilarity/H-R2]])/Tabela1369[[#This Row],[Objetive value Dissimilarity]]))*100</f>
        <v>1.349856790403539</v>
      </c>
    </row>
    <row r="141" spans="1:22" x14ac:dyDescent="0.25">
      <c r="A141" s="11" t="s">
        <v>243</v>
      </c>
      <c r="B141" s="30" t="s">
        <v>1236</v>
      </c>
      <c r="C141" s="11">
        <v>2000</v>
      </c>
      <c r="D141" s="11">
        <v>0.15</v>
      </c>
      <c r="E141" s="11">
        <v>5</v>
      </c>
      <c r="F141" s="12" t="s">
        <v>13</v>
      </c>
      <c r="G141" s="12" t="s">
        <v>14</v>
      </c>
      <c r="H141" s="155">
        <v>19287</v>
      </c>
      <c r="I141" s="140">
        <v>2.1870000000344501</v>
      </c>
      <c r="J141" s="147">
        <v>0</v>
      </c>
      <c r="K141" s="157">
        <v>19274</v>
      </c>
      <c r="L141" s="161">
        <v>95</v>
      </c>
      <c r="M141" s="161">
        <v>88</v>
      </c>
      <c r="N141" s="154">
        <f>(((Tabela1369[[#This Row],[Objetive value Dissimilarity]]-Tabela1369[[#This Row],[Objetive value Dissimilarity/GATeS]])/Tabela1369[[#This Row],[Objetive value Dissimilarity]]))*100</f>
        <v>6.7402913879815424E-2</v>
      </c>
      <c r="O141" s="23">
        <v>18858</v>
      </c>
      <c r="P141" s="53">
        <v>0.8</v>
      </c>
      <c r="Q141" s="53">
        <v>0</v>
      </c>
      <c r="R141" s="55">
        <f>(((Tabela1369[[#This Row],[Objetive value Dissimilarity]]-Tabela1369[[#This Row],[Objetive Value Dissimilarity/H-R1]])/Tabela1369[[#This Row],[Objetive value Dissimilarity]]))*100</f>
        <v>2.2242961580339089</v>
      </c>
      <c r="S141" s="96">
        <v>18858</v>
      </c>
      <c r="T141" s="21">
        <v>1</v>
      </c>
      <c r="U141" s="21">
        <v>0</v>
      </c>
      <c r="V141" s="144">
        <f>(((Tabela1369[[#This Row],[Objetive value Dissimilarity]]-Tabela1369[[#This Row],[Objetive value Dissimilarity/H-R2]])/Tabela1369[[#This Row],[Objetive value Dissimilarity]]))*100</f>
        <v>2.2242961580339089</v>
      </c>
    </row>
    <row r="142" spans="1:22" x14ac:dyDescent="0.25">
      <c r="A142" s="11" t="s">
        <v>243</v>
      </c>
      <c r="B142" s="12" t="s">
        <v>1237</v>
      </c>
      <c r="C142" s="11">
        <v>2000</v>
      </c>
      <c r="D142" s="11">
        <v>0.15</v>
      </c>
      <c r="E142" s="11">
        <v>5</v>
      </c>
      <c r="F142" s="12" t="s">
        <v>13</v>
      </c>
      <c r="G142" s="12" t="s">
        <v>16</v>
      </c>
      <c r="H142" s="155">
        <v>13244</v>
      </c>
      <c r="I142" s="140">
        <v>1.64099999994505</v>
      </c>
      <c r="J142" s="147">
        <v>0</v>
      </c>
      <c r="K142" s="157">
        <v>13096</v>
      </c>
      <c r="L142" s="161">
        <v>75</v>
      </c>
      <c r="M142" s="161">
        <v>5</v>
      </c>
      <c r="N142" s="154">
        <f>(((Tabela1369[[#This Row],[Objetive value Dissimilarity]]-Tabela1369[[#This Row],[Objetive value Dissimilarity/GATeS]])/Tabela1369[[#This Row],[Objetive value Dissimilarity]]))*100</f>
        <v>1.117487163998792</v>
      </c>
      <c r="O142" s="23">
        <v>13244</v>
      </c>
      <c r="P142" s="53">
        <v>0.84</v>
      </c>
      <c r="Q142" s="53">
        <v>0</v>
      </c>
      <c r="R142" s="55">
        <f>(((Tabela1369[[#This Row],[Objetive value Dissimilarity]]-Tabela1369[[#This Row],[Objetive Value Dissimilarity/H-R1]])/Tabela1369[[#This Row],[Objetive value Dissimilarity]]))*100</f>
        <v>0</v>
      </c>
      <c r="S142" s="96">
        <v>13135</v>
      </c>
      <c r="T142" s="21">
        <v>1.29</v>
      </c>
      <c r="U142" s="21">
        <v>0</v>
      </c>
      <c r="V142" s="144">
        <f>(((Tabela1369[[#This Row],[Objetive value Dissimilarity]]-Tabela1369[[#This Row],[Objetive value Dissimilarity/H-R2]])/Tabela1369[[#This Row],[Objetive value Dissimilarity]]))*100</f>
        <v>0.8230141951072184</v>
      </c>
    </row>
    <row r="143" spans="1:22" x14ac:dyDescent="0.25">
      <c r="A143" s="11" t="s">
        <v>243</v>
      </c>
      <c r="B143" s="12" t="s">
        <v>1238</v>
      </c>
      <c r="C143" s="11">
        <v>2000</v>
      </c>
      <c r="D143" s="11">
        <v>0.15</v>
      </c>
      <c r="E143" s="11">
        <v>5</v>
      </c>
      <c r="F143" s="12" t="s">
        <v>18</v>
      </c>
      <c r="G143" s="12" t="s">
        <v>14</v>
      </c>
      <c r="H143" s="155">
        <v>18326</v>
      </c>
      <c r="I143" s="140">
        <v>1.76599999994505</v>
      </c>
      <c r="J143" s="147">
        <v>0</v>
      </c>
      <c r="K143" s="157">
        <v>18247</v>
      </c>
      <c r="L143" s="161">
        <v>71</v>
      </c>
      <c r="M143" s="161">
        <v>15</v>
      </c>
      <c r="N143" s="154">
        <f>(((Tabela1369[[#This Row],[Objetive value Dissimilarity]]-Tabela1369[[#This Row],[Objetive value Dissimilarity/GATeS]])/Tabela1369[[#This Row],[Objetive value Dissimilarity]]))*100</f>
        <v>0.43108152351849832</v>
      </c>
      <c r="O143" s="23">
        <v>18326</v>
      </c>
      <c r="P143" s="53">
        <v>0.74</v>
      </c>
      <c r="Q143" s="53">
        <v>0</v>
      </c>
      <c r="R143" s="55">
        <f>(((Tabela1369[[#This Row],[Objetive value Dissimilarity]]-Tabela1369[[#This Row],[Objetive Value Dissimilarity/H-R1]])/Tabela1369[[#This Row],[Objetive value Dissimilarity]]))*100</f>
        <v>0</v>
      </c>
      <c r="S143" s="96">
        <v>17618</v>
      </c>
      <c r="T143" s="21">
        <v>0.93</v>
      </c>
      <c r="U143" s="21">
        <v>0</v>
      </c>
      <c r="V143" s="144">
        <f>(((Tabela1369[[#This Row],[Objetive value Dissimilarity]]-Tabela1369[[#This Row],[Objetive value Dissimilarity/H-R2]])/Tabela1369[[#This Row],[Objetive value Dissimilarity]]))*100</f>
        <v>3.8633635272290729</v>
      </c>
    </row>
    <row r="144" spans="1:22" x14ac:dyDescent="0.25">
      <c r="A144" s="11" t="s">
        <v>243</v>
      </c>
      <c r="B144" s="12" t="s">
        <v>1239</v>
      </c>
      <c r="C144" s="11">
        <v>2000</v>
      </c>
      <c r="D144" s="11">
        <v>0.15</v>
      </c>
      <c r="E144" s="11">
        <v>5</v>
      </c>
      <c r="F144" s="12" t="s">
        <v>18</v>
      </c>
      <c r="G144" s="12" t="s">
        <v>16</v>
      </c>
      <c r="H144" s="155">
        <v>14167</v>
      </c>
      <c r="I144" s="140">
        <v>1.92200000002048</v>
      </c>
      <c r="J144" s="147">
        <v>0</v>
      </c>
      <c r="K144" s="157">
        <v>14163</v>
      </c>
      <c r="L144" s="161">
        <v>83</v>
      </c>
      <c r="M144" s="161">
        <v>42</v>
      </c>
      <c r="N144" s="154">
        <f>(((Tabela1369[[#This Row],[Objetive value Dissimilarity]]-Tabela1369[[#This Row],[Objetive value Dissimilarity/GATeS]])/Tabela1369[[#This Row],[Objetive value Dissimilarity]]))*100</f>
        <v>2.8234629773417098E-2</v>
      </c>
      <c r="O144" s="23">
        <v>14167</v>
      </c>
      <c r="P144" s="53">
        <v>0.83</v>
      </c>
      <c r="Q144" s="53">
        <v>0</v>
      </c>
      <c r="R144" s="55">
        <f>(((Tabela1369[[#This Row],[Objetive value Dissimilarity]]-Tabela1369[[#This Row],[Objetive Value Dissimilarity/H-R1]])/Tabela1369[[#This Row],[Objetive value Dissimilarity]]))*100</f>
        <v>0</v>
      </c>
      <c r="S144" s="96">
        <v>13753</v>
      </c>
      <c r="T144" s="21">
        <v>1.2</v>
      </c>
      <c r="U144" s="21">
        <v>0</v>
      </c>
      <c r="V144" s="144">
        <f>(((Tabela1369[[#This Row],[Objetive value Dissimilarity]]-Tabela1369[[#This Row],[Objetive value Dissimilarity/H-R2]])/Tabela1369[[#This Row],[Objetive value Dissimilarity]]))*100</f>
        <v>2.9222841815486693</v>
      </c>
    </row>
    <row r="145" spans="1:22" x14ac:dyDescent="0.25">
      <c r="A145" s="11" t="s">
        <v>243</v>
      </c>
      <c r="B145" s="12" t="s">
        <v>1240</v>
      </c>
      <c r="C145" s="11">
        <v>2000</v>
      </c>
      <c r="D145" s="11">
        <v>0.15</v>
      </c>
      <c r="E145" s="11">
        <v>5</v>
      </c>
      <c r="F145" s="12" t="s">
        <v>21</v>
      </c>
      <c r="G145" s="12" t="s">
        <v>14</v>
      </c>
      <c r="H145" s="155">
        <v>20298</v>
      </c>
      <c r="I145" s="140">
        <v>1.71899999992456</v>
      </c>
      <c r="J145" s="147">
        <v>0</v>
      </c>
      <c r="K145" s="157">
        <v>20215</v>
      </c>
      <c r="L145" s="161">
        <v>80</v>
      </c>
      <c r="M145" s="161">
        <v>72</v>
      </c>
      <c r="N145" s="154">
        <f>(((Tabela1369[[#This Row],[Objetive value Dissimilarity]]-Tabela1369[[#This Row],[Objetive value Dissimilarity/GATeS]])/Tabela1369[[#This Row],[Objetive value Dissimilarity]]))*100</f>
        <v>0.40890728150556704</v>
      </c>
      <c r="O145" s="23">
        <v>20298</v>
      </c>
      <c r="P145" s="53">
        <v>0.83</v>
      </c>
      <c r="Q145" s="53">
        <v>0</v>
      </c>
      <c r="R145" s="55">
        <f>(((Tabela1369[[#This Row],[Objetive value Dissimilarity]]-Tabela1369[[#This Row],[Objetive Value Dissimilarity/H-R1]])/Tabela1369[[#This Row],[Objetive value Dissimilarity]]))*100</f>
        <v>0</v>
      </c>
      <c r="S145" s="96">
        <v>19464</v>
      </c>
      <c r="T145" s="21">
        <v>1.1000000000000001</v>
      </c>
      <c r="U145" s="21">
        <v>0</v>
      </c>
      <c r="V145" s="144">
        <f>(((Tabela1369[[#This Row],[Objetive value Dissimilarity]]-Tabela1369[[#This Row],[Objetive value Dissimilarity/H-R2]])/Tabela1369[[#This Row],[Objetive value Dissimilarity]]))*100</f>
        <v>4.1087791900679873</v>
      </c>
    </row>
    <row r="146" spans="1:22" x14ac:dyDescent="0.25">
      <c r="A146" s="11" t="s">
        <v>243</v>
      </c>
      <c r="B146" s="12" t="s">
        <v>1241</v>
      </c>
      <c r="C146" s="11">
        <v>2000</v>
      </c>
      <c r="D146" s="11">
        <v>0.15</v>
      </c>
      <c r="E146" s="11">
        <v>5</v>
      </c>
      <c r="F146" s="12" t="s">
        <v>21</v>
      </c>
      <c r="G146" s="12" t="s">
        <v>16</v>
      </c>
      <c r="H146" s="155">
        <v>13602</v>
      </c>
      <c r="I146" s="140">
        <v>2.1720000000204802</v>
      </c>
      <c r="J146" s="147">
        <v>0</v>
      </c>
      <c r="K146" s="157">
        <v>13546</v>
      </c>
      <c r="L146" s="161">
        <v>49</v>
      </c>
      <c r="M146" s="161">
        <v>15</v>
      </c>
      <c r="N146" s="154">
        <f>(((Tabela1369[[#This Row],[Objetive value Dissimilarity]]-Tabela1369[[#This Row],[Objetive value Dissimilarity/GATeS]])/Tabela1369[[#This Row],[Objetive value Dissimilarity]]))*100</f>
        <v>0.41170416115277164</v>
      </c>
      <c r="O146" s="23">
        <v>13211</v>
      </c>
      <c r="P146" s="53">
        <v>0.99</v>
      </c>
      <c r="Q146" s="53">
        <v>0</v>
      </c>
      <c r="R146" s="55">
        <f>(((Tabela1369[[#This Row],[Objetive value Dissimilarity]]-Tabela1369[[#This Row],[Objetive Value Dissimilarity/H-R1]])/Tabela1369[[#This Row],[Objetive value Dissimilarity]]))*100</f>
        <v>2.8745772680488164</v>
      </c>
      <c r="S146" s="96">
        <v>13602</v>
      </c>
      <c r="T146" s="21">
        <v>0.93</v>
      </c>
      <c r="U146" s="21">
        <v>0</v>
      </c>
      <c r="V146" s="144">
        <f>(((Tabela1369[[#This Row],[Objetive value Dissimilarity]]-Tabela1369[[#This Row],[Objetive value Dissimilarity/H-R2]])/Tabela1369[[#This Row],[Objetive value Dissimilarity]]))*100</f>
        <v>0</v>
      </c>
    </row>
    <row r="147" spans="1:22" x14ac:dyDescent="0.25">
      <c r="A147" s="11" t="s">
        <v>262</v>
      </c>
      <c r="B147" s="30" t="s">
        <v>1242</v>
      </c>
      <c r="C147" s="11">
        <v>2000</v>
      </c>
      <c r="D147" s="11">
        <v>0.05</v>
      </c>
      <c r="E147" s="11">
        <v>10</v>
      </c>
      <c r="F147" s="12" t="s">
        <v>13</v>
      </c>
      <c r="G147" s="12" t="s">
        <v>14</v>
      </c>
      <c r="H147" s="155">
        <v>34075</v>
      </c>
      <c r="I147" s="140">
        <v>11.4220000000204</v>
      </c>
      <c r="J147" s="147">
        <v>0</v>
      </c>
      <c r="K147" s="157">
        <v>33923</v>
      </c>
      <c r="L147" s="161">
        <v>186</v>
      </c>
      <c r="M147" s="161">
        <v>169</v>
      </c>
      <c r="N147" s="154">
        <f>(((Tabela1369[[#This Row],[Objetive value Dissimilarity]]-Tabela1369[[#This Row],[Objetive value Dissimilarity/GATeS]])/Tabela1369[[#This Row],[Objetive value Dissimilarity]]))*100</f>
        <v>0.44607483492296407</v>
      </c>
      <c r="O147" s="23">
        <v>34075</v>
      </c>
      <c r="P147" s="53">
        <v>0.66</v>
      </c>
      <c r="Q147" s="53">
        <v>0</v>
      </c>
      <c r="R147" s="55">
        <f>(((Tabela1369[[#This Row],[Objetive value Dissimilarity]]-Tabela1369[[#This Row],[Objetive Value Dissimilarity/H-R1]])/Tabela1369[[#This Row],[Objetive value Dissimilarity]]))*100</f>
        <v>0</v>
      </c>
      <c r="S147" s="96">
        <v>34075</v>
      </c>
      <c r="T147" s="21">
        <v>0.95</v>
      </c>
      <c r="U147" s="21">
        <v>0</v>
      </c>
      <c r="V147" s="144">
        <f>(((Tabela1369[[#This Row],[Objetive value Dissimilarity]]-Tabela1369[[#This Row],[Objetive value Dissimilarity/H-R2]])/Tabela1369[[#This Row],[Objetive value Dissimilarity]]))*100</f>
        <v>0</v>
      </c>
    </row>
    <row r="148" spans="1:22" x14ac:dyDescent="0.25">
      <c r="A148" s="11" t="s">
        <v>262</v>
      </c>
      <c r="B148" s="12" t="s">
        <v>1243</v>
      </c>
      <c r="C148" s="11">
        <v>2000</v>
      </c>
      <c r="D148" s="11">
        <v>0.05</v>
      </c>
      <c r="E148" s="11">
        <v>10</v>
      </c>
      <c r="F148" s="12" t="s">
        <v>13</v>
      </c>
      <c r="G148" s="12" t="s">
        <v>16</v>
      </c>
      <c r="H148" s="155">
        <v>23595</v>
      </c>
      <c r="I148" s="140">
        <v>24.920999999972899</v>
      </c>
      <c r="J148" s="147">
        <v>0</v>
      </c>
      <c r="K148" s="157">
        <v>23402</v>
      </c>
      <c r="L148" s="161">
        <v>188</v>
      </c>
      <c r="M148" s="161">
        <v>173</v>
      </c>
      <c r="N148" s="154">
        <f>(((Tabela1369[[#This Row],[Objetive value Dissimilarity]]-Tabela1369[[#This Row],[Objetive value Dissimilarity/GATeS]])/Tabela1369[[#This Row],[Objetive value Dissimilarity]]))*100</f>
        <v>0.81796990887899979</v>
      </c>
      <c r="O148" s="23">
        <v>23090</v>
      </c>
      <c r="P148" s="53">
        <v>0.8</v>
      </c>
      <c r="Q148" s="53">
        <v>0</v>
      </c>
      <c r="R148" s="55">
        <f>(((Tabela1369[[#This Row],[Objetive value Dissimilarity]]-Tabela1369[[#This Row],[Objetive Value Dissimilarity/H-R1]])/Tabela1369[[#This Row],[Objetive value Dissimilarity]]))*100</f>
        <v>2.1402839584657767</v>
      </c>
      <c r="S148" s="96">
        <v>23486</v>
      </c>
      <c r="T148" s="21">
        <v>1.07</v>
      </c>
      <c r="U148" s="21">
        <v>0</v>
      </c>
      <c r="V148" s="144">
        <f>(((Tabela1369[[#This Row],[Objetive value Dissimilarity]]-Tabela1369[[#This Row],[Objetive value Dissimilarity/H-R2]])/Tabela1369[[#This Row],[Objetive value Dissimilarity]]))*100</f>
        <v>0.46196228014409835</v>
      </c>
    </row>
    <row r="149" spans="1:22" x14ac:dyDescent="0.25">
      <c r="A149" s="11" t="s">
        <v>262</v>
      </c>
      <c r="B149" s="12" t="s">
        <v>1244</v>
      </c>
      <c r="C149" s="11">
        <v>2000</v>
      </c>
      <c r="D149" s="11">
        <v>0.05</v>
      </c>
      <c r="E149" s="11">
        <v>10</v>
      </c>
      <c r="F149" s="12" t="s">
        <v>18</v>
      </c>
      <c r="G149" s="12" t="s">
        <v>14</v>
      </c>
      <c r="H149" s="155">
        <v>34701</v>
      </c>
      <c r="I149" s="140">
        <v>16.109999999986002</v>
      </c>
      <c r="J149" s="147">
        <v>18.329999999999998</v>
      </c>
      <c r="K149" s="157">
        <v>32114</v>
      </c>
      <c r="L149" s="161">
        <v>120</v>
      </c>
      <c r="M149" s="161">
        <v>19</v>
      </c>
      <c r="N149" s="154">
        <f>(((Tabela1369[[#This Row],[Objetive value Dissimilarity]]-Tabela1369[[#This Row],[Objetive value Dissimilarity/GATeS]])/Tabela1369[[#This Row],[Objetive value Dissimilarity]]))*100</f>
        <v>7.4551165672459003</v>
      </c>
      <c r="O149" s="23">
        <v>32138</v>
      </c>
      <c r="P149" s="53">
        <v>0.79</v>
      </c>
      <c r="Q149" s="53">
        <v>0</v>
      </c>
      <c r="R149" s="55">
        <f>(((Tabela1369[[#This Row],[Objetive value Dissimilarity]]-Tabela1369[[#This Row],[Objetive Value Dissimilarity/H-R1]])/Tabela1369[[#This Row],[Objetive value Dissimilarity]]))*100</f>
        <v>7.3859542952652664</v>
      </c>
      <c r="S149" s="96">
        <v>32138</v>
      </c>
      <c r="T149" s="21">
        <v>0.75</v>
      </c>
      <c r="U149" s="21">
        <v>0</v>
      </c>
      <c r="V149" s="144">
        <f>(((Tabela1369[[#This Row],[Objetive value Dissimilarity]]-Tabela1369[[#This Row],[Objetive value Dissimilarity/H-R2]])/Tabela1369[[#This Row],[Objetive value Dissimilarity]]))*100</f>
        <v>7.3859542952652664</v>
      </c>
    </row>
    <row r="150" spans="1:22" x14ac:dyDescent="0.25">
      <c r="A150" s="11" t="s">
        <v>262</v>
      </c>
      <c r="B150" s="12" t="s">
        <v>1245</v>
      </c>
      <c r="C150" s="11">
        <v>2000</v>
      </c>
      <c r="D150" s="11">
        <v>0.05</v>
      </c>
      <c r="E150" s="11">
        <v>10</v>
      </c>
      <c r="F150" s="12" t="s">
        <v>18</v>
      </c>
      <c r="G150" s="12" t="s">
        <v>16</v>
      </c>
      <c r="H150" s="155">
        <v>23151</v>
      </c>
      <c r="I150" s="140">
        <v>21.765999999944999</v>
      </c>
      <c r="J150" s="147">
        <v>0</v>
      </c>
      <c r="K150" s="157">
        <v>22618</v>
      </c>
      <c r="L150" s="161">
        <v>206</v>
      </c>
      <c r="M150" s="161">
        <v>193</v>
      </c>
      <c r="N150" s="154">
        <f>(((Tabela1369[[#This Row],[Objetive value Dissimilarity]]-Tabela1369[[#This Row],[Objetive value Dissimilarity/GATeS]])/Tabela1369[[#This Row],[Objetive value Dissimilarity]]))*100</f>
        <v>2.3022763595525029</v>
      </c>
      <c r="O150" s="23">
        <v>22598</v>
      </c>
      <c r="P150" s="53">
        <v>0.71</v>
      </c>
      <c r="Q150" s="53">
        <v>0</v>
      </c>
      <c r="R150" s="55">
        <f>(((Tabela1369[[#This Row],[Objetive value Dissimilarity]]-Tabela1369[[#This Row],[Objetive Value Dissimilarity/H-R1]])/Tabela1369[[#This Row],[Objetive value Dissimilarity]]))*100</f>
        <v>2.3886657163837413</v>
      </c>
      <c r="S150" s="96">
        <v>22887</v>
      </c>
      <c r="T150" s="21">
        <v>0.98</v>
      </c>
      <c r="U150" s="21">
        <v>0</v>
      </c>
      <c r="V150" s="144">
        <f>(((Tabela1369[[#This Row],[Objetive value Dissimilarity]]-Tabela1369[[#This Row],[Objetive value Dissimilarity/H-R2]])/Tabela1369[[#This Row],[Objetive value Dissimilarity]]))*100</f>
        <v>1.1403395101723468</v>
      </c>
    </row>
    <row r="151" spans="1:22" x14ac:dyDescent="0.25">
      <c r="A151" s="11" t="s">
        <v>262</v>
      </c>
      <c r="B151" s="12" t="s">
        <v>1246</v>
      </c>
      <c r="C151" s="11">
        <v>2000</v>
      </c>
      <c r="D151" s="11">
        <v>0.05</v>
      </c>
      <c r="E151" s="11">
        <v>10</v>
      </c>
      <c r="F151" s="12" t="s">
        <v>21</v>
      </c>
      <c r="G151" s="12" t="s">
        <v>14</v>
      </c>
      <c r="H151" s="155">
        <v>28621</v>
      </c>
      <c r="I151" s="140">
        <v>6.2190000000409702</v>
      </c>
      <c r="J151" s="147">
        <v>0</v>
      </c>
      <c r="K151" s="157">
        <v>27573</v>
      </c>
      <c r="L151" s="161">
        <v>155</v>
      </c>
      <c r="M151" s="161">
        <v>70</v>
      </c>
      <c r="N151" s="154">
        <f>(((Tabela1369[[#This Row],[Objetive value Dissimilarity]]-Tabela1369[[#This Row],[Objetive value Dissimilarity/GATeS]])/Tabela1369[[#This Row],[Objetive value Dissimilarity]]))*100</f>
        <v>3.6616470423814684</v>
      </c>
      <c r="O151" s="23">
        <v>7158</v>
      </c>
      <c r="P151" s="53">
        <v>2.42</v>
      </c>
      <c r="Q151" s="53">
        <v>0</v>
      </c>
      <c r="R151" s="55">
        <f>(((Tabela1369[[#This Row],[Objetive value Dissimilarity]]-Tabela1369[[#This Row],[Objetive Value Dissimilarity/H-R1]])/Tabela1369[[#This Row],[Objetive value Dissimilarity]]))*100</f>
        <v>74.990391670451757</v>
      </c>
      <c r="S151" s="96">
        <v>28621</v>
      </c>
      <c r="T151" s="21">
        <v>0.75</v>
      </c>
      <c r="U151" s="21">
        <v>0</v>
      </c>
      <c r="V151" s="144">
        <f>(((Tabela1369[[#This Row],[Objetive value Dissimilarity]]-Tabela1369[[#This Row],[Objetive value Dissimilarity/H-R2]])/Tabela1369[[#This Row],[Objetive value Dissimilarity]]))*100</f>
        <v>0</v>
      </c>
    </row>
    <row r="152" spans="1:22" x14ac:dyDescent="0.25">
      <c r="A152" s="11" t="s">
        <v>262</v>
      </c>
      <c r="B152" s="12" t="s">
        <v>1247</v>
      </c>
      <c r="C152" s="11">
        <v>2000</v>
      </c>
      <c r="D152" s="11">
        <v>0.05</v>
      </c>
      <c r="E152" s="11">
        <v>10</v>
      </c>
      <c r="F152" s="12" t="s">
        <v>21</v>
      </c>
      <c r="G152" s="12" t="s">
        <v>16</v>
      </c>
      <c r="H152" s="155">
        <v>24379</v>
      </c>
      <c r="I152" s="140">
        <v>13.233999999938501</v>
      </c>
      <c r="J152" s="147">
        <v>0</v>
      </c>
      <c r="K152" s="157">
        <v>24329</v>
      </c>
      <c r="L152" s="161">
        <v>265</v>
      </c>
      <c r="M152" s="161">
        <v>81</v>
      </c>
      <c r="N152" s="154">
        <f>(((Tabela1369[[#This Row],[Objetive value Dissimilarity]]-Tabela1369[[#This Row],[Objetive value Dissimilarity/GATeS]])/Tabela1369[[#This Row],[Objetive value Dissimilarity]]))*100</f>
        <v>0.20509454858689855</v>
      </c>
      <c r="O152" s="23">
        <v>24131</v>
      </c>
      <c r="P152" s="53">
        <v>1.2</v>
      </c>
      <c r="Q152" s="53">
        <v>0</v>
      </c>
      <c r="R152" s="55">
        <f>(((Tabela1369[[#This Row],[Objetive value Dissimilarity]]-Tabela1369[[#This Row],[Objetive Value Dissimilarity/H-R1]])/Tabela1369[[#This Row],[Objetive value Dissimilarity]]))*100</f>
        <v>1.0172689609910168</v>
      </c>
      <c r="S152" s="96">
        <v>23108</v>
      </c>
      <c r="T152" s="21">
        <v>0.76</v>
      </c>
      <c r="U152" s="21">
        <v>0</v>
      </c>
      <c r="V152" s="144">
        <f>(((Tabela1369[[#This Row],[Objetive value Dissimilarity]]-Tabela1369[[#This Row],[Objetive value Dissimilarity/H-R2]])/Tabela1369[[#This Row],[Objetive value Dissimilarity]]))*100</f>
        <v>5.2135034250789616</v>
      </c>
    </row>
    <row r="153" spans="1:22" x14ac:dyDescent="0.25">
      <c r="A153" s="11" t="s">
        <v>281</v>
      </c>
      <c r="B153" s="30" t="s">
        <v>1248</v>
      </c>
      <c r="C153" s="11">
        <v>2000</v>
      </c>
      <c r="D153" s="11">
        <v>0.05</v>
      </c>
      <c r="E153" s="11">
        <v>15</v>
      </c>
      <c r="F153" s="12" t="s">
        <v>13</v>
      </c>
      <c r="G153" s="12" t="s">
        <v>14</v>
      </c>
      <c r="H153" s="155">
        <v>39896</v>
      </c>
      <c r="I153" s="140">
        <v>48.203000000095898</v>
      </c>
      <c r="J153" s="147">
        <v>0.09</v>
      </c>
      <c r="K153" s="157">
        <v>39639</v>
      </c>
      <c r="L153" s="161">
        <v>358</v>
      </c>
      <c r="M153" s="161">
        <v>63</v>
      </c>
      <c r="N153" s="154">
        <f>(((Tabela1369[[#This Row],[Objetive value Dissimilarity]]-Tabela1369[[#This Row],[Objetive value Dissimilarity/GATeS]])/Tabela1369[[#This Row],[Objetive value Dissimilarity]]))*100</f>
        <v>0.64417485462201718</v>
      </c>
      <c r="O153" s="23">
        <v>39896</v>
      </c>
      <c r="P153" s="53">
        <v>0.76</v>
      </c>
      <c r="Q153" s="53">
        <v>0</v>
      </c>
      <c r="R153" s="55">
        <f>(((Tabela1369[[#This Row],[Objetive value Dissimilarity]]-Tabela1369[[#This Row],[Objetive Value Dissimilarity/H-R1]])/Tabela1369[[#This Row],[Objetive value Dissimilarity]]))*100</f>
        <v>0</v>
      </c>
      <c r="S153" s="96">
        <v>38668</v>
      </c>
      <c r="T153" s="21">
        <v>1.01</v>
      </c>
      <c r="U153" s="21">
        <v>0</v>
      </c>
      <c r="V153" s="144">
        <f>(((Tabela1369[[#This Row],[Objetive value Dissimilarity]]-Tabela1369[[#This Row],[Objetive value Dissimilarity/H-R2]])/Tabela1369[[#This Row],[Objetive value Dissimilarity]]))*100</f>
        <v>3.0780028072989776</v>
      </c>
    </row>
    <row r="154" spans="1:22" x14ac:dyDescent="0.25">
      <c r="A154" s="11" t="s">
        <v>281</v>
      </c>
      <c r="B154" s="12" t="s">
        <v>1249</v>
      </c>
      <c r="C154" s="11">
        <v>2000</v>
      </c>
      <c r="D154" s="11">
        <v>0.05</v>
      </c>
      <c r="E154" s="11">
        <v>15</v>
      </c>
      <c r="F154" s="12" t="s">
        <v>13</v>
      </c>
      <c r="G154" s="12" t="s">
        <v>16</v>
      </c>
      <c r="H154" s="155">
        <v>32725</v>
      </c>
      <c r="I154" s="140">
        <v>270.71899999992399</v>
      </c>
      <c r="J154" s="147">
        <v>1.85</v>
      </c>
      <c r="K154" s="157">
        <v>31837</v>
      </c>
      <c r="L154" s="161">
        <v>288</v>
      </c>
      <c r="M154" s="161">
        <v>103</v>
      </c>
      <c r="N154" s="154">
        <f>(((Tabela1369[[#This Row],[Objetive value Dissimilarity]]-Tabela1369[[#This Row],[Objetive value Dissimilarity/GATeS]])/Tabela1369[[#This Row],[Objetive value Dissimilarity]]))*100</f>
        <v>2.7135217723453016</v>
      </c>
      <c r="O154" s="23">
        <v>32242</v>
      </c>
      <c r="P154" s="53">
        <v>1.26</v>
      </c>
      <c r="Q154" s="53">
        <v>0</v>
      </c>
      <c r="R154" s="55">
        <f>(((Tabela1369[[#This Row],[Objetive value Dissimilarity]]-Tabela1369[[#This Row],[Objetive Value Dissimilarity/H-R1]])/Tabela1369[[#This Row],[Objetive value Dissimilarity]]))*100</f>
        <v>1.4759358288770053</v>
      </c>
      <c r="S154" s="96">
        <v>32242</v>
      </c>
      <c r="T154" s="21">
        <v>1.17</v>
      </c>
      <c r="U154" s="21">
        <v>0</v>
      </c>
      <c r="V154" s="144">
        <f>(((Tabela1369[[#This Row],[Objetive value Dissimilarity]]-Tabela1369[[#This Row],[Objetive value Dissimilarity/H-R2]])/Tabela1369[[#This Row],[Objetive value Dissimilarity]]))*100</f>
        <v>1.4759358288770053</v>
      </c>
    </row>
    <row r="155" spans="1:22" x14ac:dyDescent="0.25">
      <c r="A155" s="11" t="s">
        <v>281</v>
      </c>
      <c r="B155" s="12" t="s">
        <v>1250</v>
      </c>
      <c r="C155" s="11">
        <v>2000</v>
      </c>
      <c r="D155" s="11">
        <v>0.05</v>
      </c>
      <c r="E155" s="11">
        <v>15</v>
      </c>
      <c r="F155" s="12" t="s">
        <v>18</v>
      </c>
      <c r="G155" s="12" t="s">
        <v>14</v>
      </c>
      <c r="H155" s="155">
        <v>54739</v>
      </c>
      <c r="I155" s="140">
        <v>30.062999999965498</v>
      </c>
      <c r="J155" s="147">
        <v>15.14</v>
      </c>
      <c r="K155" s="157">
        <v>53092</v>
      </c>
      <c r="L155" s="161">
        <v>271</v>
      </c>
      <c r="M155" s="161">
        <v>236</v>
      </c>
      <c r="N155" s="154">
        <f>(((Tabela1369[[#This Row],[Objetive value Dissimilarity]]-Tabela1369[[#This Row],[Objetive value Dissimilarity/GATeS]])/Tabela1369[[#This Row],[Objetive value Dissimilarity]]))*100</f>
        <v>3.0088236906045047</v>
      </c>
      <c r="O155" s="23">
        <v>54032</v>
      </c>
      <c r="P155" s="53">
        <v>0.99</v>
      </c>
      <c r="Q155" s="53">
        <v>0</v>
      </c>
      <c r="R155" s="55">
        <f>(((Tabela1369[[#This Row],[Objetive value Dissimilarity]]-Tabela1369[[#This Row],[Objetive Value Dissimilarity/H-R1]])/Tabela1369[[#This Row],[Objetive value Dissimilarity]]))*100</f>
        <v>1.2915836971811689</v>
      </c>
      <c r="S155" s="96">
        <v>54739</v>
      </c>
      <c r="T155" s="21">
        <v>0.9</v>
      </c>
      <c r="U155" s="21">
        <v>0</v>
      </c>
      <c r="V155" s="144">
        <f>(((Tabela1369[[#This Row],[Objetive value Dissimilarity]]-Tabela1369[[#This Row],[Objetive value Dissimilarity/H-R2]])/Tabela1369[[#This Row],[Objetive value Dissimilarity]]))*100</f>
        <v>0</v>
      </c>
    </row>
    <row r="156" spans="1:22" x14ac:dyDescent="0.25">
      <c r="A156" s="11" t="s">
        <v>281</v>
      </c>
      <c r="B156" s="12" t="s">
        <v>1251</v>
      </c>
      <c r="C156" s="11">
        <v>2000</v>
      </c>
      <c r="D156" s="11">
        <v>0.05</v>
      </c>
      <c r="E156" s="11">
        <v>15</v>
      </c>
      <c r="F156" s="12" t="s">
        <v>18</v>
      </c>
      <c r="G156" s="12" t="s">
        <v>16</v>
      </c>
      <c r="H156" s="155">
        <v>33427</v>
      </c>
      <c r="I156" s="140">
        <v>221.25</v>
      </c>
      <c r="J156" s="147">
        <v>0.16</v>
      </c>
      <c r="K156" s="157">
        <v>32687</v>
      </c>
      <c r="L156" s="161">
        <v>701</v>
      </c>
      <c r="M156" s="161">
        <v>557</v>
      </c>
      <c r="N156" s="154">
        <f>(((Tabela1369[[#This Row],[Objetive value Dissimilarity]]-Tabela1369[[#This Row],[Objetive value Dissimilarity/GATeS]])/Tabela1369[[#This Row],[Objetive value Dissimilarity]]))*100</f>
        <v>2.2137792802225742</v>
      </c>
      <c r="O156" s="23">
        <v>33197</v>
      </c>
      <c r="P156" s="53">
        <v>1.38</v>
      </c>
      <c r="Q156" s="53">
        <v>0</v>
      </c>
      <c r="R156" s="55">
        <f>(((Tabela1369[[#This Row],[Objetive value Dissimilarity]]-Tabela1369[[#This Row],[Objetive Value Dissimilarity/H-R1]])/Tabela1369[[#This Row],[Objetive value Dissimilarity]]))*100</f>
        <v>0.6880665330421516</v>
      </c>
      <c r="S156" s="96">
        <v>33192</v>
      </c>
      <c r="T156" s="21">
        <v>0.77</v>
      </c>
      <c r="U156" s="21">
        <v>0</v>
      </c>
      <c r="V156" s="144">
        <f>(((Tabela1369[[#This Row],[Objetive value Dissimilarity]]-Tabela1369[[#This Row],[Objetive value Dissimilarity/H-R2]])/Tabela1369[[#This Row],[Objetive value Dissimilarity]]))*100</f>
        <v>0.70302450115176363</v>
      </c>
    </row>
    <row r="157" spans="1:22" x14ac:dyDescent="0.25">
      <c r="A157" s="11" t="s">
        <v>281</v>
      </c>
      <c r="B157" s="12" t="s">
        <v>1252</v>
      </c>
      <c r="C157" s="11">
        <v>2000</v>
      </c>
      <c r="D157" s="11">
        <v>0.05</v>
      </c>
      <c r="E157" s="11">
        <v>15</v>
      </c>
      <c r="F157" s="12" t="s">
        <v>21</v>
      </c>
      <c r="G157" s="12" t="s">
        <v>14</v>
      </c>
      <c r="H157" s="155">
        <v>45677</v>
      </c>
      <c r="I157" s="140">
        <v>12.9529999999795</v>
      </c>
      <c r="J157" s="147">
        <v>0</v>
      </c>
      <c r="K157" s="157">
        <v>39742</v>
      </c>
      <c r="L157" s="161">
        <v>188</v>
      </c>
      <c r="M157" s="161">
        <v>30</v>
      </c>
      <c r="N157" s="154">
        <f>(((Tabela1369[[#This Row],[Objetive value Dissimilarity]]-Tabela1369[[#This Row],[Objetive value Dissimilarity/GATeS]])/Tabela1369[[#This Row],[Objetive value Dissimilarity]]))*100</f>
        <v>12.99341025023535</v>
      </c>
      <c r="O157" s="23">
        <v>43895</v>
      </c>
      <c r="P157" s="53">
        <v>2.5499999999999998</v>
      </c>
      <c r="Q157" s="53">
        <v>0</v>
      </c>
      <c r="R157" s="55">
        <f>(((Tabela1369[[#This Row],[Objetive value Dissimilarity]]-Tabela1369[[#This Row],[Objetive Value Dissimilarity/H-R1]])/Tabela1369[[#This Row],[Objetive value Dissimilarity]]))*100</f>
        <v>3.9013070035247495</v>
      </c>
      <c r="S157" s="96">
        <v>45677</v>
      </c>
      <c r="T157" s="21">
        <v>1.67</v>
      </c>
      <c r="U157" s="21">
        <v>0</v>
      </c>
      <c r="V157" s="144">
        <f>(((Tabela1369[[#This Row],[Objetive value Dissimilarity]]-Tabela1369[[#This Row],[Objetive value Dissimilarity/H-R2]])/Tabela1369[[#This Row],[Objetive value Dissimilarity]]))*100</f>
        <v>0</v>
      </c>
    </row>
    <row r="158" spans="1:22" x14ac:dyDescent="0.25">
      <c r="A158" s="11" t="s">
        <v>281</v>
      </c>
      <c r="B158" s="12" t="s">
        <v>1253</v>
      </c>
      <c r="C158" s="11">
        <v>2000</v>
      </c>
      <c r="D158" s="11">
        <v>0.05</v>
      </c>
      <c r="E158" s="11">
        <v>15</v>
      </c>
      <c r="F158" s="12" t="s">
        <v>21</v>
      </c>
      <c r="G158" s="12" t="s">
        <v>16</v>
      </c>
      <c r="H158" s="155">
        <v>29281</v>
      </c>
      <c r="I158" s="140">
        <v>212.202999999979</v>
      </c>
      <c r="J158" s="147">
        <v>0</v>
      </c>
      <c r="K158" s="157">
        <v>28756</v>
      </c>
      <c r="L158" s="161">
        <v>194</v>
      </c>
      <c r="M158" s="161">
        <v>122</v>
      </c>
      <c r="N158" s="154">
        <f>(((Tabela1369[[#This Row],[Objetive value Dissimilarity]]-Tabela1369[[#This Row],[Objetive value Dissimilarity/GATeS]])/Tabela1369[[#This Row],[Objetive value Dissimilarity]]))*100</f>
        <v>1.7929715515180491</v>
      </c>
      <c r="O158" s="23">
        <v>28382</v>
      </c>
      <c r="P158" s="53">
        <v>1.31</v>
      </c>
      <c r="Q158" s="53">
        <v>0</v>
      </c>
      <c r="R158" s="55">
        <f>(((Tabela1369[[#This Row],[Objetive value Dissimilarity]]-Tabela1369[[#This Row],[Objetive Value Dissimilarity/H-R1]])/Tabela1369[[#This Row],[Objetive value Dissimilarity]]))*100</f>
        <v>3.0702503329804309</v>
      </c>
      <c r="S158" s="96">
        <v>28429</v>
      </c>
      <c r="T158" s="21">
        <v>1.22</v>
      </c>
      <c r="U158" s="21">
        <v>0</v>
      </c>
      <c r="V158" s="144">
        <f>(((Tabela1369[[#This Row],[Objetive value Dissimilarity]]-Tabela1369[[#This Row],[Objetive value Dissimilarity/H-R2]])/Tabela1369[[#This Row],[Objetive value Dissimilarity]]))*100</f>
        <v>2.9097366893207197</v>
      </c>
    </row>
    <row r="159" spans="1:22" x14ac:dyDescent="0.25">
      <c r="A159" s="11" t="s">
        <v>243</v>
      </c>
      <c r="B159" s="30" t="s">
        <v>1254</v>
      </c>
      <c r="C159" s="11">
        <v>2000</v>
      </c>
      <c r="D159" s="11">
        <v>0.05</v>
      </c>
      <c r="E159" s="11">
        <v>5</v>
      </c>
      <c r="F159" s="12" t="s">
        <v>13</v>
      </c>
      <c r="G159" s="12" t="s">
        <v>14</v>
      </c>
      <c r="H159" s="155">
        <v>19983</v>
      </c>
      <c r="I159" s="140">
        <v>1.875</v>
      </c>
      <c r="J159" s="147">
        <v>0</v>
      </c>
      <c r="K159" s="157">
        <v>19765</v>
      </c>
      <c r="L159" s="161">
        <v>88</v>
      </c>
      <c r="M159" s="161">
        <v>54</v>
      </c>
      <c r="N159" s="154">
        <f>(((Tabela1369[[#This Row],[Objetive value Dissimilarity]]-Tabela1369[[#This Row],[Objetive value Dissimilarity/GATeS]])/Tabela1369[[#This Row],[Objetive value Dissimilarity]]))*100</f>
        <v>1.0909272881949656</v>
      </c>
      <c r="O159" s="23">
        <v>19520</v>
      </c>
      <c r="P159" s="53">
        <v>0.9</v>
      </c>
      <c r="Q159" s="53">
        <v>0</v>
      </c>
      <c r="R159" s="55">
        <f>(((Tabela1369[[#This Row],[Objetive value Dissimilarity]]-Tabela1369[[#This Row],[Objetive Value Dissimilarity/H-R1]])/Tabela1369[[#This Row],[Objetive value Dissimilarity]]))*100</f>
        <v>2.3169694240104088</v>
      </c>
      <c r="S159" s="96">
        <v>19983</v>
      </c>
      <c r="T159" s="21">
        <v>1</v>
      </c>
      <c r="U159" s="21">
        <v>0</v>
      </c>
      <c r="V159" s="144">
        <f>(((Tabela1369[[#This Row],[Objetive value Dissimilarity]]-Tabela1369[[#This Row],[Objetive value Dissimilarity/H-R2]])/Tabela1369[[#This Row],[Objetive value Dissimilarity]]))*100</f>
        <v>0</v>
      </c>
    </row>
    <row r="160" spans="1:22" x14ac:dyDescent="0.25">
      <c r="A160" s="11" t="s">
        <v>243</v>
      </c>
      <c r="B160" s="12" t="s">
        <v>1255</v>
      </c>
      <c r="C160" s="11">
        <v>2000</v>
      </c>
      <c r="D160" s="11">
        <v>0.05</v>
      </c>
      <c r="E160" s="11">
        <v>5</v>
      </c>
      <c r="F160" s="12" t="s">
        <v>13</v>
      </c>
      <c r="G160" s="12" t="s">
        <v>16</v>
      </c>
      <c r="H160" s="155">
        <v>14571</v>
      </c>
      <c r="I160" s="140">
        <v>2.3440000000409702</v>
      </c>
      <c r="J160" s="147">
        <v>0</v>
      </c>
      <c r="K160" s="157">
        <v>14311</v>
      </c>
      <c r="L160" s="161">
        <v>65</v>
      </c>
      <c r="M160" s="161">
        <v>30</v>
      </c>
      <c r="N160" s="154">
        <f>(((Tabela1369[[#This Row],[Objetive value Dissimilarity]]-Tabela1369[[#This Row],[Objetive value Dissimilarity/GATeS]])/Tabela1369[[#This Row],[Objetive value Dissimilarity]]))*100</f>
        <v>1.7843662068492212</v>
      </c>
      <c r="O160" s="23">
        <v>14570</v>
      </c>
      <c r="P160" s="53">
        <v>1.52</v>
      </c>
      <c r="Q160" s="53">
        <v>0</v>
      </c>
      <c r="R160" s="55">
        <f>(((Tabela1369[[#This Row],[Objetive value Dissimilarity]]-Tabela1369[[#This Row],[Objetive Value Dissimilarity/H-R1]])/Tabela1369[[#This Row],[Objetive value Dissimilarity]]))*100</f>
        <v>6.8629469494200807E-3</v>
      </c>
      <c r="S160" s="96">
        <v>14570</v>
      </c>
      <c r="T160" s="21">
        <v>0.69</v>
      </c>
      <c r="U160" s="21">
        <v>0</v>
      </c>
      <c r="V160" s="144">
        <f>(((Tabela1369[[#This Row],[Objetive value Dissimilarity]]-Tabela1369[[#This Row],[Objetive value Dissimilarity/H-R2]])/Tabela1369[[#This Row],[Objetive value Dissimilarity]]))*100</f>
        <v>6.8629469494200807E-3</v>
      </c>
    </row>
    <row r="161" spans="1:22" x14ac:dyDescent="0.25">
      <c r="A161" s="11" t="s">
        <v>243</v>
      </c>
      <c r="B161" s="12" t="s">
        <v>1256</v>
      </c>
      <c r="C161" s="11">
        <v>2000</v>
      </c>
      <c r="D161" s="11">
        <v>0.05</v>
      </c>
      <c r="E161" s="11">
        <v>5</v>
      </c>
      <c r="F161" s="12" t="s">
        <v>18</v>
      </c>
      <c r="G161" s="12" t="s">
        <v>14</v>
      </c>
      <c r="H161" s="155">
        <v>18737</v>
      </c>
      <c r="I161" s="140">
        <v>1.92200000002048</v>
      </c>
      <c r="J161" s="147">
        <v>0</v>
      </c>
      <c r="K161" s="157">
        <v>18622</v>
      </c>
      <c r="L161" s="161">
        <v>58</v>
      </c>
      <c r="M161" s="161">
        <v>17</v>
      </c>
      <c r="N161" s="154">
        <f>(((Tabela1369[[#This Row],[Objetive value Dissimilarity]]-Tabela1369[[#This Row],[Objetive value Dissimilarity/GATeS]])/Tabela1369[[#This Row],[Objetive value Dissimilarity]]))*100</f>
        <v>0.61375887281848751</v>
      </c>
      <c r="O161" s="23">
        <v>18158</v>
      </c>
      <c r="P161" s="53">
        <v>0.83</v>
      </c>
      <c r="Q161" s="53">
        <v>0</v>
      </c>
      <c r="R161" s="55">
        <f>(((Tabela1369[[#This Row],[Objetive value Dissimilarity]]-Tabela1369[[#This Row],[Objetive Value Dissimilarity/H-R1]])/Tabela1369[[#This Row],[Objetive value Dissimilarity]]))*100</f>
        <v>3.0901424987991675</v>
      </c>
      <c r="S161" s="96">
        <v>18737</v>
      </c>
      <c r="T161" s="21">
        <v>1.02</v>
      </c>
      <c r="U161" s="21">
        <v>0</v>
      </c>
      <c r="V161" s="144">
        <f>(((Tabela1369[[#This Row],[Objetive value Dissimilarity]]-Tabela1369[[#This Row],[Objetive value Dissimilarity/H-R2]])/Tabela1369[[#This Row],[Objetive value Dissimilarity]]))*100</f>
        <v>0</v>
      </c>
    </row>
    <row r="162" spans="1:22" x14ac:dyDescent="0.25">
      <c r="A162" s="11" t="s">
        <v>243</v>
      </c>
      <c r="B162" s="12" t="s">
        <v>1257</v>
      </c>
      <c r="C162" s="11">
        <v>2000</v>
      </c>
      <c r="D162" s="11">
        <v>0.05</v>
      </c>
      <c r="E162" s="11">
        <v>5</v>
      </c>
      <c r="F162" s="12" t="s">
        <v>18</v>
      </c>
      <c r="G162" s="12" t="s">
        <v>16</v>
      </c>
      <c r="H162" s="155">
        <v>12842</v>
      </c>
      <c r="I162" s="140">
        <v>2.1099999999860302</v>
      </c>
      <c r="J162" s="147">
        <v>0</v>
      </c>
      <c r="K162" s="157">
        <v>12834</v>
      </c>
      <c r="L162" s="161">
        <v>109</v>
      </c>
      <c r="M162" s="161">
        <v>37</v>
      </c>
      <c r="N162" s="154">
        <f>(((Tabela1369[[#This Row],[Objetive value Dissimilarity]]-Tabela1369[[#This Row],[Objetive value Dissimilarity/GATeS]])/Tabela1369[[#This Row],[Objetive value Dissimilarity]]))*100</f>
        <v>6.2295592586824482E-2</v>
      </c>
      <c r="O162" s="23">
        <v>12842</v>
      </c>
      <c r="P162" s="53">
        <v>0.79</v>
      </c>
      <c r="Q162" s="53">
        <v>0</v>
      </c>
      <c r="R162" s="55">
        <f>(((Tabela1369[[#This Row],[Objetive value Dissimilarity]]-Tabela1369[[#This Row],[Objetive Value Dissimilarity/H-R1]])/Tabela1369[[#This Row],[Objetive value Dissimilarity]]))*100</f>
        <v>0</v>
      </c>
      <c r="S162" s="96">
        <v>12842</v>
      </c>
      <c r="T162" s="21">
        <v>0.88</v>
      </c>
      <c r="U162" s="21">
        <v>0</v>
      </c>
      <c r="V162" s="144">
        <f>(((Tabela1369[[#This Row],[Objetive value Dissimilarity]]-Tabela1369[[#This Row],[Objetive value Dissimilarity/H-R2]])/Tabela1369[[#This Row],[Objetive value Dissimilarity]]))*100</f>
        <v>0</v>
      </c>
    </row>
    <row r="163" spans="1:22" x14ac:dyDescent="0.25">
      <c r="A163" s="11" t="s">
        <v>243</v>
      </c>
      <c r="B163" s="12" t="s">
        <v>1258</v>
      </c>
      <c r="C163" s="11">
        <v>2000</v>
      </c>
      <c r="D163" s="11">
        <v>0.05</v>
      </c>
      <c r="E163" s="11">
        <v>5</v>
      </c>
      <c r="F163" s="12" t="s">
        <v>21</v>
      </c>
      <c r="G163" s="12" t="s">
        <v>14</v>
      </c>
      <c r="H163" s="155">
        <v>5216</v>
      </c>
      <c r="I163" s="140">
        <v>1.6400000000139601</v>
      </c>
      <c r="J163" s="147">
        <v>0</v>
      </c>
      <c r="K163" s="157">
        <v>5170</v>
      </c>
      <c r="L163" s="161">
        <v>0</v>
      </c>
      <c r="M163" s="161">
        <v>0</v>
      </c>
      <c r="N163" s="154">
        <f>(((Tabela1369[[#This Row],[Objetive value Dissimilarity]]-Tabela1369[[#This Row],[Objetive value Dissimilarity/GATeS]])/Tabela1369[[#This Row],[Objetive value Dissimilarity]]))*100</f>
        <v>0.88190184049079745</v>
      </c>
      <c r="O163" s="23">
        <v>5063</v>
      </c>
      <c r="P163" s="53">
        <v>1.68</v>
      </c>
      <c r="Q163" s="53">
        <v>0</v>
      </c>
      <c r="R163" s="55">
        <f>(((Tabela1369[[#This Row],[Objetive value Dissimilarity]]-Tabela1369[[#This Row],[Objetive Value Dissimilarity/H-R1]])/Tabela1369[[#This Row],[Objetive value Dissimilarity]]))*100</f>
        <v>2.9332822085889569</v>
      </c>
      <c r="S163" s="96">
        <v>5063</v>
      </c>
      <c r="T163" s="21">
        <v>1.51</v>
      </c>
      <c r="U163" s="21">
        <v>0</v>
      </c>
      <c r="V163" s="144">
        <f>(((Tabela1369[[#This Row],[Objetive value Dissimilarity]]-Tabela1369[[#This Row],[Objetive value Dissimilarity/H-R2]])/Tabela1369[[#This Row],[Objetive value Dissimilarity]]))*100</f>
        <v>2.9332822085889569</v>
      </c>
    </row>
    <row r="164" spans="1:22" x14ac:dyDescent="0.25">
      <c r="A164" s="11" t="s">
        <v>243</v>
      </c>
      <c r="B164" s="12" t="s">
        <v>1259</v>
      </c>
      <c r="C164" s="11">
        <v>2000</v>
      </c>
      <c r="D164" s="11">
        <v>0.05</v>
      </c>
      <c r="E164" s="11">
        <v>5</v>
      </c>
      <c r="F164" s="12" t="s">
        <v>21</v>
      </c>
      <c r="G164" s="12" t="s">
        <v>16</v>
      </c>
      <c r="H164" s="155">
        <v>7835</v>
      </c>
      <c r="I164" s="140">
        <v>1.2040000000269999</v>
      </c>
      <c r="J164" s="147">
        <v>0</v>
      </c>
      <c r="K164" s="158">
        <v>6750</v>
      </c>
      <c r="L164" s="162">
        <v>0</v>
      </c>
      <c r="M164" s="162">
        <v>0</v>
      </c>
      <c r="N164" s="154">
        <f>(((Tabela1369[[#This Row],[Objetive value Dissimilarity]]-Tabela1369[[#This Row],[Objetive value Dissimilarity/GATeS]])/Tabela1369[[#This Row],[Objetive value Dissimilarity]]))*100</f>
        <v>13.848117421825142</v>
      </c>
      <c r="O164" s="23">
        <v>7835</v>
      </c>
      <c r="P164" s="53">
        <v>1.06</v>
      </c>
      <c r="Q164" s="53">
        <v>0</v>
      </c>
      <c r="R164" s="55">
        <f>(((Tabela1369[[#This Row],[Objetive value Dissimilarity]]-Tabela1369[[#This Row],[Objetive Value Dissimilarity/H-R1]])/Tabela1369[[#This Row],[Objetive value Dissimilarity]]))*100</f>
        <v>0</v>
      </c>
      <c r="S164" s="96">
        <v>7574</v>
      </c>
      <c r="T164" s="21">
        <v>1.47</v>
      </c>
      <c r="U164" s="21">
        <v>0</v>
      </c>
      <c r="V164" s="144">
        <f>(((Tabela1369[[#This Row],[Objetive value Dissimilarity]]-Tabela1369[[#This Row],[Objetive value Dissimilarity/H-R2]])/Tabela1369[[#This Row],[Objetive value Dissimilarity]]))*100</f>
        <v>3.3312061263560948</v>
      </c>
    </row>
    <row r="165" spans="1:22" x14ac:dyDescent="0.25">
      <c r="A165" s="11" t="s">
        <v>35</v>
      </c>
      <c r="B165" s="12" t="s">
        <v>1260</v>
      </c>
      <c r="C165" s="11">
        <v>100</v>
      </c>
      <c r="D165" s="24">
        <v>0.1</v>
      </c>
      <c r="E165" s="11">
        <v>10</v>
      </c>
      <c r="F165" s="12" t="s">
        <v>13</v>
      </c>
      <c r="G165" s="12" t="s">
        <v>14</v>
      </c>
      <c r="H165" s="155">
        <v>1750</v>
      </c>
      <c r="I165" s="140">
        <v>0.171999999904073</v>
      </c>
      <c r="J165" s="147">
        <v>0</v>
      </c>
      <c r="K165" s="159">
        <v>1723</v>
      </c>
      <c r="L165" s="163">
        <v>11</v>
      </c>
      <c r="M165" s="163">
        <v>9</v>
      </c>
      <c r="N165" s="154">
        <f>(((Tabela1369[[#This Row],[Objetive value Dissimilarity]]-Tabela1369[[#This Row],[Objetive value Dissimilarity/GATeS]])/Tabela1369[[#This Row],[Objetive value Dissimilarity]]))*100</f>
        <v>1.5428571428571429</v>
      </c>
      <c r="O165" s="23">
        <v>1571</v>
      </c>
      <c r="P165" s="53">
        <v>0.6</v>
      </c>
      <c r="Q165" s="53">
        <v>0</v>
      </c>
      <c r="R165" s="55">
        <f>(((Tabela1369[[#This Row],[Objetive value Dissimilarity]]-Tabela1369[[#This Row],[Objetive Value Dissimilarity/H-R1]])/Tabela1369[[#This Row],[Objetive value Dissimilarity]]))*100</f>
        <v>10.228571428571428</v>
      </c>
      <c r="S165" s="96">
        <v>1681</v>
      </c>
      <c r="T165" s="21">
        <v>0.5</v>
      </c>
      <c r="U165" s="21">
        <v>0</v>
      </c>
      <c r="V165" s="144">
        <f>(((Tabela1369[[#This Row],[Objetive value Dissimilarity]]-Tabela1369[[#This Row],[Objetive value Dissimilarity/H-R2]])/Tabela1369[[#This Row],[Objetive value Dissimilarity]]))*100</f>
        <v>3.9428571428571431</v>
      </c>
    </row>
    <row r="166" spans="1:22" x14ac:dyDescent="0.25">
      <c r="A166" s="11" t="s">
        <v>35</v>
      </c>
      <c r="B166" s="12" t="s">
        <v>1261</v>
      </c>
      <c r="C166" s="11">
        <v>100</v>
      </c>
      <c r="D166" s="24">
        <v>0.1</v>
      </c>
      <c r="E166" s="11">
        <v>10</v>
      </c>
      <c r="F166" s="12" t="s">
        <v>13</v>
      </c>
      <c r="G166" s="12" t="s">
        <v>16</v>
      </c>
      <c r="H166" s="155">
        <v>1125</v>
      </c>
      <c r="I166" s="140">
        <v>0.40599999995902097</v>
      </c>
      <c r="J166" s="147">
        <v>0</v>
      </c>
      <c r="K166" s="159">
        <v>1112</v>
      </c>
      <c r="L166" s="163">
        <v>10</v>
      </c>
      <c r="M166" s="163">
        <v>8</v>
      </c>
      <c r="N166" s="154">
        <f>(((Tabela1369[[#This Row],[Objetive value Dissimilarity]]-Tabela1369[[#This Row],[Objetive value Dissimilarity/GATeS]])/Tabela1369[[#This Row],[Objetive value Dissimilarity]]))*100</f>
        <v>1.1555555555555554</v>
      </c>
      <c r="O166" s="23">
        <v>1125</v>
      </c>
      <c r="P166" s="53">
        <v>0.98</v>
      </c>
      <c r="Q166" s="53">
        <v>0</v>
      </c>
      <c r="R166" s="55">
        <f>(((Tabela1369[[#This Row],[Objetive value Dissimilarity]]-Tabela1369[[#This Row],[Objetive Value Dissimilarity/H-R1]])/Tabela1369[[#This Row],[Objetive value Dissimilarity]]))*100</f>
        <v>0</v>
      </c>
      <c r="S166" s="96">
        <v>1125</v>
      </c>
      <c r="T166" s="21">
        <v>0.89</v>
      </c>
      <c r="U166" s="21">
        <v>0</v>
      </c>
      <c r="V166" s="144">
        <f>(((Tabela1369[[#This Row],[Objetive value Dissimilarity]]-Tabela1369[[#This Row],[Objetive value Dissimilarity/H-R2]])/Tabela1369[[#This Row],[Objetive value Dissimilarity]]))*100</f>
        <v>0</v>
      </c>
    </row>
    <row r="167" spans="1:22" x14ac:dyDescent="0.25">
      <c r="A167" s="29" t="s">
        <v>35</v>
      </c>
      <c r="B167" s="30" t="s">
        <v>1262</v>
      </c>
      <c r="C167" s="29">
        <v>100</v>
      </c>
      <c r="D167" s="31">
        <v>0.1</v>
      </c>
      <c r="E167" s="29">
        <v>10</v>
      </c>
      <c r="F167" s="30" t="s">
        <v>18</v>
      </c>
      <c r="G167" s="30" t="s">
        <v>14</v>
      </c>
      <c r="H167" s="155">
        <v>2074</v>
      </c>
      <c r="I167" s="140">
        <v>0.140999999945051</v>
      </c>
      <c r="J167" s="147">
        <v>0</v>
      </c>
      <c r="K167" s="159">
        <v>2039</v>
      </c>
      <c r="L167" s="163">
        <v>7</v>
      </c>
      <c r="M167" s="163">
        <v>5</v>
      </c>
      <c r="N167" s="154">
        <f>(((Tabela1369[[#This Row],[Objetive value Dissimilarity]]-Tabela1369[[#This Row],[Objetive value Dissimilarity/GATeS]])/Tabela1369[[#This Row],[Objetive value Dissimilarity]]))*100</f>
        <v>1.6875602700096433</v>
      </c>
      <c r="O167" s="23">
        <v>2035</v>
      </c>
      <c r="P167" s="53">
        <v>0.56999999999999995</v>
      </c>
      <c r="Q167" s="53">
        <v>0</v>
      </c>
      <c r="R167" s="55">
        <f>(((Tabela1369[[#This Row],[Objetive value Dissimilarity]]-Tabela1369[[#This Row],[Objetive Value Dissimilarity/H-R1]])/Tabela1369[[#This Row],[Objetive value Dissimilarity]]))*100</f>
        <v>1.8804243008678883</v>
      </c>
      <c r="S167" s="96">
        <v>1973</v>
      </c>
      <c r="T167" s="21">
        <v>0.84</v>
      </c>
      <c r="U167" s="21">
        <v>0</v>
      </c>
      <c r="V167" s="144">
        <f>(((Tabela1369[[#This Row],[Objetive value Dissimilarity]]-Tabela1369[[#This Row],[Objetive value Dissimilarity/H-R2]])/Tabela1369[[#This Row],[Objetive value Dissimilarity]]))*100</f>
        <v>4.8698167791706846</v>
      </c>
    </row>
    <row r="168" spans="1:22" x14ac:dyDescent="0.25">
      <c r="A168" s="11" t="s">
        <v>35</v>
      </c>
      <c r="B168" s="12" t="s">
        <v>1263</v>
      </c>
      <c r="C168" s="11">
        <v>100</v>
      </c>
      <c r="D168" s="24">
        <v>0.1</v>
      </c>
      <c r="E168" s="11">
        <v>10</v>
      </c>
      <c r="F168" s="12" t="s">
        <v>18</v>
      </c>
      <c r="G168" s="12" t="s">
        <v>16</v>
      </c>
      <c r="H168" s="155">
        <v>1321</v>
      </c>
      <c r="I168" s="140">
        <v>0.375</v>
      </c>
      <c r="J168" s="147">
        <v>0</v>
      </c>
      <c r="K168" s="159">
        <v>1290</v>
      </c>
      <c r="L168" s="163">
        <v>10</v>
      </c>
      <c r="M168" s="163">
        <v>9</v>
      </c>
      <c r="N168" s="154">
        <f>(((Tabela1369[[#This Row],[Objetive value Dissimilarity]]-Tabela1369[[#This Row],[Objetive value Dissimilarity/GATeS]])/Tabela1369[[#This Row],[Objetive value Dissimilarity]]))*100</f>
        <v>2.3467070401211201</v>
      </c>
      <c r="O168" s="23">
        <v>1285</v>
      </c>
      <c r="P168" s="53">
        <v>0.42</v>
      </c>
      <c r="Q168" s="53">
        <v>0</v>
      </c>
      <c r="R168" s="55">
        <f>(((Tabela1369[[#This Row],[Objetive value Dissimilarity]]-Tabela1369[[#This Row],[Objetive Value Dissimilarity/H-R1]])/Tabela1369[[#This Row],[Objetive value Dissimilarity]]))*100</f>
        <v>2.7252081756245268</v>
      </c>
      <c r="S168" s="96">
        <v>1300</v>
      </c>
      <c r="T168" s="21">
        <v>0.5</v>
      </c>
      <c r="U168" s="21">
        <v>0</v>
      </c>
      <c r="V168" s="144">
        <f>(((Tabela1369[[#This Row],[Objetive value Dissimilarity]]-Tabela1369[[#This Row],[Objetive value Dissimilarity/H-R2]])/Tabela1369[[#This Row],[Objetive value Dissimilarity]]))*100</f>
        <v>1.5897047691143074</v>
      </c>
    </row>
    <row r="169" spans="1:22" x14ac:dyDescent="0.25">
      <c r="A169" s="11" t="s">
        <v>35</v>
      </c>
      <c r="B169" s="12" t="s">
        <v>1264</v>
      </c>
      <c r="C169" s="11">
        <v>100</v>
      </c>
      <c r="D169" s="24">
        <v>0.1</v>
      </c>
      <c r="E169" s="11">
        <v>10</v>
      </c>
      <c r="F169" s="32" t="s">
        <v>21</v>
      </c>
      <c r="G169" s="32" t="s">
        <v>14</v>
      </c>
      <c r="H169" s="155">
        <v>1510</v>
      </c>
      <c r="I169" s="140">
        <v>0.125</v>
      </c>
      <c r="J169" s="147">
        <v>0</v>
      </c>
      <c r="K169" s="159">
        <v>1418</v>
      </c>
      <c r="L169" s="163">
        <v>6</v>
      </c>
      <c r="M169" s="163">
        <v>3</v>
      </c>
      <c r="N169" s="154">
        <f>(((Tabela1369[[#This Row],[Objetive value Dissimilarity]]-Tabela1369[[#This Row],[Objetive value Dissimilarity/GATeS]])/Tabela1369[[#This Row],[Objetive value Dissimilarity]]))*100</f>
        <v>6.0927152317880795</v>
      </c>
      <c r="O169" s="23">
        <v>376</v>
      </c>
      <c r="P169" s="53">
        <v>2.12</v>
      </c>
      <c r="Q169" s="53">
        <v>0</v>
      </c>
      <c r="R169" s="55">
        <f>(((Tabela1369[[#This Row],[Objetive value Dissimilarity]]-Tabela1369[[#This Row],[Objetive Value Dissimilarity/H-R1]])/Tabela1369[[#This Row],[Objetive value Dissimilarity]]))*100</f>
        <v>75.099337748344368</v>
      </c>
      <c r="S169" s="96">
        <v>1144</v>
      </c>
      <c r="T169" s="21">
        <v>1.62</v>
      </c>
      <c r="U169" s="21">
        <v>0</v>
      </c>
      <c r="V169" s="144">
        <f>(((Tabela1369[[#This Row],[Objetive value Dissimilarity]]-Tabela1369[[#This Row],[Objetive value Dissimilarity/H-R2]])/Tabela1369[[#This Row],[Objetive value Dissimilarity]]))*100</f>
        <v>24.23841059602649</v>
      </c>
    </row>
    <row r="170" spans="1:22" x14ac:dyDescent="0.25">
      <c r="A170" s="11" t="s">
        <v>35</v>
      </c>
      <c r="B170" s="12" t="s">
        <v>1265</v>
      </c>
      <c r="C170" s="11">
        <v>100</v>
      </c>
      <c r="D170" s="24">
        <v>0.1</v>
      </c>
      <c r="E170" s="11">
        <v>10</v>
      </c>
      <c r="F170" s="32" t="s">
        <v>21</v>
      </c>
      <c r="G170" s="32" t="s">
        <v>16</v>
      </c>
      <c r="H170" s="155">
        <v>1308</v>
      </c>
      <c r="I170" s="140">
        <v>0.20299999997950999</v>
      </c>
      <c r="J170" s="147">
        <v>0</v>
      </c>
      <c r="K170" s="159">
        <v>1306</v>
      </c>
      <c r="L170" s="163">
        <v>8</v>
      </c>
      <c r="M170" s="163">
        <v>1</v>
      </c>
      <c r="N170" s="154">
        <f>(((Tabela1369[[#This Row],[Objetive value Dissimilarity]]-Tabela1369[[#This Row],[Objetive value Dissimilarity/GATeS]])/Tabela1369[[#This Row],[Objetive value Dissimilarity]]))*100</f>
        <v>0.1529051987767584</v>
      </c>
      <c r="O170" s="23">
        <v>1308</v>
      </c>
      <c r="P170" s="53">
        <v>0.35</v>
      </c>
      <c r="Q170" s="53">
        <v>0</v>
      </c>
      <c r="R170" s="55">
        <f>(((Tabela1369[[#This Row],[Objetive value Dissimilarity]]-Tabela1369[[#This Row],[Objetive Value Dissimilarity/H-R1]])/Tabela1369[[#This Row],[Objetive value Dissimilarity]]))*100</f>
        <v>0</v>
      </c>
      <c r="S170" s="96">
        <v>1241</v>
      </c>
      <c r="T170" s="21">
        <v>0.51</v>
      </c>
      <c r="U170" s="21">
        <v>0</v>
      </c>
      <c r="V170" s="144">
        <f>(((Tabela1369[[#This Row],[Objetive value Dissimilarity]]-Tabela1369[[#This Row],[Objetive value Dissimilarity/H-R2]])/Tabela1369[[#This Row],[Objetive value Dissimilarity]]))*100</f>
        <v>5.1223241590214066</v>
      </c>
    </row>
    <row r="171" spans="1:22" x14ac:dyDescent="0.25">
      <c r="A171" s="11" t="s">
        <v>54</v>
      </c>
      <c r="B171" s="30" t="s">
        <v>1266</v>
      </c>
      <c r="C171" s="11">
        <v>100</v>
      </c>
      <c r="D171" s="24">
        <v>0.1</v>
      </c>
      <c r="E171" s="11">
        <v>15</v>
      </c>
      <c r="F171" s="12" t="s">
        <v>13</v>
      </c>
      <c r="G171" s="12" t="s">
        <v>14</v>
      </c>
      <c r="H171" s="155">
        <v>2927</v>
      </c>
      <c r="I171" s="140">
        <v>1.03099999995902</v>
      </c>
      <c r="J171" s="147">
        <v>0</v>
      </c>
      <c r="K171" s="159">
        <v>2868</v>
      </c>
      <c r="L171" s="163">
        <v>39</v>
      </c>
      <c r="M171" s="163">
        <v>0</v>
      </c>
      <c r="N171" s="154">
        <f>(((Tabela1369[[#This Row],[Objetive value Dissimilarity]]-Tabela1369[[#This Row],[Objetive value Dissimilarity/GATeS]])/Tabela1369[[#This Row],[Objetive value Dissimilarity]]))*100</f>
        <v>2.0157157499145884</v>
      </c>
      <c r="O171" s="23">
        <v>2888</v>
      </c>
      <c r="P171" s="53">
        <v>0.49</v>
      </c>
      <c r="Q171" s="53">
        <v>0</v>
      </c>
      <c r="R171" s="55">
        <f>(((Tabela1369[[#This Row],[Objetive value Dissimilarity]]-Tabela1369[[#This Row],[Objetive Value Dissimilarity/H-R1]])/Tabela1369[[#This Row],[Objetive value Dissimilarity]]))*100</f>
        <v>1.3324222753672703</v>
      </c>
      <c r="S171" s="96">
        <v>2299</v>
      </c>
      <c r="T171" s="21">
        <v>0.46</v>
      </c>
      <c r="U171" s="21">
        <v>0</v>
      </c>
      <c r="V171" s="144">
        <f>(((Tabela1369[[#This Row],[Objetive value Dissimilarity]]-Tabela1369[[#This Row],[Objetive value Dissimilarity/H-R2]])/Tabela1369[[#This Row],[Objetive value Dissimilarity]]))*100</f>
        <v>21.455415100785789</v>
      </c>
    </row>
    <row r="172" spans="1:22" x14ac:dyDescent="0.25">
      <c r="A172" s="11" t="s">
        <v>54</v>
      </c>
      <c r="B172" s="12" t="s">
        <v>1267</v>
      </c>
      <c r="C172" s="11">
        <v>100</v>
      </c>
      <c r="D172" s="24">
        <v>0.1</v>
      </c>
      <c r="E172" s="11">
        <v>15</v>
      </c>
      <c r="F172" s="12" t="s">
        <v>13</v>
      </c>
      <c r="G172" s="12" t="s">
        <v>16</v>
      </c>
      <c r="H172" s="155">
        <v>1745</v>
      </c>
      <c r="I172" s="140">
        <v>2.125</v>
      </c>
      <c r="J172" s="147">
        <v>0.03</v>
      </c>
      <c r="K172" s="159">
        <v>1704</v>
      </c>
      <c r="L172" s="163">
        <v>15</v>
      </c>
      <c r="M172" s="163">
        <v>2</v>
      </c>
      <c r="N172" s="154">
        <f>(((Tabela1369[[#This Row],[Objetive value Dissimilarity]]-Tabela1369[[#This Row],[Objetive value Dissimilarity/GATeS]])/Tabela1369[[#This Row],[Objetive value Dissimilarity]]))*100</f>
        <v>2.3495702005730661</v>
      </c>
      <c r="O172" s="23">
        <v>1627</v>
      </c>
      <c r="P172" s="53">
        <v>0.53</v>
      </c>
      <c r="Q172" s="53">
        <v>0</v>
      </c>
      <c r="R172" s="55">
        <f>(((Tabela1369[[#This Row],[Objetive value Dissimilarity]]-Tabela1369[[#This Row],[Objetive Value Dissimilarity/H-R1]])/Tabela1369[[#This Row],[Objetive value Dissimilarity]]))*100</f>
        <v>6.7621776504298001</v>
      </c>
      <c r="S172" s="96">
        <v>1613</v>
      </c>
      <c r="T172" s="21">
        <v>0.42</v>
      </c>
      <c r="U172" s="21">
        <v>0</v>
      </c>
      <c r="V172" s="144">
        <f>(((Tabela1369[[#This Row],[Objetive value Dissimilarity]]-Tabela1369[[#This Row],[Objetive value Dissimilarity/H-R2]])/Tabela1369[[#This Row],[Objetive value Dissimilarity]]))*100</f>
        <v>7.5644699140401146</v>
      </c>
    </row>
    <row r="173" spans="1:22" x14ac:dyDescent="0.25">
      <c r="A173" s="11" t="s">
        <v>54</v>
      </c>
      <c r="B173" s="12" t="s">
        <v>1268</v>
      </c>
      <c r="C173" s="11">
        <v>100</v>
      </c>
      <c r="D173" s="24">
        <v>0.1</v>
      </c>
      <c r="E173" s="11">
        <v>15</v>
      </c>
      <c r="F173" s="12" t="s">
        <v>18</v>
      </c>
      <c r="G173" s="12" t="s">
        <v>14</v>
      </c>
      <c r="H173" s="155">
        <v>3136</v>
      </c>
      <c r="I173" s="140">
        <v>0.82799999997951002</v>
      </c>
      <c r="J173" s="147">
        <v>0</v>
      </c>
      <c r="K173" s="159">
        <v>3006</v>
      </c>
      <c r="L173" s="163">
        <v>11</v>
      </c>
      <c r="M173" s="163">
        <v>3</v>
      </c>
      <c r="N173" s="154">
        <f>(((Tabela1369[[#This Row],[Objetive value Dissimilarity]]-Tabela1369[[#This Row],[Objetive value Dissimilarity/GATeS]])/Tabela1369[[#This Row],[Objetive value Dissimilarity]]))*100</f>
        <v>4.1454081632653059</v>
      </c>
      <c r="O173" s="23">
        <v>2995</v>
      </c>
      <c r="P173" s="53">
        <v>0.33</v>
      </c>
      <c r="Q173" s="53">
        <v>0</v>
      </c>
      <c r="R173" s="55">
        <f>(((Tabela1369[[#This Row],[Objetive value Dissimilarity]]-Tabela1369[[#This Row],[Objetive Value Dissimilarity/H-R1]])/Tabela1369[[#This Row],[Objetive value Dissimilarity]]))*100</f>
        <v>4.4961734693877551</v>
      </c>
      <c r="S173" s="96">
        <v>2955</v>
      </c>
      <c r="T173" s="21">
        <v>0.5</v>
      </c>
      <c r="U173" s="21">
        <v>0</v>
      </c>
      <c r="V173" s="144">
        <f>(((Tabela1369[[#This Row],[Objetive value Dissimilarity]]-Tabela1369[[#This Row],[Objetive value Dissimilarity/H-R2]])/Tabela1369[[#This Row],[Objetive value Dissimilarity]]))*100</f>
        <v>5.7716836734693873</v>
      </c>
    </row>
    <row r="174" spans="1:22" x14ac:dyDescent="0.25">
      <c r="A174" s="11" t="s">
        <v>54</v>
      </c>
      <c r="B174" s="12" t="s">
        <v>1269</v>
      </c>
      <c r="C174" s="11">
        <v>100</v>
      </c>
      <c r="D174" s="24">
        <v>0.1</v>
      </c>
      <c r="E174" s="11">
        <v>15</v>
      </c>
      <c r="F174" s="12" t="s">
        <v>18</v>
      </c>
      <c r="G174" s="12" t="s">
        <v>16</v>
      </c>
      <c r="H174" s="155">
        <v>1692</v>
      </c>
      <c r="I174" s="140">
        <v>2.5629999999655402</v>
      </c>
      <c r="J174" s="147">
        <v>0.03</v>
      </c>
      <c r="K174" s="159">
        <v>1655</v>
      </c>
      <c r="L174" s="163">
        <v>10</v>
      </c>
      <c r="M174" s="163">
        <v>0</v>
      </c>
      <c r="N174" s="154">
        <f>(((Tabela1369[[#This Row],[Objetive value Dissimilarity]]-Tabela1369[[#This Row],[Objetive value Dissimilarity/GATeS]])/Tabela1369[[#This Row],[Objetive value Dissimilarity]]))*100</f>
        <v>2.186761229314421</v>
      </c>
      <c r="O174" s="23">
        <v>1667</v>
      </c>
      <c r="P174" s="53">
        <v>0.49</v>
      </c>
      <c r="Q174" s="53">
        <v>0</v>
      </c>
      <c r="R174" s="55">
        <f>(((Tabela1369[[#This Row],[Objetive value Dissimilarity]]-Tabela1369[[#This Row],[Objetive Value Dissimilarity/H-R1]])/Tabela1369[[#This Row],[Objetive value Dissimilarity]]))*100</f>
        <v>1.4775413711583925</v>
      </c>
      <c r="S174" s="96">
        <v>1593</v>
      </c>
      <c r="T174" s="21">
        <v>0.36</v>
      </c>
      <c r="U174" s="21">
        <v>0</v>
      </c>
      <c r="V174" s="144">
        <f>(((Tabela1369[[#This Row],[Objetive value Dissimilarity]]-Tabela1369[[#This Row],[Objetive value Dissimilarity/H-R2]])/Tabela1369[[#This Row],[Objetive value Dissimilarity]]))*100</f>
        <v>5.8510638297872344</v>
      </c>
    </row>
    <row r="175" spans="1:22" x14ac:dyDescent="0.25">
      <c r="A175" s="11" t="s">
        <v>54</v>
      </c>
      <c r="B175" s="12" t="s">
        <v>1270</v>
      </c>
      <c r="C175" s="11">
        <v>100</v>
      </c>
      <c r="D175" s="24">
        <v>0.1</v>
      </c>
      <c r="E175" s="11">
        <v>15</v>
      </c>
      <c r="F175" s="12" t="s">
        <v>21</v>
      </c>
      <c r="G175" s="12" t="s">
        <v>14</v>
      </c>
      <c r="H175" s="155">
        <v>2543</v>
      </c>
      <c r="I175" s="140">
        <v>0.17200000002048901</v>
      </c>
      <c r="J175" s="147">
        <v>0</v>
      </c>
      <c r="K175" s="159">
        <v>2155</v>
      </c>
      <c r="L175" s="163">
        <v>12</v>
      </c>
      <c r="M175" s="163">
        <v>0</v>
      </c>
      <c r="N175" s="154">
        <f>(((Tabela1369[[#This Row],[Objetive value Dissimilarity]]-Tabela1369[[#This Row],[Objetive value Dissimilarity/GATeS]])/Tabela1369[[#This Row],[Objetive value Dissimilarity]]))*100</f>
        <v>15.257569799449469</v>
      </c>
      <c r="O175" s="23">
        <v>2078</v>
      </c>
      <c r="P175" s="53">
        <v>0.85</v>
      </c>
      <c r="Q175" s="53">
        <v>0</v>
      </c>
      <c r="R175" s="55">
        <f>(((Tabela1369[[#This Row],[Objetive value Dissimilarity]]-Tabela1369[[#This Row],[Objetive Value Dissimilarity/H-R1]])/Tabela1369[[#This Row],[Objetive value Dissimilarity]]))*100</f>
        <v>18.285489579237122</v>
      </c>
      <c r="S175" s="96">
        <v>2157</v>
      </c>
      <c r="T175" s="21">
        <v>0.9</v>
      </c>
      <c r="U175" s="21">
        <v>0</v>
      </c>
      <c r="V175" s="144">
        <f>(((Tabela1369[[#This Row],[Objetive value Dissimilarity]]-Tabela1369[[#This Row],[Objetive value Dissimilarity/H-R2]])/Tabela1369[[#This Row],[Objetive value Dissimilarity]]))*100</f>
        <v>15.178922532441996</v>
      </c>
    </row>
    <row r="176" spans="1:22" x14ac:dyDescent="0.25">
      <c r="A176" s="11" t="s">
        <v>54</v>
      </c>
      <c r="B176" s="12" t="s">
        <v>1271</v>
      </c>
      <c r="C176" s="11">
        <v>100</v>
      </c>
      <c r="D176" s="24">
        <v>0.1</v>
      </c>
      <c r="E176" s="11">
        <v>15</v>
      </c>
      <c r="F176" s="12" t="s">
        <v>21</v>
      </c>
      <c r="G176" s="12" t="s">
        <v>16</v>
      </c>
      <c r="H176" s="155">
        <v>1540</v>
      </c>
      <c r="I176" s="140">
        <v>1.5790000000269999</v>
      </c>
      <c r="J176" s="147">
        <v>0</v>
      </c>
      <c r="K176" s="159">
        <v>1473</v>
      </c>
      <c r="L176" s="163">
        <v>9</v>
      </c>
      <c r="M176" s="163">
        <v>0</v>
      </c>
      <c r="N176" s="154">
        <f>(((Tabela1369[[#This Row],[Objetive value Dissimilarity]]-Tabela1369[[#This Row],[Objetive value Dissimilarity/GATeS]])/Tabela1369[[#This Row],[Objetive value Dissimilarity]]))*100</f>
        <v>4.3506493506493511</v>
      </c>
      <c r="O176" s="23">
        <v>1438</v>
      </c>
      <c r="P176" s="53">
        <v>0.34</v>
      </c>
      <c r="Q176" s="53">
        <v>0</v>
      </c>
      <c r="R176" s="55">
        <f>(((Tabela1369[[#This Row],[Objetive value Dissimilarity]]-Tabela1369[[#This Row],[Objetive Value Dissimilarity/H-R1]])/Tabela1369[[#This Row],[Objetive value Dissimilarity]]))*100</f>
        <v>6.6233766233766227</v>
      </c>
      <c r="S176" s="96">
        <v>1522</v>
      </c>
      <c r="T176" s="21">
        <v>0.48</v>
      </c>
      <c r="U176" s="21">
        <v>0</v>
      </c>
      <c r="V176" s="144">
        <f>(((Tabela1369[[#This Row],[Objetive value Dissimilarity]]-Tabela1369[[#This Row],[Objetive value Dissimilarity/H-R2]])/Tabela1369[[#This Row],[Objetive value Dissimilarity]]))*100</f>
        <v>1.1688311688311688</v>
      </c>
    </row>
    <row r="177" spans="1:22" x14ac:dyDescent="0.25">
      <c r="A177" s="11" t="s">
        <v>11</v>
      </c>
      <c r="B177" s="12" t="s">
        <v>1272</v>
      </c>
      <c r="C177" s="11">
        <v>100</v>
      </c>
      <c r="D177" s="24">
        <v>0.1</v>
      </c>
      <c r="E177" s="11">
        <v>5</v>
      </c>
      <c r="F177" s="12" t="s">
        <v>13</v>
      </c>
      <c r="G177" s="12" t="s">
        <v>14</v>
      </c>
      <c r="H177" s="155">
        <v>503</v>
      </c>
      <c r="I177" s="140">
        <v>0.10999999998602999</v>
      </c>
      <c r="J177" s="147">
        <v>0</v>
      </c>
      <c r="K177" s="159">
        <v>502</v>
      </c>
      <c r="L177" s="163">
        <v>4</v>
      </c>
      <c r="M177" s="163">
        <v>0</v>
      </c>
      <c r="N177" s="154">
        <f>(((Tabela1369[[#This Row],[Objetive value Dissimilarity]]-Tabela1369[[#This Row],[Objetive value Dissimilarity/GATeS]])/Tabela1369[[#This Row],[Objetive value Dissimilarity]]))*100</f>
        <v>0.19880715705765406</v>
      </c>
      <c r="O177" s="23">
        <v>501</v>
      </c>
      <c r="P177" s="53">
        <v>0.31</v>
      </c>
      <c r="Q177" s="53">
        <v>0</v>
      </c>
      <c r="R177" s="55">
        <f>(((Tabela1369[[#This Row],[Objetive value Dissimilarity]]-Tabela1369[[#This Row],[Objetive Value Dissimilarity/H-R1]])/Tabela1369[[#This Row],[Objetive value Dissimilarity]]))*100</f>
        <v>0.39761431411530812</v>
      </c>
      <c r="S177" s="96">
        <v>499</v>
      </c>
      <c r="T177" s="21">
        <v>0.32</v>
      </c>
      <c r="U177" s="21">
        <v>0</v>
      </c>
      <c r="V177" s="144">
        <f>(((Tabela1369[[#This Row],[Objetive value Dissimilarity]]-Tabela1369[[#This Row],[Objetive value Dissimilarity/H-R2]])/Tabela1369[[#This Row],[Objetive value Dissimilarity]]))*100</f>
        <v>0.79522862823061624</v>
      </c>
    </row>
    <row r="178" spans="1:22" x14ac:dyDescent="0.25">
      <c r="A178" s="11" t="s">
        <v>11</v>
      </c>
      <c r="B178" s="12" t="s">
        <v>1273</v>
      </c>
      <c r="C178" s="11">
        <v>100</v>
      </c>
      <c r="D178" s="24">
        <v>0.1</v>
      </c>
      <c r="E178" s="11">
        <v>5</v>
      </c>
      <c r="F178" s="12" t="s">
        <v>13</v>
      </c>
      <c r="G178" s="12" t="s">
        <v>16</v>
      </c>
      <c r="H178" s="155">
        <v>709</v>
      </c>
      <c r="I178" s="140">
        <v>0.140999999945051</v>
      </c>
      <c r="J178" s="147">
        <v>0</v>
      </c>
      <c r="K178" s="159">
        <v>690</v>
      </c>
      <c r="L178" s="163">
        <v>4</v>
      </c>
      <c r="M178" s="163">
        <v>4</v>
      </c>
      <c r="N178" s="154">
        <f>(((Tabela1369[[#This Row],[Objetive value Dissimilarity]]-Tabela1369[[#This Row],[Objetive value Dissimilarity/GATeS]])/Tabela1369[[#This Row],[Objetive value Dissimilarity]]))*100</f>
        <v>2.6798307475317347</v>
      </c>
      <c r="O178" s="23">
        <v>694</v>
      </c>
      <c r="P178" s="53">
        <v>0.25</v>
      </c>
      <c r="Q178" s="53">
        <v>0</v>
      </c>
      <c r="R178" s="55">
        <f>(((Tabela1369[[#This Row],[Objetive value Dissimilarity]]-Tabela1369[[#This Row],[Objetive Value Dissimilarity/H-R1]])/Tabela1369[[#This Row],[Objetive value Dissimilarity]]))*100</f>
        <v>2.1156558533145273</v>
      </c>
      <c r="S178" s="96">
        <v>709</v>
      </c>
      <c r="T178" s="21">
        <v>0.37</v>
      </c>
      <c r="U178" s="21">
        <v>0</v>
      </c>
      <c r="V178" s="144">
        <f>(((Tabela1369[[#This Row],[Objetive value Dissimilarity]]-Tabela1369[[#This Row],[Objetive value Dissimilarity/H-R2]])/Tabela1369[[#This Row],[Objetive value Dissimilarity]]))*100</f>
        <v>0</v>
      </c>
    </row>
    <row r="179" spans="1:22" x14ac:dyDescent="0.25">
      <c r="A179" s="11" t="s">
        <v>11</v>
      </c>
      <c r="B179" s="25" t="s">
        <v>1274</v>
      </c>
      <c r="C179" s="26">
        <v>100</v>
      </c>
      <c r="D179" s="27">
        <v>0.1</v>
      </c>
      <c r="E179" s="26">
        <v>5</v>
      </c>
      <c r="F179" s="28" t="s">
        <v>18</v>
      </c>
      <c r="G179" s="28" t="s">
        <v>14</v>
      </c>
      <c r="H179" s="155">
        <v>1038</v>
      </c>
      <c r="I179" s="140">
        <v>6.2000000034458901E-2</v>
      </c>
      <c r="J179" s="147">
        <v>2.02</v>
      </c>
      <c r="K179" s="159">
        <v>1038</v>
      </c>
      <c r="L179" s="163">
        <v>5</v>
      </c>
      <c r="M179" s="163">
        <v>4</v>
      </c>
      <c r="N179" s="154">
        <f>(((Tabela1369[[#This Row],[Objetive value Dissimilarity]]-Tabela1369[[#This Row],[Objetive value Dissimilarity/GATeS]])/Tabela1369[[#This Row],[Objetive value Dissimilarity]]))*100</f>
        <v>0</v>
      </c>
      <c r="O179" s="23">
        <v>1038</v>
      </c>
      <c r="P179" s="53">
        <v>0.21</v>
      </c>
      <c r="Q179" s="53">
        <v>0</v>
      </c>
      <c r="R179" s="55">
        <f>(((Tabela1369[[#This Row],[Objetive value Dissimilarity]]-Tabela1369[[#This Row],[Objetive Value Dissimilarity/H-R1]])/Tabela1369[[#This Row],[Objetive value Dissimilarity]]))*100</f>
        <v>0</v>
      </c>
      <c r="S179" s="96">
        <v>1038</v>
      </c>
      <c r="T179" s="21">
        <v>0.24</v>
      </c>
      <c r="U179" s="21">
        <v>0</v>
      </c>
      <c r="V179" s="144">
        <f>(((Tabela1369[[#This Row],[Objetive value Dissimilarity]]-Tabela1369[[#This Row],[Objetive value Dissimilarity/H-R2]])/Tabela1369[[#This Row],[Objetive value Dissimilarity]]))*100</f>
        <v>0</v>
      </c>
    </row>
    <row r="180" spans="1:22" x14ac:dyDescent="0.25">
      <c r="A180" s="11" t="s">
        <v>11</v>
      </c>
      <c r="B180" s="25" t="s">
        <v>1275</v>
      </c>
      <c r="C180" s="11">
        <v>100</v>
      </c>
      <c r="D180" s="24">
        <v>0.1</v>
      </c>
      <c r="E180" s="11">
        <v>5</v>
      </c>
      <c r="F180" s="12" t="s">
        <v>18</v>
      </c>
      <c r="G180" s="12" t="s">
        <v>16</v>
      </c>
      <c r="H180" s="155">
        <v>731</v>
      </c>
      <c r="I180" s="140">
        <v>0.155999999959021</v>
      </c>
      <c r="J180" s="147">
        <v>0</v>
      </c>
      <c r="K180" s="159">
        <v>731</v>
      </c>
      <c r="L180" s="163">
        <v>4</v>
      </c>
      <c r="M180" s="163">
        <v>0</v>
      </c>
      <c r="N180" s="154">
        <f>(((Tabela1369[[#This Row],[Objetive value Dissimilarity]]-Tabela1369[[#This Row],[Objetive value Dissimilarity/GATeS]])/Tabela1369[[#This Row],[Objetive value Dissimilarity]]))*100</f>
        <v>0</v>
      </c>
      <c r="O180" s="23">
        <v>695</v>
      </c>
      <c r="P180" s="53">
        <v>0.37</v>
      </c>
      <c r="Q180" s="53">
        <v>0</v>
      </c>
      <c r="R180" s="55">
        <f>(((Tabela1369[[#This Row],[Objetive value Dissimilarity]]-Tabela1369[[#This Row],[Objetive Value Dissimilarity/H-R1]])/Tabela1369[[#This Row],[Objetive value Dissimilarity]]))*100</f>
        <v>4.9247606019151844</v>
      </c>
      <c r="S180" s="96">
        <v>731</v>
      </c>
      <c r="T180" s="21">
        <v>0.25</v>
      </c>
      <c r="U180" s="21">
        <v>0</v>
      </c>
      <c r="V180" s="144">
        <f>(((Tabela1369[[#This Row],[Objetive value Dissimilarity]]-Tabela1369[[#This Row],[Objetive value Dissimilarity/H-R2]])/Tabela1369[[#This Row],[Objetive value Dissimilarity]]))*100</f>
        <v>0</v>
      </c>
    </row>
    <row r="181" spans="1:22" x14ac:dyDescent="0.25">
      <c r="A181" s="11" t="s">
        <v>11</v>
      </c>
      <c r="B181" s="25" t="s">
        <v>1276</v>
      </c>
      <c r="C181" s="11">
        <v>100</v>
      </c>
      <c r="D181" s="24">
        <v>0.1</v>
      </c>
      <c r="E181" s="11">
        <v>5</v>
      </c>
      <c r="F181" s="12" t="s">
        <v>21</v>
      </c>
      <c r="G181" s="12" t="s">
        <v>14</v>
      </c>
      <c r="H181" s="155">
        <v>603</v>
      </c>
      <c r="I181" s="140">
        <v>7.7999999979510903E-2</v>
      </c>
      <c r="J181" s="147">
        <v>0</v>
      </c>
      <c r="K181" s="159">
        <v>602</v>
      </c>
      <c r="L181" s="163">
        <v>3</v>
      </c>
      <c r="M181" s="163">
        <v>0</v>
      </c>
      <c r="N181" s="154">
        <f>(((Tabela1369[[#This Row],[Objetive value Dissimilarity]]-Tabela1369[[#This Row],[Objetive value Dissimilarity/GATeS]])/Tabela1369[[#This Row],[Objetive value Dissimilarity]]))*100</f>
        <v>0.16583747927031509</v>
      </c>
      <c r="O181" s="23">
        <v>603</v>
      </c>
      <c r="P181" s="53">
        <v>0.55000000000000004</v>
      </c>
      <c r="Q181" s="53">
        <v>0</v>
      </c>
      <c r="R181" s="55">
        <f>(((Tabela1369[[#This Row],[Objetive value Dissimilarity]]-Tabela1369[[#This Row],[Objetive Value Dissimilarity/H-R1]])/Tabela1369[[#This Row],[Objetive value Dissimilarity]]))*100</f>
        <v>0</v>
      </c>
      <c r="S181" s="96">
        <v>603</v>
      </c>
      <c r="T181" s="21">
        <v>0.88</v>
      </c>
      <c r="U181" s="21">
        <v>0</v>
      </c>
      <c r="V181" s="144">
        <f>(((Tabela1369[[#This Row],[Objetive value Dissimilarity]]-Tabela1369[[#This Row],[Objetive value Dissimilarity/H-R2]])/Tabela1369[[#This Row],[Objetive value Dissimilarity]]))*100</f>
        <v>0</v>
      </c>
    </row>
    <row r="182" spans="1:22" x14ac:dyDescent="0.25">
      <c r="A182" s="11" t="s">
        <v>11</v>
      </c>
      <c r="B182" s="25" t="s">
        <v>1277</v>
      </c>
      <c r="C182" s="11">
        <v>100</v>
      </c>
      <c r="D182" s="24">
        <v>0.1</v>
      </c>
      <c r="E182" s="11">
        <v>5</v>
      </c>
      <c r="F182" s="12" t="s">
        <v>21</v>
      </c>
      <c r="G182" s="12" t="s">
        <v>16</v>
      </c>
      <c r="H182" s="155">
        <v>751</v>
      </c>
      <c r="I182" s="140">
        <v>0.14000000001396901</v>
      </c>
      <c r="J182" s="147">
        <v>0</v>
      </c>
      <c r="K182" s="159">
        <v>745</v>
      </c>
      <c r="L182" s="163">
        <v>4</v>
      </c>
      <c r="M182" s="163">
        <v>3</v>
      </c>
      <c r="N182" s="154">
        <f>(((Tabela1369[[#This Row],[Objetive value Dissimilarity]]-Tabela1369[[#This Row],[Objetive value Dissimilarity/GATeS]])/Tabela1369[[#This Row],[Objetive value Dissimilarity]]))*100</f>
        <v>0.79893475366178435</v>
      </c>
      <c r="O182" s="23">
        <v>693</v>
      </c>
      <c r="P182" s="53">
        <v>0.21</v>
      </c>
      <c r="Q182" s="53">
        <v>0</v>
      </c>
      <c r="R182" s="55">
        <f>(((Tabela1369[[#This Row],[Objetive value Dissimilarity]]-Tabela1369[[#This Row],[Objetive Value Dissimilarity/H-R1]])/Tabela1369[[#This Row],[Objetive value Dissimilarity]]))*100</f>
        <v>7.7230359520639142</v>
      </c>
      <c r="S182" s="96">
        <v>693</v>
      </c>
      <c r="T182" s="21">
        <v>0.23</v>
      </c>
      <c r="U182" s="21">
        <v>0</v>
      </c>
      <c r="V182" s="144">
        <f>(((Tabela1369[[#This Row],[Objetive value Dissimilarity]]-Tabela1369[[#This Row],[Objetive value Dissimilarity/H-R2]])/Tabela1369[[#This Row],[Objetive value Dissimilarity]]))*100</f>
        <v>7.7230359520639142</v>
      </c>
    </row>
    <row r="183" spans="1:22" x14ac:dyDescent="0.25">
      <c r="A183" s="11" t="s">
        <v>35</v>
      </c>
      <c r="B183" s="12" t="s">
        <v>1278</v>
      </c>
      <c r="C183" s="11">
        <v>100</v>
      </c>
      <c r="D183" s="11">
        <v>0.15</v>
      </c>
      <c r="E183" s="11">
        <v>10</v>
      </c>
      <c r="F183" s="32" t="s">
        <v>13</v>
      </c>
      <c r="G183" s="32" t="s">
        <v>14</v>
      </c>
      <c r="H183" s="155">
        <v>1837</v>
      </c>
      <c r="I183" s="140">
        <v>0.155999999959021</v>
      </c>
      <c r="J183" s="147">
        <v>0</v>
      </c>
      <c r="K183" s="159">
        <v>1795</v>
      </c>
      <c r="L183" s="163">
        <v>11</v>
      </c>
      <c r="M183" s="163">
        <v>0</v>
      </c>
      <c r="N183" s="154">
        <f>(((Tabela1369[[#This Row],[Objetive value Dissimilarity]]-Tabela1369[[#This Row],[Objetive value Dissimilarity/GATeS]])/Tabela1369[[#This Row],[Objetive value Dissimilarity]]))*100</f>
        <v>2.2863364180729451</v>
      </c>
      <c r="O183" s="23">
        <v>1837</v>
      </c>
      <c r="P183" s="53">
        <v>0.53</v>
      </c>
      <c r="Q183" s="53">
        <v>0</v>
      </c>
      <c r="R183" s="55">
        <f>(((Tabela1369[[#This Row],[Objetive value Dissimilarity]]-Tabela1369[[#This Row],[Objetive Value Dissimilarity/H-R1]])/Tabela1369[[#This Row],[Objetive value Dissimilarity]]))*100</f>
        <v>0</v>
      </c>
      <c r="S183" s="96">
        <v>1682</v>
      </c>
      <c r="T183" s="21">
        <v>0.37</v>
      </c>
      <c r="U183" s="21">
        <v>0</v>
      </c>
      <c r="V183" s="144">
        <f>(((Tabela1369[[#This Row],[Objetive value Dissimilarity]]-Tabela1369[[#This Row],[Objetive value Dissimilarity/H-R2]])/Tabela1369[[#This Row],[Objetive value Dissimilarity]]))*100</f>
        <v>8.4376701143168216</v>
      </c>
    </row>
    <row r="184" spans="1:22" x14ac:dyDescent="0.25">
      <c r="A184" s="11" t="s">
        <v>35</v>
      </c>
      <c r="B184" s="12" t="s">
        <v>1279</v>
      </c>
      <c r="C184" s="11">
        <v>100</v>
      </c>
      <c r="D184" s="11">
        <v>0.15</v>
      </c>
      <c r="E184" s="11">
        <v>10</v>
      </c>
      <c r="F184" s="32" t="s">
        <v>13</v>
      </c>
      <c r="G184" s="32" t="s">
        <v>16</v>
      </c>
      <c r="H184" s="155">
        <v>1296</v>
      </c>
      <c r="I184" s="140">
        <v>0.5</v>
      </c>
      <c r="J184" s="147">
        <v>0</v>
      </c>
      <c r="K184" s="159">
        <v>1237</v>
      </c>
      <c r="L184" s="163">
        <v>6</v>
      </c>
      <c r="M184" s="163">
        <v>4</v>
      </c>
      <c r="N184" s="154">
        <f>(((Tabela1369[[#This Row],[Objetive value Dissimilarity]]-Tabela1369[[#This Row],[Objetive value Dissimilarity/GATeS]])/Tabela1369[[#This Row],[Objetive value Dissimilarity]]))*100</f>
        <v>4.5524691358024691</v>
      </c>
      <c r="O184" s="23">
        <v>1254</v>
      </c>
      <c r="P184" s="53">
        <v>0.71</v>
      </c>
      <c r="Q184" s="53">
        <v>0</v>
      </c>
      <c r="R184" s="55">
        <f>(((Tabela1369[[#This Row],[Objetive value Dissimilarity]]-Tabela1369[[#This Row],[Objetive Value Dissimilarity/H-R1]])/Tabela1369[[#This Row],[Objetive value Dissimilarity]]))*100</f>
        <v>3.2407407407407405</v>
      </c>
      <c r="S184" s="96">
        <v>1203</v>
      </c>
      <c r="T184" s="21">
        <v>1.1000000000000001</v>
      </c>
      <c r="U184" s="21">
        <v>0</v>
      </c>
      <c r="V184" s="144">
        <f>(((Tabela1369[[#This Row],[Objetive value Dissimilarity]]-Tabela1369[[#This Row],[Objetive value Dissimilarity/H-R2]])/Tabela1369[[#This Row],[Objetive value Dissimilarity]]))*100</f>
        <v>7.1759259259259256</v>
      </c>
    </row>
    <row r="185" spans="1:22" x14ac:dyDescent="0.25">
      <c r="A185" s="11" t="s">
        <v>35</v>
      </c>
      <c r="B185" s="12" t="s">
        <v>1280</v>
      </c>
      <c r="C185" s="11">
        <v>100</v>
      </c>
      <c r="D185" s="11">
        <v>0.15</v>
      </c>
      <c r="E185" s="11">
        <v>10</v>
      </c>
      <c r="F185" s="32" t="s">
        <v>18</v>
      </c>
      <c r="G185" s="32" t="s">
        <v>14</v>
      </c>
      <c r="H185" s="155">
        <v>1994</v>
      </c>
      <c r="I185" s="140">
        <v>0.140999999945051</v>
      </c>
      <c r="J185" s="147">
        <v>0</v>
      </c>
      <c r="K185" s="159">
        <v>1936</v>
      </c>
      <c r="L185" s="163">
        <v>8</v>
      </c>
      <c r="M185" s="163">
        <v>1</v>
      </c>
      <c r="N185" s="154">
        <f>(((Tabela1369[[#This Row],[Objetive value Dissimilarity]]-Tabela1369[[#This Row],[Objetive value Dissimilarity/GATeS]])/Tabela1369[[#This Row],[Objetive value Dissimilarity]]))*100</f>
        <v>2.9087261785356069</v>
      </c>
      <c r="O185" s="23">
        <v>1915</v>
      </c>
      <c r="P185" s="53">
        <v>0.68</v>
      </c>
      <c r="Q185" s="53">
        <v>0</v>
      </c>
      <c r="R185" s="55">
        <f>(((Tabela1369[[#This Row],[Objetive value Dissimilarity]]-Tabela1369[[#This Row],[Objetive Value Dissimilarity/H-R1]])/Tabela1369[[#This Row],[Objetive value Dissimilarity]]))*100</f>
        <v>3.9618856569709129</v>
      </c>
      <c r="S185" s="96">
        <v>1908</v>
      </c>
      <c r="T185" s="21">
        <v>0.56999999999999995</v>
      </c>
      <c r="U185" s="21">
        <v>0</v>
      </c>
      <c r="V185" s="144">
        <f>(((Tabela1369[[#This Row],[Objetive value Dissimilarity]]-Tabela1369[[#This Row],[Objetive value Dissimilarity/H-R2]])/Tabela1369[[#This Row],[Objetive value Dissimilarity]]))*100</f>
        <v>4.3129388164493481</v>
      </c>
    </row>
    <row r="186" spans="1:22" x14ac:dyDescent="0.25">
      <c r="A186" s="11" t="s">
        <v>35</v>
      </c>
      <c r="B186" s="12" t="s">
        <v>1281</v>
      </c>
      <c r="C186" s="11">
        <v>100</v>
      </c>
      <c r="D186" s="11">
        <v>0.15</v>
      </c>
      <c r="E186" s="11">
        <v>10</v>
      </c>
      <c r="F186" s="32" t="s">
        <v>18</v>
      </c>
      <c r="G186" s="32" t="s">
        <v>16</v>
      </c>
      <c r="H186" s="155">
        <v>1273</v>
      </c>
      <c r="I186" s="140">
        <v>0.85999999998603005</v>
      </c>
      <c r="J186" s="147">
        <v>0</v>
      </c>
      <c r="K186" s="159">
        <v>1240</v>
      </c>
      <c r="L186" s="163">
        <v>8</v>
      </c>
      <c r="M186" s="163">
        <v>7</v>
      </c>
      <c r="N186" s="154">
        <f>(((Tabela1369[[#This Row],[Objetive value Dissimilarity]]-Tabela1369[[#This Row],[Objetive value Dissimilarity/GATeS]])/Tabela1369[[#This Row],[Objetive value Dissimilarity]]))*100</f>
        <v>2.5923016496465041</v>
      </c>
      <c r="O186" s="23">
        <v>1253</v>
      </c>
      <c r="P186" s="53">
        <v>1.08</v>
      </c>
      <c r="Q186" s="53">
        <v>0</v>
      </c>
      <c r="R186" s="55">
        <f>(((Tabela1369[[#This Row],[Objetive value Dissimilarity]]-Tabela1369[[#This Row],[Objetive Value Dissimilarity/H-R1]])/Tabela1369[[#This Row],[Objetive value Dissimilarity]]))*100</f>
        <v>1.5710919088766693</v>
      </c>
      <c r="S186" s="96">
        <v>1229</v>
      </c>
      <c r="T186" s="21">
        <v>0.71</v>
      </c>
      <c r="U186" s="21">
        <v>0</v>
      </c>
      <c r="V186" s="144">
        <f>(((Tabela1369[[#This Row],[Objetive value Dissimilarity]]-Tabela1369[[#This Row],[Objetive value Dissimilarity/H-R2]])/Tabela1369[[#This Row],[Objetive value Dissimilarity]]))*100</f>
        <v>3.456402199528672</v>
      </c>
    </row>
    <row r="187" spans="1:22" x14ac:dyDescent="0.25">
      <c r="A187" s="11" t="s">
        <v>35</v>
      </c>
      <c r="B187" s="12" t="s">
        <v>1282</v>
      </c>
      <c r="C187" s="11">
        <v>100</v>
      </c>
      <c r="D187" s="11">
        <v>0.15</v>
      </c>
      <c r="E187" s="11">
        <v>10</v>
      </c>
      <c r="F187" s="32" t="s">
        <v>21</v>
      </c>
      <c r="G187" s="32" t="s">
        <v>14</v>
      </c>
      <c r="H187" s="155">
        <v>1784</v>
      </c>
      <c r="I187" s="140">
        <v>0.14000000001396901</v>
      </c>
      <c r="J187" s="147">
        <v>0</v>
      </c>
      <c r="K187" s="159">
        <v>1763</v>
      </c>
      <c r="L187" s="163">
        <v>8</v>
      </c>
      <c r="M187" s="163">
        <v>7</v>
      </c>
      <c r="N187" s="154">
        <f>(((Tabela1369[[#This Row],[Objetive value Dissimilarity]]-Tabela1369[[#This Row],[Objetive value Dissimilarity/GATeS]])/Tabela1369[[#This Row],[Objetive value Dissimilarity]]))*100</f>
        <v>1.1771300448430493</v>
      </c>
      <c r="O187" s="23">
        <v>1784</v>
      </c>
      <c r="P187" s="53">
        <v>0.41</v>
      </c>
      <c r="Q187" s="53">
        <v>0</v>
      </c>
      <c r="R187" s="55">
        <f>(((Tabela1369[[#This Row],[Objetive value Dissimilarity]]-Tabela1369[[#This Row],[Objetive Value Dissimilarity/H-R1]])/Tabela1369[[#This Row],[Objetive value Dissimilarity]]))*100</f>
        <v>0</v>
      </c>
      <c r="S187" s="96">
        <v>1749</v>
      </c>
      <c r="T187" s="21">
        <v>0.54</v>
      </c>
      <c r="U187" s="21">
        <v>0</v>
      </c>
      <c r="V187" s="144">
        <f>(((Tabela1369[[#This Row],[Objetive value Dissimilarity]]-Tabela1369[[#This Row],[Objetive value Dissimilarity/H-R2]])/Tabela1369[[#This Row],[Objetive value Dissimilarity]]))*100</f>
        <v>1.9618834080717491</v>
      </c>
    </row>
    <row r="188" spans="1:22" x14ac:dyDescent="0.25">
      <c r="A188" s="11" t="s">
        <v>35</v>
      </c>
      <c r="B188" s="12" t="s">
        <v>1283</v>
      </c>
      <c r="C188" s="11">
        <v>100</v>
      </c>
      <c r="D188" s="11">
        <v>0.15</v>
      </c>
      <c r="E188" s="11">
        <v>10</v>
      </c>
      <c r="F188" s="32" t="s">
        <v>21</v>
      </c>
      <c r="G188" s="32" t="s">
        <v>16</v>
      </c>
      <c r="H188" s="155">
        <v>1121</v>
      </c>
      <c r="I188" s="140">
        <v>0.39100000006146701</v>
      </c>
      <c r="J188" s="147">
        <v>0</v>
      </c>
      <c r="K188" s="159">
        <v>1118</v>
      </c>
      <c r="L188" s="163">
        <v>7</v>
      </c>
      <c r="M188" s="163">
        <v>1</v>
      </c>
      <c r="N188" s="154">
        <f>(((Tabela1369[[#This Row],[Objetive value Dissimilarity]]-Tabela1369[[#This Row],[Objetive value Dissimilarity/GATeS]])/Tabela1369[[#This Row],[Objetive value Dissimilarity]]))*100</f>
        <v>0.2676181980374665</v>
      </c>
      <c r="O188" s="23">
        <v>1095</v>
      </c>
      <c r="P188" s="53">
        <v>0.93</v>
      </c>
      <c r="Q188" s="53">
        <v>0</v>
      </c>
      <c r="R188" s="55">
        <f>(((Tabela1369[[#This Row],[Objetive value Dissimilarity]]-Tabela1369[[#This Row],[Objetive Value Dissimilarity/H-R1]])/Tabela1369[[#This Row],[Objetive value Dissimilarity]]))*100</f>
        <v>2.3193577163247099</v>
      </c>
      <c r="S188" s="96">
        <v>1121</v>
      </c>
      <c r="T188" s="21">
        <v>0.39</v>
      </c>
      <c r="U188" s="21">
        <v>0</v>
      </c>
      <c r="V188" s="144">
        <f>(((Tabela1369[[#This Row],[Objetive value Dissimilarity]]-Tabela1369[[#This Row],[Objetive value Dissimilarity/H-R2]])/Tabela1369[[#This Row],[Objetive value Dissimilarity]]))*100</f>
        <v>0</v>
      </c>
    </row>
    <row r="189" spans="1:22" x14ac:dyDescent="0.25">
      <c r="A189" s="11" t="s">
        <v>54</v>
      </c>
      <c r="B189" s="30" t="s">
        <v>1284</v>
      </c>
      <c r="C189" s="11">
        <v>100</v>
      </c>
      <c r="D189" s="11">
        <v>0.15</v>
      </c>
      <c r="E189" s="11">
        <v>15</v>
      </c>
      <c r="F189" s="12" t="s">
        <v>13</v>
      </c>
      <c r="G189" s="12" t="s">
        <v>14</v>
      </c>
      <c r="H189" s="155">
        <v>3109</v>
      </c>
      <c r="I189" s="140">
        <v>1.9380000000819499</v>
      </c>
      <c r="J189" s="147">
        <v>18.45</v>
      </c>
      <c r="K189" s="159">
        <v>2995</v>
      </c>
      <c r="L189" s="163">
        <v>23</v>
      </c>
      <c r="M189" s="163">
        <v>19</v>
      </c>
      <c r="N189" s="154">
        <f>(((Tabela1369[[#This Row],[Objetive value Dissimilarity]]-Tabela1369[[#This Row],[Objetive value Dissimilarity/GATeS]])/Tabela1369[[#This Row],[Objetive value Dissimilarity]]))*100</f>
        <v>3.6667738822772598</v>
      </c>
      <c r="O189" s="23">
        <v>2819</v>
      </c>
      <c r="P189" s="53">
        <v>0.33</v>
      </c>
      <c r="Q189" s="53">
        <v>0</v>
      </c>
      <c r="R189" s="55">
        <f>(((Tabela1369[[#This Row],[Objetive value Dissimilarity]]-Tabela1369[[#This Row],[Objetive Value Dissimilarity/H-R1]])/Tabela1369[[#This Row],[Objetive value Dissimilarity]]))*100</f>
        <v>9.3277581215825016</v>
      </c>
      <c r="S189" s="96">
        <v>2844</v>
      </c>
      <c r="T189" s="21">
        <v>0.63</v>
      </c>
      <c r="U189" s="21">
        <v>0</v>
      </c>
      <c r="V189" s="144">
        <f>(((Tabela1369[[#This Row],[Objetive value Dissimilarity]]-Tabela1369[[#This Row],[Objetive value Dissimilarity/H-R2]])/Tabela1369[[#This Row],[Objetive value Dissimilarity]]))*100</f>
        <v>8.5236410421357345</v>
      </c>
    </row>
    <row r="190" spans="1:22" x14ac:dyDescent="0.25">
      <c r="A190" s="11" t="s">
        <v>54</v>
      </c>
      <c r="B190" s="12" t="s">
        <v>1285</v>
      </c>
      <c r="C190" s="11">
        <v>100</v>
      </c>
      <c r="D190" s="11">
        <v>0.15</v>
      </c>
      <c r="E190" s="11">
        <v>15</v>
      </c>
      <c r="F190" s="12" t="s">
        <v>13</v>
      </c>
      <c r="G190" s="12" t="s">
        <v>16</v>
      </c>
      <c r="H190" s="155">
        <v>1749</v>
      </c>
      <c r="I190" s="140">
        <v>1.54700000002048</v>
      </c>
      <c r="J190" s="147">
        <v>0</v>
      </c>
      <c r="K190" s="159">
        <v>1714</v>
      </c>
      <c r="L190" s="163">
        <v>10</v>
      </c>
      <c r="M190" s="163">
        <v>0</v>
      </c>
      <c r="N190" s="154">
        <f>(((Tabela1369[[#This Row],[Objetive value Dissimilarity]]-Tabela1369[[#This Row],[Objetive value Dissimilarity/GATeS]])/Tabela1369[[#This Row],[Objetive value Dissimilarity]]))*100</f>
        <v>2.0011435105774726</v>
      </c>
      <c r="O190" s="23">
        <v>1705</v>
      </c>
      <c r="P190" s="53">
        <v>0.48</v>
      </c>
      <c r="Q190" s="53">
        <v>0</v>
      </c>
      <c r="R190" s="55">
        <f>(((Tabela1369[[#This Row],[Objetive value Dissimilarity]]-Tabela1369[[#This Row],[Objetive Value Dissimilarity/H-R1]])/Tabela1369[[#This Row],[Objetive value Dissimilarity]]))*100</f>
        <v>2.5157232704402519</v>
      </c>
      <c r="S190" s="96">
        <v>1660</v>
      </c>
      <c r="T190" s="21">
        <v>0.6</v>
      </c>
      <c r="U190" s="21">
        <v>0</v>
      </c>
      <c r="V190" s="144">
        <f>(((Tabela1369[[#This Row],[Objetive value Dissimilarity]]-Tabela1369[[#This Row],[Objetive value Dissimilarity/H-R2]])/Tabela1369[[#This Row],[Objetive value Dissimilarity]]))*100</f>
        <v>5.0886220697541447</v>
      </c>
    </row>
    <row r="191" spans="1:22" s="33" customFormat="1" x14ac:dyDescent="0.25">
      <c r="A191" s="11" t="s">
        <v>54</v>
      </c>
      <c r="B191" s="12" t="s">
        <v>1286</v>
      </c>
      <c r="C191" s="11">
        <v>100</v>
      </c>
      <c r="D191" s="11">
        <v>0.15</v>
      </c>
      <c r="E191" s="11">
        <v>15</v>
      </c>
      <c r="F191" s="12" t="s">
        <v>18</v>
      </c>
      <c r="G191" s="12" t="s">
        <v>14</v>
      </c>
      <c r="H191" s="155">
        <v>2961.99999999999</v>
      </c>
      <c r="I191" s="140">
        <v>1.375</v>
      </c>
      <c r="J191" s="147">
        <v>0</v>
      </c>
      <c r="K191" s="159">
        <v>2871</v>
      </c>
      <c r="L191" s="163">
        <v>14</v>
      </c>
      <c r="M191" s="163">
        <v>9</v>
      </c>
      <c r="N191" s="154">
        <f>(((Tabela1369[[#This Row],[Objetive value Dissimilarity]]-Tabela1369[[#This Row],[Objetive value Dissimilarity/GATeS]])/Tabela1369[[#This Row],[Objetive value Dissimilarity]]))*100</f>
        <v>3.0722484807559183</v>
      </c>
      <c r="O191" s="23">
        <v>2855</v>
      </c>
      <c r="P191" s="53">
        <v>0.43</v>
      </c>
      <c r="Q191" s="53">
        <v>0</v>
      </c>
      <c r="R191" s="55">
        <f>(((Tabela1369[[#This Row],[Objetive value Dissimilarity]]-Tabela1369[[#This Row],[Objetive Value Dissimilarity/H-R1]])/Tabela1369[[#This Row],[Objetive value Dissimilarity]]))*100</f>
        <v>3.6124240378119636</v>
      </c>
      <c r="S191" s="96">
        <v>2888</v>
      </c>
      <c r="T191" s="21">
        <v>0.38</v>
      </c>
      <c r="U191" s="21">
        <v>0</v>
      </c>
      <c r="V191" s="144">
        <f>(((Tabela1369[[#This Row],[Objetive value Dissimilarity]]-Tabela1369[[#This Row],[Objetive value Dissimilarity/H-R2]])/Tabela1369[[#This Row],[Objetive value Dissimilarity]]))*100</f>
        <v>2.4983119513838705</v>
      </c>
    </row>
    <row r="192" spans="1:22" s="34" customFormat="1" x14ac:dyDescent="0.25">
      <c r="A192" s="11" t="s">
        <v>54</v>
      </c>
      <c r="B192" s="12" t="s">
        <v>1287</v>
      </c>
      <c r="C192" s="11">
        <v>100</v>
      </c>
      <c r="D192" s="11">
        <v>0.15</v>
      </c>
      <c r="E192" s="11">
        <v>15</v>
      </c>
      <c r="F192" s="12" t="s">
        <v>18</v>
      </c>
      <c r="G192" s="12" t="s">
        <v>16</v>
      </c>
      <c r="H192" s="155">
        <v>1937</v>
      </c>
      <c r="I192" s="140">
        <v>1.6400000000139601</v>
      </c>
      <c r="J192" s="147">
        <v>0.06</v>
      </c>
      <c r="K192" s="159">
        <v>1915</v>
      </c>
      <c r="L192" s="163">
        <v>16</v>
      </c>
      <c r="M192" s="163">
        <v>15</v>
      </c>
      <c r="N192" s="154">
        <f>(((Tabela1369[[#This Row],[Objetive value Dissimilarity]]-Tabela1369[[#This Row],[Objetive value Dissimilarity/GATeS]])/Tabela1369[[#This Row],[Objetive value Dissimilarity]]))*100</f>
        <v>1.1357769747031492</v>
      </c>
      <c r="O192" s="23">
        <v>1912</v>
      </c>
      <c r="P192" s="53">
        <v>0.52</v>
      </c>
      <c r="Q192" s="53">
        <v>0</v>
      </c>
      <c r="R192" s="55">
        <f>(((Tabela1369[[#This Row],[Objetive value Dissimilarity]]-Tabela1369[[#This Row],[Objetive Value Dissimilarity/H-R1]])/Tabela1369[[#This Row],[Objetive value Dissimilarity]]))*100</f>
        <v>1.2906556530717606</v>
      </c>
      <c r="S192" s="96">
        <v>1915</v>
      </c>
      <c r="T192" s="21">
        <v>0.51</v>
      </c>
      <c r="U192" s="21">
        <v>0</v>
      </c>
      <c r="V192" s="144">
        <f>(((Tabela1369[[#This Row],[Objetive value Dissimilarity]]-Tabela1369[[#This Row],[Objetive value Dissimilarity/H-R2]])/Tabela1369[[#This Row],[Objetive value Dissimilarity]]))*100</f>
        <v>1.1357769747031492</v>
      </c>
    </row>
    <row r="193" spans="1:22" s="34" customFormat="1" x14ac:dyDescent="0.25">
      <c r="A193" s="11" t="s">
        <v>54</v>
      </c>
      <c r="B193" s="12" t="s">
        <v>1288</v>
      </c>
      <c r="C193" s="11">
        <v>100</v>
      </c>
      <c r="D193" s="11">
        <v>0.15</v>
      </c>
      <c r="E193" s="11">
        <v>15</v>
      </c>
      <c r="F193" s="12" t="s">
        <v>21</v>
      </c>
      <c r="G193" s="12" t="s">
        <v>14</v>
      </c>
      <c r="H193" s="155">
        <v>2697</v>
      </c>
      <c r="I193" s="140">
        <v>0.39100000006146701</v>
      </c>
      <c r="J193" s="147">
        <v>17.07</v>
      </c>
      <c r="K193" s="159">
        <v>2661</v>
      </c>
      <c r="L193" s="163">
        <v>11</v>
      </c>
      <c r="M193" s="163">
        <v>4</v>
      </c>
      <c r="N193" s="154">
        <f>(((Tabela1369[[#This Row],[Objetive value Dissimilarity]]-Tabela1369[[#This Row],[Objetive value Dissimilarity/GATeS]])/Tabela1369[[#This Row],[Objetive value Dissimilarity]]))*100</f>
        <v>1.3348164627363739</v>
      </c>
      <c r="O193" s="23">
        <v>2549</v>
      </c>
      <c r="P193" s="53">
        <v>0.48</v>
      </c>
      <c r="Q193" s="53">
        <v>0</v>
      </c>
      <c r="R193" s="55">
        <f>(((Tabela1369[[#This Row],[Objetive value Dissimilarity]]-Tabela1369[[#This Row],[Objetive Value Dissimilarity/H-R1]])/Tabela1369[[#This Row],[Objetive value Dissimilarity]]))*100</f>
        <v>5.4875787912495362</v>
      </c>
      <c r="S193" s="96">
        <v>2659</v>
      </c>
      <c r="T193" s="21">
        <v>0.35</v>
      </c>
      <c r="U193" s="21">
        <v>0</v>
      </c>
      <c r="V193" s="144">
        <f>(((Tabela1369[[#This Row],[Objetive value Dissimilarity]]-Tabela1369[[#This Row],[Objetive value Dissimilarity/H-R2]])/Tabela1369[[#This Row],[Objetive value Dissimilarity]]))*100</f>
        <v>1.4089729328883944</v>
      </c>
    </row>
    <row r="194" spans="1:22" s="34" customFormat="1" x14ac:dyDescent="0.25">
      <c r="A194" s="11" t="s">
        <v>54</v>
      </c>
      <c r="B194" s="12" t="s">
        <v>1289</v>
      </c>
      <c r="C194" s="11">
        <v>100</v>
      </c>
      <c r="D194" s="11">
        <v>0.15</v>
      </c>
      <c r="E194" s="11">
        <v>15</v>
      </c>
      <c r="F194" s="12" t="s">
        <v>21</v>
      </c>
      <c r="G194" s="12" t="s">
        <v>16</v>
      </c>
      <c r="H194" s="155">
        <v>1707</v>
      </c>
      <c r="I194" s="140">
        <v>2.1879999999655402</v>
      </c>
      <c r="J194" s="147">
        <v>0</v>
      </c>
      <c r="K194" s="159">
        <v>1685</v>
      </c>
      <c r="L194" s="163">
        <v>13</v>
      </c>
      <c r="M194" s="163">
        <v>4</v>
      </c>
      <c r="N194" s="154">
        <f>(((Tabela1369[[#This Row],[Objetive value Dissimilarity]]-Tabela1369[[#This Row],[Objetive value Dissimilarity/GATeS]])/Tabela1369[[#This Row],[Objetive value Dissimilarity]]))*100</f>
        <v>1.2888107791446983</v>
      </c>
      <c r="O194" s="23">
        <v>1673</v>
      </c>
      <c r="P194" s="53">
        <v>0.45</v>
      </c>
      <c r="Q194" s="53">
        <v>0</v>
      </c>
      <c r="R194" s="55">
        <f>(((Tabela1369[[#This Row],[Objetive value Dissimilarity]]-Tabela1369[[#This Row],[Objetive Value Dissimilarity/H-R1]])/Tabela1369[[#This Row],[Objetive value Dissimilarity]]))*100</f>
        <v>1.9917984768599881</v>
      </c>
      <c r="S194" s="96">
        <v>1598</v>
      </c>
      <c r="T194" s="21">
        <v>0.67</v>
      </c>
      <c r="U194" s="21">
        <v>0</v>
      </c>
      <c r="V194" s="144">
        <f>(((Tabela1369[[#This Row],[Objetive value Dissimilarity]]-Tabela1369[[#This Row],[Objetive value Dissimilarity/H-R2]])/Tabela1369[[#This Row],[Objetive value Dissimilarity]]))*100</f>
        <v>6.3854715875805503</v>
      </c>
    </row>
    <row r="195" spans="1:22" s="34" customFormat="1" x14ac:dyDescent="0.25">
      <c r="A195" s="11" t="s">
        <v>11</v>
      </c>
      <c r="B195" s="25" t="s">
        <v>1290</v>
      </c>
      <c r="C195" s="11">
        <v>100</v>
      </c>
      <c r="D195" s="11">
        <v>0.15</v>
      </c>
      <c r="E195" s="11">
        <v>5</v>
      </c>
      <c r="F195" s="12" t="s">
        <v>13</v>
      </c>
      <c r="G195" s="12" t="s">
        <v>14</v>
      </c>
      <c r="H195" s="155">
        <v>904</v>
      </c>
      <c r="I195" s="140">
        <v>0.14100000006146701</v>
      </c>
      <c r="J195" s="147">
        <v>0</v>
      </c>
      <c r="K195" s="159">
        <v>895</v>
      </c>
      <c r="L195" s="163">
        <v>3</v>
      </c>
      <c r="M195" s="163">
        <v>0</v>
      </c>
      <c r="N195" s="154">
        <f>(((Tabela1369[[#This Row],[Objetive value Dissimilarity]]-Tabela1369[[#This Row],[Objetive value Dissimilarity/GATeS]])/Tabela1369[[#This Row],[Objetive value Dissimilarity]]))*100</f>
        <v>0.99557522123893805</v>
      </c>
      <c r="O195" s="23">
        <v>904</v>
      </c>
      <c r="P195" s="53">
        <v>0.26</v>
      </c>
      <c r="Q195" s="53">
        <v>0</v>
      </c>
      <c r="R195" s="55">
        <f>(((Tabela1369[[#This Row],[Objetive value Dissimilarity]]-Tabela1369[[#This Row],[Objetive Value Dissimilarity/H-R1]])/Tabela1369[[#This Row],[Objetive value Dissimilarity]]))*100</f>
        <v>0</v>
      </c>
      <c r="S195" s="96">
        <v>904</v>
      </c>
      <c r="T195" s="21">
        <v>0.5</v>
      </c>
      <c r="U195" s="21">
        <v>0</v>
      </c>
      <c r="V195" s="144">
        <f>(((Tabela1369[[#This Row],[Objetive value Dissimilarity]]-Tabela1369[[#This Row],[Objetive value Dissimilarity/H-R2]])/Tabela1369[[#This Row],[Objetive value Dissimilarity]]))*100</f>
        <v>0</v>
      </c>
    </row>
    <row r="196" spans="1:22" s="34" customFormat="1" x14ac:dyDescent="0.25">
      <c r="A196" s="11" t="s">
        <v>11</v>
      </c>
      <c r="B196" s="25" t="s">
        <v>1291</v>
      </c>
      <c r="C196" s="11">
        <v>100</v>
      </c>
      <c r="D196" s="11">
        <v>0.15</v>
      </c>
      <c r="E196" s="11">
        <v>5</v>
      </c>
      <c r="F196" s="12" t="s">
        <v>13</v>
      </c>
      <c r="G196" s="12" t="s">
        <v>16</v>
      </c>
      <c r="H196" s="155">
        <v>756</v>
      </c>
      <c r="I196" s="140">
        <v>0.14100000006146701</v>
      </c>
      <c r="J196" s="147">
        <v>0</v>
      </c>
      <c r="K196" s="159">
        <v>743</v>
      </c>
      <c r="L196" s="163">
        <v>4</v>
      </c>
      <c r="M196" s="163">
        <v>2</v>
      </c>
      <c r="N196" s="154">
        <f>(((Tabela1369[[#This Row],[Objetive value Dissimilarity]]-Tabela1369[[#This Row],[Objetive value Dissimilarity/GATeS]])/Tabela1369[[#This Row],[Objetive value Dissimilarity]]))*100</f>
        <v>1.7195767195767195</v>
      </c>
      <c r="O196" s="23">
        <v>756</v>
      </c>
      <c r="P196" s="53">
        <v>0.41</v>
      </c>
      <c r="Q196" s="53">
        <v>0</v>
      </c>
      <c r="R196" s="55">
        <f>(((Tabela1369[[#This Row],[Objetive value Dissimilarity]]-Tabela1369[[#This Row],[Objetive Value Dissimilarity/H-R1]])/Tabela1369[[#This Row],[Objetive value Dissimilarity]]))*100</f>
        <v>0</v>
      </c>
      <c r="S196" s="96">
        <v>756</v>
      </c>
      <c r="T196" s="21">
        <v>0.56999999999999995</v>
      </c>
      <c r="U196" s="21">
        <v>0</v>
      </c>
      <c r="V196" s="144">
        <f>(((Tabela1369[[#This Row],[Objetive value Dissimilarity]]-Tabela1369[[#This Row],[Objetive value Dissimilarity/H-R2]])/Tabela1369[[#This Row],[Objetive value Dissimilarity]]))*100</f>
        <v>0</v>
      </c>
    </row>
    <row r="197" spans="1:22" s="34" customFormat="1" x14ac:dyDescent="0.25">
      <c r="A197" s="11" t="s">
        <v>11</v>
      </c>
      <c r="B197" s="12" t="s">
        <v>1292</v>
      </c>
      <c r="C197" s="11">
        <v>100</v>
      </c>
      <c r="D197" s="11">
        <v>0.15</v>
      </c>
      <c r="E197" s="11">
        <v>5</v>
      </c>
      <c r="F197" s="12" t="s">
        <v>18</v>
      </c>
      <c r="G197" s="12" t="s">
        <v>14</v>
      </c>
      <c r="H197" s="155">
        <v>849</v>
      </c>
      <c r="I197" s="140">
        <v>6.2999999965540995E-2</v>
      </c>
      <c r="J197" s="147">
        <v>0</v>
      </c>
      <c r="K197" s="159">
        <v>730</v>
      </c>
      <c r="L197" s="163">
        <v>3</v>
      </c>
      <c r="M197" s="163">
        <v>0</v>
      </c>
      <c r="N197" s="154">
        <f>(((Tabela1369[[#This Row],[Objetive value Dissimilarity]]-Tabela1369[[#This Row],[Objetive value Dissimilarity/GATeS]])/Tabela1369[[#This Row],[Objetive value Dissimilarity]]))*100</f>
        <v>14.016489988221437</v>
      </c>
      <c r="O197" s="23">
        <v>849</v>
      </c>
      <c r="P197" s="53">
        <v>0.21</v>
      </c>
      <c r="Q197" s="53">
        <v>0</v>
      </c>
      <c r="R197" s="55">
        <f>(((Tabela1369[[#This Row],[Objetive value Dissimilarity]]-Tabela1369[[#This Row],[Objetive Value Dissimilarity/H-R1]])/Tabela1369[[#This Row],[Objetive value Dissimilarity]]))*100</f>
        <v>0</v>
      </c>
      <c r="S197" s="96">
        <v>652</v>
      </c>
      <c r="T197" s="21">
        <v>0.31</v>
      </c>
      <c r="U197" s="21">
        <v>0</v>
      </c>
      <c r="V197" s="144">
        <f>(((Tabela1369[[#This Row],[Objetive value Dissimilarity]]-Tabela1369[[#This Row],[Objetive value Dissimilarity/H-R2]])/Tabela1369[[#This Row],[Objetive value Dissimilarity]]))*100</f>
        <v>23.203769140164901</v>
      </c>
    </row>
    <row r="198" spans="1:22" s="34" customFormat="1" x14ac:dyDescent="0.25">
      <c r="A198" s="11" t="s">
        <v>11</v>
      </c>
      <c r="B198" s="12" t="s">
        <v>1293</v>
      </c>
      <c r="C198" s="11">
        <v>100</v>
      </c>
      <c r="D198" s="11">
        <v>0.15</v>
      </c>
      <c r="E198" s="11">
        <v>5</v>
      </c>
      <c r="F198" s="12" t="s">
        <v>18</v>
      </c>
      <c r="G198" s="12" t="s">
        <v>16</v>
      </c>
      <c r="H198" s="155">
        <v>741</v>
      </c>
      <c r="I198" s="140">
        <v>0.140999999945051</v>
      </c>
      <c r="J198" s="147">
        <v>0</v>
      </c>
      <c r="K198" s="159">
        <v>735</v>
      </c>
      <c r="L198" s="163">
        <v>5</v>
      </c>
      <c r="M198" s="163">
        <v>1</v>
      </c>
      <c r="N198" s="154">
        <f>(((Tabela1369[[#This Row],[Objetive value Dissimilarity]]-Tabela1369[[#This Row],[Objetive value Dissimilarity/GATeS]])/Tabela1369[[#This Row],[Objetive value Dissimilarity]]))*100</f>
        <v>0.80971659919028338</v>
      </c>
      <c r="O198" s="23">
        <v>735</v>
      </c>
      <c r="P198" s="53">
        <v>0.63</v>
      </c>
      <c r="Q198" s="53">
        <v>0</v>
      </c>
      <c r="R198" s="55">
        <f>(((Tabela1369[[#This Row],[Objetive value Dissimilarity]]-Tabela1369[[#This Row],[Objetive Value Dissimilarity/H-R1]])/Tabela1369[[#This Row],[Objetive value Dissimilarity]]))*100</f>
        <v>0.80971659919028338</v>
      </c>
      <c r="S198" s="96">
        <v>716</v>
      </c>
      <c r="T198" s="21">
        <v>0.3</v>
      </c>
      <c r="U198" s="21">
        <v>0</v>
      </c>
      <c r="V198" s="144">
        <f>(((Tabela1369[[#This Row],[Objetive value Dissimilarity]]-Tabela1369[[#This Row],[Objetive value Dissimilarity/H-R2]])/Tabela1369[[#This Row],[Objetive value Dissimilarity]]))*100</f>
        <v>3.3738191632928474</v>
      </c>
    </row>
    <row r="199" spans="1:22" s="34" customFormat="1" x14ac:dyDescent="0.25">
      <c r="A199" s="11" t="s">
        <v>11</v>
      </c>
      <c r="B199" s="12" t="s">
        <v>1294</v>
      </c>
      <c r="C199" s="11">
        <v>100</v>
      </c>
      <c r="D199" s="11">
        <v>0.15</v>
      </c>
      <c r="E199" s="11">
        <v>5</v>
      </c>
      <c r="F199" s="12" t="s">
        <v>21</v>
      </c>
      <c r="G199" s="12" t="s">
        <v>14</v>
      </c>
      <c r="H199" s="155">
        <v>902</v>
      </c>
      <c r="I199" s="140">
        <v>9.4000000040978193E-2</v>
      </c>
      <c r="J199" s="147">
        <v>0</v>
      </c>
      <c r="K199" s="159">
        <v>902</v>
      </c>
      <c r="L199" s="163">
        <v>3</v>
      </c>
      <c r="M199" s="163">
        <v>0</v>
      </c>
      <c r="N199" s="154">
        <f>(((Tabela1369[[#This Row],[Objetive value Dissimilarity]]-Tabela1369[[#This Row],[Objetive value Dissimilarity/GATeS]])/Tabela1369[[#This Row],[Objetive value Dissimilarity]]))*100</f>
        <v>0</v>
      </c>
      <c r="O199" s="23">
        <v>754</v>
      </c>
      <c r="P199" s="53">
        <v>0.54</v>
      </c>
      <c r="Q199" s="53">
        <v>0</v>
      </c>
      <c r="R199" s="55">
        <f>(((Tabela1369[[#This Row],[Objetive value Dissimilarity]]-Tabela1369[[#This Row],[Objetive Value Dissimilarity/H-R1]])/Tabela1369[[#This Row],[Objetive value Dissimilarity]]))*100</f>
        <v>16.4079822616408</v>
      </c>
      <c r="S199" s="96">
        <v>902</v>
      </c>
      <c r="T199" s="21">
        <v>0.7</v>
      </c>
      <c r="U199" s="21">
        <v>0</v>
      </c>
      <c r="V199" s="144">
        <f>(((Tabela1369[[#This Row],[Objetive value Dissimilarity]]-Tabela1369[[#This Row],[Objetive value Dissimilarity/H-R2]])/Tabela1369[[#This Row],[Objetive value Dissimilarity]]))*100</f>
        <v>0</v>
      </c>
    </row>
    <row r="200" spans="1:22" s="34" customFormat="1" x14ac:dyDescent="0.25">
      <c r="A200" s="11" t="s">
        <v>11</v>
      </c>
      <c r="B200" s="12" t="s">
        <v>1295</v>
      </c>
      <c r="C200" s="11">
        <v>100</v>
      </c>
      <c r="D200" s="11">
        <v>0.15</v>
      </c>
      <c r="E200" s="11">
        <v>5</v>
      </c>
      <c r="F200" s="12" t="s">
        <v>21</v>
      </c>
      <c r="G200" s="12" t="s">
        <v>16</v>
      </c>
      <c r="H200" s="155">
        <v>750</v>
      </c>
      <c r="I200" s="140">
        <v>0.125</v>
      </c>
      <c r="J200" s="147">
        <v>0</v>
      </c>
      <c r="K200" s="159">
        <v>741</v>
      </c>
      <c r="L200" s="163">
        <v>13</v>
      </c>
      <c r="M200" s="163">
        <v>2</v>
      </c>
      <c r="N200" s="154">
        <f>(((Tabela1369[[#This Row],[Objetive value Dissimilarity]]-Tabela1369[[#This Row],[Objetive value Dissimilarity/GATeS]])/Tabela1369[[#This Row],[Objetive value Dissimilarity]]))*100</f>
        <v>1.2</v>
      </c>
      <c r="O200" s="23">
        <v>712</v>
      </c>
      <c r="P200" s="53">
        <v>0.43</v>
      </c>
      <c r="Q200" s="53">
        <v>0</v>
      </c>
      <c r="R200" s="55">
        <f>(((Tabela1369[[#This Row],[Objetive value Dissimilarity]]-Tabela1369[[#This Row],[Objetive Value Dissimilarity/H-R1]])/Tabela1369[[#This Row],[Objetive value Dissimilarity]]))*100</f>
        <v>5.0666666666666664</v>
      </c>
      <c r="S200" s="96">
        <v>750</v>
      </c>
      <c r="T200" s="21">
        <v>0.41</v>
      </c>
      <c r="U200" s="21">
        <v>0</v>
      </c>
      <c r="V200" s="144">
        <f>(((Tabela1369[[#This Row],[Objetive value Dissimilarity]]-Tabela1369[[#This Row],[Objetive value Dissimilarity/H-R2]])/Tabela1369[[#This Row],[Objetive value Dissimilarity]]))*100</f>
        <v>0</v>
      </c>
    </row>
    <row r="201" spans="1:22" s="34" customFormat="1" x14ac:dyDescent="0.25">
      <c r="A201" s="11" t="s">
        <v>35</v>
      </c>
      <c r="B201" s="12" t="s">
        <v>1296</v>
      </c>
      <c r="C201" s="11">
        <v>100</v>
      </c>
      <c r="D201" s="11">
        <v>0.05</v>
      </c>
      <c r="E201" s="11">
        <v>10</v>
      </c>
      <c r="F201" s="12" t="s">
        <v>13</v>
      </c>
      <c r="G201" s="12" t="s">
        <v>14</v>
      </c>
      <c r="H201" s="155">
        <v>1924</v>
      </c>
      <c r="I201" s="140">
        <v>0.17200000002048901</v>
      </c>
      <c r="J201" s="147">
        <v>0</v>
      </c>
      <c r="K201" s="159">
        <v>1693</v>
      </c>
      <c r="L201" s="163">
        <v>8</v>
      </c>
      <c r="M201" s="163">
        <v>2</v>
      </c>
      <c r="N201" s="154">
        <f>(((Tabela1369[[#This Row],[Objetive value Dissimilarity]]-Tabela1369[[#This Row],[Objetive value Dissimilarity/GATeS]])/Tabela1369[[#This Row],[Objetive value Dissimilarity]]))*100</f>
        <v>12.006237006237006</v>
      </c>
      <c r="O201" s="23">
        <v>1658</v>
      </c>
      <c r="P201" s="53">
        <v>0.31</v>
      </c>
      <c r="Q201" s="53">
        <v>0</v>
      </c>
      <c r="R201" s="55">
        <f>(((Tabela1369[[#This Row],[Objetive value Dissimilarity]]-Tabela1369[[#This Row],[Objetive Value Dissimilarity/H-R1]])/Tabela1369[[#This Row],[Objetive value Dissimilarity]]))*100</f>
        <v>13.825363825363826</v>
      </c>
      <c r="S201" s="96">
        <v>1709</v>
      </c>
      <c r="T201" s="21">
        <v>0.31</v>
      </c>
      <c r="U201" s="21">
        <v>0</v>
      </c>
      <c r="V201" s="144">
        <f>(((Tabela1369[[#This Row],[Objetive value Dissimilarity]]-Tabela1369[[#This Row],[Objetive value Dissimilarity/H-R2]])/Tabela1369[[#This Row],[Objetive value Dissimilarity]]))*100</f>
        <v>11.174636174636175</v>
      </c>
    </row>
    <row r="202" spans="1:22" s="34" customFormat="1" x14ac:dyDescent="0.25">
      <c r="A202" s="11" t="s">
        <v>35</v>
      </c>
      <c r="B202" s="12" t="s">
        <v>1297</v>
      </c>
      <c r="C202" s="11">
        <v>100</v>
      </c>
      <c r="D202" s="11">
        <v>0.05</v>
      </c>
      <c r="E202" s="11">
        <v>10</v>
      </c>
      <c r="F202" s="12" t="s">
        <v>13</v>
      </c>
      <c r="G202" s="12" t="s">
        <v>16</v>
      </c>
      <c r="H202" s="155">
        <v>1186</v>
      </c>
      <c r="I202" s="140">
        <v>0.89099999994505197</v>
      </c>
      <c r="J202" s="147">
        <v>0</v>
      </c>
      <c r="K202" s="159">
        <v>1127</v>
      </c>
      <c r="L202" s="163">
        <v>9</v>
      </c>
      <c r="M202" s="163">
        <v>4</v>
      </c>
      <c r="N202" s="154">
        <f>(((Tabela1369[[#This Row],[Objetive value Dissimilarity]]-Tabela1369[[#This Row],[Objetive value Dissimilarity/GATeS]])/Tabela1369[[#This Row],[Objetive value Dissimilarity]]))*100</f>
        <v>4.9747048903878586</v>
      </c>
      <c r="O202" s="23">
        <v>1110</v>
      </c>
      <c r="P202" s="53">
        <v>0.52</v>
      </c>
      <c r="Q202" s="53">
        <v>0</v>
      </c>
      <c r="R202" s="55">
        <f>(((Tabela1369[[#This Row],[Objetive value Dissimilarity]]-Tabela1369[[#This Row],[Objetive Value Dissimilarity/H-R1]])/Tabela1369[[#This Row],[Objetive value Dissimilarity]]))*100</f>
        <v>6.4080944350758857</v>
      </c>
      <c r="S202" s="96">
        <v>1110</v>
      </c>
      <c r="T202" s="21">
        <v>0.66</v>
      </c>
      <c r="U202" s="21">
        <v>0</v>
      </c>
      <c r="V202" s="144">
        <f>(((Tabela1369[[#This Row],[Objetive value Dissimilarity]]-Tabela1369[[#This Row],[Objetive value Dissimilarity/H-R2]])/Tabela1369[[#This Row],[Objetive value Dissimilarity]]))*100</f>
        <v>6.4080944350758857</v>
      </c>
    </row>
    <row r="203" spans="1:22" s="34" customFormat="1" x14ac:dyDescent="0.25">
      <c r="A203" s="29" t="s">
        <v>35</v>
      </c>
      <c r="B203" s="30" t="s">
        <v>1298</v>
      </c>
      <c r="C203" s="29">
        <v>100</v>
      </c>
      <c r="D203" s="29">
        <v>0.05</v>
      </c>
      <c r="E203" s="29">
        <v>10</v>
      </c>
      <c r="F203" s="30" t="s">
        <v>18</v>
      </c>
      <c r="G203" s="12" t="s">
        <v>14</v>
      </c>
      <c r="H203" s="155">
        <v>1591</v>
      </c>
      <c r="I203" s="140">
        <v>0.14000000001396901</v>
      </c>
      <c r="J203" s="147">
        <v>0</v>
      </c>
      <c r="K203" s="159">
        <v>1505</v>
      </c>
      <c r="L203" s="163">
        <v>7</v>
      </c>
      <c r="M203" s="163">
        <v>3</v>
      </c>
      <c r="N203" s="154">
        <f>(((Tabela1369[[#This Row],[Objetive value Dissimilarity]]-Tabela1369[[#This Row],[Objetive value Dissimilarity/GATeS]])/Tabela1369[[#This Row],[Objetive value Dissimilarity]]))*100</f>
        <v>5.4054054054054053</v>
      </c>
      <c r="O203" s="23">
        <v>1513</v>
      </c>
      <c r="P203" s="53">
        <v>0.37</v>
      </c>
      <c r="Q203" s="53">
        <v>0</v>
      </c>
      <c r="R203" s="55">
        <f>(((Tabela1369[[#This Row],[Objetive value Dissimilarity]]-Tabela1369[[#This Row],[Objetive Value Dissimilarity/H-R1]])/Tabela1369[[#This Row],[Objetive value Dissimilarity]]))*100</f>
        <v>4.9025769956002518</v>
      </c>
      <c r="S203" s="96">
        <v>1513</v>
      </c>
      <c r="T203" s="21">
        <v>0.69</v>
      </c>
      <c r="U203" s="21">
        <v>0</v>
      </c>
      <c r="V203" s="144">
        <f>(((Tabela1369[[#This Row],[Objetive value Dissimilarity]]-Tabela1369[[#This Row],[Objetive value Dissimilarity/H-R2]])/Tabela1369[[#This Row],[Objetive value Dissimilarity]]))*100</f>
        <v>4.9025769956002518</v>
      </c>
    </row>
    <row r="204" spans="1:22" s="34" customFormat="1" x14ac:dyDescent="0.25">
      <c r="A204" s="11" t="s">
        <v>35</v>
      </c>
      <c r="B204" s="12" t="s">
        <v>1299</v>
      </c>
      <c r="C204" s="11">
        <v>100</v>
      </c>
      <c r="D204" s="11">
        <v>0.05</v>
      </c>
      <c r="E204" s="11">
        <v>10</v>
      </c>
      <c r="F204" s="12" t="s">
        <v>18</v>
      </c>
      <c r="G204" s="12" t="s">
        <v>16</v>
      </c>
      <c r="H204" s="155">
        <v>1366</v>
      </c>
      <c r="I204" s="140">
        <v>0.18799999996554101</v>
      </c>
      <c r="J204" s="147">
        <v>0</v>
      </c>
      <c r="K204" s="159">
        <v>1359</v>
      </c>
      <c r="L204" s="163">
        <v>12</v>
      </c>
      <c r="M204" s="163">
        <v>2</v>
      </c>
      <c r="N204" s="154">
        <f>(((Tabela1369[[#This Row],[Objetive value Dissimilarity]]-Tabela1369[[#This Row],[Objetive value Dissimilarity/GATeS]])/Tabela1369[[#This Row],[Objetive value Dissimilarity]]))*100</f>
        <v>0.51244509516837478</v>
      </c>
      <c r="O204" s="23">
        <v>1321</v>
      </c>
      <c r="P204" s="53">
        <v>0.42</v>
      </c>
      <c r="Q204" s="53">
        <v>0</v>
      </c>
      <c r="R204" s="55">
        <f>(((Tabela1369[[#This Row],[Objetive value Dissimilarity]]-Tabela1369[[#This Row],[Objetive Value Dissimilarity/H-R1]])/Tabela1369[[#This Row],[Objetive value Dissimilarity]]))*100</f>
        <v>3.2942898975109811</v>
      </c>
      <c r="S204" s="96">
        <v>1323</v>
      </c>
      <c r="T204" s="21">
        <v>0.56000000000000005</v>
      </c>
      <c r="U204" s="21">
        <v>0</v>
      </c>
      <c r="V204" s="144">
        <f>(((Tabela1369[[#This Row],[Objetive value Dissimilarity]]-Tabela1369[[#This Row],[Objetive value Dissimilarity/H-R2]])/Tabela1369[[#This Row],[Objetive value Dissimilarity]]))*100</f>
        <v>3.1478770131771596</v>
      </c>
    </row>
    <row r="205" spans="1:22" s="34" customFormat="1" x14ac:dyDescent="0.25">
      <c r="A205" s="11" t="s">
        <v>35</v>
      </c>
      <c r="B205" s="12" t="s">
        <v>1300</v>
      </c>
      <c r="C205" s="11">
        <v>100</v>
      </c>
      <c r="D205" s="11">
        <v>0.05</v>
      </c>
      <c r="E205" s="11">
        <v>10</v>
      </c>
      <c r="F205" s="12" t="s">
        <v>21</v>
      </c>
      <c r="G205" s="12" t="s">
        <v>14</v>
      </c>
      <c r="H205" s="155">
        <v>1405</v>
      </c>
      <c r="I205" s="140">
        <v>0.125</v>
      </c>
      <c r="J205" s="147">
        <v>0</v>
      </c>
      <c r="K205" s="159">
        <v>1344</v>
      </c>
      <c r="L205" s="163">
        <v>18</v>
      </c>
      <c r="M205" s="163">
        <v>0</v>
      </c>
      <c r="N205" s="154">
        <f>(((Tabela1369[[#This Row],[Objetive value Dissimilarity]]-Tabela1369[[#This Row],[Objetive value Dissimilarity/GATeS]])/Tabela1369[[#This Row],[Objetive value Dissimilarity]]))*100</f>
        <v>4.3416370106761564</v>
      </c>
      <c r="O205" s="23">
        <v>1298</v>
      </c>
      <c r="P205" s="53">
        <v>1.03</v>
      </c>
      <c r="Q205" s="53">
        <v>0</v>
      </c>
      <c r="R205" s="55">
        <f>(((Tabela1369[[#This Row],[Objetive value Dissimilarity]]-Tabela1369[[#This Row],[Objetive Value Dissimilarity/H-R1]])/Tabela1369[[#This Row],[Objetive value Dissimilarity]]))*100</f>
        <v>7.6156583629893237</v>
      </c>
      <c r="S205" s="96">
        <v>1400</v>
      </c>
      <c r="T205" s="21">
        <v>0.76</v>
      </c>
      <c r="U205" s="21">
        <v>0</v>
      </c>
      <c r="V205" s="144">
        <f>(((Tabela1369[[#This Row],[Objetive value Dissimilarity]]-Tabela1369[[#This Row],[Objetive value Dissimilarity/H-R2]])/Tabela1369[[#This Row],[Objetive value Dissimilarity]]))*100</f>
        <v>0.35587188612099641</v>
      </c>
    </row>
    <row r="206" spans="1:22" s="34" customFormat="1" x14ac:dyDescent="0.25">
      <c r="A206" s="11" t="s">
        <v>35</v>
      </c>
      <c r="B206" s="30" t="s">
        <v>1301</v>
      </c>
      <c r="C206" s="11">
        <v>100</v>
      </c>
      <c r="D206" s="11">
        <v>0.05</v>
      </c>
      <c r="E206" s="11">
        <v>10</v>
      </c>
      <c r="F206" s="12" t="s">
        <v>21</v>
      </c>
      <c r="G206" s="12" t="s">
        <v>16</v>
      </c>
      <c r="H206" s="155">
        <v>1077</v>
      </c>
      <c r="I206" s="140">
        <v>0.35999999998602999</v>
      </c>
      <c r="J206" s="147">
        <v>0</v>
      </c>
      <c r="K206" s="159">
        <v>1041</v>
      </c>
      <c r="L206" s="163">
        <v>7</v>
      </c>
      <c r="M206" s="163">
        <v>5</v>
      </c>
      <c r="N206" s="154">
        <f>(((Tabela1369[[#This Row],[Objetive value Dissimilarity]]-Tabela1369[[#This Row],[Objetive value Dissimilarity/GATeS]])/Tabela1369[[#This Row],[Objetive value Dissimilarity]]))*100</f>
        <v>3.3426183844011144</v>
      </c>
      <c r="O206" s="23">
        <v>1073</v>
      </c>
      <c r="P206" s="53">
        <v>0.78</v>
      </c>
      <c r="Q206" s="53">
        <v>0</v>
      </c>
      <c r="R206" s="55">
        <f>(((Tabela1369[[#This Row],[Objetive value Dissimilarity]]-Tabela1369[[#This Row],[Objetive Value Dissimilarity/H-R1]])/Tabela1369[[#This Row],[Objetive value Dissimilarity]]))*100</f>
        <v>0.37140204271123489</v>
      </c>
      <c r="S206" s="96">
        <v>1073</v>
      </c>
      <c r="T206" s="21">
        <v>0.69</v>
      </c>
      <c r="U206" s="21">
        <v>0</v>
      </c>
      <c r="V206" s="144">
        <f>(((Tabela1369[[#This Row],[Objetive value Dissimilarity]]-Tabela1369[[#This Row],[Objetive value Dissimilarity/H-R2]])/Tabela1369[[#This Row],[Objetive value Dissimilarity]]))*100</f>
        <v>0.37140204271123489</v>
      </c>
    </row>
    <row r="207" spans="1:22" s="34" customFormat="1" x14ac:dyDescent="0.25">
      <c r="A207" s="11" t="s">
        <v>54</v>
      </c>
      <c r="B207" s="30" t="s">
        <v>1302</v>
      </c>
      <c r="C207" s="11">
        <v>100</v>
      </c>
      <c r="D207" s="11">
        <v>0.05</v>
      </c>
      <c r="E207" s="11">
        <v>15</v>
      </c>
      <c r="F207" s="32" t="s">
        <v>13</v>
      </c>
      <c r="G207" s="32" t="s">
        <v>14</v>
      </c>
      <c r="H207" s="155">
        <v>2541</v>
      </c>
      <c r="I207" s="140">
        <v>1.25</v>
      </c>
      <c r="J207" s="147">
        <v>0</v>
      </c>
      <c r="K207" s="159">
        <v>2391</v>
      </c>
      <c r="L207" s="163">
        <v>11</v>
      </c>
      <c r="M207" s="163">
        <v>1</v>
      </c>
      <c r="N207" s="154">
        <f>(((Tabela1369[[#This Row],[Objetive value Dissimilarity]]-Tabela1369[[#This Row],[Objetive value Dissimilarity/GATeS]])/Tabela1369[[#This Row],[Objetive value Dissimilarity]]))*100</f>
        <v>5.9031877213695401</v>
      </c>
      <c r="O207" s="23">
        <v>2270</v>
      </c>
      <c r="P207" s="53">
        <v>0.54</v>
      </c>
      <c r="Q207" s="53">
        <v>0</v>
      </c>
      <c r="R207" s="55">
        <f>(((Tabela1369[[#This Row],[Objetive value Dissimilarity]]-Tabela1369[[#This Row],[Objetive Value Dissimilarity/H-R1]])/Tabela1369[[#This Row],[Objetive value Dissimilarity]]))*100</f>
        <v>10.665092483274302</v>
      </c>
      <c r="S207" s="96">
        <v>2069</v>
      </c>
      <c r="T207" s="21">
        <v>0.4</v>
      </c>
      <c r="U207" s="21">
        <v>0</v>
      </c>
      <c r="V207" s="144">
        <f>(((Tabela1369[[#This Row],[Objetive value Dissimilarity]]-Tabela1369[[#This Row],[Objetive value Dissimilarity/H-R2]])/Tabela1369[[#This Row],[Objetive value Dissimilarity]]))*100</f>
        <v>18.575364029909487</v>
      </c>
    </row>
    <row r="208" spans="1:22" s="34" customFormat="1" x14ac:dyDescent="0.25">
      <c r="A208" s="11" t="s">
        <v>54</v>
      </c>
      <c r="B208" s="12" t="s">
        <v>1303</v>
      </c>
      <c r="C208" s="11">
        <v>100</v>
      </c>
      <c r="D208" s="11">
        <v>0.05</v>
      </c>
      <c r="E208" s="11">
        <v>15</v>
      </c>
      <c r="F208" s="32" t="s">
        <v>13</v>
      </c>
      <c r="G208" s="32" t="s">
        <v>16</v>
      </c>
      <c r="H208" s="155">
        <v>1754.99999999999</v>
      </c>
      <c r="I208" s="140">
        <v>1.54700000002048</v>
      </c>
      <c r="J208" s="147">
        <v>0.03</v>
      </c>
      <c r="K208" s="159">
        <v>1712</v>
      </c>
      <c r="L208" s="163">
        <v>18</v>
      </c>
      <c r="M208" s="163">
        <v>1</v>
      </c>
      <c r="N208" s="154">
        <f>(((Tabela1369[[#This Row],[Objetive value Dissimilarity]]-Tabela1369[[#This Row],[Objetive value Dissimilarity/GATeS]])/Tabela1369[[#This Row],[Objetive value Dissimilarity]]))*100</f>
        <v>2.450142450141894</v>
      </c>
      <c r="O208" s="23">
        <v>1687</v>
      </c>
      <c r="P208" s="53">
        <v>0.73</v>
      </c>
      <c r="Q208" s="53">
        <v>0</v>
      </c>
      <c r="R208" s="55">
        <f>(((Tabela1369[[#This Row],[Objetive value Dissimilarity]]-Tabela1369[[#This Row],[Objetive Value Dissimilarity/H-R1]])/Tabela1369[[#This Row],[Objetive value Dissimilarity]]))*100</f>
        <v>3.8746438746433265</v>
      </c>
      <c r="S208" s="96">
        <v>1672</v>
      </c>
      <c r="T208" s="21">
        <v>0.65</v>
      </c>
      <c r="U208" s="21">
        <v>0</v>
      </c>
      <c r="V208" s="144">
        <f>(((Tabela1369[[#This Row],[Objetive value Dissimilarity]]-Tabela1369[[#This Row],[Objetive value Dissimilarity/H-R2]])/Tabela1369[[#This Row],[Objetive value Dissimilarity]]))*100</f>
        <v>4.7293447293441861</v>
      </c>
    </row>
    <row r="209" spans="1:22" s="34" customFormat="1" x14ac:dyDescent="0.25">
      <c r="A209" s="11" t="s">
        <v>54</v>
      </c>
      <c r="B209" s="12" t="s">
        <v>1304</v>
      </c>
      <c r="C209" s="11">
        <v>100</v>
      </c>
      <c r="D209" s="11">
        <v>0.05</v>
      </c>
      <c r="E209" s="11">
        <v>15</v>
      </c>
      <c r="F209" s="32" t="s">
        <v>18</v>
      </c>
      <c r="G209" s="32" t="s">
        <v>14</v>
      </c>
      <c r="H209" s="155">
        <v>2195</v>
      </c>
      <c r="I209" s="140">
        <v>1.15600000007543</v>
      </c>
      <c r="J209" s="147">
        <v>0</v>
      </c>
      <c r="K209" s="159">
        <v>2135</v>
      </c>
      <c r="L209" s="163">
        <v>11</v>
      </c>
      <c r="M209" s="163">
        <v>6</v>
      </c>
      <c r="N209" s="154">
        <f>(((Tabela1369[[#This Row],[Objetive value Dissimilarity]]-Tabela1369[[#This Row],[Objetive value Dissimilarity/GATeS]])/Tabela1369[[#This Row],[Objetive value Dissimilarity]]))*100</f>
        <v>2.7334851936218678</v>
      </c>
      <c r="O209" s="23">
        <v>2142</v>
      </c>
      <c r="P209" s="53">
        <v>0.34</v>
      </c>
      <c r="Q209" s="53">
        <v>0</v>
      </c>
      <c r="R209" s="55">
        <f>(((Tabela1369[[#This Row],[Objetive value Dissimilarity]]-Tabela1369[[#This Row],[Objetive Value Dissimilarity/H-R1]])/Tabela1369[[#This Row],[Objetive value Dissimilarity]]))*100</f>
        <v>2.4145785876993164</v>
      </c>
      <c r="S209" s="96">
        <v>2102</v>
      </c>
      <c r="T209" s="21">
        <v>0.34</v>
      </c>
      <c r="U209" s="21">
        <v>0</v>
      </c>
      <c r="V209" s="144">
        <f>(((Tabela1369[[#This Row],[Objetive value Dissimilarity]]-Tabela1369[[#This Row],[Objetive value Dissimilarity/H-R2]])/Tabela1369[[#This Row],[Objetive value Dissimilarity]]))*100</f>
        <v>4.236902050113895</v>
      </c>
    </row>
    <row r="210" spans="1:22" s="34" customFormat="1" x14ac:dyDescent="0.25">
      <c r="A210" s="11" t="s">
        <v>54</v>
      </c>
      <c r="B210" s="12" t="s">
        <v>1305</v>
      </c>
      <c r="C210" s="11">
        <v>100</v>
      </c>
      <c r="D210" s="11">
        <v>0.05</v>
      </c>
      <c r="E210" s="11">
        <v>15</v>
      </c>
      <c r="F210" s="32" t="s">
        <v>18</v>
      </c>
      <c r="G210" s="32" t="s">
        <v>16</v>
      </c>
      <c r="H210" s="155">
        <v>1845</v>
      </c>
      <c r="I210" s="140">
        <v>1.75</v>
      </c>
      <c r="J210" s="147">
        <v>7.0000000000000007E-2</v>
      </c>
      <c r="K210" s="159">
        <v>1787</v>
      </c>
      <c r="L210" s="163">
        <v>16</v>
      </c>
      <c r="M210" s="163">
        <v>13</v>
      </c>
      <c r="N210" s="154">
        <f>(((Tabela1369[[#This Row],[Objetive value Dissimilarity]]-Tabela1369[[#This Row],[Objetive value Dissimilarity/GATeS]])/Tabela1369[[#This Row],[Objetive value Dissimilarity]]))*100</f>
        <v>3.1436314363143634</v>
      </c>
      <c r="O210" s="23">
        <v>1793</v>
      </c>
      <c r="P210" s="53">
        <v>0.4</v>
      </c>
      <c r="Q210" s="53">
        <v>0</v>
      </c>
      <c r="R210" s="55">
        <f>(((Tabela1369[[#This Row],[Objetive value Dissimilarity]]-Tabela1369[[#This Row],[Objetive Value Dissimilarity/H-R1]])/Tabela1369[[#This Row],[Objetive value Dissimilarity]]))*100</f>
        <v>2.8184281842818426</v>
      </c>
      <c r="S210" s="96">
        <v>1815</v>
      </c>
      <c r="T210" s="21">
        <v>0.56000000000000005</v>
      </c>
      <c r="U210" s="21">
        <v>0</v>
      </c>
      <c r="V210" s="144">
        <f>(((Tabela1369[[#This Row],[Objetive value Dissimilarity]]-Tabela1369[[#This Row],[Objetive value Dissimilarity/H-R2]])/Tabela1369[[#This Row],[Objetive value Dissimilarity]]))*100</f>
        <v>1.6260162601626018</v>
      </c>
    </row>
    <row r="211" spans="1:22" s="34" customFormat="1" x14ac:dyDescent="0.25">
      <c r="A211" s="11" t="s">
        <v>54</v>
      </c>
      <c r="B211" s="12" t="s">
        <v>1306</v>
      </c>
      <c r="C211" s="11">
        <v>100</v>
      </c>
      <c r="D211" s="11">
        <v>0.05</v>
      </c>
      <c r="E211" s="11">
        <v>15</v>
      </c>
      <c r="F211" s="32" t="s">
        <v>21</v>
      </c>
      <c r="G211" s="32" t="s">
        <v>14</v>
      </c>
      <c r="H211" s="155">
        <v>2116</v>
      </c>
      <c r="I211" s="140">
        <v>0.14000000001396901</v>
      </c>
      <c r="J211" s="147">
        <v>0</v>
      </c>
      <c r="K211" s="159">
        <v>2112</v>
      </c>
      <c r="L211" s="163">
        <v>9</v>
      </c>
      <c r="M211" s="163">
        <v>7</v>
      </c>
      <c r="N211" s="154">
        <f>(((Tabela1369[[#This Row],[Objetive value Dissimilarity]]-Tabela1369[[#This Row],[Objetive value Dissimilarity/GATeS]])/Tabela1369[[#This Row],[Objetive value Dissimilarity]]))*100</f>
        <v>0.1890359168241966</v>
      </c>
      <c r="O211" s="23">
        <v>420</v>
      </c>
      <c r="P211" s="53">
        <v>1.76</v>
      </c>
      <c r="Q211" s="53">
        <v>0</v>
      </c>
      <c r="R211" s="55">
        <f>(((Tabela1369[[#This Row],[Objetive value Dissimilarity]]-Tabela1369[[#This Row],[Objetive Value Dissimilarity/H-R1]])/Tabela1369[[#This Row],[Objetive value Dissimilarity]]))*100</f>
        <v>80.151228733459362</v>
      </c>
      <c r="S211" s="96">
        <v>1888</v>
      </c>
      <c r="T211" s="21">
        <v>0.84</v>
      </c>
      <c r="U211" s="21">
        <v>0</v>
      </c>
      <c r="V211" s="144">
        <f>(((Tabela1369[[#This Row],[Objetive value Dissimilarity]]-Tabela1369[[#This Row],[Objetive value Dissimilarity/H-R2]])/Tabela1369[[#This Row],[Objetive value Dissimilarity]]))*100</f>
        <v>10.775047258979207</v>
      </c>
    </row>
    <row r="212" spans="1:22" s="34" customFormat="1" x14ac:dyDescent="0.25">
      <c r="A212" s="11" t="s">
        <v>54</v>
      </c>
      <c r="B212" s="12" t="s">
        <v>1307</v>
      </c>
      <c r="C212" s="11">
        <v>100</v>
      </c>
      <c r="D212" s="11">
        <v>0.05</v>
      </c>
      <c r="E212" s="11">
        <v>15</v>
      </c>
      <c r="F212" s="32" t="s">
        <v>21</v>
      </c>
      <c r="G212" s="32" t="s">
        <v>16</v>
      </c>
      <c r="H212" s="155">
        <v>1769</v>
      </c>
      <c r="I212" s="140">
        <v>0.93799999996554095</v>
      </c>
      <c r="J212" s="147">
        <v>0</v>
      </c>
      <c r="K212" s="159">
        <v>1721</v>
      </c>
      <c r="L212" s="163">
        <v>14</v>
      </c>
      <c r="M212" s="163">
        <v>5</v>
      </c>
      <c r="N212" s="154">
        <f>(((Tabela1369[[#This Row],[Objetive value Dissimilarity]]-Tabela1369[[#This Row],[Objetive value Dissimilarity/GATeS]])/Tabela1369[[#This Row],[Objetive value Dissimilarity]]))*100</f>
        <v>2.7133973996608254</v>
      </c>
      <c r="O212" s="23">
        <v>1727</v>
      </c>
      <c r="P212" s="53">
        <v>0.41</v>
      </c>
      <c r="Q212" s="53">
        <v>0</v>
      </c>
      <c r="R212" s="55">
        <f>(((Tabela1369[[#This Row],[Objetive value Dissimilarity]]-Tabela1369[[#This Row],[Objetive Value Dissimilarity/H-R1]])/Tabela1369[[#This Row],[Objetive value Dissimilarity]]))*100</f>
        <v>2.3742227247032224</v>
      </c>
      <c r="S212" s="96">
        <v>1682</v>
      </c>
      <c r="T212" s="21">
        <v>0.41</v>
      </c>
      <c r="U212" s="21">
        <v>0</v>
      </c>
      <c r="V212" s="144">
        <f>(((Tabela1369[[#This Row],[Objetive value Dissimilarity]]-Tabela1369[[#This Row],[Objetive value Dissimilarity/H-R2]])/Tabela1369[[#This Row],[Objetive value Dissimilarity]]))*100</f>
        <v>4.918032786885246</v>
      </c>
    </row>
    <row r="213" spans="1:22" s="34" customFormat="1" x14ac:dyDescent="0.25">
      <c r="A213" s="11" t="s">
        <v>11</v>
      </c>
      <c r="B213" s="12" t="s">
        <v>1308</v>
      </c>
      <c r="C213" s="11">
        <v>100</v>
      </c>
      <c r="D213" s="11">
        <v>0.05</v>
      </c>
      <c r="E213" s="11">
        <v>5</v>
      </c>
      <c r="F213" s="12" t="s">
        <v>13</v>
      </c>
      <c r="G213" s="12" t="s">
        <v>14</v>
      </c>
      <c r="H213" s="155">
        <v>795</v>
      </c>
      <c r="I213" s="140">
        <v>0.108999999938532</v>
      </c>
      <c r="J213" s="147">
        <v>0</v>
      </c>
      <c r="K213" s="159">
        <v>792</v>
      </c>
      <c r="L213" s="163">
        <v>7</v>
      </c>
      <c r="M213" s="163">
        <v>6</v>
      </c>
      <c r="N213" s="154">
        <f>(((Tabela1369[[#This Row],[Objetive value Dissimilarity]]-Tabela1369[[#This Row],[Objetive value Dissimilarity/GATeS]])/Tabela1369[[#This Row],[Objetive value Dissimilarity]]))*100</f>
        <v>0.37735849056603776</v>
      </c>
      <c r="O213" s="23">
        <v>794</v>
      </c>
      <c r="P213" s="53">
        <v>0.28999999999999998</v>
      </c>
      <c r="Q213" s="53">
        <v>0</v>
      </c>
      <c r="R213" s="55">
        <f>(((Tabela1369[[#This Row],[Objetive value Dissimilarity]]-Tabela1369[[#This Row],[Objetive Value Dissimilarity/H-R1]])/Tabela1369[[#This Row],[Objetive value Dissimilarity]]))*100</f>
        <v>0.12578616352201258</v>
      </c>
      <c r="S213" s="96">
        <v>795</v>
      </c>
      <c r="T213" s="21">
        <v>0.23</v>
      </c>
      <c r="U213" s="21">
        <v>0</v>
      </c>
      <c r="V213" s="144">
        <f>(((Tabela1369[[#This Row],[Objetive value Dissimilarity]]-Tabela1369[[#This Row],[Objetive value Dissimilarity/H-R2]])/Tabela1369[[#This Row],[Objetive value Dissimilarity]]))*100</f>
        <v>0</v>
      </c>
    </row>
    <row r="214" spans="1:22" s="34" customFormat="1" x14ac:dyDescent="0.25">
      <c r="A214" s="11" t="s">
        <v>11</v>
      </c>
      <c r="B214" s="12" t="s">
        <v>1309</v>
      </c>
      <c r="C214" s="11">
        <v>100</v>
      </c>
      <c r="D214" s="11">
        <v>0.05</v>
      </c>
      <c r="E214" s="11">
        <v>5</v>
      </c>
      <c r="F214" s="12" t="s">
        <v>13</v>
      </c>
      <c r="G214" s="12" t="s">
        <v>16</v>
      </c>
      <c r="H214" s="155">
        <v>700</v>
      </c>
      <c r="I214" s="140">
        <v>0.15600000007543699</v>
      </c>
      <c r="J214" s="147">
        <v>0</v>
      </c>
      <c r="K214" s="159">
        <v>690</v>
      </c>
      <c r="L214" s="163">
        <v>3</v>
      </c>
      <c r="M214" s="163">
        <v>0</v>
      </c>
      <c r="N214" s="154">
        <f>(((Tabela1369[[#This Row],[Objetive value Dissimilarity]]-Tabela1369[[#This Row],[Objetive value Dissimilarity/GATeS]])/Tabela1369[[#This Row],[Objetive value Dissimilarity]]))*100</f>
        <v>1.4285714285714286</v>
      </c>
      <c r="O214" s="23">
        <v>668</v>
      </c>
      <c r="P214" s="53">
        <v>0.38</v>
      </c>
      <c r="Q214" s="53">
        <v>0</v>
      </c>
      <c r="R214" s="55">
        <f>(((Tabela1369[[#This Row],[Objetive value Dissimilarity]]-Tabela1369[[#This Row],[Objetive Value Dissimilarity/H-R1]])/Tabela1369[[#This Row],[Objetive value Dissimilarity]]))*100</f>
        <v>4.5714285714285712</v>
      </c>
      <c r="S214" s="96">
        <v>668</v>
      </c>
      <c r="T214" s="21">
        <v>0.31</v>
      </c>
      <c r="U214" s="21">
        <v>0</v>
      </c>
      <c r="V214" s="144">
        <f>(((Tabela1369[[#This Row],[Objetive value Dissimilarity]]-Tabela1369[[#This Row],[Objetive value Dissimilarity/H-R2]])/Tabela1369[[#This Row],[Objetive value Dissimilarity]]))*100</f>
        <v>4.5714285714285712</v>
      </c>
    </row>
    <row r="215" spans="1:22" s="34" customFormat="1" x14ac:dyDescent="0.25">
      <c r="A215" s="11" t="s">
        <v>11</v>
      </c>
      <c r="B215" s="12" t="s">
        <v>1310</v>
      </c>
      <c r="C215" s="11">
        <v>100</v>
      </c>
      <c r="D215" s="11">
        <v>0.05</v>
      </c>
      <c r="E215" s="11">
        <v>5</v>
      </c>
      <c r="F215" s="12" t="s">
        <v>18</v>
      </c>
      <c r="G215" s="12" t="s">
        <v>14</v>
      </c>
      <c r="H215" s="155">
        <v>778</v>
      </c>
      <c r="I215" s="140">
        <v>7.7999999979510903E-2</v>
      </c>
      <c r="J215" s="147">
        <v>0</v>
      </c>
      <c r="K215" s="159">
        <v>775</v>
      </c>
      <c r="L215" s="163">
        <v>3</v>
      </c>
      <c r="M215" s="163">
        <v>2</v>
      </c>
      <c r="N215" s="154">
        <f>(((Tabela1369[[#This Row],[Objetive value Dissimilarity]]-Tabela1369[[#This Row],[Objetive value Dissimilarity/GATeS]])/Tabela1369[[#This Row],[Objetive value Dissimilarity]]))*100</f>
        <v>0.38560411311053983</v>
      </c>
      <c r="O215" s="23">
        <v>778</v>
      </c>
      <c r="P215" s="53">
        <v>0.25</v>
      </c>
      <c r="Q215" s="53">
        <v>0</v>
      </c>
      <c r="R215" s="55">
        <f>(((Tabela1369[[#This Row],[Objetive value Dissimilarity]]-Tabela1369[[#This Row],[Objetive Value Dissimilarity/H-R1]])/Tabela1369[[#This Row],[Objetive value Dissimilarity]]))*100</f>
        <v>0</v>
      </c>
      <c r="S215" s="96">
        <v>778</v>
      </c>
      <c r="T215" s="21">
        <v>0.24</v>
      </c>
      <c r="U215" s="21">
        <v>0</v>
      </c>
      <c r="V215" s="144">
        <f>(((Tabela1369[[#This Row],[Objetive value Dissimilarity]]-Tabela1369[[#This Row],[Objetive value Dissimilarity/H-R2]])/Tabela1369[[#This Row],[Objetive value Dissimilarity]]))*100</f>
        <v>0</v>
      </c>
    </row>
    <row r="216" spans="1:22" s="34" customFormat="1" x14ac:dyDescent="0.25">
      <c r="A216" s="11" t="s">
        <v>11</v>
      </c>
      <c r="B216" s="12" t="s">
        <v>1311</v>
      </c>
      <c r="C216" s="11">
        <v>100</v>
      </c>
      <c r="D216" s="11">
        <v>0.05</v>
      </c>
      <c r="E216" s="11">
        <v>5</v>
      </c>
      <c r="F216" s="12" t="s">
        <v>18</v>
      </c>
      <c r="G216" s="12" t="s">
        <v>16</v>
      </c>
      <c r="H216" s="155">
        <v>659</v>
      </c>
      <c r="I216" s="140">
        <v>0.125</v>
      </c>
      <c r="J216" s="147">
        <v>0</v>
      </c>
      <c r="K216" s="159">
        <v>659</v>
      </c>
      <c r="L216" s="163">
        <v>3</v>
      </c>
      <c r="M216" s="163">
        <v>0</v>
      </c>
      <c r="N216" s="154">
        <f>(((Tabela1369[[#This Row],[Objetive value Dissimilarity]]-Tabela1369[[#This Row],[Objetive value Dissimilarity/GATeS]])/Tabela1369[[#This Row],[Objetive value Dissimilarity]]))*100</f>
        <v>0</v>
      </c>
      <c r="O216" s="23">
        <v>652</v>
      </c>
      <c r="P216" s="53">
        <v>0.24</v>
      </c>
      <c r="Q216" s="53">
        <v>0</v>
      </c>
      <c r="R216" s="55">
        <f>(((Tabela1369[[#This Row],[Objetive value Dissimilarity]]-Tabela1369[[#This Row],[Objetive Value Dissimilarity/H-R1]])/Tabela1369[[#This Row],[Objetive value Dissimilarity]]))*100</f>
        <v>1.062215477996965</v>
      </c>
      <c r="S216" s="96">
        <v>652</v>
      </c>
      <c r="T216" s="21">
        <v>0.2</v>
      </c>
      <c r="U216" s="21">
        <v>0</v>
      </c>
      <c r="V216" s="144">
        <f>(((Tabela1369[[#This Row],[Objetive value Dissimilarity]]-Tabela1369[[#This Row],[Objetive value Dissimilarity/H-R2]])/Tabela1369[[#This Row],[Objetive value Dissimilarity]]))*100</f>
        <v>1.062215477996965</v>
      </c>
    </row>
    <row r="217" spans="1:22" s="34" customFormat="1" x14ac:dyDescent="0.25">
      <c r="A217" s="11" t="s">
        <v>11</v>
      </c>
      <c r="B217" s="12" t="s">
        <v>1312</v>
      </c>
      <c r="C217" s="11">
        <v>100</v>
      </c>
      <c r="D217" s="11">
        <v>0.05</v>
      </c>
      <c r="E217" s="11">
        <v>5</v>
      </c>
      <c r="F217" s="12" t="s">
        <v>21</v>
      </c>
      <c r="G217" s="12" t="s">
        <v>14</v>
      </c>
      <c r="H217" s="155">
        <v>630</v>
      </c>
      <c r="I217" s="140">
        <v>0.125</v>
      </c>
      <c r="J217" s="147">
        <v>0</v>
      </c>
      <c r="K217" s="159">
        <v>630</v>
      </c>
      <c r="L217" s="163">
        <v>3</v>
      </c>
      <c r="M217" s="163">
        <v>0</v>
      </c>
      <c r="N217" s="154">
        <f>(((Tabela1369[[#This Row],[Objetive value Dissimilarity]]-Tabela1369[[#This Row],[Objetive value Dissimilarity/GATeS]])/Tabela1369[[#This Row],[Objetive value Dissimilarity]]))*100</f>
        <v>0</v>
      </c>
      <c r="O217" s="23">
        <v>350</v>
      </c>
      <c r="P217" s="53">
        <v>0.56000000000000005</v>
      </c>
      <c r="Q217" s="53">
        <v>0</v>
      </c>
      <c r="R217" s="55">
        <f>(((Tabela1369[[#This Row],[Objetive value Dissimilarity]]-Tabela1369[[#This Row],[Objetive Value Dissimilarity/H-R1]])/Tabela1369[[#This Row],[Objetive value Dissimilarity]]))*100</f>
        <v>44.444444444444443</v>
      </c>
      <c r="S217" s="96">
        <v>601</v>
      </c>
      <c r="T217" s="21">
        <v>0.52</v>
      </c>
      <c r="U217" s="21">
        <v>0</v>
      </c>
      <c r="V217" s="144">
        <f>(((Tabela1369[[#This Row],[Objetive value Dissimilarity]]-Tabela1369[[#This Row],[Objetive value Dissimilarity/H-R2]])/Tabela1369[[#This Row],[Objetive value Dissimilarity]]))*100</f>
        <v>4.6031746031746037</v>
      </c>
    </row>
    <row r="218" spans="1:22" s="34" customFormat="1" x14ac:dyDescent="0.25">
      <c r="A218" s="11" t="s">
        <v>11</v>
      </c>
      <c r="B218" s="12" t="s">
        <v>1313</v>
      </c>
      <c r="C218" s="11">
        <v>100</v>
      </c>
      <c r="D218" s="11">
        <v>0.05</v>
      </c>
      <c r="E218" s="11">
        <v>5</v>
      </c>
      <c r="F218" s="12" t="s">
        <v>21</v>
      </c>
      <c r="G218" s="12" t="s">
        <v>16</v>
      </c>
      <c r="H218" s="155">
        <v>697</v>
      </c>
      <c r="I218" s="140">
        <v>0.15600000007543699</v>
      </c>
      <c r="J218" s="147">
        <v>0</v>
      </c>
      <c r="K218" s="159">
        <v>697</v>
      </c>
      <c r="L218" s="163">
        <v>3</v>
      </c>
      <c r="M218" s="163">
        <v>0</v>
      </c>
      <c r="N218" s="154">
        <f>(((Tabela1369[[#This Row],[Objetive value Dissimilarity]]-Tabela1369[[#This Row],[Objetive value Dissimilarity/GATeS]])/Tabela1369[[#This Row],[Objetive value Dissimilarity]]))*100</f>
        <v>0</v>
      </c>
      <c r="O218" s="23">
        <v>697</v>
      </c>
      <c r="P218" s="53">
        <v>0.2</v>
      </c>
      <c r="Q218" s="53">
        <v>0</v>
      </c>
      <c r="R218" s="55">
        <f>(((Tabela1369[[#This Row],[Objetive value Dissimilarity]]-Tabela1369[[#This Row],[Objetive Value Dissimilarity/H-R1]])/Tabela1369[[#This Row],[Objetive value Dissimilarity]]))*100</f>
        <v>0</v>
      </c>
      <c r="S218" s="96">
        <v>697</v>
      </c>
      <c r="T218" s="21">
        <v>0.18</v>
      </c>
      <c r="U218" s="21">
        <v>0</v>
      </c>
      <c r="V218" s="144">
        <f>(((Tabela1369[[#This Row],[Objetive value Dissimilarity]]-Tabela1369[[#This Row],[Objetive value Dissimilarity/H-R2]])/Tabela1369[[#This Row],[Objetive value Dissimilarity]]))*100</f>
        <v>0</v>
      </c>
    </row>
    <row r="219" spans="1:22" s="34" customFormat="1" x14ac:dyDescent="0.25">
      <c r="A219" s="11" t="s">
        <v>91</v>
      </c>
      <c r="B219" s="30" t="s">
        <v>1314</v>
      </c>
      <c r="C219" s="11">
        <v>200</v>
      </c>
      <c r="D219" s="24">
        <v>0.1</v>
      </c>
      <c r="E219" s="11">
        <v>10</v>
      </c>
      <c r="F219" s="12" t="s">
        <v>13</v>
      </c>
      <c r="G219" s="12" t="s">
        <v>14</v>
      </c>
      <c r="H219" s="155">
        <v>4062</v>
      </c>
      <c r="I219" s="140">
        <v>0.48499999998602999</v>
      </c>
      <c r="J219" s="147">
        <v>11.21</v>
      </c>
      <c r="K219" s="160">
        <v>3880</v>
      </c>
      <c r="L219" s="164">
        <v>14</v>
      </c>
      <c r="M219" s="164">
        <v>2</v>
      </c>
      <c r="N219" s="154">
        <f>(((Tabela1369[[#This Row],[Objetive value Dissimilarity]]-Tabela1369[[#This Row],[Objetive value Dissimilarity/GATeS]])/Tabela1369[[#This Row],[Objetive value Dissimilarity]]))*100</f>
        <v>4.48055145248646</v>
      </c>
      <c r="O219" s="23">
        <v>3905</v>
      </c>
      <c r="P219" s="53">
        <v>0.4</v>
      </c>
      <c r="Q219" s="53">
        <v>0</v>
      </c>
      <c r="R219" s="55">
        <f>(((Tabela1369[[#This Row],[Objetive value Dissimilarity]]-Tabela1369[[#This Row],[Objetive Value Dissimilarity/H-R1]])/Tabela1369[[#This Row],[Objetive value Dissimilarity]]))*100</f>
        <v>3.8650910881339242</v>
      </c>
      <c r="S219" s="96">
        <v>3606</v>
      </c>
      <c r="T219" s="21">
        <v>0.4</v>
      </c>
      <c r="U219" s="21">
        <v>0</v>
      </c>
      <c r="V219" s="144">
        <f>(((Tabela1369[[#This Row],[Objetive value Dissimilarity]]-Tabela1369[[#This Row],[Objetive value Dissimilarity/H-R2]])/Tabela1369[[#This Row],[Objetive value Dissimilarity]]))*100</f>
        <v>11.225997045790251</v>
      </c>
    </row>
    <row r="220" spans="1:22" s="34" customFormat="1" x14ac:dyDescent="0.25">
      <c r="A220" s="11" t="s">
        <v>91</v>
      </c>
      <c r="B220" s="12" t="s">
        <v>1315</v>
      </c>
      <c r="C220" s="11">
        <v>200</v>
      </c>
      <c r="D220" s="24">
        <v>0.1</v>
      </c>
      <c r="E220" s="11">
        <v>10</v>
      </c>
      <c r="F220" s="12" t="s">
        <v>13</v>
      </c>
      <c r="G220" s="12" t="s">
        <v>16</v>
      </c>
      <c r="H220" s="155">
        <v>2459</v>
      </c>
      <c r="I220" s="140">
        <v>0.89000000001396895</v>
      </c>
      <c r="J220" s="147">
        <v>0</v>
      </c>
      <c r="K220" s="157">
        <v>2389</v>
      </c>
      <c r="L220" s="161">
        <v>16</v>
      </c>
      <c r="M220" s="161">
        <v>13</v>
      </c>
      <c r="N220" s="154">
        <f>(((Tabela1369[[#This Row],[Objetive value Dissimilarity]]-Tabela1369[[#This Row],[Objetive value Dissimilarity/GATeS]])/Tabela1369[[#This Row],[Objetive value Dissimilarity]]))*100</f>
        <v>2.8466856445709636</v>
      </c>
      <c r="O220" s="23">
        <v>2358</v>
      </c>
      <c r="P220" s="53">
        <v>0.71</v>
      </c>
      <c r="Q220" s="53">
        <v>0</v>
      </c>
      <c r="R220" s="55">
        <f>(((Tabela1369[[#This Row],[Objetive value Dissimilarity]]-Tabela1369[[#This Row],[Objetive Value Dissimilarity/H-R1]])/Tabela1369[[#This Row],[Objetive value Dissimilarity]]))*100</f>
        <v>4.1073607157381051</v>
      </c>
      <c r="S220" s="96">
        <v>2400</v>
      </c>
      <c r="T220" s="21">
        <v>0.51</v>
      </c>
      <c r="U220" s="21">
        <v>0</v>
      </c>
      <c r="V220" s="144">
        <f>(((Tabela1369[[#This Row],[Objetive value Dissimilarity]]-Tabela1369[[#This Row],[Objetive value Dissimilarity/H-R2]])/Tabela1369[[#This Row],[Objetive value Dissimilarity]]))*100</f>
        <v>2.3993493289955268</v>
      </c>
    </row>
    <row r="221" spans="1:22" s="34" customFormat="1" x14ac:dyDescent="0.25">
      <c r="A221" s="11" t="s">
        <v>91</v>
      </c>
      <c r="B221" s="12" t="s">
        <v>1316</v>
      </c>
      <c r="C221" s="11">
        <v>200</v>
      </c>
      <c r="D221" s="24">
        <v>0.1</v>
      </c>
      <c r="E221" s="11">
        <v>10</v>
      </c>
      <c r="F221" s="11" t="s">
        <v>18</v>
      </c>
      <c r="G221" s="12" t="s">
        <v>14</v>
      </c>
      <c r="H221" s="155">
        <v>3329</v>
      </c>
      <c r="I221" s="140">
        <v>0.32799999997951002</v>
      </c>
      <c r="J221" s="147">
        <v>0</v>
      </c>
      <c r="K221" s="157">
        <v>3290</v>
      </c>
      <c r="L221" s="161">
        <v>18</v>
      </c>
      <c r="M221" s="161">
        <v>16</v>
      </c>
      <c r="N221" s="154">
        <f>(((Tabela1369[[#This Row],[Objetive value Dissimilarity]]-Tabela1369[[#This Row],[Objetive value Dissimilarity/GATeS]])/Tabela1369[[#This Row],[Objetive value Dissimilarity]]))*100</f>
        <v>1.1715229798738358</v>
      </c>
      <c r="O221" s="23">
        <v>3329</v>
      </c>
      <c r="P221" s="53">
        <v>0.35</v>
      </c>
      <c r="Q221" s="53">
        <v>0</v>
      </c>
      <c r="R221" s="55">
        <f>(((Tabela1369[[#This Row],[Objetive value Dissimilarity]]-Tabela1369[[#This Row],[Objetive Value Dissimilarity/H-R1]])/Tabela1369[[#This Row],[Objetive value Dissimilarity]]))*100</f>
        <v>0</v>
      </c>
      <c r="S221" s="96">
        <v>3103</v>
      </c>
      <c r="T221" s="21">
        <v>0.44</v>
      </c>
      <c r="U221" s="21">
        <v>0</v>
      </c>
      <c r="V221" s="144">
        <f>(((Tabela1369[[#This Row],[Objetive value Dissimilarity]]-Tabela1369[[#This Row],[Objetive value Dissimilarity/H-R2]])/Tabela1369[[#This Row],[Objetive value Dissimilarity]]))*100</f>
        <v>6.7888254731150495</v>
      </c>
    </row>
    <row r="222" spans="1:22" s="34" customFormat="1" x14ac:dyDescent="0.25">
      <c r="A222" s="11" t="s">
        <v>91</v>
      </c>
      <c r="B222" s="12" t="s">
        <v>1317</v>
      </c>
      <c r="C222" s="11">
        <v>200</v>
      </c>
      <c r="D222" s="24">
        <v>0.1</v>
      </c>
      <c r="E222" s="11">
        <v>10</v>
      </c>
      <c r="F222" s="11" t="s">
        <v>18</v>
      </c>
      <c r="G222" s="12" t="s">
        <v>16</v>
      </c>
      <c r="H222" s="155">
        <v>2380</v>
      </c>
      <c r="I222" s="140">
        <v>0.68799999996554095</v>
      </c>
      <c r="J222" s="147">
        <v>0</v>
      </c>
      <c r="K222" s="157">
        <v>2355</v>
      </c>
      <c r="L222" s="161">
        <v>18</v>
      </c>
      <c r="M222" s="161">
        <v>3</v>
      </c>
      <c r="N222" s="154">
        <f>(((Tabela1369[[#This Row],[Objetive value Dissimilarity]]-Tabela1369[[#This Row],[Objetive value Dissimilarity/GATeS]])/Tabela1369[[#This Row],[Objetive value Dissimilarity]]))*100</f>
        <v>1.0504201680672269</v>
      </c>
      <c r="O222" s="23">
        <v>2368</v>
      </c>
      <c r="P222" s="53">
        <v>0.36</v>
      </c>
      <c r="Q222" s="53">
        <v>0</v>
      </c>
      <c r="R222" s="55">
        <f>(((Tabela1369[[#This Row],[Objetive value Dissimilarity]]-Tabela1369[[#This Row],[Objetive Value Dissimilarity/H-R1]])/Tabela1369[[#This Row],[Objetive value Dissimilarity]]))*100</f>
        <v>0.50420168067226889</v>
      </c>
      <c r="S222" s="96">
        <v>2338</v>
      </c>
      <c r="T222" s="21">
        <v>0.4</v>
      </c>
      <c r="U222" s="21">
        <v>0</v>
      </c>
      <c r="V222" s="144">
        <f>(((Tabela1369[[#This Row],[Objetive value Dissimilarity]]-Tabela1369[[#This Row],[Objetive value Dissimilarity/H-R2]])/Tabela1369[[#This Row],[Objetive value Dissimilarity]]))*100</f>
        <v>1.7647058823529411</v>
      </c>
    </row>
    <row r="223" spans="1:22" s="34" customFormat="1" x14ac:dyDescent="0.25">
      <c r="A223" s="11" t="s">
        <v>91</v>
      </c>
      <c r="B223" s="12" t="s">
        <v>1318</v>
      </c>
      <c r="C223" s="11">
        <v>200</v>
      </c>
      <c r="D223" s="24">
        <v>0.1</v>
      </c>
      <c r="E223" s="11">
        <v>10</v>
      </c>
      <c r="F223" s="12" t="s">
        <v>21</v>
      </c>
      <c r="G223" s="12" t="s">
        <v>14</v>
      </c>
      <c r="H223" s="155">
        <v>3344</v>
      </c>
      <c r="I223" s="140">
        <v>0.17099999997299101</v>
      </c>
      <c r="J223" s="147">
        <v>0</v>
      </c>
      <c r="K223" s="157">
        <v>3342</v>
      </c>
      <c r="L223" s="161">
        <v>17</v>
      </c>
      <c r="M223" s="161">
        <v>13</v>
      </c>
      <c r="N223" s="154">
        <f>(((Tabela1369[[#This Row],[Objetive value Dissimilarity]]-Tabela1369[[#This Row],[Objetive value Dissimilarity/GATeS]])/Tabela1369[[#This Row],[Objetive value Dissimilarity]]))*100</f>
        <v>5.9808612440191387E-2</v>
      </c>
      <c r="O223" s="23">
        <v>3344</v>
      </c>
      <c r="P223" s="53">
        <v>0.63</v>
      </c>
      <c r="Q223" s="53">
        <v>0</v>
      </c>
      <c r="R223" s="55">
        <f>(((Tabela1369[[#This Row],[Objetive value Dissimilarity]]-Tabela1369[[#This Row],[Objetive Value Dissimilarity/H-R1]])/Tabela1369[[#This Row],[Objetive value Dissimilarity]]))*100</f>
        <v>0</v>
      </c>
      <c r="S223" s="96">
        <v>3344</v>
      </c>
      <c r="T223" s="84">
        <v>0.95</v>
      </c>
      <c r="U223" s="84">
        <v>0</v>
      </c>
      <c r="V223" s="144">
        <f>(((Tabela1369[[#This Row],[Objetive value Dissimilarity]]-Tabela1369[[#This Row],[Objetive value Dissimilarity/H-R2]])/Tabela1369[[#This Row],[Objetive value Dissimilarity]]))*100</f>
        <v>0</v>
      </c>
    </row>
    <row r="224" spans="1:22" s="34" customFormat="1" x14ac:dyDescent="0.25">
      <c r="A224" s="11" t="s">
        <v>91</v>
      </c>
      <c r="B224" s="12" t="s">
        <v>1319</v>
      </c>
      <c r="C224" s="11">
        <v>200</v>
      </c>
      <c r="D224" s="24">
        <v>0.1</v>
      </c>
      <c r="E224" s="11">
        <v>10</v>
      </c>
      <c r="F224" s="12" t="s">
        <v>21</v>
      </c>
      <c r="G224" s="12" t="s">
        <v>16</v>
      </c>
      <c r="H224" s="155">
        <v>2511</v>
      </c>
      <c r="I224" s="140">
        <v>1.21900000004097</v>
      </c>
      <c r="J224" s="147">
        <v>0</v>
      </c>
      <c r="K224" s="157">
        <v>2440</v>
      </c>
      <c r="L224" s="161">
        <v>21</v>
      </c>
      <c r="M224" s="161">
        <v>1</v>
      </c>
      <c r="N224" s="154">
        <f>(((Tabela1369[[#This Row],[Objetive value Dissimilarity]]-Tabela1369[[#This Row],[Objetive value Dissimilarity/GATeS]])/Tabela1369[[#This Row],[Objetive value Dissimilarity]]))*100</f>
        <v>2.8275587415372363</v>
      </c>
      <c r="O224" s="23">
        <v>2476</v>
      </c>
      <c r="P224" s="53">
        <v>0.42</v>
      </c>
      <c r="Q224" s="53">
        <v>0</v>
      </c>
      <c r="R224" s="55">
        <f>(((Tabela1369[[#This Row],[Objetive value Dissimilarity]]-Tabela1369[[#This Row],[Objetive Value Dissimilarity/H-R1]])/Tabela1369[[#This Row],[Objetive value Dissimilarity]]))*100</f>
        <v>1.3938669852648347</v>
      </c>
      <c r="S224" s="96">
        <v>2476</v>
      </c>
      <c r="T224" s="21">
        <v>0.5</v>
      </c>
      <c r="U224" s="21">
        <v>0</v>
      </c>
      <c r="V224" s="144">
        <f>(((Tabela1369[[#This Row],[Objetive value Dissimilarity]]-Tabela1369[[#This Row],[Objetive value Dissimilarity/H-R2]])/Tabela1369[[#This Row],[Objetive value Dissimilarity]]))*100</f>
        <v>1.3938669852648347</v>
      </c>
    </row>
    <row r="225" spans="1:22" s="34" customFormat="1" x14ac:dyDescent="0.25">
      <c r="A225" s="11" t="s">
        <v>110</v>
      </c>
      <c r="B225" s="30" t="s">
        <v>1320</v>
      </c>
      <c r="C225" s="11">
        <v>200</v>
      </c>
      <c r="D225" s="24">
        <v>0.1</v>
      </c>
      <c r="E225" s="11">
        <v>15</v>
      </c>
      <c r="F225" s="12" t="s">
        <v>13</v>
      </c>
      <c r="G225" s="12" t="s">
        <v>14</v>
      </c>
      <c r="H225" s="155">
        <v>5400</v>
      </c>
      <c r="I225" s="140">
        <v>1.78099999995902</v>
      </c>
      <c r="J225" s="147">
        <v>15.24</v>
      </c>
      <c r="K225" s="157">
        <v>5137</v>
      </c>
      <c r="L225" s="161">
        <v>22</v>
      </c>
      <c r="M225" s="161">
        <v>16</v>
      </c>
      <c r="N225" s="154">
        <f>(((Tabela1369[[#This Row],[Objetive value Dissimilarity]]-Tabela1369[[#This Row],[Objetive value Dissimilarity/GATeS]])/Tabela1369[[#This Row],[Objetive value Dissimilarity]]))*100</f>
        <v>4.8703703703703702</v>
      </c>
      <c r="O225" s="23">
        <v>5283</v>
      </c>
      <c r="P225" s="53">
        <v>0.56999999999999995</v>
      </c>
      <c r="Q225" s="53">
        <v>0</v>
      </c>
      <c r="R225" s="55">
        <f>(((Tabela1369[[#This Row],[Objetive value Dissimilarity]]-Tabela1369[[#This Row],[Objetive Value Dissimilarity/H-R1]])/Tabela1369[[#This Row],[Objetive value Dissimilarity]]))*100</f>
        <v>2.166666666666667</v>
      </c>
      <c r="S225" s="96">
        <v>4780</v>
      </c>
      <c r="T225" s="21">
        <v>0.69</v>
      </c>
      <c r="U225" s="21">
        <v>0</v>
      </c>
      <c r="V225" s="144">
        <f>(((Tabela1369[[#This Row],[Objetive value Dissimilarity]]-Tabela1369[[#This Row],[Objetive value Dissimilarity/H-R2]])/Tabela1369[[#This Row],[Objetive value Dissimilarity]]))*100</f>
        <v>11.481481481481481</v>
      </c>
    </row>
    <row r="226" spans="1:22" s="34" customFormat="1" x14ac:dyDescent="0.25">
      <c r="A226" s="11" t="s">
        <v>110</v>
      </c>
      <c r="B226" s="12" t="s">
        <v>1321</v>
      </c>
      <c r="C226" s="11">
        <v>200</v>
      </c>
      <c r="D226" s="24">
        <v>0.1</v>
      </c>
      <c r="E226" s="11">
        <v>15</v>
      </c>
      <c r="F226" s="12" t="s">
        <v>13</v>
      </c>
      <c r="G226" s="12" t="s">
        <v>16</v>
      </c>
      <c r="H226" s="155">
        <v>3351</v>
      </c>
      <c r="I226" s="140">
        <v>7.2190000000409702</v>
      </c>
      <c r="J226" s="147">
        <v>0.42</v>
      </c>
      <c r="K226" s="157">
        <v>3301</v>
      </c>
      <c r="L226" s="161">
        <v>30</v>
      </c>
      <c r="M226" s="161">
        <v>29</v>
      </c>
      <c r="N226" s="154">
        <f>(((Tabela1369[[#This Row],[Objetive value Dissimilarity]]-Tabela1369[[#This Row],[Objetive value Dissimilarity/GATeS]])/Tabela1369[[#This Row],[Objetive value Dissimilarity]]))*100</f>
        <v>1.4920919128618322</v>
      </c>
      <c r="O226" s="23">
        <v>3287</v>
      </c>
      <c r="P226" s="53">
        <v>1.1399999999999999</v>
      </c>
      <c r="Q226" s="53">
        <v>0</v>
      </c>
      <c r="R226" s="55">
        <f>(((Tabela1369[[#This Row],[Objetive value Dissimilarity]]-Tabela1369[[#This Row],[Objetive Value Dissimilarity/H-R1]])/Tabela1369[[#This Row],[Objetive value Dissimilarity]]))*100</f>
        <v>1.9098776484631454</v>
      </c>
      <c r="S226" s="96">
        <v>3287</v>
      </c>
      <c r="T226" s="21">
        <v>0.87</v>
      </c>
      <c r="U226" s="21">
        <v>0</v>
      </c>
      <c r="V226" s="144">
        <f>(((Tabela1369[[#This Row],[Objetive value Dissimilarity]]-Tabela1369[[#This Row],[Objetive value Dissimilarity/H-R2]])/Tabela1369[[#This Row],[Objetive value Dissimilarity]]))*100</f>
        <v>1.9098776484631454</v>
      </c>
    </row>
    <row r="227" spans="1:22" s="34" customFormat="1" x14ac:dyDescent="0.25">
      <c r="A227" s="11" t="s">
        <v>110</v>
      </c>
      <c r="B227" s="12" t="s">
        <v>1322</v>
      </c>
      <c r="C227" s="11">
        <v>200</v>
      </c>
      <c r="D227" s="24">
        <v>0.1</v>
      </c>
      <c r="E227" s="11">
        <v>15</v>
      </c>
      <c r="F227" s="11" t="s">
        <v>18</v>
      </c>
      <c r="G227" s="12" t="s">
        <v>14</v>
      </c>
      <c r="H227" s="155">
        <v>4874</v>
      </c>
      <c r="I227" s="140">
        <v>2.07799999997951</v>
      </c>
      <c r="J227" s="147">
        <v>18.96</v>
      </c>
      <c r="K227" s="157">
        <v>4795</v>
      </c>
      <c r="L227" s="161">
        <v>28</v>
      </c>
      <c r="M227" s="161">
        <v>22</v>
      </c>
      <c r="N227" s="154">
        <f>(((Tabela1369[[#This Row],[Objetive value Dissimilarity]]-Tabela1369[[#This Row],[Objetive value Dissimilarity/GATeS]])/Tabela1369[[#This Row],[Objetive value Dissimilarity]]))*100</f>
        <v>1.6208453016003284</v>
      </c>
      <c r="O227" s="23">
        <v>4653</v>
      </c>
      <c r="P227" s="53">
        <v>0.7</v>
      </c>
      <c r="Q227" s="53">
        <v>0</v>
      </c>
      <c r="R227" s="55">
        <f>(((Tabela1369[[#This Row],[Objetive value Dissimilarity]]-Tabela1369[[#This Row],[Objetive Value Dissimilarity/H-R1]])/Tabela1369[[#This Row],[Objetive value Dissimilarity]]))*100</f>
        <v>4.534263438654083</v>
      </c>
      <c r="S227" s="96">
        <v>4316</v>
      </c>
      <c r="T227" s="21">
        <v>0.99</v>
      </c>
      <c r="U227" s="21">
        <v>0</v>
      </c>
      <c r="V227" s="144">
        <f>(((Tabela1369[[#This Row],[Objetive value Dissimilarity]]-Tabela1369[[#This Row],[Objetive value Dissimilarity/H-R2]])/Tabela1369[[#This Row],[Objetive value Dissimilarity]]))*100</f>
        <v>11.448502256873205</v>
      </c>
    </row>
    <row r="228" spans="1:22" s="34" customFormat="1" x14ac:dyDescent="0.25">
      <c r="A228" s="11" t="s">
        <v>110</v>
      </c>
      <c r="B228" s="12" t="s">
        <v>1323</v>
      </c>
      <c r="C228" s="11">
        <v>200</v>
      </c>
      <c r="D228" s="24">
        <v>0.1</v>
      </c>
      <c r="E228" s="11">
        <v>15</v>
      </c>
      <c r="F228" s="11" t="s">
        <v>18</v>
      </c>
      <c r="G228" s="12" t="s">
        <v>16</v>
      </c>
      <c r="H228" s="155">
        <v>3601</v>
      </c>
      <c r="I228" s="140">
        <v>6.48400000005494</v>
      </c>
      <c r="J228" s="147">
        <v>0</v>
      </c>
      <c r="K228" s="157">
        <v>3586</v>
      </c>
      <c r="L228" s="161">
        <v>39</v>
      </c>
      <c r="M228" s="161">
        <v>31</v>
      </c>
      <c r="N228" s="154">
        <f>(((Tabela1369[[#This Row],[Objetive value Dissimilarity]]-Tabela1369[[#This Row],[Objetive value Dissimilarity/GATeS]])/Tabela1369[[#This Row],[Objetive value Dissimilarity]]))*100</f>
        <v>0.41655095806720349</v>
      </c>
      <c r="O228" s="23">
        <v>3563</v>
      </c>
      <c r="P228" s="53">
        <v>0.77</v>
      </c>
      <c r="Q228" s="53">
        <v>0</v>
      </c>
      <c r="R228" s="55">
        <f>(((Tabela1369[[#This Row],[Objetive value Dissimilarity]]-Tabela1369[[#This Row],[Objetive Value Dissimilarity/H-R1]])/Tabela1369[[#This Row],[Objetive value Dissimilarity]]))*100</f>
        <v>1.0552624271035824</v>
      </c>
      <c r="S228" s="96">
        <v>3565</v>
      </c>
      <c r="T228" s="21">
        <v>0.9</v>
      </c>
      <c r="U228" s="21">
        <v>0</v>
      </c>
      <c r="V228" s="144">
        <f>(((Tabela1369[[#This Row],[Objetive value Dissimilarity]]-Tabela1369[[#This Row],[Objetive value Dissimilarity/H-R2]])/Tabela1369[[#This Row],[Objetive value Dissimilarity]]))*100</f>
        <v>0.99972229936128842</v>
      </c>
    </row>
    <row r="229" spans="1:22" s="34" customFormat="1" x14ac:dyDescent="0.25">
      <c r="A229" s="11" t="s">
        <v>110</v>
      </c>
      <c r="B229" s="12" t="s">
        <v>1324</v>
      </c>
      <c r="C229" s="11">
        <v>200</v>
      </c>
      <c r="D229" s="24">
        <v>0.1</v>
      </c>
      <c r="E229" s="11">
        <v>15</v>
      </c>
      <c r="F229" s="12" t="s">
        <v>21</v>
      </c>
      <c r="G229" s="12" t="s">
        <v>14</v>
      </c>
      <c r="H229" s="155">
        <v>5041</v>
      </c>
      <c r="I229" s="140">
        <v>0.25</v>
      </c>
      <c r="J229" s="147">
        <v>0</v>
      </c>
      <c r="K229" s="157">
        <v>5030</v>
      </c>
      <c r="L229" s="161">
        <v>21</v>
      </c>
      <c r="M229" s="161">
        <v>4</v>
      </c>
      <c r="N229" s="154">
        <f>(((Tabela1369[[#This Row],[Objetive value Dissimilarity]]-Tabela1369[[#This Row],[Objetive value Dissimilarity/GATeS]])/Tabela1369[[#This Row],[Objetive value Dissimilarity]]))*100</f>
        <v>0.21821067248561796</v>
      </c>
      <c r="O229" s="23">
        <v>4879</v>
      </c>
      <c r="P229" s="53">
        <v>1.49</v>
      </c>
      <c r="Q229" s="53">
        <v>0</v>
      </c>
      <c r="R229" s="55">
        <f>(((Tabela1369[[#This Row],[Objetive value Dissimilarity]]-Tabela1369[[#This Row],[Objetive Value Dissimilarity/H-R1]])/Tabela1369[[#This Row],[Objetive value Dissimilarity]]))*100</f>
        <v>3.2136480856972822</v>
      </c>
      <c r="S229" s="96">
        <v>5041</v>
      </c>
      <c r="T229" s="21">
        <v>1.3</v>
      </c>
      <c r="U229" s="21">
        <v>0</v>
      </c>
      <c r="V229" s="144">
        <f>(((Tabela1369[[#This Row],[Objetive value Dissimilarity]]-Tabela1369[[#This Row],[Objetive value Dissimilarity/H-R2]])/Tabela1369[[#This Row],[Objetive value Dissimilarity]]))*100</f>
        <v>0</v>
      </c>
    </row>
    <row r="230" spans="1:22" s="34" customFormat="1" x14ac:dyDescent="0.25">
      <c r="A230" s="11" t="s">
        <v>110</v>
      </c>
      <c r="B230" s="12" t="s">
        <v>1325</v>
      </c>
      <c r="C230" s="11">
        <v>200</v>
      </c>
      <c r="D230" s="24">
        <v>0.1</v>
      </c>
      <c r="E230" s="11">
        <v>15</v>
      </c>
      <c r="F230" s="12" t="s">
        <v>21</v>
      </c>
      <c r="G230" s="12" t="s">
        <v>16</v>
      </c>
      <c r="H230" s="155">
        <v>3163</v>
      </c>
      <c r="I230" s="140">
        <v>6.07799999997951</v>
      </c>
      <c r="J230" s="147">
        <v>0</v>
      </c>
      <c r="K230" s="157">
        <v>3081</v>
      </c>
      <c r="L230" s="161">
        <v>26</v>
      </c>
      <c r="M230" s="161">
        <v>12</v>
      </c>
      <c r="N230" s="154">
        <f>(((Tabela1369[[#This Row],[Objetive value Dissimilarity]]-Tabela1369[[#This Row],[Objetive value Dissimilarity/GATeS]])/Tabela1369[[#This Row],[Objetive value Dissimilarity]]))*100</f>
        <v>2.5924754979449891</v>
      </c>
      <c r="O230" s="23">
        <v>3155</v>
      </c>
      <c r="P230" s="53">
        <v>0.53</v>
      </c>
      <c r="Q230" s="53">
        <v>0</v>
      </c>
      <c r="R230" s="55">
        <f>(((Tabela1369[[#This Row],[Objetive value Dissimilarity]]-Tabela1369[[#This Row],[Objetive Value Dissimilarity/H-R1]])/Tabela1369[[#This Row],[Objetive value Dissimilarity]]))*100</f>
        <v>0.25292443882390137</v>
      </c>
      <c r="S230" s="96">
        <v>3059</v>
      </c>
      <c r="T230" s="21">
        <v>0.56000000000000005</v>
      </c>
      <c r="U230" s="21">
        <v>0</v>
      </c>
      <c r="V230" s="144">
        <f>(((Tabela1369[[#This Row],[Objetive value Dissimilarity]]-Tabela1369[[#This Row],[Objetive value Dissimilarity/H-R2]])/Tabela1369[[#This Row],[Objetive value Dissimilarity]]))*100</f>
        <v>3.2880177047107177</v>
      </c>
    </row>
    <row r="231" spans="1:22" s="34" customFormat="1" x14ac:dyDescent="0.25">
      <c r="A231" s="11" t="s">
        <v>73</v>
      </c>
      <c r="B231" s="30" t="s">
        <v>1326</v>
      </c>
      <c r="C231" s="11">
        <v>200</v>
      </c>
      <c r="D231" s="24">
        <v>0.1</v>
      </c>
      <c r="E231" s="11">
        <v>5</v>
      </c>
      <c r="F231" s="12" t="s">
        <v>13</v>
      </c>
      <c r="G231" s="12" t="s">
        <v>14</v>
      </c>
      <c r="H231" s="155">
        <v>1901</v>
      </c>
      <c r="I231" s="140">
        <v>0.125</v>
      </c>
      <c r="J231" s="147">
        <v>0</v>
      </c>
      <c r="K231" s="157">
        <v>1894</v>
      </c>
      <c r="L231" s="161">
        <v>12</v>
      </c>
      <c r="M231" s="161">
        <v>4</v>
      </c>
      <c r="N231" s="154">
        <f>(((Tabela1369[[#This Row],[Objetive value Dissimilarity]]-Tabela1369[[#This Row],[Objetive value Dissimilarity/GATeS]])/Tabela1369[[#This Row],[Objetive value Dissimilarity]]))*100</f>
        <v>0.36822724881641239</v>
      </c>
      <c r="O231" s="23">
        <v>1901</v>
      </c>
      <c r="P231" s="53">
        <v>0.28999999999999998</v>
      </c>
      <c r="Q231" s="53">
        <v>0</v>
      </c>
      <c r="R231" s="55">
        <f>(((Tabela1369[[#This Row],[Objetive value Dissimilarity]]-Tabela1369[[#This Row],[Objetive Value Dissimilarity/H-R1]])/Tabela1369[[#This Row],[Objetive value Dissimilarity]]))*100</f>
        <v>0</v>
      </c>
      <c r="S231" s="96">
        <v>1658</v>
      </c>
      <c r="T231" s="21">
        <v>0.43</v>
      </c>
      <c r="U231" s="21">
        <v>0</v>
      </c>
      <c r="V231" s="144">
        <f>(((Tabela1369[[#This Row],[Objetive value Dissimilarity]]-Tabela1369[[#This Row],[Objetive value Dissimilarity/H-R2]])/Tabela1369[[#This Row],[Objetive value Dissimilarity]]))*100</f>
        <v>12.782745923198316</v>
      </c>
    </row>
    <row r="232" spans="1:22" s="34" customFormat="1" x14ac:dyDescent="0.25">
      <c r="A232" s="11" t="s">
        <v>73</v>
      </c>
      <c r="B232" s="30" t="s">
        <v>1327</v>
      </c>
      <c r="C232" s="11">
        <v>200</v>
      </c>
      <c r="D232" s="24">
        <v>0.1</v>
      </c>
      <c r="E232" s="11">
        <v>5</v>
      </c>
      <c r="F232" s="12" t="s">
        <v>13</v>
      </c>
      <c r="G232" s="12" t="s">
        <v>16</v>
      </c>
      <c r="H232" s="155">
        <v>1365</v>
      </c>
      <c r="I232" s="140">
        <v>0.10999999998602999</v>
      </c>
      <c r="J232" s="147">
        <v>0</v>
      </c>
      <c r="K232" s="157">
        <v>1365</v>
      </c>
      <c r="L232" s="161">
        <v>8</v>
      </c>
      <c r="M232" s="161">
        <v>3</v>
      </c>
      <c r="N232" s="154">
        <f>(((Tabela1369[[#This Row],[Objetive value Dissimilarity]]-Tabela1369[[#This Row],[Objetive value Dissimilarity/GATeS]])/Tabela1369[[#This Row],[Objetive value Dissimilarity]]))*100</f>
        <v>0</v>
      </c>
      <c r="O232" s="23">
        <v>1365</v>
      </c>
      <c r="P232" s="53">
        <v>0.45</v>
      </c>
      <c r="Q232" s="53">
        <v>0</v>
      </c>
      <c r="R232" s="55">
        <f>(((Tabela1369[[#This Row],[Objetive value Dissimilarity]]-Tabela1369[[#This Row],[Objetive Value Dissimilarity/H-R1]])/Tabela1369[[#This Row],[Objetive value Dissimilarity]]))*100</f>
        <v>0</v>
      </c>
      <c r="S232" s="96">
        <v>1164</v>
      </c>
      <c r="T232" s="21">
        <v>0.37</v>
      </c>
      <c r="U232" s="21">
        <v>0</v>
      </c>
      <c r="V232" s="144">
        <f>(((Tabela1369[[#This Row],[Objetive value Dissimilarity]]-Tabela1369[[#This Row],[Objetive value Dissimilarity/H-R2]])/Tabela1369[[#This Row],[Objetive value Dissimilarity]]))*100</f>
        <v>14.725274725274726</v>
      </c>
    </row>
    <row r="233" spans="1:22" s="34" customFormat="1" x14ac:dyDescent="0.25">
      <c r="A233" s="11" t="s">
        <v>73</v>
      </c>
      <c r="B233" s="30" t="s">
        <v>1328</v>
      </c>
      <c r="C233" s="11">
        <v>200</v>
      </c>
      <c r="D233" s="24">
        <v>0.1</v>
      </c>
      <c r="E233" s="11">
        <v>5</v>
      </c>
      <c r="F233" s="11" t="s">
        <v>18</v>
      </c>
      <c r="G233" s="12" t="s">
        <v>14</v>
      </c>
      <c r="H233" s="155">
        <v>2324</v>
      </c>
      <c r="I233" s="140">
        <v>0.108999999938532</v>
      </c>
      <c r="J233" s="147">
        <v>0</v>
      </c>
      <c r="K233" s="157">
        <v>2317</v>
      </c>
      <c r="L233" s="161">
        <v>9</v>
      </c>
      <c r="M233" s="161">
        <v>0</v>
      </c>
      <c r="N233" s="154">
        <f>(((Tabela1369[[#This Row],[Objetive value Dissimilarity]]-Tabela1369[[#This Row],[Objetive value Dissimilarity/GATeS]])/Tabela1369[[#This Row],[Objetive value Dissimilarity]]))*100</f>
        <v>0.30120481927710846</v>
      </c>
      <c r="O233" s="23">
        <v>2324</v>
      </c>
      <c r="P233" s="53">
        <v>0.39</v>
      </c>
      <c r="Q233" s="53">
        <v>0</v>
      </c>
      <c r="R233" s="55">
        <f>(((Tabela1369[[#This Row],[Objetive value Dissimilarity]]-Tabela1369[[#This Row],[Objetive Value Dissimilarity/H-R1]])/Tabela1369[[#This Row],[Objetive value Dissimilarity]]))*100</f>
        <v>0</v>
      </c>
      <c r="S233" s="96">
        <v>2324</v>
      </c>
      <c r="T233" s="21">
        <v>0.38</v>
      </c>
      <c r="U233" s="21">
        <v>0</v>
      </c>
      <c r="V233" s="144">
        <f>(((Tabela1369[[#This Row],[Objetive value Dissimilarity]]-Tabela1369[[#This Row],[Objetive value Dissimilarity/H-R2]])/Tabela1369[[#This Row],[Objetive value Dissimilarity]]))*100</f>
        <v>0</v>
      </c>
    </row>
    <row r="234" spans="1:22" s="34" customFormat="1" x14ac:dyDescent="0.25">
      <c r="A234" s="11" t="s">
        <v>73</v>
      </c>
      <c r="B234" s="30" t="s">
        <v>1329</v>
      </c>
      <c r="C234" s="11">
        <v>200</v>
      </c>
      <c r="D234" s="24">
        <v>0.1</v>
      </c>
      <c r="E234" s="11">
        <v>5</v>
      </c>
      <c r="F234" s="11" t="s">
        <v>18</v>
      </c>
      <c r="G234" s="12" t="s">
        <v>16</v>
      </c>
      <c r="H234" s="155">
        <v>1445</v>
      </c>
      <c r="I234" s="140">
        <v>0.14000000001396901</v>
      </c>
      <c r="J234" s="147">
        <v>0</v>
      </c>
      <c r="K234" s="157">
        <v>1445</v>
      </c>
      <c r="L234" s="161">
        <v>5</v>
      </c>
      <c r="M234" s="161">
        <v>0</v>
      </c>
      <c r="N234" s="154">
        <f>(((Tabela1369[[#This Row],[Objetive value Dissimilarity]]-Tabela1369[[#This Row],[Objetive value Dissimilarity/GATeS]])/Tabela1369[[#This Row],[Objetive value Dissimilarity]]))*100</f>
        <v>0</v>
      </c>
      <c r="O234" s="23">
        <v>1445</v>
      </c>
      <c r="P234" s="53">
        <v>0.35</v>
      </c>
      <c r="Q234" s="53">
        <v>0</v>
      </c>
      <c r="R234" s="55">
        <f>(((Tabela1369[[#This Row],[Objetive value Dissimilarity]]-Tabela1369[[#This Row],[Objetive Value Dissimilarity/H-R1]])/Tabela1369[[#This Row],[Objetive value Dissimilarity]]))*100</f>
        <v>0</v>
      </c>
      <c r="S234" s="96">
        <v>1445</v>
      </c>
      <c r="T234" s="21">
        <v>0.32</v>
      </c>
      <c r="U234" s="21">
        <v>0</v>
      </c>
      <c r="V234" s="144">
        <f>(((Tabela1369[[#This Row],[Objetive value Dissimilarity]]-Tabela1369[[#This Row],[Objetive value Dissimilarity/H-R2]])/Tabela1369[[#This Row],[Objetive value Dissimilarity]]))*100</f>
        <v>0</v>
      </c>
    </row>
    <row r="235" spans="1:22" s="34" customFormat="1" x14ac:dyDescent="0.25">
      <c r="A235" s="11" t="s">
        <v>73</v>
      </c>
      <c r="B235" s="30" t="s">
        <v>1330</v>
      </c>
      <c r="C235" s="11">
        <v>200</v>
      </c>
      <c r="D235" s="24">
        <v>0.1</v>
      </c>
      <c r="E235" s="11">
        <v>5</v>
      </c>
      <c r="F235" s="12" t="s">
        <v>21</v>
      </c>
      <c r="G235" s="12" t="s">
        <v>14</v>
      </c>
      <c r="H235" s="155">
        <v>490</v>
      </c>
      <c r="I235" s="140">
        <v>0.14000000001396901</v>
      </c>
      <c r="J235" s="147">
        <v>0</v>
      </c>
      <c r="K235" s="157">
        <v>490</v>
      </c>
      <c r="L235" s="161">
        <v>0</v>
      </c>
      <c r="M235" s="161">
        <v>0</v>
      </c>
      <c r="N235" s="154">
        <f>(((Tabela1369[[#This Row],[Objetive value Dissimilarity]]-Tabela1369[[#This Row],[Objetive value Dissimilarity/GATeS]])/Tabela1369[[#This Row],[Objetive value Dissimilarity]]))*100</f>
        <v>0</v>
      </c>
      <c r="O235" s="80"/>
      <c r="P235" s="79"/>
      <c r="Q235" s="79"/>
      <c r="R235" s="81">
        <v>100</v>
      </c>
      <c r="S235" s="96">
        <v>464</v>
      </c>
      <c r="T235" s="21">
        <v>1.1399999999999999</v>
      </c>
      <c r="U235" s="21">
        <v>0</v>
      </c>
      <c r="V235" s="144">
        <f>(((Tabela1369[[#This Row],[Objetive value Dissimilarity]]-Tabela1369[[#This Row],[Objetive value Dissimilarity/H-R2]])/Tabela1369[[#This Row],[Objetive value Dissimilarity]]))*100</f>
        <v>5.3061224489795915</v>
      </c>
    </row>
    <row r="236" spans="1:22" s="34" customFormat="1" x14ac:dyDescent="0.25">
      <c r="A236" s="11" t="s">
        <v>73</v>
      </c>
      <c r="B236" s="30" t="s">
        <v>1331</v>
      </c>
      <c r="C236" s="11">
        <v>200</v>
      </c>
      <c r="D236" s="24">
        <v>0.1</v>
      </c>
      <c r="E236" s="11">
        <v>5</v>
      </c>
      <c r="F236" s="12" t="s">
        <v>21</v>
      </c>
      <c r="G236" s="12" t="s">
        <v>16</v>
      </c>
      <c r="H236" s="155">
        <v>1152</v>
      </c>
      <c r="I236" s="140">
        <v>0.14000000001396901</v>
      </c>
      <c r="J236" s="147">
        <v>0</v>
      </c>
      <c r="K236" s="157">
        <v>1145</v>
      </c>
      <c r="L236" s="161">
        <v>7</v>
      </c>
      <c r="M236" s="161">
        <v>0</v>
      </c>
      <c r="N236" s="154">
        <f>(((Tabela1369[[#This Row],[Objetive value Dissimilarity]]-Tabela1369[[#This Row],[Objetive value Dissimilarity/GATeS]])/Tabela1369[[#This Row],[Objetive value Dissimilarity]]))*100</f>
        <v>0.60763888888888895</v>
      </c>
      <c r="O236" s="23">
        <v>927</v>
      </c>
      <c r="P236" s="53">
        <v>0.24</v>
      </c>
      <c r="Q236" s="53">
        <v>0</v>
      </c>
      <c r="R236" s="55">
        <f>(((Tabela1369[[#This Row],[Objetive value Dissimilarity]]-Tabela1369[[#This Row],[Objetive Value Dissimilarity/H-R1]])/Tabela1369[[#This Row],[Objetive value Dissimilarity]]))*100</f>
        <v>19.53125</v>
      </c>
      <c r="S236" s="96">
        <v>1152</v>
      </c>
      <c r="T236" s="21">
        <v>0.66</v>
      </c>
      <c r="U236" s="21">
        <v>0</v>
      </c>
      <c r="V236" s="144">
        <f>(((Tabela1369[[#This Row],[Objetive value Dissimilarity]]-Tabela1369[[#This Row],[Objetive value Dissimilarity/H-R2]])/Tabela1369[[#This Row],[Objetive value Dissimilarity]]))*100</f>
        <v>0</v>
      </c>
    </row>
    <row r="237" spans="1:22" s="34" customFormat="1" x14ac:dyDescent="0.25">
      <c r="A237" s="11" t="s">
        <v>91</v>
      </c>
      <c r="B237" s="30" t="s">
        <v>1332</v>
      </c>
      <c r="C237" s="11">
        <v>200</v>
      </c>
      <c r="D237" s="11">
        <v>0.15</v>
      </c>
      <c r="E237" s="11">
        <v>10</v>
      </c>
      <c r="F237" s="12" t="s">
        <v>13</v>
      </c>
      <c r="G237" s="12" t="s">
        <v>14</v>
      </c>
      <c r="H237" s="155">
        <v>3647</v>
      </c>
      <c r="I237" s="140">
        <v>0.60999999998603005</v>
      </c>
      <c r="J237" s="147">
        <v>7.4</v>
      </c>
      <c r="K237" s="157">
        <v>3614</v>
      </c>
      <c r="L237" s="161">
        <v>126</v>
      </c>
      <c r="M237" s="161">
        <v>118</v>
      </c>
      <c r="N237" s="154">
        <f>(((Tabela1369[[#This Row],[Objetive value Dissimilarity]]-Tabela1369[[#This Row],[Objetive value Dissimilarity/GATeS]])/Tabela1369[[#This Row],[Objetive value Dissimilarity]]))*100</f>
        <v>0.90485330408554976</v>
      </c>
      <c r="O237" s="23">
        <v>3637</v>
      </c>
      <c r="P237" s="53">
        <v>0.5</v>
      </c>
      <c r="Q237" s="53">
        <v>0</v>
      </c>
      <c r="R237" s="55">
        <f>(((Tabela1369[[#This Row],[Objetive value Dissimilarity]]-Tabela1369[[#This Row],[Objetive Value Dissimilarity/H-R1]])/Tabela1369[[#This Row],[Objetive value Dissimilarity]]))*100</f>
        <v>0.27419797093501508</v>
      </c>
      <c r="S237" s="96">
        <v>3575</v>
      </c>
      <c r="T237" s="21">
        <v>0.36</v>
      </c>
      <c r="U237" s="21">
        <v>0</v>
      </c>
      <c r="V237" s="144">
        <f>(((Tabela1369[[#This Row],[Objetive value Dissimilarity]]-Tabela1369[[#This Row],[Objetive value Dissimilarity/H-R2]])/Tabela1369[[#This Row],[Objetive value Dissimilarity]]))*100</f>
        <v>1.9742253907321083</v>
      </c>
    </row>
    <row r="238" spans="1:22" s="34" customFormat="1" x14ac:dyDescent="0.25">
      <c r="A238" s="11" t="s">
        <v>91</v>
      </c>
      <c r="B238" s="12" t="s">
        <v>1333</v>
      </c>
      <c r="C238" s="11">
        <v>200</v>
      </c>
      <c r="D238" s="11">
        <v>0.15</v>
      </c>
      <c r="E238" s="11">
        <v>10</v>
      </c>
      <c r="F238" s="12" t="s">
        <v>13</v>
      </c>
      <c r="G238" s="12" t="s">
        <v>16</v>
      </c>
      <c r="H238" s="155">
        <v>2410</v>
      </c>
      <c r="I238" s="140">
        <v>0.73400000005494803</v>
      </c>
      <c r="J238" s="147">
        <v>0</v>
      </c>
      <c r="K238" s="157">
        <v>2402</v>
      </c>
      <c r="L238" s="161">
        <v>20</v>
      </c>
      <c r="M238" s="161">
        <v>1</v>
      </c>
      <c r="N238" s="154">
        <f>(((Tabela1369[[#This Row],[Objetive value Dissimilarity]]-Tabela1369[[#This Row],[Objetive value Dissimilarity/GATeS]])/Tabela1369[[#This Row],[Objetive value Dissimilarity]]))*100</f>
        <v>0.33195020746887965</v>
      </c>
      <c r="O238" s="23">
        <v>2231</v>
      </c>
      <c r="P238" s="53">
        <v>0.55000000000000004</v>
      </c>
      <c r="Q238" s="53">
        <v>0</v>
      </c>
      <c r="R238" s="55">
        <f>(((Tabela1369[[#This Row],[Objetive value Dissimilarity]]-Tabela1369[[#This Row],[Objetive Value Dissimilarity/H-R1]])/Tabela1369[[#This Row],[Objetive value Dissimilarity]]))*100</f>
        <v>7.4273858921161828</v>
      </c>
      <c r="S238" s="96">
        <v>2290</v>
      </c>
      <c r="T238" s="21">
        <v>0.48</v>
      </c>
      <c r="U238" s="21">
        <v>0</v>
      </c>
      <c r="V238" s="144">
        <f>(((Tabela1369[[#This Row],[Objetive value Dissimilarity]]-Tabela1369[[#This Row],[Objetive value Dissimilarity/H-R2]])/Tabela1369[[#This Row],[Objetive value Dissimilarity]]))*100</f>
        <v>4.9792531120331951</v>
      </c>
    </row>
    <row r="239" spans="1:22" s="34" customFormat="1" x14ac:dyDescent="0.25">
      <c r="A239" s="11" t="s">
        <v>91</v>
      </c>
      <c r="B239" s="12" t="s">
        <v>1334</v>
      </c>
      <c r="C239" s="11">
        <v>200</v>
      </c>
      <c r="D239" s="11">
        <v>0.15</v>
      </c>
      <c r="E239" s="11">
        <v>10</v>
      </c>
      <c r="F239" s="12" t="s">
        <v>18</v>
      </c>
      <c r="G239" s="12" t="s">
        <v>14</v>
      </c>
      <c r="H239" s="155">
        <v>3970</v>
      </c>
      <c r="I239" s="140">
        <v>0.20299999997950999</v>
      </c>
      <c r="J239" s="147">
        <v>0</v>
      </c>
      <c r="K239" s="157">
        <v>3952</v>
      </c>
      <c r="L239" s="161">
        <v>17</v>
      </c>
      <c r="M239" s="161">
        <v>15</v>
      </c>
      <c r="N239" s="154">
        <f>(((Tabela1369[[#This Row],[Objetive value Dissimilarity]]-Tabela1369[[#This Row],[Objetive value Dissimilarity/GATeS]])/Tabela1369[[#This Row],[Objetive value Dissimilarity]]))*100</f>
        <v>0.45340050377833752</v>
      </c>
      <c r="O239" s="23">
        <v>3960</v>
      </c>
      <c r="P239" s="53">
        <v>0.37</v>
      </c>
      <c r="Q239" s="53">
        <v>0</v>
      </c>
      <c r="R239" s="55">
        <f>(((Tabela1369[[#This Row],[Objetive value Dissimilarity]]-Tabela1369[[#This Row],[Objetive Value Dissimilarity/H-R1]])/Tabela1369[[#This Row],[Objetive value Dissimilarity]]))*100</f>
        <v>0.25188916876574308</v>
      </c>
      <c r="S239" s="96">
        <v>3912</v>
      </c>
      <c r="T239" s="21">
        <v>0.47</v>
      </c>
      <c r="U239" s="21">
        <v>0</v>
      </c>
      <c r="V239" s="144">
        <f>(((Tabela1369[[#This Row],[Objetive value Dissimilarity]]-Tabela1369[[#This Row],[Objetive value Dissimilarity/H-R2]])/Tabela1369[[#This Row],[Objetive value Dissimilarity]]))*100</f>
        <v>1.4609571788413098</v>
      </c>
    </row>
    <row r="240" spans="1:22" s="34" customFormat="1" x14ac:dyDescent="0.25">
      <c r="A240" s="11" t="s">
        <v>91</v>
      </c>
      <c r="B240" s="12" t="s">
        <v>1335</v>
      </c>
      <c r="C240" s="11">
        <v>200</v>
      </c>
      <c r="D240" s="11">
        <v>0.15</v>
      </c>
      <c r="E240" s="11">
        <v>10</v>
      </c>
      <c r="F240" s="12" t="s">
        <v>18</v>
      </c>
      <c r="G240" s="12" t="s">
        <v>16</v>
      </c>
      <c r="H240" s="155">
        <v>2495</v>
      </c>
      <c r="I240" s="140">
        <v>1.2820000000065099</v>
      </c>
      <c r="J240" s="147">
        <v>0</v>
      </c>
      <c r="K240" s="157">
        <v>2470</v>
      </c>
      <c r="L240" s="161">
        <v>18</v>
      </c>
      <c r="M240" s="161">
        <v>6</v>
      </c>
      <c r="N240" s="154">
        <f>(((Tabela1369[[#This Row],[Objetive value Dissimilarity]]-Tabela1369[[#This Row],[Objetive value Dissimilarity/GATeS]])/Tabela1369[[#This Row],[Objetive value Dissimilarity]]))*100</f>
        <v>1.002004008016032</v>
      </c>
      <c r="O240" s="23">
        <v>2442</v>
      </c>
      <c r="P240" s="53">
        <v>0.65</v>
      </c>
      <c r="Q240" s="53">
        <v>0</v>
      </c>
      <c r="R240" s="55">
        <f>(((Tabela1369[[#This Row],[Objetive value Dissimilarity]]-Tabela1369[[#This Row],[Objetive Value Dissimilarity/H-R1]])/Tabela1369[[#This Row],[Objetive value Dissimilarity]]))*100</f>
        <v>2.1242484969939879</v>
      </c>
      <c r="S240" s="96">
        <v>2466</v>
      </c>
      <c r="T240" s="21">
        <v>0.56999999999999995</v>
      </c>
      <c r="U240" s="21">
        <v>0</v>
      </c>
      <c r="V240" s="144">
        <f>(((Tabela1369[[#This Row],[Objetive value Dissimilarity]]-Tabela1369[[#This Row],[Objetive value Dissimilarity/H-R2]])/Tabela1369[[#This Row],[Objetive value Dissimilarity]]))*100</f>
        <v>1.1623246492985972</v>
      </c>
    </row>
    <row r="241" spans="1:22" s="34" customFormat="1" x14ac:dyDescent="0.25">
      <c r="A241" s="11" t="s">
        <v>91</v>
      </c>
      <c r="B241" s="12" t="s">
        <v>1336</v>
      </c>
      <c r="C241" s="11">
        <v>200</v>
      </c>
      <c r="D241" s="11">
        <v>0.15</v>
      </c>
      <c r="E241" s="11">
        <v>10</v>
      </c>
      <c r="F241" s="12" t="s">
        <v>21</v>
      </c>
      <c r="G241" s="12" t="s">
        <v>14</v>
      </c>
      <c r="H241" s="155">
        <v>2969</v>
      </c>
      <c r="I241" s="140">
        <v>0.18799999996554101</v>
      </c>
      <c r="J241" s="147">
        <v>0</v>
      </c>
      <c r="K241" s="157">
        <v>2956</v>
      </c>
      <c r="L241" s="161">
        <v>13</v>
      </c>
      <c r="M241" s="161">
        <v>0</v>
      </c>
      <c r="N241" s="154">
        <f>(((Tabela1369[[#This Row],[Objetive value Dissimilarity]]-Tabela1369[[#This Row],[Objetive value Dissimilarity/GATeS]])/Tabela1369[[#This Row],[Objetive value Dissimilarity]]))*100</f>
        <v>0.43785786460087572</v>
      </c>
      <c r="O241" s="23">
        <v>2651</v>
      </c>
      <c r="P241" s="53">
        <v>0.86</v>
      </c>
      <c r="Q241" s="53">
        <v>0</v>
      </c>
      <c r="R241" s="55">
        <f>(((Tabela1369[[#This Row],[Objetive value Dissimilarity]]-Tabela1369[[#This Row],[Objetive Value Dissimilarity/H-R1]])/Tabela1369[[#This Row],[Objetive value Dissimilarity]]))*100</f>
        <v>10.710676995621421</v>
      </c>
      <c r="S241" s="96">
        <v>2969</v>
      </c>
      <c r="T241" s="21">
        <v>1.07</v>
      </c>
      <c r="U241" s="21">
        <v>0</v>
      </c>
      <c r="V241" s="144">
        <f>(((Tabela1369[[#This Row],[Objetive value Dissimilarity]]-Tabela1369[[#This Row],[Objetive value Dissimilarity/H-R2]])/Tabela1369[[#This Row],[Objetive value Dissimilarity]]))*100</f>
        <v>0</v>
      </c>
    </row>
    <row r="242" spans="1:22" s="34" customFormat="1" x14ac:dyDescent="0.25">
      <c r="A242" s="11" t="s">
        <v>91</v>
      </c>
      <c r="B242" s="12" t="s">
        <v>1337</v>
      </c>
      <c r="C242" s="11">
        <v>200</v>
      </c>
      <c r="D242" s="11">
        <v>0.15</v>
      </c>
      <c r="E242" s="11">
        <v>10</v>
      </c>
      <c r="F242" s="12" t="s">
        <v>21</v>
      </c>
      <c r="G242" s="12" t="s">
        <v>16</v>
      </c>
      <c r="H242" s="155">
        <v>2437</v>
      </c>
      <c r="I242" s="140">
        <v>0.48499999998602999</v>
      </c>
      <c r="J242" s="147">
        <v>0</v>
      </c>
      <c r="K242" s="157">
        <v>2414</v>
      </c>
      <c r="L242" s="161">
        <v>16</v>
      </c>
      <c r="M242" s="161">
        <v>14</v>
      </c>
      <c r="N242" s="154">
        <f>(((Tabela1369[[#This Row],[Objetive value Dissimilarity]]-Tabela1369[[#This Row],[Objetive value Dissimilarity/GATeS]])/Tabela1369[[#This Row],[Objetive value Dissimilarity]]))*100</f>
        <v>0.943783340172343</v>
      </c>
      <c r="O242" s="23">
        <v>2437</v>
      </c>
      <c r="P242" s="53">
        <v>0.38</v>
      </c>
      <c r="Q242" s="53">
        <v>0</v>
      </c>
      <c r="R242" s="55">
        <f>(((Tabela1369[[#This Row],[Objetive value Dissimilarity]]-Tabela1369[[#This Row],[Objetive Value Dissimilarity/H-R1]])/Tabela1369[[#This Row],[Objetive value Dissimilarity]]))*100</f>
        <v>0</v>
      </c>
      <c r="S242" s="96">
        <v>2385</v>
      </c>
      <c r="T242" s="21">
        <v>0.38</v>
      </c>
      <c r="U242" s="21">
        <v>0</v>
      </c>
      <c r="V242" s="144">
        <f>(((Tabela1369[[#This Row],[Objetive value Dissimilarity]]-Tabela1369[[#This Row],[Objetive value Dissimilarity/H-R2]])/Tabela1369[[#This Row],[Objetive value Dissimilarity]]))*100</f>
        <v>2.1337710299548625</v>
      </c>
    </row>
    <row r="243" spans="1:22" s="34" customFormat="1" x14ac:dyDescent="0.25">
      <c r="A243" s="11" t="s">
        <v>110</v>
      </c>
      <c r="B243" s="30" t="s">
        <v>1338</v>
      </c>
      <c r="C243" s="11">
        <v>200</v>
      </c>
      <c r="D243" s="11">
        <v>0.15</v>
      </c>
      <c r="E243" s="11">
        <v>15</v>
      </c>
      <c r="F243" s="12" t="s">
        <v>13</v>
      </c>
      <c r="G243" s="12" t="s">
        <v>14</v>
      </c>
      <c r="H243" s="155">
        <v>6011</v>
      </c>
      <c r="I243" s="140">
        <v>1.45300000009592</v>
      </c>
      <c r="J243" s="147">
        <v>7.2</v>
      </c>
      <c r="K243" s="157">
        <v>5731</v>
      </c>
      <c r="L243" s="161">
        <v>23</v>
      </c>
      <c r="M243" s="161">
        <v>1</v>
      </c>
      <c r="N243" s="154">
        <f>(((Tabela1369[[#This Row],[Objetive value Dissimilarity]]-Tabela1369[[#This Row],[Objetive value Dissimilarity/GATeS]])/Tabela1369[[#This Row],[Objetive value Dissimilarity]]))*100</f>
        <v>4.6581267675927469</v>
      </c>
      <c r="O243" s="23">
        <v>5657</v>
      </c>
      <c r="P243" s="53">
        <v>0.55000000000000004</v>
      </c>
      <c r="Q243" s="53">
        <v>0</v>
      </c>
      <c r="R243" s="55">
        <f>(((Tabela1369[[#This Row],[Objetive value Dissimilarity]]-Tabela1369[[#This Row],[Objetive Value Dissimilarity/H-R1]])/Tabela1369[[#This Row],[Objetive value Dissimilarity]]))*100</f>
        <v>5.8892031275994006</v>
      </c>
      <c r="S243" s="96">
        <v>5592</v>
      </c>
      <c r="T243" s="21">
        <v>0.4</v>
      </c>
      <c r="U243" s="21">
        <v>0</v>
      </c>
      <c r="V243" s="144">
        <f>(((Tabela1369[[#This Row],[Objetive value Dissimilarity]]-Tabela1369[[#This Row],[Objetive value Dissimilarity/H-R2]])/Tabela1369[[#This Row],[Objetive value Dissimilarity]]))*100</f>
        <v>6.9705539843620032</v>
      </c>
    </row>
    <row r="244" spans="1:22" s="34" customFormat="1" x14ac:dyDescent="0.25">
      <c r="A244" s="11" t="s">
        <v>110</v>
      </c>
      <c r="B244" s="12" t="s">
        <v>1339</v>
      </c>
      <c r="C244" s="11">
        <v>200</v>
      </c>
      <c r="D244" s="11">
        <v>0.15</v>
      </c>
      <c r="E244" s="11">
        <v>15</v>
      </c>
      <c r="F244" s="12" t="s">
        <v>13</v>
      </c>
      <c r="G244" s="12" t="s">
        <v>16</v>
      </c>
      <c r="H244" s="155">
        <v>3600</v>
      </c>
      <c r="I244" s="140">
        <v>6.0150000000139698</v>
      </c>
      <c r="J244" s="147">
        <v>0.03</v>
      </c>
      <c r="K244" s="157">
        <v>3569</v>
      </c>
      <c r="L244" s="161">
        <v>31</v>
      </c>
      <c r="M244" s="161">
        <v>10</v>
      </c>
      <c r="N244" s="154">
        <f>(((Tabela1369[[#This Row],[Objetive value Dissimilarity]]-Tabela1369[[#This Row],[Objetive value Dissimilarity/GATeS]])/Tabela1369[[#This Row],[Objetive value Dissimilarity]]))*100</f>
        <v>0.86111111111111116</v>
      </c>
      <c r="O244" s="23">
        <v>3552</v>
      </c>
      <c r="P244" s="53">
        <v>0.8</v>
      </c>
      <c r="Q244" s="53">
        <v>0</v>
      </c>
      <c r="R244" s="55">
        <f>(((Tabela1369[[#This Row],[Objetive value Dissimilarity]]-Tabela1369[[#This Row],[Objetive Value Dissimilarity/H-R1]])/Tabela1369[[#This Row],[Objetive value Dissimilarity]]))*100</f>
        <v>1.3333333333333335</v>
      </c>
      <c r="S244" s="96">
        <v>3501</v>
      </c>
      <c r="T244" s="21">
        <v>0.6</v>
      </c>
      <c r="U244" s="21">
        <v>0</v>
      </c>
      <c r="V244" s="144">
        <f>(((Tabela1369[[#This Row],[Objetive value Dissimilarity]]-Tabela1369[[#This Row],[Objetive value Dissimilarity/H-R2]])/Tabela1369[[#This Row],[Objetive value Dissimilarity]]))*100</f>
        <v>2.75</v>
      </c>
    </row>
    <row r="245" spans="1:22" s="34" customFormat="1" x14ac:dyDescent="0.25">
      <c r="A245" s="11" t="s">
        <v>110</v>
      </c>
      <c r="B245" s="12" t="s">
        <v>1340</v>
      </c>
      <c r="C245" s="11">
        <v>200</v>
      </c>
      <c r="D245" s="11">
        <v>0.15</v>
      </c>
      <c r="E245" s="11">
        <v>15</v>
      </c>
      <c r="F245" s="12" t="s">
        <v>18</v>
      </c>
      <c r="G245" s="12" t="s">
        <v>14</v>
      </c>
      <c r="H245" s="155">
        <v>5864</v>
      </c>
      <c r="I245" s="140">
        <v>2.1720000000204802</v>
      </c>
      <c r="J245" s="147">
        <v>6.84</v>
      </c>
      <c r="K245" s="157">
        <v>5435</v>
      </c>
      <c r="L245" s="161">
        <v>23</v>
      </c>
      <c r="M245" s="161">
        <v>3</v>
      </c>
      <c r="N245" s="154">
        <f>(((Tabela1369[[#This Row],[Objetive value Dissimilarity]]-Tabela1369[[#This Row],[Objetive value Dissimilarity/GATeS]])/Tabela1369[[#This Row],[Objetive value Dissimilarity]]))*100</f>
        <v>7.3158253751705313</v>
      </c>
      <c r="O245" s="23">
        <v>5450</v>
      </c>
      <c r="P245" s="53">
        <v>0.39</v>
      </c>
      <c r="Q245" s="53">
        <v>0</v>
      </c>
      <c r="R245" s="55">
        <f>(((Tabela1369[[#This Row],[Objetive value Dissimilarity]]-Tabela1369[[#This Row],[Objetive Value Dissimilarity/H-R1]])/Tabela1369[[#This Row],[Objetive value Dissimilarity]]))*100</f>
        <v>7.0600272851296042</v>
      </c>
      <c r="S245" s="96">
        <v>5449</v>
      </c>
      <c r="T245" s="21">
        <v>0.34</v>
      </c>
      <c r="U245" s="21">
        <v>0</v>
      </c>
      <c r="V245" s="144">
        <f>(((Tabela1369[[#This Row],[Objetive value Dissimilarity]]-Tabela1369[[#This Row],[Objetive value Dissimilarity/H-R2]])/Tabela1369[[#This Row],[Objetive value Dissimilarity]]))*100</f>
        <v>7.0770804911323326</v>
      </c>
    </row>
    <row r="246" spans="1:22" s="34" customFormat="1" x14ac:dyDescent="0.25">
      <c r="A246" s="11" t="s">
        <v>110</v>
      </c>
      <c r="B246" s="12" t="s">
        <v>1341</v>
      </c>
      <c r="C246" s="11">
        <v>200</v>
      </c>
      <c r="D246" s="11">
        <v>0.15</v>
      </c>
      <c r="E246" s="11">
        <v>15</v>
      </c>
      <c r="F246" s="12" t="s">
        <v>18</v>
      </c>
      <c r="G246" s="12" t="s">
        <v>16</v>
      </c>
      <c r="H246" s="155">
        <v>3258</v>
      </c>
      <c r="I246" s="140">
        <v>7.48399999993853</v>
      </c>
      <c r="J246" s="147">
        <v>0.02</v>
      </c>
      <c r="K246" s="157">
        <v>3235</v>
      </c>
      <c r="L246" s="161">
        <v>32</v>
      </c>
      <c r="M246" s="161">
        <v>7</v>
      </c>
      <c r="N246" s="154">
        <f>(((Tabela1369[[#This Row],[Objetive value Dissimilarity]]-Tabela1369[[#This Row],[Objetive value Dissimilarity/GATeS]])/Tabela1369[[#This Row],[Objetive value Dissimilarity]]))*100</f>
        <v>0.70595457335788825</v>
      </c>
      <c r="O246" s="23">
        <v>3208</v>
      </c>
      <c r="P246" s="53">
        <v>0.68</v>
      </c>
      <c r="Q246" s="53">
        <v>0</v>
      </c>
      <c r="R246" s="55">
        <f>(((Tabela1369[[#This Row],[Objetive value Dissimilarity]]-Tabela1369[[#This Row],[Objetive Value Dissimilarity/H-R1]])/Tabela1369[[#This Row],[Objetive value Dissimilarity]]))*100</f>
        <v>1.5346838551258442</v>
      </c>
      <c r="S246" s="96">
        <v>3241</v>
      </c>
      <c r="T246" s="21">
        <v>0.72</v>
      </c>
      <c r="U246" s="21">
        <v>0</v>
      </c>
      <c r="V246" s="144">
        <f>(((Tabela1369[[#This Row],[Objetive value Dissimilarity]]-Tabela1369[[#This Row],[Objetive value Dissimilarity/H-R2]])/Tabela1369[[#This Row],[Objetive value Dissimilarity]]))*100</f>
        <v>0.52179251074278699</v>
      </c>
    </row>
    <row r="247" spans="1:22" s="34" customFormat="1" x14ac:dyDescent="0.25">
      <c r="A247" s="11" t="s">
        <v>110</v>
      </c>
      <c r="B247" s="12" t="s">
        <v>1342</v>
      </c>
      <c r="C247" s="11">
        <v>200</v>
      </c>
      <c r="D247" s="11">
        <v>0.15</v>
      </c>
      <c r="E247" s="11">
        <v>15</v>
      </c>
      <c r="F247" s="12" t="s">
        <v>21</v>
      </c>
      <c r="G247" s="12" t="s">
        <v>14</v>
      </c>
      <c r="H247" s="155">
        <v>3555</v>
      </c>
      <c r="I247" s="140">
        <v>0.23499999998602999</v>
      </c>
      <c r="J247" s="147">
        <v>0</v>
      </c>
      <c r="K247" s="157">
        <v>3549</v>
      </c>
      <c r="L247" s="161">
        <v>21</v>
      </c>
      <c r="M247" s="161">
        <v>2</v>
      </c>
      <c r="N247" s="154">
        <f>(((Tabela1369[[#This Row],[Objetive value Dissimilarity]]-Tabela1369[[#This Row],[Objetive value Dissimilarity/GATeS]])/Tabela1369[[#This Row],[Objetive value Dissimilarity]]))*100</f>
        <v>0.16877637130801687</v>
      </c>
      <c r="O247" s="23">
        <v>3053</v>
      </c>
      <c r="P247" s="53">
        <v>1.93</v>
      </c>
      <c r="Q247" s="53">
        <v>0</v>
      </c>
      <c r="R247" s="55">
        <f>(((Tabela1369[[#This Row],[Objetive value Dissimilarity]]-Tabela1369[[#This Row],[Objetive Value Dissimilarity/H-R1]])/Tabela1369[[#This Row],[Objetive value Dissimilarity]]))*100</f>
        <v>14.120956399437413</v>
      </c>
      <c r="S247" s="96">
        <v>3555</v>
      </c>
      <c r="T247" s="21">
        <v>1.53</v>
      </c>
      <c r="U247" s="21">
        <v>0</v>
      </c>
      <c r="V247" s="144">
        <f>(((Tabela1369[[#This Row],[Objetive value Dissimilarity]]-Tabela1369[[#This Row],[Objetive value Dissimilarity/H-R2]])/Tabela1369[[#This Row],[Objetive value Dissimilarity]]))*100</f>
        <v>0</v>
      </c>
    </row>
    <row r="248" spans="1:22" s="34" customFormat="1" x14ac:dyDescent="0.25">
      <c r="A248" s="11" t="s">
        <v>110</v>
      </c>
      <c r="B248" s="12" t="s">
        <v>1343</v>
      </c>
      <c r="C248" s="11">
        <v>200</v>
      </c>
      <c r="D248" s="11">
        <v>0.15</v>
      </c>
      <c r="E248" s="11">
        <v>15</v>
      </c>
      <c r="F248" s="12" t="s">
        <v>21</v>
      </c>
      <c r="G248" s="12" t="s">
        <v>16</v>
      </c>
      <c r="H248" s="155">
        <v>3516</v>
      </c>
      <c r="I248" s="140">
        <v>6.2959999999729899</v>
      </c>
      <c r="J248" s="147">
        <v>0.47</v>
      </c>
      <c r="K248" s="157">
        <v>3421</v>
      </c>
      <c r="L248" s="161">
        <v>23</v>
      </c>
      <c r="M248" s="161">
        <v>2</v>
      </c>
      <c r="N248" s="154">
        <f>(((Tabela1369[[#This Row],[Objetive value Dissimilarity]]-Tabela1369[[#This Row],[Objetive value Dissimilarity/GATeS]])/Tabela1369[[#This Row],[Objetive value Dissimilarity]]))*100</f>
        <v>2.7019340159271898</v>
      </c>
      <c r="O248" s="23">
        <v>3475</v>
      </c>
      <c r="P248" s="53">
        <v>0.7</v>
      </c>
      <c r="Q248" s="53">
        <v>0</v>
      </c>
      <c r="R248" s="55">
        <f>(((Tabela1369[[#This Row],[Objetive value Dissimilarity]]-Tabela1369[[#This Row],[Objetive Value Dissimilarity/H-R1]])/Tabela1369[[#This Row],[Objetive value Dissimilarity]]))*100</f>
        <v>1.1660978384527871</v>
      </c>
      <c r="S248" s="96">
        <v>3479</v>
      </c>
      <c r="T248" s="21">
        <v>0.64</v>
      </c>
      <c r="U248" s="21">
        <v>0</v>
      </c>
      <c r="V248" s="144">
        <f>(((Tabela1369[[#This Row],[Objetive value Dissimilarity]]-Tabela1369[[#This Row],[Objetive value Dissimilarity/H-R2]])/Tabela1369[[#This Row],[Objetive value Dissimilarity]]))*100</f>
        <v>1.0523321956769056</v>
      </c>
    </row>
    <row r="249" spans="1:22" s="34" customFormat="1" x14ac:dyDescent="0.25">
      <c r="A249" s="11" t="s">
        <v>73</v>
      </c>
      <c r="B249" s="12" t="s">
        <v>1344</v>
      </c>
      <c r="C249" s="11">
        <v>200</v>
      </c>
      <c r="D249" s="11">
        <v>0.15</v>
      </c>
      <c r="E249" s="11">
        <v>5</v>
      </c>
      <c r="F249" s="12" t="s">
        <v>13</v>
      </c>
      <c r="G249" s="12" t="s">
        <v>14</v>
      </c>
      <c r="H249" s="155">
        <v>2130</v>
      </c>
      <c r="I249" s="140">
        <v>0.14000000001396901</v>
      </c>
      <c r="J249" s="147">
        <v>0</v>
      </c>
      <c r="K249" s="157">
        <v>2120</v>
      </c>
      <c r="L249" s="161">
        <v>14</v>
      </c>
      <c r="M249" s="161">
        <v>13</v>
      </c>
      <c r="N249" s="154">
        <f>(((Tabela1369[[#This Row],[Objetive value Dissimilarity]]-Tabela1369[[#This Row],[Objetive value Dissimilarity/GATeS]])/Tabela1369[[#This Row],[Objetive value Dissimilarity]]))*100</f>
        <v>0.46948356807511737</v>
      </c>
      <c r="O249" s="23">
        <v>2130</v>
      </c>
      <c r="P249" s="53">
        <v>0.3</v>
      </c>
      <c r="Q249" s="53">
        <v>0</v>
      </c>
      <c r="R249" s="55">
        <f>(((Tabela1369[[#This Row],[Objetive value Dissimilarity]]-Tabela1369[[#This Row],[Objetive Value Dissimilarity/H-R1]])/Tabela1369[[#This Row],[Objetive value Dissimilarity]]))*100</f>
        <v>0</v>
      </c>
      <c r="S249" s="96">
        <v>2130</v>
      </c>
      <c r="T249" s="21">
        <v>0.39</v>
      </c>
      <c r="U249" s="21">
        <v>0</v>
      </c>
      <c r="V249" s="144">
        <f>(((Tabela1369[[#This Row],[Objetive value Dissimilarity]]-Tabela1369[[#This Row],[Objetive value Dissimilarity/H-R2]])/Tabela1369[[#This Row],[Objetive value Dissimilarity]]))*100</f>
        <v>0</v>
      </c>
    </row>
    <row r="250" spans="1:22" s="34" customFormat="1" x14ac:dyDescent="0.25">
      <c r="A250" s="11" t="s">
        <v>73</v>
      </c>
      <c r="B250" s="12" t="s">
        <v>1345</v>
      </c>
      <c r="C250" s="11">
        <v>200</v>
      </c>
      <c r="D250" s="11">
        <v>0.15</v>
      </c>
      <c r="E250" s="11">
        <v>5</v>
      </c>
      <c r="F250" s="12" t="s">
        <v>13</v>
      </c>
      <c r="G250" s="12" t="s">
        <v>16</v>
      </c>
      <c r="H250" s="155">
        <v>1425</v>
      </c>
      <c r="I250" s="140">
        <v>0.15700000000651901</v>
      </c>
      <c r="J250" s="147">
        <v>0</v>
      </c>
      <c r="K250" s="157">
        <v>1415</v>
      </c>
      <c r="L250" s="161">
        <v>9</v>
      </c>
      <c r="M250" s="161">
        <v>9</v>
      </c>
      <c r="N250" s="154">
        <f>(((Tabela1369[[#This Row],[Objetive value Dissimilarity]]-Tabela1369[[#This Row],[Objetive value Dissimilarity/GATeS]])/Tabela1369[[#This Row],[Objetive value Dissimilarity]]))*100</f>
        <v>0.70175438596491224</v>
      </c>
      <c r="O250" s="23">
        <v>1412</v>
      </c>
      <c r="P250" s="53">
        <v>0.45</v>
      </c>
      <c r="Q250" s="53">
        <v>0</v>
      </c>
      <c r="R250" s="55">
        <f>(((Tabela1369[[#This Row],[Objetive value Dissimilarity]]-Tabela1369[[#This Row],[Objetive Value Dissimilarity/H-R1]])/Tabela1369[[#This Row],[Objetive value Dissimilarity]]))*100</f>
        <v>0.91228070175438591</v>
      </c>
      <c r="S250" s="96">
        <v>1412</v>
      </c>
      <c r="T250" s="21">
        <v>0.43</v>
      </c>
      <c r="U250" s="21">
        <v>0</v>
      </c>
      <c r="V250" s="144">
        <f>(((Tabela1369[[#This Row],[Objetive value Dissimilarity]]-Tabela1369[[#This Row],[Objetive value Dissimilarity/H-R2]])/Tabela1369[[#This Row],[Objetive value Dissimilarity]]))*100</f>
        <v>0.91228070175438591</v>
      </c>
    </row>
    <row r="251" spans="1:22" s="34" customFormat="1" x14ac:dyDescent="0.25">
      <c r="A251" s="11" t="s">
        <v>73</v>
      </c>
      <c r="B251" s="12" t="s">
        <v>1346</v>
      </c>
      <c r="C251" s="11">
        <v>200</v>
      </c>
      <c r="D251" s="11">
        <v>0.15</v>
      </c>
      <c r="E251" s="11">
        <v>5</v>
      </c>
      <c r="F251" s="12" t="s">
        <v>18</v>
      </c>
      <c r="G251" s="12" t="s">
        <v>14</v>
      </c>
      <c r="H251" s="155">
        <v>1720</v>
      </c>
      <c r="I251" s="140">
        <v>0.125</v>
      </c>
      <c r="J251" s="147">
        <v>0</v>
      </c>
      <c r="K251" s="157">
        <v>1481</v>
      </c>
      <c r="L251" s="161">
        <v>7</v>
      </c>
      <c r="M251" s="161">
        <v>0</v>
      </c>
      <c r="N251" s="154">
        <f>(((Tabela1369[[#This Row],[Objetive value Dissimilarity]]-Tabela1369[[#This Row],[Objetive value Dissimilarity/GATeS]])/Tabela1369[[#This Row],[Objetive value Dissimilarity]]))*100</f>
        <v>13.895348837209303</v>
      </c>
      <c r="O251" s="23">
        <v>1560</v>
      </c>
      <c r="P251" s="53">
        <v>0.3</v>
      </c>
      <c r="Q251" s="53">
        <v>0</v>
      </c>
      <c r="R251" s="55">
        <f>(((Tabela1369[[#This Row],[Objetive value Dissimilarity]]-Tabela1369[[#This Row],[Objetive Value Dissimilarity/H-R1]])/Tabela1369[[#This Row],[Objetive value Dissimilarity]]))*100</f>
        <v>9.3023255813953494</v>
      </c>
      <c r="S251" s="96">
        <v>1720</v>
      </c>
      <c r="T251" s="21">
        <v>0.41</v>
      </c>
      <c r="U251" s="21">
        <v>0</v>
      </c>
      <c r="V251" s="144">
        <f>(((Tabela1369[[#This Row],[Objetive value Dissimilarity]]-Tabela1369[[#This Row],[Objetive value Dissimilarity/H-R2]])/Tabela1369[[#This Row],[Objetive value Dissimilarity]]))*100</f>
        <v>0</v>
      </c>
    </row>
    <row r="252" spans="1:22" s="34" customFormat="1" x14ac:dyDescent="0.25">
      <c r="A252" s="11" t="s">
        <v>73</v>
      </c>
      <c r="B252" s="12" t="s">
        <v>1347</v>
      </c>
      <c r="C252" s="11">
        <v>200</v>
      </c>
      <c r="D252" s="11">
        <v>0.15</v>
      </c>
      <c r="E252" s="11">
        <v>5</v>
      </c>
      <c r="F252" s="12" t="s">
        <v>18</v>
      </c>
      <c r="G252" s="12" t="s">
        <v>16</v>
      </c>
      <c r="H252" s="155">
        <v>1441</v>
      </c>
      <c r="I252" s="140">
        <v>0.14000000001396901</v>
      </c>
      <c r="J252" s="147">
        <v>0</v>
      </c>
      <c r="K252" s="157">
        <v>1441</v>
      </c>
      <c r="L252" s="161">
        <v>6</v>
      </c>
      <c r="M252" s="161">
        <v>0</v>
      </c>
      <c r="N252" s="154">
        <f>(((Tabela1369[[#This Row],[Objetive value Dissimilarity]]-Tabela1369[[#This Row],[Objetive value Dissimilarity/GATeS]])/Tabela1369[[#This Row],[Objetive value Dissimilarity]]))*100</f>
        <v>0</v>
      </c>
      <c r="O252" s="23">
        <v>1441</v>
      </c>
      <c r="P252" s="53">
        <v>0.41</v>
      </c>
      <c r="Q252" s="53">
        <v>0</v>
      </c>
      <c r="R252" s="55">
        <f>(((Tabela1369[[#This Row],[Objetive value Dissimilarity]]-Tabela1369[[#This Row],[Objetive Value Dissimilarity/H-R1]])/Tabela1369[[#This Row],[Objetive value Dissimilarity]]))*100</f>
        <v>0</v>
      </c>
      <c r="S252" s="96">
        <v>1400</v>
      </c>
      <c r="T252" s="21">
        <v>0.43</v>
      </c>
      <c r="U252" s="21">
        <v>0</v>
      </c>
      <c r="V252" s="144">
        <f>(((Tabela1369[[#This Row],[Objetive value Dissimilarity]]-Tabela1369[[#This Row],[Objetive value Dissimilarity/H-R2]])/Tabela1369[[#This Row],[Objetive value Dissimilarity]]))*100</f>
        <v>2.8452463566967383</v>
      </c>
    </row>
    <row r="253" spans="1:22" s="34" customFormat="1" x14ac:dyDescent="0.25">
      <c r="A253" s="11" t="s">
        <v>73</v>
      </c>
      <c r="B253" s="12" t="s">
        <v>1348</v>
      </c>
      <c r="C253" s="11">
        <v>200</v>
      </c>
      <c r="D253" s="11">
        <v>0.15</v>
      </c>
      <c r="E253" s="11">
        <v>5</v>
      </c>
      <c r="F253" s="12" t="s">
        <v>21</v>
      </c>
      <c r="G253" s="12" t="s">
        <v>14</v>
      </c>
      <c r="H253" s="155">
        <v>1380</v>
      </c>
      <c r="I253" s="140">
        <v>0.14100000006146701</v>
      </c>
      <c r="J253" s="147">
        <v>0</v>
      </c>
      <c r="K253" s="157">
        <v>1378</v>
      </c>
      <c r="L253" s="161">
        <v>6</v>
      </c>
      <c r="M253" s="161">
        <v>0</v>
      </c>
      <c r="N253" s="154">
        <f>(((Tabela1369[[#This Row],[Objetive value Dissimilarity]]-Tabela1369[[#This Row],[Objetive value Dissimilarity/GATeS]])/Tabela1369[[#This Row],[Objetive value Dissimilarity]]))*100</f>
        <v>0.14492753623188406</v>
      </c>
      <c r="O253" s="23">
        <v>1380</v>
      </c>
      <c r="P253" s="53">
        <v>0.74</v>
      </c>
      <c r="Q253" s="53">
        <v>0</v>
      </c>
      <c r="R253" s="55">
        <f>(((Tabela1369[[#This Row],[Objetive value Dissimilarity]]-Tabela1369[[#This Row],[Objetive Value Dissimilarity/H-R1]])/Tabela1369[[#This Row],[Objetive value Dissimilarity]]))*100</f>
        <v>0</v>
      </c>
      <c r="S253" s="96">
        <v>1380</v>
      </c>
      <c r="T253" s="21">
        <v>0.56999999999999995</v>
      </c>
      <c r="U253" s="21">
        <v>0</v>
      </c>
      <c r="V253" s="144">
        <f>(((Tabela1369[[#This Row],[Objetive value Dissimilarity]]-Tabela1369[[#This Row],[Objetive value Dissimilarity/H-R2]])/Tabela1369[[#This Row],[Objetive value Dissimilarity]]))*100</f>
        <v>0</v>
      </c>
    </row>
    <row r="254" spans="1:22" s="34" customFormat="1" x14ac:dyDescent="0.25">
      <c r="A254" s="11" t="s">
        <v>73</v>
      </c>
      <c r="B254" s="12" t="s">
        <v>1349</v>
      </c>
      <c r="C254" s="11">
        <v>200</v>
      </c>
      <c r="D254" s="11">
        <v>0.15</v>
      </c>
      <c r="E254" s="11">
        <v>5</v>
      </c>
      <c r="F254" s="12" t="s">
        <v>21</v>
      </c>
      <c r="G254" s="12" t="s">
        <v>16</v>
      </c>
      <c r="H254" s="155">
        <v>1486</v>
      </c>
      <c r="I254" s="140">
        <v>0.15700000000651901</v>
      </c>
      <c r="J254" s="147">
        <v>0</v>
      </c>
      <c r="K254" s="157">
        <v>1420</v>
      </c>
      <c r="L254" s="161">
        <v>8</v>
      </c>
      <c r="M254" s="161">
        <v>0</v>
      </c>
      <c r="N254" s="154">
        <f>(((Tabela1369[[#This Row],[Objetive value Dissimilarity]]-Tabela1369[[#This Row],[Objetive value Dissimilarity/GATeS]])/Tabela1369[[#This Row],[Objetive value Dissimilarity]]))*100</f>
        <v>4.4414535666218038</v>
      </c>
      <c r="O254" s="23">
        <v>1486</v>
      </c>
      <c r="P254" s="53">
        <v>0.51</v>
      </c>
      <c r="Q254" s="53">
        <v>0</v>
      </c>
      <c r="R254" s="55">
        <f>(((Tabela1369[[#This Row],[Objetive value Dissimilarity]]-Tabela1369[[#This Row],[Objetive Value Dissimilarity/H-R1]])/Tabela1369[[#This Row],[Objetive value Dissimilarity]]))*100</f>
        <v>0</v>
      </c>
      <c r="S254" s="96">
        <v>1486</v>
      </c>
      <c r="T254" s="21">
        <v>0.33</v>
      </c>
      <c r="U254" s="21">
        <v>0</v>
      </c>
      <c r="V254" s="144">
        <f>(((Tabela1369[[#This Row],[Objetive value Dissimilarity]]-Tabela1369[[#This Row],[Objetive value Dissimilarity/H-R2]])/Tabela1369[[#This Row],[Objetive value Dissimilarity]]))*100</f>
        <v>0</v>
      </c>
    </row>
    <row r="255" spans="1:22" s="34" customFormat="1" x14ac:dyDescent="0.25">
      <c r="A255" s="11" t="s">
        <v>91</v>
      </c>
      <c r="B255" s="12" t="s">
        <v>1350</v>
      </c>
      <c r="C255" s="11">
        <v>200</v>
      </c>
      <c r="D255" s="11">
        <v>0.05</v>
      </c>
      <c r="E255" s="11">
        <v>10</v>
      </c>
      <c r="F255" s="12" t="s">
        <v>13</v>
      </c>
      <c r="G255" s="12" t="s">
        <v>14</v>
      </c>
      <c r="H255" s="155">
        <v>2784</v>
      </c>
      <c r="I255" s="140">
        <v>0.67200000002048899</v>
      </c>
      <c r="J255" s="147">
        <v>0.04</v>
      </c>
      <c r="K255" s="157">
        <v>2562</v>
      </c>
      <c r="L255" s="161">
        <v>124</v>
      </c>
      <c r="M255" s="161">
        <v>13</v>
      </c>
      <c r="N255" s="154">
        <f>(((Tabela1369[[#This Row],[Objetive value Dissimilarity]]-Tabela1369[[#This Row],[Objetive value Dissimilarity/GATeS]])/Tabela1369[[#This Row],[Objetive value Dissimilarity]]))*100</f>
        <v>7.9741379310344831</v>
      </c>
      <c r="O255" s="23">
        <v>2690</v>
      </c>
      <c r="P255" s="53">
        <v>0.48</v>
      </c>
      <c r="Q255" s="53">
        <v>0</v>
      </c>
      <c r="R255" s="55">
        <f>(((Tabela1369[[#This Row],[Objetive value Dissimilarity]]-Tabela1369[[#This Row],[Objetive Value Dissimilarity/H-R1]])/Tabela1369[[#This Row],[Objetive value Dissimilarity]]))*100</f>
        <v>3.3764367816091956</v>
      </c>
      <c r="S255" s="96">
        <v>2542</v>
      </c>
      <c r="T255" s="21">
        <v>0.33</v>
      </c>
      <c r="U255" s="21">
        <v>0</v>
      </c>
      <c r="V255" s="144">
        <f>(((Tabela1369[[#This Row],[Objetive value Dissimilarity]]-Tabela1369[[#This Row],[Objetive value Dissimilarity/H-R2]])/Tabela1369[[#This Row],[Objetive value Dissimilarity]]))*100</f>
        <v>8.6925287356321839</v>
      </c>
    </row>
    <row r="256" spans="1:22" s="34" customFormat="1" x14ac:dyDescent="0.25">
      <c r="A256" s="11" t="s">
        <v>91</v>
      </c>
      <c r="B256" s="12" t="s">
        <v>1351</v>
      </c>
      <c r="C256" s="11">
        <v>200</v>
      </c>
      <c r="D256" s="11">
        <v>0.05</v>
      </c>
      <c r="E256" s="11">
        <v>10</v>
      </c>
      <c r="F256" s="12" t="s">
        <v>13</v>
      </c>
      <c r="G256" s="12" t="s">
        <v>16</v>
      </c>
      <c r="H256" s="155">
        <v>2275</v>
      </c>
      <c r="I256" s="140">
        <v>0.67200000002048899</v>
      </c>
      <c r="J256" s="147">
        <v>0</v>
      </c>
      <c r="K256" s="157">
        <v>2274</v>
      </c>
      <c r="L256" s="161">
        <v>19</v>
      </c>
      <c r="M256" s="161">
        <v>1</v>
      </c>
      <c r="N256" s="154">
        <f>(((Tabela1369[[#This Row],[Objetive value Dissimilarity]]-Tabela1369[[#This Row],[Objetive value Dissimilarity/GATeS]])/Tabela1369[[#This Row],[Objetive value Dissimilarity]]))*100</f>
        <v>4.3956043956043953E-2</v>
      </c>
      <c r="O256" s="23">
        <v>2247</v>
      </c>
      <c r="P256" s="53">
        <v>0.39</v>
      </c>
      <c r="Q256" s="53">
        <v>0</v>
      </c>
      <c r="R256" s="55">
        <f>(((Tabela1369[[#This Row],[Objetive value Dissimilarity]]-Tabela1369[[#This Row],[Objetive Value Dissimilarity/H-R1]])/Tabela1369[[#This Row],[Objetive value Dissimilarity]]))*100</f>
        <v>1.2307692307692308</v>
      </c>
      <c r="S256" s="96">
        <v>2247</v>
      </c>
      <c r="T256" s="21">
        <v>0.53</v>
      </c>
      <c r="U256" s="21">
        <v>0</v>
      </c>
      <c r="V256" s="144">
        <f>(((Tabela1369[[#This Row],[Objetive value Dissimilarity]]-Tabela1369[[#This Row],[Objetive value Dissimilarity/H-R2]])/Tabela1369[[#This Row],[Objetive value Dissimilarity]]))*100</f>
        <v>1.2307692307692308</v>
      </c>
    </row>
    <row r="257" spans="1:22" s="34" customFormat="1" x14ac:dyDescent="0.25">
      <c r="A257" s="11" t="s">
        <v>91</v>
      </c>
      <c r="B257" s="12" t="s">
        <v>1352</v>
      </c>
      <c r="C257" s="11">
        <v>200</v>
      </c>
      <c r="D257" s="11">
        <v>0.05</v>
      </c>
      <c r="E257" s="11">
        <v>10</v>
      </c>
      <c r="F257" s="12" t="s">
        <v>18</v>
      </c>
      <c r="G257" s="12" t="s">
        <v>14</v>
      </c>
      <c r="H257" s="155">
        <v>3071</v>
      </c>
      <c r="I257" s="140">
        <v>0.375</v>
      </c>
      <c r="J257" s="147">
        <v>0</v>
      </c>
      <c r="K257" s="157">
        <v>3026</v>
      </c>
      <c r="L257" s="161">
        <v>16</v>
      </c>
      <c r="M257" s="161">
        <v>5</v>
      </c>
      <c r="N257" s="154">
        <f>(((Tabela1369[[#This Row],[Objetive value Dissimilarity]]-Tabela1369[[#This Row],[Objetive value Dissimilarity/GATeS]])/Tabela1369[[#This Row],[Objetive value Dissimilarity]]))*100</f>
        <v>1.4653207424291761</v>
      </c>
      <c r="O257" s="23">
        <v>3048</v>
      </c>
      <c r="P257" s="53">
        <v>0.41</v>
      </c>
      <c r="Q257" s="53">
        <v>0</v>
      </c>
      <c r="R257" s="55">
        <f>(((Tabela1369[[#This Row],[Objetive value Dissimilarity]]-Tabela1369[[#This Row],[Objetive Value Dissimilarity/H-R1]])/Tabela1369[[#This Row],[Objetive value Dissimilarity]]))*100</f>
        <v>0.7489417127971344</v>
      </c>
      <c r="S257" s="96">
        <v>2791</v>
      </c>
      <c r="T257" s="21">
        <v>0.55000000000000004</v>
      </c>
      <c r="U257" s="21">
        <v>0</v>
      </c>
      <c r="V257" s="144">
        <f>(((Tabela1369[[#This Row],[Objetive value Dissimilarity]]-Tabela1369[[#This Row],[Objetive value Dissimilarity/H-R2]])/Tabela1369[[#This Row],[Objetive value Dissimilarity]]))*100</f>
        <v>9.117551286225984</v>
      </c>
    </row>
    <row r="258" spans="1:22" s="34" customFormat="1" x14ac:dyDescent="0.25">
      <c r="A258" s="11" t="s">
        <v>91</v>
      </c>
      <c r="B258" s="12" t="s">
        <v>1353</v>
      </c>
      <c r="C258" s="11">
        <v>200</v>
      </c>
      <c r="D258" s="11">
        <v>0.05</v>
      </c>
      <c r="E258" s="11">
        <v>10</v>
      </c>
      <c r="F258" s="12" t="s">
        <v>18</v>
      </c>
      <c r="G258" s="12" t="s">
        <v>16</v>
      </c>
      <c r="H258" s="155">
        <v>2410</v>
      </c>
      <c r="I258" s="140">
        <v>0.79700000002048899</v>
      </c>
      <c r="J258" s="147">
        <v>0</v>
      </c>
      <c r="K258" s="157">
        <v>2400</v>
      </c>
      <c r="L258" s="161">
        <v>19</v>
      </c>
      <c r="M258" s="161">
        <v>17</v>
      </c>
      <c r="N258" s="154">
        <f>(((Tabela1369[[#This Row],[Objetive value Dissimilarity]]-Tabela1369[[#This Row],[Objetive value Dissimilarity/GATeS]])/Tabela1369[[#This Row],[Objetive value Dissimilarity]]))*100</f>
        <v>0.41493775933609961</v>
      </c>
      <c r="O258" s="23">
        <v>2375</v>
      </c>
      <c r="P258" s="53">
        <v>0.36</v>
      </c>
      <c r="Q258" s="53">
        <v>0</v>
      </c>
      <c r="R258" s="55">
        <f>(((Tabela1369[[#This Row],[Objetive value Dissimilarity]]-Tabela1369[[#This Row],[Objetive Value Dissimilarity/H-R1]])/Tabela1369[[#This Row],[Objetive value Dissimilarity]]))*100</f>
        <v>1.4522821576763485</v>
      </c>
      <c r="S258" s="96">
        <v>2375</v>
      </c>
      <c r="T258" s="21">
        <v>0.46</v>
      </c>
      <c r="U258" s="21">
        <v>0</v>
      </c>
      <c r="V258" s="144">
        <f>(((Tabela1369[[#This Row],[Objetive value Dissimilarity]]-Tabela1369[[#This Row],[Objetive value Dissimilarity/H-R2]])/Tabela1369[[#This Row],[Objetive value Dissimilarity]]))*100</f>
        <v>1.4522821576763485</v>
      </c>
    </row>
    <row r="259" spans="1:22" s="34" customFormat="1" x14ac:dyDescent="0.25">
      <c r="A259" s="11" t="s">
        <v>91</v>
      </c>
      <c r="B259" s="12" t="s">
        <v>1354</v>
      </c>
      <c r="C259" s="11">
        <v>200</v>
      </c>
      <c r="D259" s="11">
        <v>0.05</v>
      </c>
      <c r="E259" s="11">
        <v>10</v>
      </c>
      <c r="F259" s="12" t="s">
        <v>21</v>
      </c>
      <c r="G259" s="12" t="s">
        <v>14</v>
      </c>
      <c r="H259" s="155">
        <v>3376</v>
      </c>
      <c r="I259" s="140">
        <v>0.17200000002048901</v>
      </c>
      <c r="J259" s="147">
        <v>0</v>
      </c>
      <c r="K259" s="157">
        <v>2984</v>
      </c>
      <c r="L259" s="161">
        <v>15</v>
      </c>
      <c r="M259" s="161">
        <v>0</v>
      </c>
      <c r="N259" s="154">
        <f>(((Tabela1369[[#This Row],[Objetive value Dissimilarity]]-Tabela1369[[#This Row],[Objetive value Dissimilarity/GATeS]])/Tabela1369[[#This Row],[Objetive value Dissimilarity]]))*100</f>
        <v>11.611374407582939</v>
      </c>
      <c r="O259" s="23">
        <v>1695</v>
      </c>
      <c r="P259" s="53">
        <v>1.42</v>
      </c>
      <c r="Q259" s="53">
        <v>0</v>
      </c>
      <c r="R259" s="55">
        <f>(((Tabela1369[[#This Row],[Objetive value Dissimilarity]]-Tabela1369[[#This Row],[Objetive Value Dissimilarity/H-R1]])/Tabela1369[[#This Row],[Objetive value Dissimilarity]]))*100</f>
        <v>49.792654028436019</v>
      </c>
      <c r="S259" s="96">
        <v>2985</v>
      </c>
      <c r="T259" s="21">
        <v>1.18</v>
      </c>
      <c r="U259" s="21">
        <v>0</v>
      </c>
      <c r="V259" s="144">
        <f>(((Tabela1369[[#This Row],[Objetive value Dissimilarity]]-Tabela1369[[#This Row],[Objetive value Dissimilarity/H-R2]])/Tabela1369[[#This Row],[Objetive value Dissimilarity]]))*100</f>
        <v>11.581753554502368</v>
      </c>
    </row>
    <row r="260" spans="1:22" s="34" customFormat="1" x14ac:dyDescent="0.25">
      <c r="A260" s="11" t="s">
        <v>91</v>
      </c>
      <c r="B260" s="12" t="s">
        <v>1355</v>
      </c>
      <c r="C260" s="11">
        <v>200</v>
      </c>
      <c r="D260" s="11">
        <v>0.05</v>
      </c>
      <c r="E260" s="11">
        <v>10</v>
      </c>
      <c r="F260" s="12" t="s">
        <v>21</v>
      </c>
      <c r="G260" s="12" t="s">
        <v>16</v>
      </c>
      <c r="H260" s="155">
        <v>2216</v>
      </c>
      <c r="I260" s="140">
        <v>0.65599999995902103</v>
      </c>
      <c r="J260" s="147">
        <v>0</v>
      </c>
      <c r="K260" s="157">
        <v>2184</v>
      </c>
      <c r="L260" s="161">
        <v>19</v>
      </c>
      <c r="M260" s="161">
        <v>16</v>
      </c>
      <c r="N260" s="154">
        <f>(((Tabela1369[[#This Row],[Objetive value Dissimilarity]]-Tabela1369[[#This Row],[Objetive value Dissimilarity/GATeS]])/Tabela1369[[#This Row],[Objetive value Dissimilarity]]))*100</f>
        <v>1.4440433212996391</v>
      </c>
      <c r="O260" s="23">
        <v>2197</v>
      </c>
      <c r="P260" s="53">
        <v>0.75</v>
      </c>
      <c r="Q260" s="53">
        <v>0</v>
      </c>
      <c r="R260" s="55">
        <f>(((Tabela1369[[#This Row],[Objetive value Dissimilarity]]-Tabela1369[[#This Row],[Objetive Value Dissimilarity/H-R1]])/Tabela1369[[#This Row],[Objetive value Dissimilarity]]))*100</f>
        <v>0.85740072202166073</v>
      </c>
      <c r="S260" s="96">
        <v>2203</v>
      </c>
      <c r="T260" s="21">
        <v>0.53</v>
      </c>
      <c r="U260" s="21">
        <v>0</v>
      </c>
      <c r="V260" s="144">
        <f>(((Tabela1369[[#This Row],[Objetive value Dissimilarity]]-Tabela1369[[#This Row],[Objetive value Dissimilarity/H-R2]])/Tabela1369[[#This Row],[Objetive value Dissimilarity]]))*100</f>
        <v>0.58664259927797835</v>
      </c>
    </row>
    <row r="261" spans="1:22" s="34" customFormat="1" x14ac:dyDescent="0.25">
      <c r="A261" s="11" t="s">
        <v>110</v>
      </c>
      <c r="B261" s="30" t="s">
        <v>1356</v>
      </c>
      <c r="C261" s="11">
        <v>200</v>
      </c>
      <c r="D261" s="11">
        <v>0.05</v>
      </c>
      <c r="E261" s="11">
        <v>15</v>
      </c>
      <c r="F261" s="12" t="s">
        <v>13</v>
      </c>
      <c r="G261" s="12" t="s">
        <v>14</v>
      </c>
      <c r="H261" s="155">
        <v>4450</v>
      </c>
      <c r="I261" s="140">
        <v>1.93799999996554</v>
      </c>
      <c r="J261" s="147">
        <v>17.78</v>
      </c>
      <c r="K261" s="157">
        <v>4390</v>
      </c>
      <c r="L261" s="161">
        <v>141</v>
      </c>
      <c r="M261" s="161">
        <v>134</v>
      </c>
      <c r="N261" s="154">
        <f>(((Tabela1369[[#This Row],[Objetive value Dissimilarity]]-Tabela1369[[#This Row],[Objetive value Dissimilarity/GATeS]])/Tabela1369[[#This Row],[Objetive value Dissimilarity]]))*100</f>
        <v>1.348314606741573</v>
      </c>
      <c r="O261" s="23">
        <v>4291</v>
      </c>
      <c r="P261" s="53">
        <v>0.59</v>
      </c>
      <c r="Q261" s="53">
        <v>0</v>
      </c>
      <c r="R261" s="55">
        <f>(((Tabela1369[[#This Row],[Objetive value Dissimilarity]]-Tabela1369[[#This Row],[Objetive Value Dissimilarity/H-R1]])/Tabela1369[[#This Row],[Objetive value Dissimilarity]]))*100</f>
        <v>3.5730337078651684</v>
      </c>
      <c r="S261" s="96">
        <v>4445</v>
      </c>
      <c r="T261" s="21">
        <v>0.85</v>
      </c>
      <c r="U261" s="21">
        <v>0</v>
      </c>
      <c r="V261" s="144">
        <f>(((Tabela1369[[#This Row],[Objetive value Dissimilarity]]-Tabela1369[[#This Row],[Objetive value Dissimilarity/H-R2]])/Tabela1369[[#This Row],[Objetive value Dissimilarity]]))*100</f>
        <v>0.11235955056179776</v>
      </c>
    </row>
    <row r="262" spans="1:22" s="34" customFormat="1" x14ac:dyDescent="0.25">
      <c r="A262" s="11" t="s">
        <v>110</v>
      </c>
      <c r="B262" s="12" t="s">
        <v>1357</v>
      </c>
      <c r="C262" s="11">
        <v>200</v>
      </c>
      <c r="D262" s="11">
        <v>0.05</v>
      </c>
      <c r="E262" s="11">
        <v>15</v>
      </c>
      <c r="F262" s="12" t="s">
        <v>13</v>
      </c>
      <c r="G262" s="12" t="s">
        <v>16</v>
      </c>
      <c r="H262" s="155">
        <v>3326</v>
      </c>
      <c r="I262" s="140">
        <v>6.8429999999934799</v>
      </c>
      <c r="J262" s="147">
        <v>0</v>
      </c>
      <c r="K262" s="157">
        <v>3297</v>
      </c>
      <c r="L262" s="161">
        <v>29</v>
      </c>
      <c r="M262" s="161">
        <v>13</v>
      </c>
      <c r="N262" s="154">
        <f>(((Tabela1369[[#This Row],[Objetive value Dissimilarity]]-Tabela1369[[#This Row],[Objetive value Dissimilarity/GATeS]])/Tabela1369[[#This Row],[Objetive value Dissimilarity]]))*100</f>
        <v>0.87191822008418529</v>
      </c>
      <c r="O262" s="23">
        <v>3326</v>
      </c>
      <c r="P262" s="53">
        <v>0.83</v>
      </c>
      <c r="Q262" s="53">
        <v>0</v>
      </c>
      <c r="R262" s="55">
        <f>(((Tabela1369[[#This Row],[Objetive value Dissimilarity]]-Tabela1369[[#This Row],[Objetive Value Dissimilarity/H-R1]])/Tabela1369[[#This Row],[Objetive value Dissimilarity]]))*100</f>
        <v>0</v>
      </c>
      <c r="S262" s="96">
        <v>3182</v>
      </c>
      <c r="T262" s="21">
        <v>1.1000000000000001</v>
      </c>
      <c r="U262" s="21">
        <v>0</v>
      </c>
      <c r="V262" s="144">
        <f>(((Tabela1369[[#This Row],[Objetive value Dissimilarity]]-Tabela1369[[#This Row],[Objetive value Dissimilarity/H-R2]])/Tabela1369[[#This Row],[Objetive value Dissimilarity]]))*100</f>
        <v>4.3295249549007817</v>
      </c>
    </row>
    <row r="263" spans="1:22" s="34" customFormat="1" x14ac:dyDescent="0.25">
      <c r="A263" s="11" t="s">
        <v>110</v>
      </c>
      <c r="B263" s="12" t="s">
        <v>1358</v>
      </c>
      <c r="C263" s="11">
        <v>200</v>
      </c>
      <c r="D263" s="11">
        <v>0.05</v>
      </c>
      <c r="E263" s="11">
        <v>15</v>
      </c>
      <c r="F263" s="12" t="s">
        <v>18</v>
      </c>
      <c r="G263" s="12" t="s">
        <v>14</v>
      </c>
      <c r="H263" s="155">
        <v>4380</v>
      </c>
      <c r="I263" s="140">
        <v>2.03099999995902</v>
      </c>
      <c r="J263" s="147">
        <v>17.45</v>
      </c>
      <c r="K263" s="157">
        <v>4292</v>
      </c>
      <c r="L263" s="161">
        <v>26</v>
      </c>
      <c r="M263" s="161">
        <v>0</v>
      </c>
      <c r="N263" s="154">
        <f>(((Tabela1369[[#This Row],[Objetive value Dissimilarity]]-Tabela1369[[#This Row],[Objetive value Dissimilarity/GATeS]])/Tabela1369[[#This Row],[Objetive value Dissimilarity]]))*100</f>
        <v>2.0091324200913241</v>
      </c>
      <c r="O263" s="23">
        <v>3979</v>
      </c>
      <c r="P263" s="53">
        <v>0.54</v>
      </c>
      <c r="Q263" s="53">
        <v>0</v>
      </c>
      <c r="R263" s="55">
        <f>(((Tabela1369[[#This Row],[Objetive value Dissimilarity]]-Tabela1369[[#This Row],[Objetive Value Dissimilarity/H-R1]])/Tabela1369[[#This Row],[Objetive value Dissimilarity]]))*100</f>
        <v>9.1552511415525117</v>
      </c>
      <c r="S263" s="96">
        <v>3857</v>
      </c>
      <c r="T263" s="21">
        <v>0.66</v>
      </c>
      <c r="U263" s="21">
        <v>0</v>
      </c>
      <c r="V263" s="144">
        <f>(((Tabela1369[[#This Row],[Objetive value Dissimilarity]]-Tabela1369[[#This Row],[Objetive value Dissimilarity/H-R2]])/Tabela1369[[#This Row],[Objetive value Dissimilarity]]))*100</f>
        <v>11.940639269406393</v>
      </c>
    </row>
    <row r="264" spans="1:22" s="34" customFormat="1" x14ac:dyDescent="0.25">
      <c r="A264" s="11" t="s">
        <v>110</v>
      </c>
      <c r="B264" s="12" t="s">
        <v>1359</v>
      </c>
      <c r="C264" s="11">
        <v>200</v>
      </c>
      <c r="D264" s="11">
        <v>0.05</v>
      </c>
      <c r="E264" s="11">
        <v>15</v>
      </c>
      <c r="F264" s="12" t="s">
        <v>18</v>
      </c>
      <c r="G264" s="12" t="s">
        <v>16</v>
      </c>
      <c r="H264" s="155">
        <v>3326</v>
      </c>
      <c r="I264" s="140">
        <v>6.57799999997951</v>
      </c>
      <c r="J264" s="147">
        <v>0.01</v>
      </c>
      <c r="K264" s="157">
        <v>3251</v>
      </c>
      <c r="L264" s="161">
        <v>34</v>
      </c>
      <c r="M264" s="161">
        <v>2</v>
      </c>
      <c r="N264" s="154">
        <f>(((Tabela1369[[#This Row],[Objetive value Dissimilarity]]-Tabela1369[[#This Row],[Objetive value Dissimilarity/GATeS]])/Tabela1369[[#This Row],[Objetive value Dissimilarity]]))*100</f>
        <v>2.254960914010824</v>
      </c>
      <c r="O264" s="23">
        <v>3302</v>
      </c>
      <c r="P264" s="53">
        <v>0.82</v>
      </c>
      <c r="Q264" s="53">
        <v>0</v>
      </c>
      <c r="R264" s="55">
        <f>(((Tabela1369[[#This Row],[Objetive value Dissimilarity]]-Tabela1369[[#This Row],[Objetive Value Dissimilarity/H-R1]])/Tabela1369[[#This Row],[Objetive value Dissimilarity]]))*100</f>
        <v>0.72158749248346366</v>
      </c>
      <c r="S264" s="96">
        <v>3302</v>
      </c>
      <c r="T264" s="21">
        <v>1</v>
      </c>
      <c r="U264" s="21">
        <v>0</v>
      </c>
      <c r="V264" s="144">
        <f>(((Tabela1369[[#This Row],[Objetive value Dissimilarity]]-Tabela1369[[#This Row],[Objetive value Dissimilarity/H-R2]])/Tabela1369[[#This Row],[Objetive value Dissimilarity]]))*100</f>
        <v>0.72158749248346366</v>
      </c>
    </row>
    <row r="265" spans="1:22" s="34" customFormat="1" x14ac:dyDescent="0.25">
      <c r="A265" s="11" t="s">
        <v>110</v>
      </c>
      <c r="B265" s="12" t="s">
        <v>1360</v>
      </c>
      <c r="C265" s="11">
        <v>200</v>
      </c>
      <c r="D265" s="11">
        <v>0.05</v>
      </c>
      <c r="E265" s="11">
        <v>15</v>
      </c>
      <c r="F265" s="12" t="s">
        <v>21</v>
      </c>
      <c r="G265" s="12" t="s">
        <v>14</v>
      </c>
      <c r="H265" s="155">
        <v>3245</v>
      </c>
      <c r="I265" s="140">
        <v>0.23499999998602999</v>
      </c>
      <c r="J265" s="147">
        <v>0</v>
      </c>
      <c r="K265" s="157">
        <v>3241</v>
      </c>
      <c r="L265" s="161">
        <v>26</v>
      </c>
      <c r="M265" s="161">
        <v>6</v>
      </c>
      <c r="N265" s="154">
        <f>(((Tabela1369[[#This Row],[Objetive value Dissimilarity]]-Tabela1369[[#This Row],[Objetive value Dissimilarity/GATeS]])/Tabela1369[[#This Row],[Objetive value Dissimilarity]]))*100</f>
        <v>0.12326656394453005</v>
      </c>
      <c r="O265" s="23">
        <v>2691</v>
      </c>
      <c r="P265" s="53">
        <v>2.12</v>
      </c>
      <c r="Q265" s="53">
        <v>0</v>
      </c>
      <c r="R265" s="55">
        <f>(((Tabela1369[[#This Row],[Objetive value Dissimilarity]]-Tabela1369[[#This Row],[Objetive Value Dissimilarity/H-R1]])/Tabela1369[[#This Row],[Objetive value Dissimilarity]]))*100</f>
        <v>17.072419106317412</v>
      </c>
      <c r="S265" s="96">
        <v>3245</v>
      </c>
      <c r="T265" s="21">
        <v>2.31</v>
      </c>
      <c r="U265" s="21">
        <v>0</v>
      </c>
      <c r="V265" s="144">
        <f>(((Tabela1369[[#This Row],[Objetive value Dissimilarity]]-Tabela1369[[#This Row],[Objetive value Dissimilarity/H-R2]])/Tabela1369[[#This Row],[Objetive value Dissimilarity]]))*100</f>
        <v>0</v>
      </c>
    </row>
    <row r="266" spans="1:22" s="34" customFormat="1" x14ac:dyDescent="0.25">
      <c r="A266" s="11" t="s">
        <v>110</v>
      </c>
      <c r="B266" s="12" t="s">
        <v>1361</v>
      </c>
      <c r="C266" s="11">
        <v>200</v>
      </c>
      <c r="D266" s="11">
        <v>0.05</v>
      </c>
      <c r="E266" s="11">
        <v>15</v>
      </c>
      <c r="F266" s="12" t="s">
        <v>21</v>
      </c>
      <c r="G266" s="12" t="s">
        <v>16</v>
      </c>
      <c r="H266" s="155">
        <v>2922</v>
      </c>
      <c r="I266" s="140">
        <v>6.0150000000139698</v>
      </c>
      <c r="J266" s="147">
        <v>0.05</v>
      </c>
      <c r="K266" s="157">
        <v>2856</v>
      </c>
      <c r="L266" s="161">
        <v>26</v>
      </c>
      <c r="M266" s="161">
        <v>24</v>
      </c>
      <c r="N266" s="154">
        <f>(((Tabela1369[[#This Row],[Objetive value Dissimilarity]]-Tabela1369[[#This Row],[Objetive value Dissimilarity/GATeS]])/Tabela1369[[#This Row],[Objetive value Dissimilarity]]))*100</f>
        <v>2.2587268993839835</v>
      </c>
      <c r="O266" s="23">
        <v>2798</v>
      </c>
      <c r="P266" s="53">
        <v>0.77</v>
      </c>
      <c r="Q266" s="53">
        <v>0</v>
      </c>
      <c r="R266" s="55">
        <f>(((Tabela1369[[#This Row],[Objetive value Dissimilarity]]-Tabela1369[[#This Row],[Objetive Value Dissimilarity/H-R1]])/Tabela1369[[#This Row],[Objetive value Dissimilarity]]))*100</f>
        <v>4.2436687200547576</v>
      </c>
      <c r="S266" s="96">
        <v>2876</v>
      </c>
      <c r="T266" s="21">
        <v>1.29</v>
      </c>
      <c r="U266" s="21">
        <v>0</v>
      </c>
      <c r="V266" s="144">
        <f>(((Tabela1369[[#This Row],[Objetive value Dissimilarity]]-Tabela1369[[#This Row],[Objetive value Dissimilarity/H-R2]])/Tabela1369[[#This Row],[Objetive value Dissimilarity]]))*100</f>
        <v>1.5742642026009581</v>
      </c>
    </row>
    <row r="267" spans="1:22" s="34" customFormat="1" x14ac:dyDescent="0.25">
      <c r="A267" s="11" t="s">
        <v>73</v>
      </c>
      <c r="B267" s="30" t="s">
        <v>1362</v>
      </c>
      <c r="C267" s="11">
        <v>200</v>
      </c>
      <c r="D267" s="11">
        <v>0.05</v>
      </c>
      <c r="E267" s="11">
        <v>5</v>
      </c>
      <c r="F267" s="12" t="s">
        <v>13</v>
      </c>
      <c r="G267" s="12" t="s">
        <v>14</v>
      </c>
      <c r="H267" s="155">
        <v>1285</v>
      </c>
      <c r="I267" s="140">
        <v>0.125</v>
      </c>
      <c r="J267" s="147">
        <v>0</v>
      </c>
      <c r="K267" s="157">
        <v>1285</v>
      </c>
      <c r="L267" s="161">
        <v>557</v>
      </c>
      <c r="M267" s="161">
        <v>0</v>
      </c>
      <c r="N267" s="154">
        <f>(((Tabela1369[[#This Row],[Objetive value Dissimilarity]]-Tabela1369[[#This Row],[Objetive value Dissimilarity/GATeS]])/Tabela1369[[#This Row],[Objetive value Dissimilarity]]))*100</f>
        <v>0</v>
      </c>
      <c r="O267" s="23">
        <v>1285</v>
      </c>
      <c r="P267" s="53">
        <v>0.42</v>
      </c>
      <c r="Q267" s="53">
        <v>0</v>
      </c>
      <c r="R267" s="55">
        <f>(((Tabela1369[[#This Row],[Objetive value Dissimilarity]]-Tabela1369[[#This Row],[Objetive Value Dissimilarity/H-R1]])/Tabela1369[[#This Row],[Objetive value Dissimilarity]]))*100</f>
        <v>0</v>
      </c>
      <c r="S267" s="96">
        <v>1285</v>
      </c>
      <c r="T267" s="21">
        <v>0.35</v>
      </c>
      <c r="U267" s="21">
        <v>0</v>
      </c>
      <c r="V267" s="144">
        <f>(((Tabela1369[[#This Row],[Objetive value Dissimilarity]]-Tabela1369[[#This Row],[Objetive value Dissimilarity/H-R2]])/Tabela1369[[#This Row],[Objetive value Dissimilarity]]))*100</f>
        <v>0</v>
      </c>
    </row>
    <row r="268" spans="1:22" s="34" customFormat="1" x14ac:dyDescent="0.25">
      <c r="A268" s="11" t="s">
        <v>73</v>
      </c>
      <c r="B268" s="12" t="s">
        <v>1363</v>
      </c>
      <c r="C268" s="11">
        <v>200</v>
      </c>
      <c r="D268" s="11">
        <v>0.05</v>
      </c>
      <c r="E268" s="11">
        <v>5</v>
      </c>
      <c r="F268" s="12" t="s">
        <v>13</v>
      </c>
      <c r="G268" s="12" t="s">
        <v>16</v>
      </c>
      <c r="H268" s="155">
        <v>1419</v>
      </c>
      <c r="I268" s="140">
        <v>0.15600000007543699</v>
      </c>
      <c r="J268" s="147">
        <v>0</v>
      </c>
      <c r="K268" s="157">
        <v>1417</v>
      </c>
      <c r="L268" s="161">
        <v>7</v>
      </c>
      <c r="M268" s="161">
        <v>0</v>
      </c>
      <c r="N268" s="154">
        <f>(((Tabela1369[[#This Row],[Objetive value Dissimilarity]]-Tabela1369[[#This Row],[Objetive value Dissimilarity/GATeS]])/Tabela1369[[#This Row],[Objetive value Dissimilarity]]))*100</f>
        <v>0.14094432699083861</v>
      </c>
      <c r="O268" s="23">
        <v>1419</v>
      </c>
      <c r="P268" s="53">
        <v>0.31</v>
      </c>
      <c r="Q268" s="53">
        <v>0</v>
      </c>
      <c r="R268" s="55">
        <f>(((Tabela1369[[#This Row],[Objetive value Dissimilarity]]-Tabela1369[[#This Row],[Objetive Value Dissimilarity/H-R1]])/Tabela1369[[#This Row],[Objetive value Dissimilarity]]))*100</f>
        <v>0</v>
      </c>
      <c r="S268" s="96">
        <v>1419</v>
      </c>
      <c r="T268" s="21">
        <v>0.53</v>
      </c>
      <c r="U268" s="21">
        <v>0</v>
      </c>
      <c r="V268" s="144">
        <f>(((Tabela1369[[#This Row],[Objetive value Dissimilarity]]-Tabela1369[[#This Row],[Objetive value Dissimilarity/H-R2]])/Tabela1369[[#This Row],[Objetive value Dissimilarity]]))*100</f>
        <v>0</v>
      </c>
    </row>
    <row r="269" spans="1:22" s="34" customFormat="1" x14ac:dyDescent="0.25">
      <c r="A269" s="11" t="s">
        <v>73</v>
      </c>
      <c r="B269" s="12" t="s">
        <v>1364</v>
      </c>
      <c r="C269" s="11">
        <v>200</v>
      </c>
      <c r="D269" s="11">
        <v>0.05</v>
      </c>
      <c r="E269" s="11">
        <v>5</v>
      </c>
      <c r="F269" s="12" t="s">
        <v>18</v>
      </c>
      <c r="G269" s="12" t="s">
        <v>14</v>
      </c>
      <c r="H269" s="155">
        <v>1614</v>
      </c>
      <c r="I269" s="140">
        <v>0.109000000054948</v>
      </c>
      <c r="J269" s="147">
        <v>0</v>
      </c>
      <c r="K269" s="157">
        <v>1610</v>
      </c>
      <c r="L269" s="161">
        <v>7</v>
      </c>
      <c r="M269" s="161">
        <v>7</v>
      </c>
      <c r="N269" s="154">
        <f>(((Tabela1369[[#This Row],[Objetive value Dissimilarity]]-Tabela1369[[#This Row],[Objetive value Dissimilarity/GATeS]])/Tabela1369[[#This Row],[Objetive value Dissimilarity]]))*100</f>
        <v>0.24783147459727387</v>
      </c>
      <c r="O269" s="23">
        <v>1605</v>
      </c>
      <c r="P269" s="53">
        <v>0.43</v>
      </c>
      <c r="Q269" s="53">
        <v>0</v>
      </c>
      <c r="R269" s="55">
        <f>(((Tabela1369[[#This Row],[Objetive value Dissimilarity]]-Tabela1369[[#This Row],[Objetive Value Dissimilarity/H-R1]])/Tabela1369[[#This Row],[Objetive value Dissimilarity]]))*100</f>
        <v>0.55762081784386619</v>
      </c>
      <c r="S269" s="96">
        <v>1614</v>
      </c>
      <c r="T269" s="21">
        <v>0.36</v>
      </c>
      <c r="U269" s="21">
        <v>0</v>
      </c>
      <c r="V269" s="144">
        <f>(((Tabela1369[[#This Row],[Objetive value Dissimilarity]]-Tabela1369[[#This Row],[Objetive value Dissimilarity/H-R2]])/Tabela1369[[#This Row],[Objetive value Dissimilarity]]))*100</f>
        <v>0</v>
      </c>
    </row>
    <row r="270" spans="1:22" s="34" customFormat="1" x14ac:dyDescent="0.25">
      <c r="A270" s="11" t="s">
        <v>73</v>
      </c>
      <c r="B270" s="12" t="s">
        <v>1365</v>
      </c>
      <c r="C270" s="11">
        <v>200</v>
      </c>
      <c r="D270" s="11">
        <v>0.05</v>
      </c>
      <c r="E270" s="11">
        <v>5</v>
      </c>
      <c r="F270" s="12" t="s">
        <v>18</v>
      </c>
      <c r="G270" s="12" t="s">
        <v>16</v>
      </c>
      <c r="H270" s="155">
        <v>1243</v>
      </c>
      <c r="I270" s="140">
        <v>0.219000000040978</v>
      </c>
      <c r="J270" s="147">
        <v>0</v>
      </c>
      <c r="K270" s="157">
        <v>1203</v>
      </c>
      <c r="L270" s="161">
        <v>9</v>
      </c>
      <c r="M270" s="161">
        <v>0</v>
      </c>
      <c r="N270" s="154">
        <f>(((Tabela1369[[#This Row],[Objetive value Dissimilarity]]-Tabela1369[[#This Row],[Objetive value Dissimilarity/GATeS]])/Tabela1369[[#This Row],[Objetive value Dissimilarity]]))*100</f>
        <v>3.2180209171359615</v>
      </c>
      <c r="O270" s="23">
        <v>1243</v>
      </c>
      <c r="P270" s="53">
        <v>0.41</v>
      </c>
      <c r="Q270" s="53">
        <v>0</v>
      </c>
      <c r="R270" s="55">
        <f>(((Tabela1369[[#This Row],[Objetive value Dissimilarity]]-Tabela1369[[#This Row],[Objetive Value Dissimilarity/H-R1]])/Tabela1369[[#This Row],[Objetive value Dissimilarity]]))*100</f>
        <v>0</v>
      </c>
      <c r="S270" s="96">
        <v>1243</v>
      </c>
      <c r="T270" s="21">
        <v>0.52</v>
      </c>
      <c r="U270" s="21">
        <v>0</v>
      </c>
      <c r="V270" s="144">
        <f>(((Tabela1369[[#This Row],[Objetive value Dissimilarity]]-Tabela1369[[#This Row],[Objetive value Dissimilarity/H-R2]])/Tabela1369[[#This Row],[Objetive value Dissimilarity]]))*100</f>
        <v>0</v>
      </c>
    </row>
    <row r="271" spans="1:22" s="34" customFormat="1" x14ac:dyDescent="0.25">
      <c r="A271" s="11" t="s">
        <v>73</v>
      </c>
      <c r="B271" s="12" t="s">
        <v>1366</v>
      </c>
      <c r="C271" s="11">
        <v>200</v>
      </c>
      <c r="D271" s="11">
        <v>0.05</v>
      </c>
      <c r="E271" s="11">
        <v>5</v>
      </c>
      <c r="F271" s="12" t="s">
        <v>21</v>
      </c>
      <c r="G271" s="12" t="s">
        <v>14</v>
      </c>
      <c r="H271" s="155">
        <v>1201</v>
      </c>
      <c r="I271" s="140">
        <v>9.4000000040978193E-2</v>
      </c>
      <c r="J271" s="147">
        <v>0</v>
      </c>
      <c r="K271" s="157">
        <v>1201</v>
      </c>
      <c r="L271" s="161">
        <v>6</v>
      </c>
      <c r="M271" s="161">
        <v>0</v>
      </c>
      <c r="N271" s="154">
        <f>(((Tabela1369[[#This Row],[Objetive value Dissimilarity]]-Tabela1369[[#This Row],[Objetive value Dissimilarity/GATeS]])/Tabela1369[[#This Row],[Objetive value Dissimilarity]]))*100</f>
        <v>0</v>
      </c>
      <c r="O271" s="23">
        <v>1201</v>
      </c>
      <c r="P271" s="53">
        <v>0.85</v>
      </c>
      <c r="Q271" s="53">
        <v>0</v>
      </c>
      <c r="R271" s="55">
        <f>(((Tabela1369[[#This Row],[Objetive value Dissimilarity]]-Tabela1369[[#This Row],[Objetive Value Dissimilarity/H-R1]])/Tabela1369[[#This Row],[Objetive value Dissimilarity]]))*100</f>
        <v>0</v>
      </c>
      <c r="S271" s="96">
        <v>1201</v>
      </c>
      <c r="T271" s="21">
        <v>1.02</v>
      </c>
      <c r="U271" s="21">
        <v>0</v>
      </c>
      <c r="V271" s="144">
        <f>(((Tabela1369[[#This Row],[Objetive value Dissimilarity]]-Tabela1369[[#This Row],[Objetive value Dissimilarity/H-R2]])/Tabela1369[[#This Row],[Objetive value Dissimilarity]]))*100</f>
        <v>0</v>
      </c>
    </row>
    <row r="272" spans="1:22" s="34" customFormat="1" x14ac:dyDescent="0.25">
      <c r="A272" s="11" t="s">
        <v>73</v>
      </c>
      <c r="B272" s="12" t="s">
        <v>1367</v>
      </c>
      <c r="C272" s="11">
        <v>200</v>
      </c>
      <c r="D272" s="11">
        <v>0.05</v>
      </c>
      <c r="E272" s="11">
        <v>5</v>
      </c>
      <c r="F272" s="12" t="s">
        <v>21</v>
      </c>
      <c r="G272" s="12" t="s">
        <v>16</v>
      </c>
      <c r="H272" s="155">
        <v>1403</v>
      </c>
      <c r="I272" s="140">
        <v>9.4000000040978193E-2</v>
      </c>
      <c r="J272" s="147">
        <v>0</v>
      </c>
      <c r="K272" s="157">
        <v>1403</v>
      </c>
      <c r="L272" s="161">
        <v>8</v>
      </c>
      <c r="M272" s="161">
        <v>0</v>
      </c>
      <c r="N272" s="154">
        <f>(((Tabela1369[[#This Row],[Objetive value Dissimilarity]]-Tabela1369[[#This Row],[Objetive value Dissimilarity/GATeS]])/Tabela1369[[#This Row],[Objetive value Dissimilarity]]))*100</f>
        <v>0</v>
      </c>
      <c r="O272" s="23">
        <v>1403</v>
      </c>
      <c r="P272" s="53">
        <v>0.42</v>
      </c>
      <c r="Q272" s="53">
        <v>0</v>
      </c>
      <c r="R272" s="55">
        <f>(((Tabela1369[[#This Row],[Objetive value Dissimilarity]]-Tabela1369[[#This Row],[Objetive Value Dissimilarity/H-R1]])/Tabela1369[[#This Row],[Objetive value Dissimilarity]]))*100</f>
        <v>0</v>
      </c>
      <c r="S272" s="96">
        <v>1403</v>
      </c>
      <c r="T272" s="21">
        <v>0.48</v>
      </c>
      <c r="U272" s="21">
        <v>0</v>
      </c>
      <c r="V272" s="144">
        <f>(((Tabela1369[[#This Row],[Objetive value Dissimilarity]]-Tabela1369[[#This Row],[Objetive value Dissimilarity/H-R2]])/Tabela1369[[#This Row],[Objetive value Dissimilarity]]))*100</f>
        <v>0</v>
      </c>
    </row>
    <row r="273" spans="1:22" s="34" customFormat="1" x14ac:dyDescent="0.25">
      <c r="A273" s="29" t="s">
        <v>148</v>
      </c>
      <c r="B273" s="12" t="s">
        <v>1368</v>
      </c>
      <c r="C273" s="11">
        <v>300</v>
      </c>
      <c r="D273" s="24">
        <v>0.1</v>
      </c>
      <c r="E273" s="11">
        <v>10</v>
      </c>
      <c r="F273" s="12" t="s">
        <v>13</v>
      </c>
      <c r="G273" s="12" t="s">
        <v>14</v>
      </c>
      <c r="H273" s="155">
        <v>5741</v>
      </c>
      <c r="I273" s="140">
        <v>0.51599999994505197</v>
      </c>
      <c r="J273" s="147">
        <v>17.93</v>
      </c>
      <c r="K273" s="157">
        <v>5507</v>
      </c>
      <c r="L273" s="161">
        <v>28</v>
      </c>
      <c r="M273" s="161">
        <v>20</v>
      </c>
      <c r="N273" s="154">
        <f>(((Tabela1369[[#This Row],[Objetive value Dissimilarity]]-Tabela1369[[#This Row],[Objetive value Dissimilarity/GATeS]])/Tabela1369[[#This Row],[Objetive value Dissimilarity]]))*100</f>
        <v>4.0759449573245083</v>
      </c>
      <c r="O273" s="23">
        <v>5523</v>
      </c>
      <c r="P273" s="53">
        <v>0.57999999999999996</v>
      </c>
      <c r="Q273" s="53">
        <v>0</v>
      </c>
      <c r="R273" s="55">
        <f>(((Tabela1369[[#This Row],[Objetive value Dissimilarity]]-Tabela1369[[#This Row],[Objetive Value Dissimilarity/H-R1]])/Tabela1369[[#This Row],[Objetive value Dissimilarity]]))*100</f>
        <v>3.7972478662253963</v>
      </c>
      <c r="S273" s="96">
        <v>5633</v>
      </c>
      <c r="T273" s="21">
        <v>0.77</v>
      </c>
      <c r="U273" s="21">
        <v>0</v>
      </c>
      <c r="V273" s="144">
        <f>(((Tabela1369[[#This Row],[Objetive value Dissimilarity]]-Tabela1369[[#This Row],[Objetive value Dissimilarity/H-R2]])/Tabela1369[[#This Row],[Objetive value Dissimilarity]]))*100</f>
        <v>1.8812053649190037</v>
      </c>
    </row>
    <row r="274" spans="1:22" s="34" customFormat="1" x14ac:dyDescent="0.25">
      <c r="A274" s="11" t="s">
        <v>148</v>
      </c>
      <c r="B274" s="12" t="s">
        <v>1369</v>
      </c>
      <c r="C274" s="11">
        <v>300</v>
      </c>
      <c r="D274" s="24">
        <v>0.1</v>
      </c>
      <c r="E274" s="11">
        <v>10</v>
      </c>
      <c r="F274" s="12" t="s">
        <v>13</v>
      </c>
      <c r="G274" s="12" t="s">
        <v>16</v>
      </c>
      <c r="H274" s="155">
        <v>3315</v>
      </c>
      <c r="I274" s="140">
        <v>0.93799999996554095</v>
      </c>
      <c r="J274" s="147">
        <v>0</v>
      </c>
      <c r="K274" s="157">
        <v>3291</v>
      </c>
      <c r="L274" s="161">
        <v>31</v>
      </c>
      <c r="M274" s="161">
        <v>14</v>
      </c>
      <c r="N274" s="154">
        <f>(((Tabela1369[[#This Row],[Objetive value Dissimilarity]]-Tabela1369[[#This Row],[Objetive value Dissimilarity/GATeS]])/Tabela1369[[#This Row],[Objetive value Dissimilarity]]))*100</f>
        <v>0.72398190045248867</v>
      </c>
      <c r="O274" s="23">
        <v>3288</v>
      </c>
      <c r="P274" s="53">
        <v>0.79</v>
      </c>
      <c r="Q274" s="53">
        <v>0</v>
      </c>
      <c r="R274" s="55">
        <f>(((Tabela1369[[#This Row],[Objetive value Dissimilarity]]-Tabela1369[[#This Row],[Objetive Value Dissimilarity/H-R1]])/Tabela1369[[#This Row],[Objetive value Dissimilarity]]))*100</f>
        <v>0.81447963800904988</v>
      </c>
      <c r="S274" s="96">
        <v>3127</v>
      </c>
      <c r="T274" s="21">
        <v>1.06</v>
      </c>
      <c r="U274" s="21">
        <v>0</v>
      </c>
      <c r="V274" s="144">
        <f>(((Tabela1369[[#This Row],[Objetive value Dissimilarity]]-Tabela1369[[#This Row],[Objetive value Dissimilarity/H-R2]])/Tabela1369[[#This Row],[Objetive value Dissimilarity]]))*100</f>
        <v>5.671191553544495</v>
      </c>
    </row>
    <row r="275" spans="1:22" s="34" customFormat="1" x14ac:dyDescent="0.25">
      <c r="A275" s="11" t="s">
        <v>148</v>
      </c>
      <c r="B275" s="12" t="s">
        <v>1370</v>
      </c>
      <c r="C275" s="11">
        <v>300</v>
      </c>
      <c r="D275" s="24">
        <v>0.1</v>
      </c>
      <c r="E275" s="11">
        <v>10</v>
      </c>
      <c r="F275" s="11" t="s">
        <v>18</v>
      </c>
      <c r="G275" s="12" t="s">
        <v>14</v>
      </c>
      <c r="H275" s="155">
        <v>5773</v>
      </c>
      <c r="I275" s="140">
        <v>0.46900000004097803</v>
      </c>
      <c r="J275" s="147">
        <v>11.56</v>
      </c>
      <c r="K275" s="157">
        <v>5749</v>
      </c>
      <c r="L275" s="161">
        <v>39</v>
      </c>
      <c r="M275" s="161">
        <v>5</v>
      </c>
      <c r="N275" s="154">
        <f>(((Tabela1369[[#This Row],[Objetive value Dissimilarity]]-Tabela1369[[#This Row],[Objetive value Dissimilarity/GATeS]])/Tabela1369[[#This Row],[Objetive value Dissimilarity]]))*100</f>
        <v>0.41572839078468737</v>
      </c>
      <c r="O275" s="23">
        <v>5546</v>
      </c>
      <c r="P275" s="53">
        <v>0.4</v>
      </c>
      <c r="Q275" s="53">
        <v>0</v>
      </c>
      <c r="R275" s="55">
        <f>(((Tabela1369[[#This Row],[Objetive value Dissimilarity]]-Tabela1369[[#This Row],[Objetive Value Dissimilarity/H-R1]])/Tabela1369[[#This Row],[Objetive value Dissimilarity]]))*100</f>
        <v>3.9320976961718346</v>
      </c>
      <c r="S275" s="96">
        <v>5715</v>
      </c>
      <c r="T275" s="21">
        <v>0.56000000000000005</v>
      </c>
      <c r="U275" s="21">
        <v>0</v>
      </c>
      <c r="V275" s="144">
        <f>(((Tabela1369[[#This Row],[Objetive value Dissimilarity]]-Tabela1369[[#This Row],[Objetive value Dissimilarity/H-R2]])/Tabela1369[[#This Row],[Objetive value Dissimilarity]]))*100</f>
        <v>1.0046769443963277</v>
      </c>
    </row>
    <row r="276" spans="1:22" s="34" customFormat="1" x14ac:dyDescent="0.25">
      <c r="A276" s="11" t="s">
        <v>148</v>
      </c>
      <c r="B276" s="12" t="s">
        <v>1371</v>
      </c>
      <c r="C276" s="11">
        <v>300</v>
      </c>
      <c r="D276" s="24">
        <v>0.1</v>
      </c>
      <c r="E276" s="11">
        <v>10</v>
      </c>
      <c r="F276" s="11" t="s">
        <v>18</v>
      </c>
      <c r="G276" s="12" t="s">
        <v>16</v>
      </c>
      <c r="H276" s="155">
        <v>3825</v>
      </c>
      <c r="I276" s="140">
        <v>1.1880000000819499</v>
      </c>
      <c r="J276" s="147">
        <v>0</v>
      </c>
      <c r="K276" s="157">
        <v>3794</v>
      </c>
      <c r="L276" s="161">
        <v>23</v>
      </c>
      <c r="M276" s="161">
        <v>0</v>
      </c>
      <c r="N276" s="154">
        <f>(((Tabela1369[[#This Row],[Objetive value Dissimilarity]]-Tabela1369[[#This Row],[Objetive value Dissimilarity/GATeS]])/Tabela1369[[#This Row],[Objetive value Dissimilarity]]))*100</f>
        <v>0.81045751633986929</v>
      </c>
      <c r="O276" s="23">
        <v>3825</v>
      </c>
      <c r="P276" s="53">
        <v>0.55000000000000004</v>
      </c>
      <c r="Q276" s="53">
        <v>0</v>
      </c>
      <c r="R276" s="55">
        <f>(((Tabela1369[[#This Row],[Objetive value Dissimilarity]]-Tabela1369[[#This Row],[Objetive Value Dissimilarity/H-R1]])/Tabela1369[[#This Row],[Objetive value Dissimilarity]]))*100</f>
        <v>0</v>
      </c>
      <c r="S276" s="96">
        <v>3725</v>
      </c>
      <c r="T276" s="21">
        <v>0.53</v>
      </c>
      <c r="U276" s="21">
        <v>0</v>
      </c>
      <c r="V276" s="144">
        <f>(((Tabela1369[[#This Row],[Objetive value Dissimilarity]]-Tabela1369[[#This Row],[Objetive value Dissimilarity/H-R2]])/Tabela1369[[#This Row],[Objetive value Dissimilarity]]))*100</f>
        <v>2.6143790849673203</v>
      </c>
    </row>
    <row r="277" spans="1:22" s="34" customFormat="1" x14ac:dyDescent="0.25">
      <c r="A277" s="11" t="s">
        <v>148</v>
      </c>
      <c r="B277" s="12" t="s">
        <v>1372</v>
      </c>
      <c r="C277" s="11">
        <v>300</v>
      </c>
      <c r="D277" s="24">
        <v>0.1</v>
      </c>
      <c r="E277" s="11">
        <v>10</v>
      </c>
      <c r="F277" s="12" t="s">
        <v>21</v>
      </c>
      <c r="G277" s="12" t="s">
        <v>14</v>
      </c>
      <c r="H277" s="155">
        <v>3591</v>
      </c>
      <c r="I277" s="140">
        <v>0.28099999995902097</v>
      </c>
      <c r="J277" s="147">
        <v>0</v>
      </c>
      <c r="K277" s="157">
        <v>3588</v>
      </c>
      <c r="L277" s="161">
        <v>18</v>
      </c>
      <c r="M277" s="161">
        <v>13</v>
      </c>
      <c r="N277" s="154">
        <f>(((Tabela1369[[#This Row],[Objetive value Dissimilarity]]-Tabela1369[[#This Row],[Objetive value Dissimilarity/GATeS]])/Tabela1369[[#This Row],[Objetive value Dissimilarity]]))*100</f>
        <v>8.3542188805346695E-2</v>
      </c>
      <c r="O277" s="23">
        <v>3097</v>
      </c>
      <c r="P277" s="53">
        <v>2.04</v>
      </c>
      <c r="Q277" s="53">
        <v>0</v>
      </c>
      <c r="R277" s="55">
        <f>(((Tabela1369[[#This Row],[Objetive value Dissimilarity]]-Tabela1369[[#This Row],[Objetive Value Dissimilarity/H-R1]])/Tabela1369[[#This Row],[Objetive value Dissimilarity]]))*100</f>
        <v>13.756613756613756</v>
      </c>
      <c r="S277" s="96">
        <v>2327</v>
      </c>
      <c r="T277" s="21">
        <v>1.57</v>
      </c>
      <c r="U277" s="21">
        <v>0</v>
      </c>
      <c r="V277" s="144">
        <f>(((Tabela1369[[#This Row],[Objetive value Dissimilarity]]-Tabela1369[[#This Row],[Objetive value Dissimilarity/H-R2]])/Tabela1369[[#This Row],[Objetive value Dissimilarity]]))*100</f>
        <v>35.199108883319411</v>
      </c>
    </row>
    <row r="278" spans="1:22" s="34" customFormat="1" x14ac:dyDescent="0.25">
      <c r="A278" s="11" t="s">
        <v>148</v>
      </c>
      <c r="B278" s="12" t="s">
        <v>1373</v>
      </c>
      <c r="C278" s="11">
        <v>300</v>
      </c>
      <c r="D278" s="24">
        <v>0.1</v>
      </c>
      <c r="E278" s="11">
        <v>10</v>
      </c>
      <c r="F278" s="12" t="s">
        <v>21</v>
      </c>
      <c r="G278" s="12" t="s">
        <v>16</v>
      </c>
      <c r="H278" s="155">
        <v>3444</v>
      </c>
      <c r="I278" s="140">
        <v>1.26600000006146</v>
      </c>
      <c r="J278" s="147">
        <v>0</v>
      </c>
      <c r="K278" s="157">
        <v>3379</v>
      </c>
      <c r="L278" s="161">
        <v>31</v>
      </c>
      <c r="M278" s="161">
        <v>6</v>
      </c>
      <c r="N278" s="154">
        <f>(((Tabela1369[[#This Row],[Objetive value Dissimilarity]]-Tabela1369[[#This Row],[Objetive value Dissimilarity/GATeS]])/Tabela1369[[#This Row],[Objetive value Dissimilarity]]))*100</f>
        <v>1.8873403019744484</v>
      </c>
      <c r="O278" s="23">
        <v>3100</v>
      </c>
      <c r="P278" s="53">
        <v>0.52</v>
      </c>
      <c r="Q278" s="53">
        <v>0</v>
      </c>
      <c r="R278" s="55">
        <f>(((Tabela1369[[#This Row],[Objetive value Dissimilarity]]-Tabela1369[[#This Row],[Objetive Value Dissimilarity/H-R1]])/Tabela1369[[#This Row],[Objetive value Dissimilarity]]))*100</f>
        <v>9.9883855981416954</v>
      </c>
      <c r="S278" s="96">
        <v>3421</v>
      </c>
      <c r="T278" s="21">
        <v>0.72</v>
      </c>
      <c r="U278" s="21">
        <v>0</v>
      </c>
      <c r="V278" s="144">
        <f>(((Tabela1369[[#This Row],[Objetive value Dissimilarity]]-Tabela1369[[#This Row],[Objetive value Dissimilarity/H-R2]])/Tabela1369[[#This Row],[Objetive value Dissimilarity]]))*100</f>
        <v>0.66782810685249705</v>
      </c>
    </row>
    <row r="279" spans="1:22" s="34" customFormat="1" x14ac:dyDescent="0.25">
      <c r="A279" s="29" t="s">
        <v>167</v>
      </c>
      <c r="B279" s="12" t="s">
        <v>1374</v>
      </c>
      <c r="C279" s="11">
        <v>300</v>
      </c>
      <c r="D279" s="24">
        <v>0.1</v>
      </c>
      <c r="E279" s="11">
        <v>15</v>
      </c>
      <c r="F279" s="12" t="s">
        <v>13</v>
      </c>
      <c r="G279" s="12" t="s">
        <v>14</v>
      </c>
      <c r="H279" s="155">
        <v>8094</v>
      </c>
      <c r="I279" s="140">
        <v>2.8900000000139698</v>
      </c>
      <c r="J279" s="147">
        <v>6.09</v>
      </c>
      <c r="K279" s="157">
        <v>7770</v>
      </c>
      <c r="L279" s="161">
        <v>146</v>
      </c>
      <c r="M279" s="161">
        <v>35</v>
      </c>
      <c r="N279" s="154">
        <f>(((Tabela1369[[#This Row],[Objetive value Dissimilarity]]-Tabela1369[[#This Row],[Objetive value Dissimilarity/GATeS]])/Tabela1369[[#This Row],[Objetive value Dissimilarity]]))*100</f>
        <v>4.0029651593773163</v>
      </c>
      <c r="O279" s="23">
        <v>7721</v>
      </c>
      <c r="P279" s="53">
        <v>0.6</v>
      </c>
      <c r="Q279" s="53">
        <v>0</v>
      </c>
      <c r="R279" s="55">
        <f>(((Tabela1369[[#This Row],[Objetive value Dissimilarity]]-Tabela1369[[#This Row],[Objetive Value Dissimilarity/H-R1]])/Tabela1369[[#This Row],[Objetive value Dissimilarity]]))*100</f>
        <v>4.6083518655794418</v>
      </c>
      <c r="S279" s="96">
        <v>7641</v>
      </c>
      <c r="T279" s="21">
        <v>0.45</v>
      </c>
      <c r="U279" s="21">
        <v>0</v>
      </c>
      <c r="V279" s="144">
        <f>(((Tabela1369[[#This Row],[Objetive value Dissimilarity]]-Tabela1369[[#This Row],[Objetive value Dissimilarity/H-R2]])/Tabela1369[[#This Row],[Objetive value Dissimilarity]]))*100</f>
        <v>5.5967383246849511</v>
      </c>
    </row>
    <row r="280" spans="1:22" s="34" customFormat="1" x14ac:dyDescent="0.25">
      <c r="A280" s="11" t="s">
        <v>167</v>
      </c>
      <c r="B280" s="12" t="s">
        <v>1375</v>
      </c>
      <c r="C280" s="11">
        <v>300</v>
      </c>
      <c r="D280" s="24">
        <v>0.1</v>
      </c>
      <c r="E280" s="11">
        <v>15</v>
      </c>
      <c r="F280" s="12" t="s">
        <v>13</v>
      </c>
      <c r="G280" s="12" t="s">
        <v>16</v>
      </c>
      <c r="H280" s="155">
        <v>5102</v>
      </c>
      <c r="I280" s="140">
        <v>17.234000000054898</v>
      </c>
      <c r="J280" s="147">
        <v>0.03</v>
      </c>
      <c r="K280" s="157">
        <v>4983</v>
      </c>
      <c r="L280" s="161">
        <v>57</v>
      </c>
      <c r="M280" s="161">
        <v>53</v>
      </c>
      <c r="N280" s="154">
        <f>(((Tabela1369[[#This Row],[Objetive value Dissimilarity]]-Tabela1369[[#This Row],[Objetive value Dissimilarity/GATeS]])/Tabela1369[[#This Row],[Objetive value Dissimilarity]]))*100</f>
        <v>2.3324186593492748</v>
      </c>
      <c r="O280" s="23">
        <v>4737</v>
      </c>
      <c r="P280" s="53">
        <v>0.65</v>
      </c>
      <c r="Q280" s="53">
        <v>0</v>
      </c>
      <c r="R280" s="55">
        <f>(((Tabela1369[[#This Row],[Objetive value Dissimilarity]]-Tabela1369[[#This Row],[Objetive Value Dissimilarity/H-R1]])/Tabela1369[[#This Row],[Objetive value Dissimilarity]]))*100</f>
        <v>7.15405723245786</v>
      </c>
      <c r="S280" s="96">
        <v>4955</v>
      </c>
      <c r="T280" s="21">
        <v>1</v>
      </c>
      <c r="U280" s="21">
        <v>0</v>
      </c>
      <c r="V280" s="144">
        <f>(((Tabela1369[[#This Row],[Objetive value Dissimilarity]]-Tabela1369[[#This Row],[Objetive value Dissimilarity/H-R2]])/Tabela1369[[#This Row],[Objetive value Dissimilarity]]))*100</f>
        <v>2.8812230497843982</v>
      </c>
    </row>
    <row r="281" spans="1:22" s="34" customFormat="1" x14ac:dyDescent="0.25">
      <c r="A281" s="11" t="s">
        <v>167</v>
      </c>
      <c r="B281" s="12" t="s">
        <v>1376</v>
      </c>
      <c r="C281" s="11">
        <v>300</v>
      </c>
      <c r="D281" s="24">
        <v>0.1</v>
      </c>
      <c r="E281" s="11">
        <v>15</v>
      </c>
      <c r="F281" s="11" t="s">
        <v>18</v>
      </c>
      <c r="G281" s="12" t="s">
        <v>14</v>
      </c>
      <c r="H281" s="155">
        <v>9208</v>
      </c>
      <c r="I281" s="140">
        <v>2.48399999993853</v>
      </c>
      <c r="J281" s="147">
        <v>11.58</v>
      </c>
      <c r="K281" s="157">
        <v>8990</v>
      </c>
      <c r="L281" s="161">
        <v>37</v>
      </c>
      <c r="M281" s="161">
        <v>16</v>
      </c>
      <c r="N281" s="154">
        <f>(((Tabela1369[[#This Row],[Objetive value Dissimilarity]]-Tabela1369[[#This Row],[Objetive value Dissimilarity/GATeS]])/Tabela1369[[#This Row],[Objetive value Dissimilarity]]))*100</f>
        <v>2.36750651607298</v>
      </c>
      <c r="O281" s="23">
        <v>8996</v>
      </c>
      <c r="P281" s="53">
        <v>0.59</v>
      </c>
      <c r="Q281" s="53">
        <v>0</v>
      </c>
      <c r="R281" s="55">
        <f>(((Tabela1369[[#This Row],[Objetive value Dissimilarity]]-Tabela1369[[#This Row],[Objetive Value Dissimilarity/H-R1]])/Tabela1369[[#This Row],[Objetive value Dissimilarity]]))*100</f>
        <v>2.3023457862728063</v>
      </c>
      <c r="S281" s="96">
        <v>9045</v>
      </c>
      <c r="T281" s="21">
        <v>0.55000000000000004</v>
      </c>
      <c r="U281" s="21">
        <v>0</v>
      </c>
      <c r="V281" s="144">
        <f>(((Tabela1369[[#This Row],[Objetive value Dissimilarity]]-Tabela1369[[#This Row],[Objetive value Dissimilarity/H-R2]])/Tabela1369[[#This Row],[Objetive value Dissimilarity]]))*100</f>
        <v>1.7701998262380538</v>
      </c>
    </row>
    <row r="282" spans="1:22" s="34" customFormat="1" x14ac:dyDescent="0.25">
      <c r="A282" s="11" t="s">
        <v>167</v>
      </c>
      <c r="B282" s="12" t="s">
        <v>1377</v>
      </c>
      <c r="C282" s="11">
        <v>300</v>
      </c>
      <c r="D282" s="24">
        <v>0.1</v>
      </c>
      <c r="E282" s="11">
        <v>15</v>
      </c>
      <c r="F282" s="11" t="s">
        <v>18</v>
      </c>
      <c r="G282" s="12" t="s">
        <v>16</v>
      </c>
      <c r="H282" s="155">
        <v>5273</v>
      </c>
      <c r="I282" s="140">
        <v>13.1870000000344</v>
      </c>
      <c r="J282" s="147">
        <v>0.55000000000000004</v>
      </c>
      <c r="K282" s="157">
        <v>5193</v>
      </c>
      <c r="L282" s="161">
        <v>63</v>
      </c>
      <c r="M282" s="161">
        <v>38</v>
      </c>
      <c r="N282" s="154">
        <f>(((Tabela1369[[#This Row],[Objetive value Dissimilarity]]-Tabela1369[[#This Row],[Objetive value Dissimilarity/GATeS]])/Tabela1369[[#This Row],[Objetive value Dissimilarity]]))*100</f>
        <v>1.5171629053669637</v>
      </c>
      <c r="O282" s="23">
        <v>5239</v>
      </c>
      <c r="P282" s="53">
        <v>0.7</v>
      </c>
      <c r="Q282" s="53">
        <v>0</v>
      </c>
      <c r="R282" s="55">
        <f>(((Tabela1369[[#This Row],[Objetive value Dissimilarity]]-Tabela1369[[#This Row],[Objetive Value Dissimilarity/H-R1]])/Tabela1369[[#This Row],[Objetive value Dissimilarity]]))*100</f>
        <v>0.64479423478095965</v>
      </c>
      <c r="S282" s="96">
        <v>5273</v>
      </c>
      <c r="T282" s="21">
        <v>0.56999999999999995</v>
      </c>
      <c r="U282" s="21">
        <v>0</v>
      </c>
      <c r="V282" s="144">
        <f>(((Tabela1369[[#This Row],[Objetive value Dissimilarity]]-Tabela1369[[#This Row],[Objetive value Dissimilarity/H-R2]])/Tabela1369[[#This Row],[Objetive value Dissimilarity]]))*100</f>
        <v>0</v>
      </c>
    </row>
    <row r="283" spans="1:22" s="34" customFormat="1" x14ac:dyDescent="0.25">
      <c r="A283" s="11" t="s">
        <v>167</v>
      </c>
      <c r="B283" s="12" t="s">
        <v>1378</v>
      </c>
      <c r="C283" s="11">
        <v>300</v>
      </c>
      <c r="D283" s="24">
        <v>0.1</v>
      </c>
      <c r="E283" s="11">
        <v>15</v>
      </c>
      <c r="F283" s="12" t="s">
        <v>21</v>
      </c>
      <c r="G283" s="12" t="s">
        <v>14</v>
      </c>
      <c r="H283" s="155">
        <v>4614</v>
      </c>
      <c r="I283" s="140">
        <v>0.40600000007543702</v>
      </c>
      <c r="J283" s="147">
        <v>0</v>
      </c>
      <c r="K283" s="157">
        <v>3744</v>
      </c>
      <c r="L283" s="161">
        <v>27</v>
      </c>
      <c r="M283" s="161">
        <v>0</v>
      </c>
      <c r="N283" s="154">
        <f>(((Tabela1369[[#This Row],[Objetive value Dissimilarity]]-Tabela1369[[#This Row],[Objetive value Dissimilarity/GATeS]])/Tabela1369[[#This Row],[Objetive value Dissimilarity]]))*100</f>
        <v>18.855656697009103</v>
      </c>
      <c r="O283" s="23">
        <v>870</v>
      </c>
      <c r="P283" s="53">
        <v>2.74</v>
      </c>
      <c r="Q283" s="53">
        <v>0</v>
      </c>
      <c r="R283" s="55">
        <f>(((Tabela1369[[#This Row],[Objetive value Dissimilarity]]-Tabela1369[[#This Row],[Objetive Value Dissimilarity/H-R1]])/Tabela1369[[#This Row],[Objetive value Dissimilarity]]))*100</f>
        <v>81.14434330299089</v>
      </c>
      <c r="S283" s="96">
        <v>4452</v>
      </c>
      <c r="T283" s="21">
        <v>2.09</v>
      </c>
      <c r="U283" s="21">
        <v>0</v>
      </c>
      <c r="V283" s="144">
        <f>(((Tabela1369[[#This Row],[Objetive value Dissimilarity]]-Tabela1369[[#This Row],[Objetive value Dissimilarity/H-R2]])/Tabela1369[[#This Row],[Objetive value Dissimilarity]]))*100</f>
        <v>3.5110533159947983</v>
      </c>
    </row>
    <row r="284" spans="1:22" s="34" customFormat="1" x14ac:dyDescent="0.25">
      <c r="A284" s="11" t="s">
        <v>167</v>
      </c>
      <c r="B284" s="12" t="s">
        <v>1379</v>
      </c>
      <c r="C284" s="11">
        <v>300</v>
      </c>
      <c r="D284" s="24">
        <v>0.1</v>
      </c>
      <c r="E284" s="11">
        <v>15</v>
      </c>
      <c r="F284" s="12" t="s">
        <v>21</v>
      </c>
      <c r="G284" s="12" t="s">
        <v>16</v>
      </c>
      <c r="H284" s="155">
        <v>5277</v>
      </c>
      <c r="I284" s="140">
        <v>6.1880000000819502</v>
      </c>
      <c r="J284" s="147">
        <v>0</v>
      </c>
      <c r="K284" s="157">
        <v>5151</v>
      </c>
      <c r="L284" s="161">
        <v>41</v>
      </c>
      <c r="M284" s="161">
        <v>8</v>
      </c>
      <c r="N284" s="154">
        <f>(((Tabela1369[[#This Row],[Objetive value Dissimilarity]]-Tabela1369[[#This Row],[Objetive value Dissimilarity/GATeS]])/Tabela1369[[#This Row],[Objetive value Dissimilarity]]))*100</f>
        <v>2.3877202956225125</v>
      </c>
      <c r="O284" s="23">
        <v>5273</v>
      </c>
      <c r="P284" s="53">
        <v>0.62</v>
      </c>
      <c r="Q284" s="53">
        <v>0</v>
      </c>
      <c r="R284" s="55">
        <f>(((Tabela1369[[#This Row],[Objetive value Dissimilarity]]-Tabela1369[[#This Row],[Objetive Value Dissimilarity/H-R1]])/Tabela1369[[#This Row],[Objetive value Dissimilarity]]))*100</f>
        <v>7.5800644305476589E-2</v>
      </c>
      <c r="S284" s="96">
        <v>5277</v>
      </c>
      <c r="T284" s="21">
        <v>0.56999999999999995</v>
      </c>
      <c r="U284" s="21">
        <v>0</v>
      </c>
      <c r="V284" s="144">
        <f>(((Tabela1369[[#This Row],[Objetive value Dissimilarity]]-Tabela1369[[#This Row],[Objetive value Dissimilarity/H-R2]])/Tabela1369[[#This Row],[Objetive value Dissimilarity]]))*100</f>
        <v>0</v>
      </c>
    </row>
    <row r="285" spans="1:22" s="34" customFormat="1" x14ac:dyDescent="0.25">
      <c r="A285" s="11" t="s">
        <v>129</v>
      </c>
      <c r="B285" s="30" t="s">
        <v>1380</v>
      </c>
      <c r="C285" s="11">
        <v>300</v>
      </c>
      <c r="D285" s="24">
        <v>0.1</v>
      </c>
      <c r="E285" s="11">
        <v>5</v>
      </c>
      <c r="F285" s="12" t="s">
        <v>13</v>
      </c>
      <c r="G285" s="12" t="s">
        <v>14</v>
      </c>
      <c r="H285" s="155">
        <v>2456</v>
      </c>
      <c r="I285" s="140">
        <v>0.15700000000651901</v>
      </c>
      <c r="J285" s="147">
        <v>0</v>
      </c>
      <c r="K285" s="157">
        <v>1979</v>
      </c>
      <c r="L285" s="161">
        <v>9</v>
      </c>
      <c r="M285" s="161">
        <v>0</v>
      </c>
      <c r="N285" s="154">
        <f>(((Tabela1369[[#This Row],[Objetive value Dissimilarity]]-Tabela1369[[#This Row],[Objetive value Dissimilarity/GATeS]])/Tabela1369[[#This Row],[Objetive value Dissimilarity]]))*100</f>
        <v>19.421824104234528</v>
      </c>
      <c r="O285" s="23">
        <v>2456</v>
      </c>
      <c r="P285" s="53">
        <v>0.57999999999999996</v>
      </c>
      <c r="Q285" s="53">
        <v>0</v>
      </c>
      <c r="R285" s="55">
        <f>(((Tabela1369[[#This Row],[Objetive value Dissimilarity]]-Tabela1369[[#This Row],[Objetive Value Dissimilarity/H-R1]])/Tabela1369[[#This Row],[Objetive value Dissimilarity]]))*100</f>
        <v>0</v>
      </c>
      <c r="S285" s="96">
        <v>2456</v>
      </c>
      <c r="T285" s="21">
        <v>0.49</v>
      </c>
      <c r="U285" s="21">
        <v>0</v>
      </c>
      <c r="V285" s="144">
        <f>(((Tabela1369[[#This Row],[Objetive value Dissimilarity]]-Tabela1369[[#This Row],[Objetive value Dissimilarity/H-R2]])/Tabela1369[[#This Row],[Objetive value Dissimilarity]]))*100</f>
        <v>0</v>
      </c>
    </row>
    <row r="286" spans="1:22" s="34" customFormat="1" x14ac:dyDescent="0.25">
      <c r="A286" s="11" t="s">
        <v>129</v>
      </c>
      <c r="B286" s="12" t="s">
        <v>1381</v>
      </c>
      <c r="C286" s="11">
        <v>300</v>
      </c>
      <c r="D286" s="24">
        <v>0.1</v>
      </c>
      <c r="E286" s="11">
        <v>5</v>
      </c>
      <c r="F286" s="12" t="s">
        <v>13</v>
      </c>
      <c r="G286" s="12" t="s">
        <v>16</v>
      </c>
      <c r="H286" s="155">
        <v>2098</v>
      </c>
      <c r="I286" s="140">
        <v>0.171999999904073</v>
      </c>
      <c r="J286" s="147">
        <v>0</v>
      </c>
      <c r="K286" s="157">
        <v>2060</v>
      </c>
      <c r="L286" s="161">
        <v>15</v>
      </c>
      <c r="M286" s="161">
        <v>4</v>
      </c>
      <c r="N286" s="154">
        <f>(((Tabela1369[[#This Row],[Objetive value Dissimilarity]]-Tabela1369[[#This Row],[Objetive value Dissimilarity/GATeS]])/Tabela1369[[#This Row],[Objetive value Dissimilarity]]))*100</f>
        <v>1.811248808388942</v>
      </c>
      <c r="O286" s="23">
        <v>2098</v>
      </c>
      <c r="P286" s="53">
        <v>0.53</v>
      </c>
      <c r="Q286" s="53">
        <v>0</v>
      </c>
      <c r="R286" s="55">
        <f>(((Tabela1369[[#This Row],[Objetive value Dissimilarity]]-Tabela1369[[#This Row],[Objetive Value Dissimilarity/H-R1]])/Tabela1369[[#This Row],[Objetive value Dissimilarity]]))*100</f>
        <v>0</v>
      </c>
      <c r="S286" s="96">
        <v>2043</v>
      </c>
      <c r="T286" s="21">
        <v>0.42</v>
      </c>
      <c r="U286" s="21">
        <v>0</v>
      </c>
      <c r="V286" s="144">
        <f>(((Tabela1369[[#This Row],[Objetive value Dissimilarity]]-Tabela1369[[#This Row],[Objetive value Dissimilarity/H-R2]])/Tabela1369[[#This Row],[Objetive value Dissimilarity]]))*100</f>
        <v>2.621544327931363</v>
      </c>
    </row>
    <row r="287" spans="1:22" s="34" customFormat="1" x14ac:dyDescent="0.25">
      <c r="A287" s="11" t="s">
        <v>129</v>
      </c>
      <c r="B287" s="12" t="s">
        <v>1382</v>
      </c>
      <c r="C287" s="11">
        <v>300</v>
      </c>
      <c r="D287" s="24">
        <v>0.1</v>
      </c>
      <c r="E287" s="11">
        <v>5</v>
      </c>
      <c r="F287" s="11" t="s">
        <v>18</v>
      </c>
      <c r="G287" s="12" t="s">
        <v>14</v>
      </c>
      <c r="H287" s="155">
        <v>2945</v>
      </c>
      <c r="I287" s="140">
        <v>0.14000000001396901</v>
      </c>
      <c r="J287" s="147">
        <v>0</v>
      </c>
      <c r="K287" s="157">
        <v>2932</v>
      </c>
      <c r="L287" s="161">
        <v>13</v>
      </c>
      <c r="M287" s="161">
        <v>0</v>
      </c>
      <c r="N287" s="154">
        <f>(((Tabela1369[[#This Row],[Objetive value Dissimilarity]]-Tabela1369[[#This Row],[Objetive value Dissimilarity/GATeS]])/Tabela1369[[#This Row],[Objetive value Dissimilarity]]))*100</f>
        <v>0.4414261460101867</v>
      </c>
      <c r="O287" s="23">
        <v>2870</v>
      </c>
      <c r="P287" s="53">
        <v>0.39</v>
      </c>
      <c r="Q287" s="53">
        <v>0</v>
      </c>
      <c r="R287" s="55">
        <f>(((Tabela1369[[#This Row],[Objetive value Dissimilarity]]-Tabela1369[[#This Row],[Objetive Value Dissimilarity/H-R1]])/Tabela1369[[#This Row],[Objetive value Dissimilarity]]))*100</f>
        <v>2.5466893039049237</v>
      </c>
      <c r="S287" s="96">
        <v>2945</v>
      </c>
      <c r="T287" s="21">
        <v>0.4</v>
      </c>
      <c r="U287" s="21">
        <v>0</v>
      </c>
      <c r="V287" s="144">
        <f>(((Tabela1369[[#This Row],[Objetive value Dissimilarity]]-Tabela1369[[#This Row],[Objetive value Dissimilarity/H-R2]])/Tabela1369[[#This Row],[Objetive value Dissimilarity]]))*100</f>
        <v>0</v>
      </c>
    </row>
    <row r="288" spans="1:22" s="34" customFormat="1" x14ac:dyDescent="0.25">
      <c r="A288" s="11" t="s">
        <v>129</v>
      </c>
      <c r="B288" s="12" t="s">
        <v>1383</v>
      </c>
      <c r="C288" s="11">
        <v>300</v>
      </c>
      <c r="D288" s="24">
        <v>0.1</v>
      </c>
      <c r="E288" s="11">
        <v>5</v>
      </c>
      <c r="F288" s="11" t="s">
        <v>18</v>
      </c>
      <c r="G288" s="12" t="s">
        <v>16</v>
      </c>
      <c r="H288" s="155">
        <v>2276</v>
      </c>
      <c r="I288" s="140">
        <v>0.17200000002048901</v>
      </c>
      <c r="J288" s="147">
        <v>0</v>
      </c>
      <c r="K288" s="157">
        <v>2263</v>
      </c>
      <c r="L288" s="161">
        <v>13</v>
      </c>
      <c r="M288" s="161">
        <v>4</v>
      </c>
      <c r="N288" s="154">
        <f>(((Tabela1369[[#This Row],[Objetive value Dissimilarity]]-Tabela1369[[#This Row],[Objetive value Dissimilarity/GATeS]])/Tabela1369[[#This Row],[Objetive value Dissimilarity]]))*100</f>
        <v>0.5711775043936731</v>
      </c>
      <c r="O288" s="23">
        <v>2276</v>
      </c>
      <c r="P288" s="53">
        <v>0.4</v>
      </c>
      <c r="Q288" s="53">
        <v>0</v>
      </c>
      <c r="R288" s="55">
        <f>(((Tabela1369[[#This Row],[Objetive value Dissimilarity]]-Tabela1369[[#This Row],[Objetive Value Dissimilarity/H-R1]])/Tabela1369[[#This Row],[Objetive value Dissimilarity]]))*100</f>
        <v>0</v>
      </c>
      <c r="S288" s="96">
        <v>2194</v>
      </c>
      <c r="T288" s="21">
        <v>0.55000000000000004</v>
      </c>
      <c r="U288" s="21">
        <v>0</v>
      </c>
      <c r="V288" s="144">
        <f>(((Tabela1369[[#This Row],[Objetive value Dissimilarity]]-Tabela1369[[#This Row],[Objetive value Dissimilarity/H-R2]])/Tabela1369[[#This Row],[Objetive value Dissimilarity]]))*100</f>
        <v>3.6028119507908607</v>
      </c>
    </row>
    <row r="289" spans="1:22" s="34" customFormat="1" x14ac:dyDescent="0.25">
      <c r="A289" s="11" t="s">
        <v>129</v>
      </c>
      <c r="B289" s="12" t="s">
        <v>1384</v>
      </c>
      <c r="C289" s="11">
        <v>300</v>
      </c>
      <c r="D289" s="24">
        <v>0.1</v>
      </c>
      <c r="E289" s="11">
        <v>5</v>
      </c>
      <c r="F289" s="12" t="s">
        <v>21</v>
      </c>
      <c r="G289" s="12" t="s">
        <v>14</v>
      </c>
      <c r="H289" s="155">
        <v>925</v>
      </c>
      <c r="I289" s="140">
        <v>0.171999999904073</v>
      </c>
      <c r="J289" s="147">
        <v>0</v>
      </c>
      <c r="K289" s="157">
        <v>894</v>
      </c>
      <c r="L289" s="161">
        <v>0</v>
      </c>
      <c r="M289" s="161">
        <v>0</v>
      </c>
      <c r="N289" s="154">
        <f>(((Tabela1369[[#This Row],[Objetive value Dissimilarity]]-Tabela1369[[#This Row],[Objetive value Dissimilarity/GATeS]])/Tabela1369[[#This Row],[Objetive value Dissimilarity]]))*100</f>
        <v>3.3513513513513513</v>
      </c>
      <c r="O289" s="23">
        <v>925</v>
      </c>
      <c r="P289" s="53">
        <v>1.0900000000000001</v>
      </c>
      <c r="Q289" s="53">
        <v>0</v>
      </c>
      <c r="R289" s="55">
        <f>(((Tabela1369[[#This Row],[Objetive value Dissimilarity]]-Tabela1369[[#This Row],[Objetive Value Dissimilarity/H-R1]])/Tabela1369[[#This Row],[Objetive value Dissimilarity]]))*100</f>
        <v>0</v>
      </c>
      <c r="S289" s="96">
        <v>804</v>
      </c>
      <c r="T289" s="21">
        <v>0.74</v>
      </c>
      <c r="U289" s="21">
        <v>0</v>
      </c>
      <c r="V289" s="144">
        <f>(((Tabela1369[[#This Row],[Objetive value Dissimilarity]]-Tabela1369[[#This Row],[Objetive value Dissimilarity/H-R2]])/Tabela1369[[#This Row],[Objetive value Dissimilarity]]))*100</f>
        <v>13.081081081081081</v>
      </c>
    </row>
    <row r="290" spans="1:22" s="34" customFormat="1" x14ac:dyDescent="0.25">
      <c r="A290" s="11" t="s">
        <v>129</v>
      </c>
      <c r="B290" s="12" t="s">
        <v>1385</v>
      </c>
      <c r="C290" s="11">
        <v>300</v>
      </c>
      <c r="D290" s="24">
        <v>0.1</v>
      </c>
      <c r="E290" s="11">
        <v>5</v>
      </c>
      <c r="F290" s="12" t="s">
        <v>21</v>
      </c>
      <c r="G290" s="12" t="s">
        <v>16</v>
      </c>
      <c r="H290" s="155">
        <v>1535</v>
      </c>
      <c r="I290" s="140">
        <v>0.15600000007543699</v>
      </c>
      <c r="J290" s="147">
        <v>0</v>
      </c>
      <c r="K290" s="157">
        <v>1127</v>
      </c>
      <c r="L290" s="161">
        <v>223</v>
      </c>
      <c r="M290" s="161">
        <v>222</v>
      </c>
      <c r="N290" s="154">
        <f>(((Tabela1369[[#This Row],[Objetive value Dissimilarity]]-Tabela1369[[#This Row],[Objetive value Dissimilarity/GATeS]])/Tabela1369[[#This Row],[Objetive value Dissimilarity]]))*100</f>
        <v>26.579804560260584</v>
      </c>
      <c r="O290" s="23">
        <v>1334</v>
      </c>
      <c r="P290" s="53">
        <v>0.38</v>
      </c>
      <c r="Q290" s="53">
        <v>0</v>
      </c>
      <c r="R290" s="55">
        <f>(((Tabela1369[[#This Row],[Objetive value Dissimilarity]]-Tabela1369[[#This Row],[Objetive Value Dissimilarity/H-R1]])/Tabela1369[[#This Row],[Objetive value Dissimilarity]]))*100</f>
        <v>13.094462540716611</v>
      </c>
      <c r="S290" s="96">
        <v>1334</v>
      </c>
      <c r="T290" s="21">
        <v>0.42</v>
      </c>
      <c r="U290" s="21">
        <v>0</v>
      </c>
      <c r="V290" s="144">
        <f>(((Tabela1369[[#This Row],[Objetive value Dissimilarity]]-Tabela1369[[#This Row],[Objetive value Dissimilarity/H-R2]])/Tabela1369[[#This Row],[Objetive value Dissimilarity]]))*100</f>
        <v>13.094462540716611</v>
      </c>
    </row>
    <row r="291" spans="1:22" x14ac:dyDescent="0.25">
      <c r="A291" s="29" t="s">
        <v>148</v>
      </c>
      <c r="B291" s="12" t="s">
        <v>1386</v>
      </c>
      <c r="C291" s="11">
        <v>300</v>
      </c>
      <c r="D291" s="11">
        <v>0.15</v>
      </c>
      <c r="E291" s="11">
        <v>10</v>
      </c>
      <c r="F291" s="12" t="s">
        <v>13</v>
      </c>
      <c r="G291" s="12" t="s">
        <v>14</v>
      </c>
      <c r="H291" s="155">
        <v>5006</v>
      </c>
      <c r="I291" s="140">
        <v>0.60900000005494803</v>
      </c>
      <c r="J291" s="147">
        <v>39.35</v>
      </c>
      <c r="K291" s="157">
        <v>4985</v>
      </c>
      <c r="L291" s="161">
        <v>32</v>
      </c>
      <c r="M291" s="161">
        <v>2</v>
      </c>
      <c r="N291" s="154">
        <f>(((Tabela1369[[#This Row],[Objetive value Dissimilarity]]-Tabela1369[[#This Row],[Objetive value Dissimilarity/GATeS]])/Tabela1369[[#This Row],[Objetive value Dissimilarity]]))*100</f>
        <v>0.4194966040751098</v>
      </c>
      <c r="O291" s="23">
        <v>4527</v>
      </c>
      <c r="P291" s="53">
        <v>0.7</v>
      </c>
      <c r="Q291" s="53">
        <v>0</v>
      </c>
      <c r="R291" s="55">
        <f>(((Tabela1369[[#This Row],[Objetive value Dissimilarity]]-Tabela1369[[#This Row],[Objetive Value Dissimilarity/H-R1]])/Tabela1369[[#This Row],[Objetive value Dissimilarity]]))*100</f>
        <v>9.5685177786656013</v>
      </c>
      <c r="S291" s="96">
        <v>4395</v>
      </c>
      <c r="T291" s="21">
        <v>0.56999999999999995</v>
      </c>
      <c r="U291" s="21">
        <v>0</v>
      </c>
      <c r="V291" s="144">
        <f>(((Tabela1369[[#This Row],[Objetive value Dissimilarity]]-Tabela1369[[#This Row],[Objetive value Dissimilarity/H-R2]])/Tabela1369[[#This Row],[Objetive value Dissimilarity]]))*100</f>
        <v>12.205353575709148</v>
      </c>
    </row>
    <row r="292" spans="1:22" s="34" customFormat="1" x14ac:dyDescent="0.25">
      <c r="A292" s="11" t="s">
        <v>148</v>
      </c>
      <c r="B292" s="12" t="s">
        <v>1387</v>
      </c>
      <c r="C292" s="11">
        <v>300</v>
      </c>
      <c r="D292" s="11">
        <v>0.15</v>
      </c>
      <c r="E292" s="11">
        <v>10</v>
      </c>
      <c r="F292" s="12" t="s">
        <v>13</v>
      </c>
      <c r="G292" s="12" t="s">
        <v>16</v>
      </c>
      <c r="H292" s="155">
        <v>3613</v>
      </c>
      <c r="I292" s="140">
        <v>1.3429999999934801</v>
      </c>
      <c r="J292" s="147">
        <v>0</v>
      </c>
      <c r="K292" s="157">
        <v>3602</v>
      </c>
      <c r="L292" s="161">
        <v>28</v>
      </c>
      <c r="M292" s="161">
        <v>26</v>
      </c>
      <c r="N292" s="154">
        <f>(((Tabela1369[[#This Row],[Objetive value Dissimilarity]]-Tabela1369[[#This Row],[Objetive value Dissimilarity/GATeS]])/Tabela1369[[#This Row],[Objetive value Dissimilarity]]))*100</f>
        <v>0.30445613063935789</v>
      </c>
      <c r="O292" s="23">
        <v>3287</v>
      </c>
      <c r="P292" s="53">
        <v>0.72</v>
      </c>
      <c r="Q292" s="53">
        <v>0</v>
      </c>
      <c r="R292" s="55">
        <f>(((Tabela1369[[#This Row],[Objetive value Dissimilarity]]-Tabela1369[[#This Row],[Objetive Value Dissimilarity/H-R1]])/Tabela1369[[#This Row],[Objetive value Dissimilarity]]))*100</f>
        <v>9.0229725989482432</v>
      </c>
      <c r="S292" s="96">
        <v>3430</v>
      </c>
      <c r="T292" s="21">
        <v>0.63</v>
      </c>
      <c r="U292" s="21">
        <v>0</v>
      </c>
      <c r="V292" s="144">
        <f>(((Tabela1369[[#This Row],[Objetive value Dissimilarity]]-Tabela1369[[#This Row],[Objetive value Dissimilarity/H-R2]])/Tabela1369[[#This Row],[Objetive value Dissimilarity]]))*100</f>
        <v>5.0650429006365894</v>
      </c>
    </row>
    <row r="293" spans="1:22" s="34" customFormat="1" x14ac:dyDescent="0.25">
      <c r="A293" s="11" t="s">
        <v>148</v>
      </c>
      <c r="B293" s="12" t="s">
        <v>1388</v>
      </c>
      <c r="C293" s="11">
        <v>300</v>
      </c>
      <c r="D293" s="11">
        <v>0.15</v>
      </c>
      <c r="E293" s="11">
        <v>10</v>
      </c>
      <c r="F293" s="12" t="s">
        <v>18</v>
      </c>
      <c r="G293" s="12" t="s">
        <v>14</v>
      </c>
      <c r="H293" s="155">
        <v>5105</v>
      </c>
      <c r="I293" s="140">
        <v>0.56200000003445805</v>
      </c>
      <c r="J293" s="147">
        <v>18.47</v>
      </c>
      <c r="K293" s="157">
        <v>5082</v>
      </c>
      <c r="L293" s="161">
        <v>39</v>
      </c>
      <c r="M293" s="161">
        <v>8</v>
      </c>
      <c r="N293" s="154">
        <f>(((Tabela1369[[#This Row],[Objetive value Dissimilarity]]-Tabela1369[[#This Row],[Objetive value Dissimilarity/GATeS]])/Tabela1369[[#This Row],[Objetive value Dissimilarity]]))*100</f>
        <v>0.45053868756121446</v>
      </c>
      <c r="O293" s="23">
        <v>5105</v>
      </c>
      <c r="P293" s="53">
        <v>0.46</v>
      </c>
      <c r="Q293" s="53">
        <v>0</v>
      </c>
      <c r="R293" s="55">
        <f>(((Tabela1369[[#This Row],[Objetive value Dissimilarity]]-Tabela1369[[#This Row],[Objetive Value Dissimilarity/H-R1]])/Tabela1369[[#This Row],[Objetive value Dissimilarity]]))*100</f>
        <v>0</v>
      </c>
      <c r="S293" s="96">
        <v>4965</v>
      </c>
      <c r="T293" s="21">
        <v>0.37</v>
      </c>
      <c r="U293" s="21">
        <v>0</v>
      </c>
      <c r="V293" s="144">
        <f>(((Tabela1369[[#This Row],[Objetive value Dissimilarity]]-Tabela1369[[#This Row],[Objetive value Dissimilarity/H-R2]])/Tabela1369[[#This Row],[Objetive value Dissimilarity]]))*100</f>
        <v>2.7424094025465231</v>
      </c>
    </row>
    <row r="294" spans="1:22" s="34" customFormat="1" x14ac:dyDescent="0.25">
      <c r="A294" s="11" t="s">
        <v>148</v>
      </c>
      <c r="B294" s="12" t="s">
        <v>1389</v>
      </c>
      <c r="C294" s="11">
        <v>300</v>
      </c>
      <c r="D294" s="11">
        <v>0.15</v>
      </c>
      <c r="E294" s="11">
        <v>10</v>
      </c>
      <c r="F294" s="12" t="s">
        <v>18</v>
      </c>
      <c r="G294" s="12" t="s">
        <v>16</v>
      </c>
      <c r="H294" s="155">
        <v>3810</v>
      </c>
      <c r="I294" s="140">
        <v>1.28099999995902</v>
      </c>
      <c r="J294" s="147">
        <v>0</v>
      </c>
      <c r="K294" s="157">
        <v>3777</v>
      </c>
      <c r="L294" s="161">
        <v>32</v>
      </c>
      <c r="M294" s="161">
        <v>30</v>
      </c>
      <c r="N294" s="154">
        <f>(((Tabela1369[[#This Row],[Objetive value Dissimilarity]]-Tabela1369[[#This Row],[Objetive value Dissimilarity/GATeS]])/Tabela1369[[#This Row],[Objetive value Dissimilarity]]))*100</f>
        <v>0.86614173228346458</v>
      </c>
      <c r="O294" s="23">
        <v>3784</v>
      </c>
      <c r="P294" s="53">
        <v>0.61</v>
      </c>
      <c r="Q294" s="53">
        <v>0</v>
      </c>
      <c r="R294" s="55">
        <f>(((Tabela1369[[#This Row],[Objetive value Dissimilarity]]-Tabela1369[[#This Row],[Objetive Value Dissimilarity/H-R1]])/Tabela1369[[#This Row],[Objetive value Dissimilarity]]))*100</f>
        <v>0.6824146981627297</v>
      </c>
      <c r="S294" s="96">
        <v>3810</v>
      </c>
      <c r="T294" s="21">
        <v>0.8</v>
      </c>
      <c r="U294" s="21">
        <v>0</v>
      </c>
      <c r="V294" s="144">
        <f>(((Tabela1369[[#This Row],[Objetive value Dissimilarity]]-Tabela1369[[#This Row],[Objetive value Dissimilarity/H-R2]])/Tabela1369[[#This Row],[Objetive value Dissimilarity]]))*100</f>
        <v>0</v>
      </c>
    </row>
    <row r="295" spans="1:22" s="34" customFormat="1" x14ac:dyDescent="0.25">
      <c r="A295" s="11" t="s">
        <v>148</v>
      </c>
      <c r="B295" s="12" t="s">
        <v>1390</v>
      </c>
      <c r="C295" s="11">
        <v>300</v>
      </c>
      <c r="D295" s="11">
        <v>0.15</v>
      </c>
      <c r="E295" s="11">
        <v>10</v>
      </c>
      <c r="F295" s="12" t="s">
        <v>21</v>
      </c>
      <c r="G295" s="12" t="s">
        <v>14</v>
      </c>
      <c r="H295" s="155">
        <v>2792</v>
      </c>
      <c r="I295" s="140">
        <v>0.155999999959021</v>
      </c>
      <c r="J295" s="147">
        <v>0</v>
      </c>
      <c r="K295" s="157">
        <v>2129</v>
      </c>
      <c r="L295" s="161">
        <v>23</v>
      </c>
      <c r="M295" s="161">
        <v>15</v>
      </c>
      <c r="N295" s="154">
        <f>(((Tabela1369[[#This Row],[Objetive value Dissimilarity]]-Tabela1369[[#This Row],[Objetive value Dissimilarity/GATeS]])/Tabela1369[[#This Row],[Objetive value Dissimilarity]]))*100</f>
        <v>23.746418338108882</v>
      </c>
      <c r="O295" s="23">
        <v>2792</v>
      </c>
      <c r="P295" s="53">
        <v>1.07</v>
      </c>
      <c r="Q295" s="53">
        <v>0</v>
      </c>
      <c r="R295" s="55">
        <f>(((Tabela1369[[#This Row],[Objetive value Dissimilarity]]-Tabela1369[[#This Row],[Objetive Value Dissimilarity/H-R1]])/Tabela1369[[#This Row],[Objetive value Dissimilarity]]))*100</f>
        <v>0</v>
      </c>
      <c r="S295" s="96">
        <v>2792</v>
      </c>
      <c r="T295" s="21">
        <v>1.76</v>
      </c>
      <c r="U295" s="21">
        <v>0</v>
      </c>
      <c r="V295" s="144">
        <f>(((Tabela1369[[#This Row],[Objetive value Dissimilarity]]-Tabela1369[[#This Row],[Objetive value Dissimilarity/H-R2]])/Tabela1369[[#This Row],[Objetive value Dissimilarity]]))*100</f>
        <v>0</v>
      </c>
    </row>
    <row r="296" spans="1:22" s="34" customFormat="1" x14ac:dyDescent="0.25">
      <c r="A296" s="11" t="s">
        <v>148</v>
      </c>
      <c r="B296" s="12" t="s">
        <v>1391</v>
      </c>
      <c r="C296" s="11">
        <v>300</v>
      </c>
      <c r="D296" s="11">
        <v>0.15</v>
      </c>
      <c r="E296" s="11">
        <v>10</v>
      </c>
      <c r="F296" s="12" t="s">
        <v>21</v>
      </c>
      <c r="G296" s="12" t="s">
        <v>16</v>
      </c>
      <c r="H296" s="155">
        <v>3938</v>
      </c>
      <c r="I296" s="140">
        <v>0.82799999997951002</v>
      </c>
      <c r="J296" s="147">
        <v>0</v>
      </c>
      <c r="K296" s="157">
        <v>3851</v>
      </c>
      <c r="L296" s="161">
        <v>28</v>
      </c>
      <c r="M296" s="161">
        <v>9</v>
      </c>
      <c r="N296" s="154">
        <f>(((Tabela1369[[#This Row],[Objetive value Dissimilarity]]-Tabela1369[[#This Row],[Objetive value Dissimilarity/GATeS]])/Tabela1369[[#This Row],[Objetive value Dissimilarity]]))*100</f>
        <v>2.2092432706957843</v>
      </c>
      <c r="O296" s="23">
        <v>3938</v>
      </c>
      <c r="P296" s="53">
        <v>0.76</v>
      </c>
      <c r="Q296" s="53">
        <v>0</v>
      </c>
      <c r="R296" s="55">
        <f>(((Tabela1369[[#This Row],[Objetive value Dissimilarity]]-Tabela1369[[#This Row],[Objetive Value Dissimilarity/H-R1]])/Tabela1369[[#This Row],[Objetive value Dissimilarity]]))*100</f>
        <v>0</v>
      </c>
      <c r="S296" s="96">
        <v>3929</v>
      </c>
      <c r="T296" s="21">
        <v>0.51</v>
      </c>
      <c r="U296" s="21">
        <v>0</v>
      </c>
      <c r="V296" s="144">
        <f>(((Tabela1369[[#This Row],[Objetive value Dissimilarity]]-Tabela1369[[#This Row],[Objetive value Dissimilarity/H-R2]])/Tabela1369[[#This Row],[Objetive value Dissimilarity]]))*100</f>
        <v>0.22854240731335704</v>
      </c>
    </row>
    <row r="297" spans="1:22" s="34" customFormat="1" x14ac:dyDescent="0.25">
      <c r="A297" s="29" t="s">
        <v>167</v>
      </c>
      <c r="B297" s="12" t="s">
        <v>1392</v>
      </c>
      <c r="C297" s="11">
        <v>300</v>
      </c>
      <c r="D297" s="11">
        <v>0.15</v>
      </c>
      <c r="E297" s="11">
        <v>15</v>
      </c>
      <c r="F297" s="12" t="s">
        <v>13</v>
      </c>
      <c r="G297" s="12" t="s">
        <v>14</v>
      </c>
      <c r="H297" s="155">
        <v>8948</v>
      </c>
      <c r="I297" s="140">
        <v>2.0630000000819502</v>
      </c>
      <c r="J297" s="147">
        <v>8.59</v>
      </c>
      <c r="K297" s="157">
        <v>8545</v>
      </c>
      <c r="L297" s="161">
        <v>564</v>
      </c>
      <c r="M297" s="161">
        <v>120</v>
      </c>
      <c r="N297" s="154">
        <f>(((Tabela1369[[#This Row],[Objetive value Dissimilarity]]-Tabela1369[[#This Row],[Objetive value Dissimilarity/GATeS]])/Tabela1369[[#This Row],[Objetive value Dissimilarity]]))*100</f>
        <v>4.5037997317836389</v>
      </c>
      <c r="O297" s="23">
        <v>8488</v>
      </c>
      <c r="P297" s="53">
        <v>0.59</v>
      </c>
      <c r="Q297" s="53">
        <v>0</v>
      </c>
      <c r="R297" s="55">
        <f>(((Tabela1369[[#This Row],[Objetive value Dissimilarity]]-Tabela1369[[#This Row],[Objetive Value Dissimilarity/H-R1]])/Tabela1369[[#This Row],[Objetive value Dissimilarity]]))*100</f>
        <v>5.1408135896289675</v>
      </c>
      <c r="S297" s="96">
        <v>7782</v>
      </c>
      <c r="T297" s="21">
        <v>0.52</v>
      </c>
      <c r="U297" s="21">
        <v>0</v>
      </c>
      <c r="V297" s="144">
        <f>(((Tabela1369[[#This Row],[Objetive value Dissimilarity]]-Tabela1369[[#This Row],[Objetive value Dissimilarity/H-R2]])/Tabela1369[[#This Row],[Objetive value Dissimilarity]]))*100</f>
        <v>13.030844881537773</v>
      </c>
    </row>
    <row r="298" spans="1:22" s="34" customFormat="1" x14ac:dyDescent="0.25">
      <c r="A298" s="11" t="s">
        <v>167</v>
      </c>
      <c r="B298" s="12" t="s">
        <v>1393</v>
      </c>
      <c r="C298" s="11">
        <v>300</v>
      </c>
      <c r="D298" s="11">
        <v>0.15</v>
      </c>
      <c r="E298" s="11">
        <v>15</v>
      </c>
      <c r="F298" s="12" t="s">
        <v>13</v>
      </c>
      <c r="G298" s="12" t="s">
        <v>16</v>
      </c>
      <c r="H298" s="155">
        <v>5299</v>
      </c>
      <c r="I298" s="140">
        <v>14.125</v>
      </c>
      <c r="J298" s="147">
        <v>0.28000000000000003</v>
      </c>
      <c r="K298" s="157">
        <v>5280</v>
      </c>
      <c r="L298" s="161">
        <v>69</v>
      </c>
      <c r="M298" s="161">
        <v>18</v>
      </c>
      <c r="N298" s="154">
        <f>(((Tabela1369[[#This Row],[Objetive value Dissimilarity]]-Tabela1369[[#This Row],[Objetive value Dissimilarity/GATeS]])/Tabela1369[[#This Row],[Objetive value Dissimilarity]]))*100</f>
        <v>0.35855821853179842</v>
      </c>
      <c r="O298" s="23">
        <v>5272</v>
      </c>
      <c r="P298" s="53">
        <v>0.77</v>
      </c>
      <c r="Q298" s="53">
        <v>0</v>
      </c>
      <c r="R298" s="55">
        <f>(((Tabela1369[[#This Row],[Objetive value Dissimilarity]]-Tabela1369[[#This Row],[Objetive Value Dissimilarity/H-R1]])/Tabela1369[[#This Row],[Objetive value Dissimilarity]]))*100</f>
        <v>0.50953010001887145</v>
      </c>
      <c r="S298" s="96">
        <v>5272</v>
      </c>
      <c r="T298" s="21">
        <v>0.92</v>
      </c>
      <c r="U298" s="21">
        <v>0</v>
      </c>
      <c r="V298" s="144">
        <f>(((Tabela1369[[#This Row],[Objetive value Dissimilarity]]-Tabela1369[[#This Row],[Objetive value Dissimilarity/H-R2]])/Tabela1369[[#This Row],[Objetive value Dissimilarity]]))*100</f>
        <v>0.50953010001887145</v>
      </c>
    </row>
    <row r="299" spans="1:22" s="34" customFormat="1" x14ac:dyDescent="0.25">
      <c r="A299" s="11" t="s">
        <v>167</v>
      </c>
      <c r="B299" s="12" t="s">
        <v>1394</v>
      </c>
      <c r="C299" s="11">
        <v>300</v>
      </c>
      <c r="D299" s="11">
        <v>0.15</v>
      </c>
      <c r="E299" s="11">
        <v>15</v>
      </c>
      <c r="F299" s="12" t="s">
        <v>18</v>
      </c>
      <c r="G299" s="12" t="s">
        <v>14</v>
      </c>
      <c r="H299" s="155">
        <v>10291</v>
      </c>
      <c r="I299" s="140">
        <v>2.3429999999934799</v>
      </c>
      <c r="J299" s="147">
        <v>12.07</v>
      </c>
      <c r="K299" s="157">
        <v>10019</v>
      </c>
      <c r="L299" s="161">
        <v>43</v>
      </c>
      <c r="M299" s="161">
        <v>38</v>
      </c>
      <c r="N299" s="154">
        <f>(((Tabela1369[[#This Row],[Objetive value Dissimilarity]]-Tabela1369[[#This Row],[Objetive value Dissimilarity/GATeS]])/Tabela1369[[#This Row],[Objetive value Dissimilarity]]))*100</f>
        <v>2.6430861918180932</v>
      </c>
      <c r="O299" s="23">
        <v>9196</v>
      </c>
      <c r="P299" s="53">
        <v>0.69</v>
      </c>
      <c r="Q299" s="53">
        <v>0</v>
      </c>
      <c r="R299" s="55">
        <f>(((Tabela1369[[#This Row],[Objetive value Dissimilarity]]-Tabela1369[[#This Row],[Objetive Value Dissimilarity/H-R1]])/Tabela1369[[#This Row],[Objetive value Dissimilarity]]))*100</f>
        <v>10.640365367797104</v>
      </c>
      <c r="S299" s="96">
        <v>9094</v>
      </c>
      <c r="T299" s="21">
        <v>0.97</v>
      </c>
      <c r="U299" s="21">
        <v>0</v>
      </c>
      <c r="V299" s="144">
        <f>(((Tabela1369[[#This Row],[Objetive value Dissimilarity]]-Tabela1369[[#This Row],[Objetive value Dissimilarity/H-R2]])/Tabela1369[[#This Row],[Objetive value Dissimilarity]]))*100</f>
        <v>11.631522689728889</v>
      </c>
    </row>
    <row r="300" spans="1:22" s="34" customFormat="1" x14ac:dyDescent="0.25">
      <c r="A300" s="11" t="s">
        <v>167</v>
      </c>
      <c r="B300" s="12" t="s">
        <v>1395</v>
      </c>
      <c r="C300" s="11">
        <v>300</v>
      </c>
      <c r="D300" s="11">
        <v>0.15</v>
      </c>
      <c r="E300" s="11">
        <v>15</v>
      </c>
      <c r="F300" s="12" t="s">
        <v>18</v>
      </c>
      <c r="G300" s="12" t="s">
        <v>16</v>
      </c>
      <c r="H300" s="155">
        <v>5245</v>
      </c>
      <c r="I300" s="140">
        <v>14.7190000000409</v>
      </c>
      <c r="J300" s="147">
        <v>0.43</v>
      </c>
      <c r="K300" s="157">
        <v>5140</v>
      </c>
      <c r="L300" s="161">
        <v>80</v>
      </c>
      <c r="M300" s="161">
        <v>16</v>
      </c>
      <c r="N300" s="154">
        <f>(((Tabela1369[[#This Row],[Objetive value Dissimilarity]]-Tabela1369[[#This Row],[Objetive value Dissimilarity/GATeS]])/Tabela1369[[#This Row],[Objetive value Dissimilarity]]))*100</f>
        <v>2.0019065776930409</v>
      </c>
      <c r="O300" s="23">
        <v>5217</v>
      </c>
      <c r="P300" s="53">
        <v>0.71</v>
      </c>
      <c r="Q300" s="53">
        <v>0</v>
      </c>
      <c r="R300" s="55">
        <f>(((Tabela1369[[#This Row],[Objetive value Dissimilarity]]-Tabela1369[[#This Row],[Objetive Value Dissimilarity/H-R1]])/Tabela1369[[#This Row],[Objetive value Dissimilarity]]))*100</f>
        <v>0.5338417540514776</v>
      </c>
      <c r="S300" s="96">
        <v>5151</v>
      </c>
      <c r="T300" s="21">
        <v>0.62</v>
      </c>
      <c r="U300" s="21">
        <v>0</v>
      </c>
      <c r="V300" s="144">
        <f>(((Tabela1369[[#This Row],[Objetive value Dissimilarity]]-Tabela1369[[#This Row],[Objetive value Dissimilarity/H-R2]])/Tabela1369[[#This Row],[Objetive value Dissimilarity]]))*100</f>
        <v>1.7921830314585319</v>
      </c>
    </row>
    <row r="301" spans="1:22" s="34" customFormat="1" x14ac:dyDescent="0.25">
      <c r="A301" s="11" t="s">
        <v>167</v>
      </c>
      <c r="B301" s="12" t="s">
        <v>1396</v>
      </c>
      <c r="C301" s="11">
        <v>300</v>
      </c>
      <c r="D301" s="11">
        <v>0.15</v>
      </c>
      <c r="E301" s="11">
        <v>15</v>
      </c>
      <c r="F301" s="12" t="s">
        <v>21</v>
      </c>
      <c r="G301" s="12" t="s">
        <v>14</v>
      </c>
      <c r="H301" s="155">
        <v>6134</v>
      </c>
      <c r="I301" s="140">
        <v>0.53099999995902103</v>
      </c>
      <c r="J301" s="147">
        <v>0</v>
      </c>
      <c r="K301" s="157">
        <v>6101</v>
      </c>
      <c r="L301" s="161">
        <v>139</v>
      </c>
      <c r="M301" s="161">
        <v>135</v>
      </c>
      <c r="N301" s="154">
        <f>(((Tabela1369[[#This Row],[Objetive value Dissimilarity]]-Tabela1369[[#This Row],[Objetive value Dissimilarity/GATeS]])/Tabela1369[[#This Row],[Objetive value Dissimilarity]]))*100</f>
        <v>0.53798500163025764</v>
      </c>
      <c r="O301" s="23">
        <v>2023</v>
      </c>
      <c r="P301" s="53">
        <v>3.42</v>
      </c>
      <c r="Q301" s="53">
        <v>0</v>
      </c>
      <c r="R301" s="55">
        <f>(((Tabela1369[[#This Row],[Objetive value Dissimilarity]]-Tabela1369[[#This Row],[Objetive Value Dissimilarity/H-R1]])/Tabela1369[[#This Row],[Objetive value Dissimilarity]]))*100</f>
        <v>67.019889142484516</v>
      </c>
      <c r="S301" s="96">
        <v>4901</v>
      </c>
      <c r="T301" s="21">
        <v>3.87</v>
      </c>
      <c r="U301" s="21">
        <v>0</v>
      </c>
      <c r="V301" s="144">
        <f>(((Tabela1369[[#This Row],[Objetive value Dissimilarity]]-Tabela1369[[#This Row],[Objetive value Dissimilarity/H-R2]])/Tabela1369[[#This Row],[Objetive value Dissimilarity]]))*100</f>
        <v>20.101075970003262</v>
      </c>
    </row>
    <row r="302" spans="1:22" s="34" customFormat="1" x14ac:dyDescent="0.25">
      <c r="A302" s="11" t="s">
        <v>167</v>
      </c>
      <c r="B302" s="12" t="s">
        <v>1397</v>
      </c>
      <c r="C302" s="11">
        <v>300</v>
      </c>
      <c r="D302" s="11">
        <v>0.15</v>
      </c>
      <c r="E302" s="11">
        <v>15</v>
      </c>
      <c r="F302" s="12" t="s">
        <v>21</v>
      </c>
      <c r="G302" s="12" t="s">
        <v>16</v>
      </c>
      <c r="H302" s="155">
        <v>4839</v>
      </c>
      <c r="I302" s="140">
        <v>8.40600000007543</v>
      </c>
      <c r="J302" s="147">
        <v>0</v>
      </c>
      <c r="K302" s="157">
        <v>4488</v>
      </c>
      <c r="L302" s="161">
        <v>27</v>
      </c>
      <c r="M302" s="161">
        <v>17</v>
      </c>
      <c r="N302" s="154">
        <f>(((Tabela1369[[#This Row],[Objetive value Dissimilarity]]-Tabela1369[[#This Row],[Objetive value Dissimilarity/GATeS]])/Tabela1369[[#This Row],[Objetive value Dissimilarity]]))*100</f>
        <v>7.2535647861128334</v>
      </c>
      <c r="O302" s="23">
        <v>4679</v>
      </c>
      <c r="P302" s="53">
        <v>0.75</v>
      </c>
      <c r="Q302" s="53">
        <v>0</v>
      </c>
      <c r="R302" s="55">
        <f>(((Tabela1369[[#This Row],[Objetive value Dissimilarity]]-Tabela1369[[#This Row],[Objetive Value Dissimilarity/H-R1]])/Tabela1369[[#This Row],[Objetive value Dissimilarity]]))*100</f>
        <v>3.3064682785699526</v>
      </c>
      <c r="S302" s="96">
        <v>4760</v>
      </c>
      <c r="T302" s="21">
        <v>0.6</v>
      </c>
      <c r="U302" s="21">
        <v>0</v>
      </c>
      <c r="V302" s="144">
        <f>(((Tabela1369[[#This Row],[Objetive value Dissimilarity]]-Tabela1369[[#This Row],[Objetive value Dissimilarity/H-R2]])/Tabela1369[[#This Row],[Objetive value Dissimilarity]]))*100</f>
        <v>1.6325687125439141</v>
      </c>
    </row>
    <row r="303" spans="1:22" s="34" customFormat="1" x14ac:dyDescent="0.25">
      <c r="A303" s="11" t="s">
        <v>129</v>
      </c>
      <c r="B303" s="12" t="s">
        <v>1398</v>
      </c>
      <c r="C303" s="11">
        <v>300</v>
      </c>
      <c r="D303" s="11">
        <v>0.15</v>
      </c>
      <c r="E303" s="11">
        <v>5</v>
      </c>
      <c r="F303" s="12" t="s">
        <v>13</v>
      </c>
      <c r="G303" s="12" t="s">
        <v>14</v>
      </c>
      <c r="H303" s="155">
        <v>3116</v>
      </c>
      <c r="I303" s="140">
        <v>0.14000000001396901</v>
      </c>
      <c r="J303" s="147">
        <v>0</v>
      </c>
      <c r="K303" s="157">
        <v>3113</v>
      </c>
      <c r="L303" s="161">
        <v>16</v>
      </c>
      <c r="M303" s="161">
        <v>1</v>
      </c>
      <c r="N303" s="154">
        <f>(((Tabela1369[[#This Row],[Objetive value Dissimilarity]]-Tabela1369[[#This Row],[Objetive value Dissimilarity/GATeS]])/Tabela1369[[#This Row],[Objetive value Dissimilarity]]))*100</f>
        <v>9.6277278562259316E-2</v>
      </c>
      <c r="O303" s="23">
        <v>3116</v>
      </c>
      <c r="P303" s="53">
        <v>0.38</v>
      </c>
      <c r="Q303" s="53">
        <v>0</v>
      </c>
      <c r="R303" s="55">
        <f>(((Tabela1369[[#This Row],[Objetive value Dissimilarity]]-Tabela1369[[#This Row],[Objetive Value Dissimilarity/H-R1]])/Tabela1369[[#This Row],[Objetive value Dissimilarity]]))*100</f>
        <v>0</v>
      </c>
      <c r="S303" s="96">
        <v>3116</v>
      </c>
      <c r="T303" s="21">
        <v>0.41</v>
      </c>
      <c r="U303" s="21">
        <v>0</v>
      </c>
      <c r="V303" s="144">
        <f>(((Tabela1369[[#This Row],[Objetive value Dissimilarity]]-Tabela1369[[#This Row],[Objetive value Dissimilarity/H-R2]])/Tabela1369[[#This Row],[Objetive value Dissimilarity]]))*100</f>
        <v>0</v>
      </c>
    </row>
    <row r="304" spans="1:22" s="34" customFormat="1" x14ac:dyDescent="0.25">
      <c r="A304" s="11" t="s">
        <v>129</v>
      </c>
      <c r="B304" s="12" t="s">
        <v>1399</v>
      </c>
      <c r="C304" s="11">
        <v>300</v>
      </c>
      <c r="D304" s="11">
        <v>0.15</v>
      </c>
      <c r="E304" s="11">
        <v>5</v>
      </c>
      <c r="F304" s="12" t="s">
        <v>13</v>
      </c>
      <c r="G304" s="12" t="s">
        <v>16</v>
      </c>
      <c r="H304" s="155">
        <v>2116</v>
      </c>
      <c r="I304" s="140">
        <v>0.14100000006146701</v>
      </c>
      <c r="J304" s="147">
        <v>0</v>
      </c>
      <c r="K304" s="157">
        <v>2107</v>
      </c>
      <c r="L304" s="161">
        <v>13</v>
      </c>
      <c r="M304" s="161">
        <v>0</v>
      </c>
      <c r="N304" s="154">
        <f>(((Tabela1369[[#This Row],[Objetive value Dissimilarity]]-Tabela1369[[#This Row],[Objetive value Dissimilarity/GATeS]])/Tabela1369[[#This Row],[Objetive value Dissimilarity]]))*100</f>
        <v>0.42533081285444235</v>
      </c>
      <c r="O304" s="23">
        <v>2112</v>
      </c>
      <c r="P304" s="53">
        <v>0.32</v>
      </c>
      <c r="Q304" s="53">
        <v>0</v>
      </c>
      <c r="R304" s="55">
        <f>(((Tabela1369[[#This Row],[Objetive value Dissimilarity]]-Tabela1369[[#This Row],[Objetive Value Dissimilarity/H-R1]])/Tabela1369[[#This Row],[Objetive value Dissimilarity]]))*100</f>
        <v>0.1890359168241966</v>
      </c>
      <c r="S304" s="96">
        <v>1734</v>
      </c>
      <c r="T304" s="21">
        <v>0.35</v>
      </c>
      <c r="U304" s="21">
        <v>0</v>
      </c>
      <c r="V304" s="144">
        <f>(((Tabela1369[[#This Row],[Objetive value Dissimilarity]]-Tabela1369[[#This Row],[Objetive value Dissimilarity/H-R2]])/Tabela1369[[#This Row],[Objetive value Dissimilarity]]))*100</f>
        <v>18.052930056710775</v>
      </c>
    </row>
    <row r="305" spans="1:22" s="34" customFormat="1" x14ac:dyDescent="0.25">
      <c r="A305" s="11" t="s">
        <v>129</v>
      </c>
      <c r="B305" s="12" t="s">
        <v>1400</v>
      </c>
      <c r="C305" s="11">
        <v>300</v>
      </c>
      <c r="D305" s="11">
        <v>0.15</v>
      </c>
      <c r="E305" s="11">
        <v>5</v>
      </c>
      <c r="F305" s="12" t="s">
        <v>18</v>
      </c>
      <c r="G305" s="12" t="s">
        <v>14</v>
      </c>
      <c r="H305" s="155">
        <v>2765</v>
      </c>
      <c r="I305" s="140">
        <v>0.18700000003445799</v>
      </c>
      <c r="J305" s="147">
        <v>0</v>
      </c>
      <c r="K305" s="157">
        <v>2261</v>
      </c>
      <c r="L305" s="161">
        <v>11</v>
      </c>
      <c r="M305" s="161">
        <v>0</v>
      </c>
      <c r="N305" s="154">
        <f>(((Tabela1369[[#This Row],[Objetive value Dissimilarity]]-Tabela1369[[#This Row],[Objetive value Dissimilarity/GATeS]])/Tabela1369[[#This Row],[Objetive value Dissimilarity]]))*100</f>
        <v>18.227848101265824</v>
      </c>
      <c r="O305" s="23">
        <v>2261</v>
      </c>
      <c r="P305" s="53">
        <v>0.2</v>
      </c>
      <c r="Q305" s="53">
        <v>0</v>
      </c>
      <c r="R305" s="55">
        <f>(((Tabela1369[[#This Row],[Objetive value Dissimilarity]]-Tabela1369[[#This Row],[Objetive Value Dissimilarity/H-R1]])/Tabela1369[[#This Row],[Objetive value Dissimilarity]]))*100</f>
        <v>18.227848101265824</v>
      </c>
      <c r="S305" s="96">
        <v>2246</v>
      </c>
      <c r="T305" s="21">
        <v>0.25</v>
      </c>
      <c r="U305" s="21">
        <v>0</v>
      </c>
      <c r="V305" s="144">
        <f>(((Tabela1369[[#This Row],[Objetive value Dissimilarity]]-Tabela1369[[#This Row],[Objetive value Dissimilarity/H-R2]])/Tabela1369[[#This Row],[Objetive value Dissimilarity]]))*100</f>
        <v>18.770343580470165</v>
      </c>
    </row>
    <row r="306" spans="1:22" s="34" customFormat="1" x14ac:dyDescent="0.25">
      <c r="A306" s="11" t="s">
        <v>129</v>
      </c>
      <c r="B306" s="12" t="s">
        <v>1401</v>
      </c>
      <c r="C306" s="11">
        <v>300</v>
      </c>
      <c r="D306" s="11">
        <v>0.15</v>
      </c>
      <c r="E306" s="11">
        <v>5</v>
      </c>
      <c r="F306" s="12" t="s">
        <v>18</v>
      </c>
      <c r="G306" s="12" t="s">
        <v>16</v>
      </c>
      <c r="H306" s="155">
        <v>2169</v>
      </c>
      <c r="I306" s="140">
        <v>0.219000000040978</v>
      </c>
      <c r="J306" s="147">
        <v>0</v>
      </c>
      <c r="K306" s="157">
        <v>2161</v>
      </c>
      <c r="L306" s="161">
        <v>13</v>
      </c>
      <c r="M306" s="161">
        <v>7</v>
      </c>
      <c r="N306" s="154">
        <f>(((Tabela1369[[#This Row],[Objetive value Dissimilarity]]-Tabela1369[[#This Row],[Objetive value Dissimilarity/GATeS]])/Tabela1369[[#This Row],[Objetive value Dissimilarity]]))*100</f>
        <v>0.36883356385431071</v>
      </c>
      <c r="O306" s="23">
        <v>2169</v>
      </c>
      <c r="P306" s="53">
        <v>0.33</v>
      </c>
      <c r="Q306" s="53">
        <v>0</v>
      </c>
      <c r="R306" s="55">
        <f>(((Tabela1369[[#This Row],[Objetive value Dissimilarity]]-Tabela1369[[#This Row],[Objetive Value Dissimilarity/H-R1]])/Tabela1369[[#This Row],[Objetive value Dissimilarity]]))*100</f>
        <v>0</v>
      </c>
      <c r="S306" s="96">
        <v>2169</v>
      </c>
      <c r="T306" s="21">
        <v>0.37</v>
      </c>
      <c r="U306" s="21">
        <v>0</v>
      </c>
      <c r="V306" s="144">
        <f>(((Tabela1369[[#This Row],[Objetive value Dissimilarity]]-Tabela1369[[#This Row],[Objetive value Dissimilarity/H-R2]])/Tabela1369[[#This Row],[Objetive value Dissimilarity]]))*100</f>
        <v>0</v>
      </c>
    </row>
    <row r="307" spans="1:22" s="34" customFormat="1" x14ac:dyDescent="0.25">
      <c r="A307" s="11" t="s">
        <v>129</v>
      </c>
      <c r="B307" s="12" t="s">
        <v>1402</v>
      </c>
      <c r="C307" s="11">
        <v>300</v>
      </c>
      <c r="D307" s="11">
        <v>0.15</v>
      </c>
      <c r="E307" s="11">
        <v>5</v>
      </c>
      <c r="F307" s="12" t="s">
        <v>21</v>
      </c>
      <c r="G307" s="12" t="s">
        <v>14</v>
      </c>
      <c r="H307" s="155">
        <v>937</v>
      </c>
      <c r="I307" s="140">
        <v>0.14100000006146701</v>
      </c>
      <c r="J307" s="147">
        <v>0</v>
      </c>
      <c r="K307" s="157">
        <v>808</v>
      </c>
      <c r="L307" s="161">
        <v>0</v>
      </c>
      <c r="M307" s="161">
        <v>0</v>
      </c>
      <c r="N307" s="154">
        <f>(((Tabela1369[[#This Row],[Objetive value Dissimilarity]]-Tabela1369[[#This Row],[Objetive value Dissimilarity/GATeS]])/Tabela1369[[#This Row],[Objetive value Dissimilarity]]))*100</f>
        <v>13.767342582710778</v>
      </c>
      <c r="O307" s="23">
        <v>937</v>
      </c>
      <c r="P307" s="53">
        <v>0.74</v>
      </c>
      <c r="Q307" s="53">
        <v>0</v>
      </c>
      <c r="R307" s="55">
        <f>(((Tabela1369[[#This Row],[Objetive value Dissimilarity]]-Tabela1369[[#This Row],[Objetive Value Dissimilarity/H-R1]])/Tabela1369[[#This Row],[Objetive value Dissimilarity]]))*100</f>
        <v>0</v>
      </c>
      <c r="S307" s="96">
        <v>811</v>
      </c>
      <c r="T307" s="21">
        <v>0.71</v>
      </c>
      <c r="U307" s="21">
        <v>0</v>
      </c>
      <c r="V307" s="144">
        <f>(((Tabela1369[[#This Row],[Objetive value Dissimilarity]]-Tabela1369[[#This Row],[Objetive value Dissimilarity/H-R2]])/Tabela1369[[#This Row],[Objetive value Dissimilarity]]))*100</f>
        <v>13.447171824973319</v>
      </c>
    </row>
    <row r="308" spans="1:22" s="34" customFormat="1" x14ac:dyDescent="0.25">
      <c r="A308" s="11" t="s">
        <v>129</v>
      </c>
      <c r="B308" s="12" t="s">
        <v>1403</v>
      </c>
      <c r="C308" s="11">
        <v>300</v>
      </c>
      <c r="D308" s="11">
        <v>0.15</v>
      </c>
      <c r="E308" s="11">
        <v>5</v>
      </c>
      <c r="F308" s="12" t="s">
        <v>21</v>
      </c>
      <c r="G308" s="12" t="s">
        <v>16</v>
      </c>
      <c r="H308" s="155">
        <v>2087</v>
      </c>
      <c r="I308" s="140">
        <v>0.15700000000651901</v>
      </c>
      <c r="J308" s="147">
        <v>0</v>
      </c>
      <c r="K308" s="157">
        <v>2061</v>
      </c>
      <c r="L308" s="161">
        <v>16</v>
      </c>
      <c r="M308" s="161">
        <v>4</v>
      </c>
      <c r="N308" s="154">
        <f>(((Tabela1369[[#This Row],[Objetive value Dissimilarity]]-Tabela1369[[#This Row],[Objetive value Dissimilarity/GATeS]])/Tabela1369[[#This Row],[Objetive value Dissimilarity]]))*100</f>
        <v>1.2458073790129371</v>
      </c>
      <c r="O308" s="23">
        <v>1945</v>
      </c>
      <c r="P308" s="53">
        <v>0.46</v>
      </c>
      <c r="Q308" s="53">
        <v>0</v>
      </c>
      <c r="R308" s="55">
        <f>(((Tabela1369[[#This Row],[Objetive value Dissimilarity]]-Tabela1369[[#This Row],[Objetive Value Dissimilarity/H-R1]])/Tabela1369[[#This Row],[Objetive value Dissimilarity]]))*100</f>
        <v>6.8040249161475801</v>
      </c>
      <c r="S308" s="96">
        <v>2087</v>
      </c>
      <c r="T308" s="21">
        <v>0.56000000000000005</v>
      </c>
      <c r="U308" s="21">
        <v>0</v>
      </c>
      <c r="V308" s="144">
        <f>(((Tabela1369[[#This Row],[Objetive value Dissimilarity]]-Tabela1369[[#This Row],[Objetive value Dissimilarity/H-R2]])/Tabela1369[[#This Row],[Objetive value Dissimilarity]]))*100</f>
        <v>0</v>
      </c>
    </row>
    <row r="309" spans="1:22" s="34" customFormat="1" x14ac:dyDescent="0.25">
      <c r="A309" s="29" t="s">
        <v>148</v>
      </c>
      <c r="B309" s="12" t="s">
        <v>1404</v>
      </c>
      <c r="C309" s="11">
        <v>300</v>
      </c>
      <c r="D309" s="11">
        <v>0.05</v>
      </c>
      <c r="E309" s="11">
        <v>10</v>
      </c>
      <c r="F309" s="12" t="s">
        <v>13</v>
      </c>
      <c r="G309" s="12" t="s">
        <v>14</v>
      </c>
      <c r="H309" s="155">
        <v>5412</v>
      </c>
      <c r="I309" s="140">
        <v>0.71899999992456198</v>
      </c>
      <c r="J309" s="147">
        <v>9.09</v>
      </c>
      <c r="K309" s="157">
        <v>5126</v>
      </c>
      <c r="L309" s="161">
        <v>29</v>
      </c>
      <c r="M309" s="161">
        <v>26</v>
      </c>
      <c r="N309" s="154">
        <f>(((Tabela1369[[#This Row],[Objetive value Dissimilarity]]-Tabela1369[[#This Row],[Objetive value Dissimilarity/GATeS]])/Tabela1369[[#This Row],[Objetive value Dissimilarity]]))*100</f>
        <v>5.2845528455284558</v>
      </c>
      <c r="O309" s="23">
        <v>5217</v>
      </c>
      <c r="P309" s="53">
        <v>0.4</v>
      </c>
      <c r="Q309" s="53">
        <v>0</v>
      </c>
      <c r="R309" s="55">
        <f>(((Tabela1369[[#This Row],[Objetive value Dissimilarity]]-Tabela1369[[#This Row],[Objetive Value Dissimilarity/H-R1]])/Tabela1369[[#This Row],[Objetive value Dissimilarity]]))*100</f>
        <v>3.6031042128603108</v>
      </c>
      <c r="S309" s="96">
        <v>5237</v>
      </c>
      <c r="T309" s="21">
        <v>0.5</v>
      </c>
      <c r="U309" s="21">
        <v>0</v>
      </c>
      <c r="V309" s="144">
        <f>(((Tabela1369[[#This Row],[Objetive value Dissimilarity]]-Tabela1369[[#This Row],[Objetive value Dissimilarity/H-R2]])/Tabela1369[[#This Row],[Objetive value Dissimilarity]]))*100</f>
        <v>3.2335550628233554</v>
      </c>
    </row>
    <row r="310" spans="1:22" s="34" customFormat="1" x14ac:dyDescent="0.25">
      <c r="A310" s="11" t="s">
        <v>148</v>
      </c>
      <c r="B310" s="12" t="s">
        <v>1405</v>
      </c>
      <c r="C310" s="11">
        <v>300</v>
      </c>
      <c r="D310" s="11">
        <v>0.05</v>
      </c>
      <c r="E310" s="11">
        <v>10</v>
      </c>
      <c r="F310" s="12" t="s">
        <v>13</v>
      </c>
      <c r="G310" s="12" t="s">
        <v>16</v>
      </c>
      <c r="H310" s="155">
        <v>3475</v>
      </c>
      <c r="I310" s="140">
        <v>1.1709999999729901</v>
      </c>
      <c r="J310" s="147">
        <v>0</v>
      </c>
      <c r="K310" s="157">
        <v>3425</v>
      </c>
      <c r="L310" s="161">
        <v>29</v>
      </c>
      <c r="M310" s="161">
        <v>6</v>
      </c>
      <c r="N310" s="154">
        <f>(((Tabela1369[[#This Row],[Objetive value Dissimilarity]]-Tabela1369[[#This Row],[Objetive value Dissimilarity/GATeS]])/Tabela1369[[#This Row],[Objetive value Dissimilarity]]))*100</f>
        <v>1.4388489208633095</v>
      </c>
      <c r="O310" s="23">
        <v>3475</v>
      </c>
      <c r="P310" s="53">
        <v>0.91</v>
      </c>
      <c r="Q310" s="53">
        <v>0</v>
      </c>
      <c r="R310" s="55">
        <f>(((Tabela1369[[#This Row],[Objetive value Dissimilarity]]-Tabela1369[[#This Row],[Objetive Value Dissimilarity/H-R1]])/Tabela1369[[#This Row],[Objetive value Dissimilarity]]))*100</f>
        <v>0</v>
      </c>
      <c r="S310" s="96">
        <v>3227</v>
      </c>
      <c r="T310" s="21">
        <v>0.86</v>
      </c>
      <c r="U310" s="21">
        <v>0</v>
      </c>
      <c r="V310" s="144">
        <f>(((Tabela1369[[#This Row],[Objetive value Dissimilarity]]-Tabela1369[[#This Row],[Objetive value Dissimilarity/H-R2]])/Tabela1369[[#This Row],[Objetive value Dissimilarity]]))*100</f>
        <v>7.1366906474820153</v>
      </c>
    </row>
    <row r="311" spans="1:22" s="34" customFormat="1" x14ac:dyDescent="0.25">
      <c r="A311" s="11" t="s">
        <v>148</v>
      </c>
      <c r="B311" s="12" t="s">
        <v>1406</v>
      </c>
      <c r="C311" s="11">
        <v>300</v>
      </c>
      <c r="D311" s="11">
        <v>0.05</v>
      </c>
      <c r="E311" s="11">
        <v>10</v>
      </c>
      <c r="F311" s="12" t="s">
        <v>18</v>
      </c>
      <c r="G311" s="12" t="s">
        <v>14</v>
      </c>
      <c r="H311" s="155">
        <v>6656</v>
      </c>
      <c r="I311" s="140">
        <v>0.311999999918043</v>
      </c>
      <c r="J311" s="147">
        <v>0</v>
      </c>
      <c r="K311" s="157">
        <v>6468</v>
      </c>
      <c r="L311" s="161">
        <v>24</v>
      </c>
      <c r="M311" s="161">
        <v>3</v>
      </c>
      <c r="N311" s="154">
        <f>(((Tabela1369[[#This Row],[Objetive value Dissimilarity]]-Tabela1369[[#This Row],[Objetive value Dissimilarity/GATeS]])/Tabela1369[[#This Row],[Objetive value Dissimilarity]]))*100</f>
        <v>2.8245192307692308</v>
      </c>
      <c r="O311" s="23">
        <v>6489</v>
      </c>
      <c r="P311" s="53">
        <v>0.42</v>
      </c>
      <c r="Q311" s="53">
        <v>0</v>
      </c>
      <c r="R311" s="55">
        <f>(((Tabela1369[[#This Row],[Objetive value Dissimilarity]]-Tabela1369[[#This Row],[Objetive Value Dissimilarity/H-R1]])/Tabela1369[[#This Row],[Objetive value Dissimilarity]]))*100</f>
        <v>2.5090144230769234</v>
      </c>
      <c r="S311" s="96">
        <v>6306</v>
      </c>
      <c r="T311" s="21">
        <v>0.62</v>
      </c>
      <c r="U311" s="21">
        <v>0</v>
      </c>
      <c r="V311" s="144">
        <f>(((Tabela1369[[#This Row],[Objetive value Dissimilarity]]-Tabela1369[[#This Row],[Objetive value Dissimilarity/H-R2]])/Tabela1369[[#This Row],[Objetive value Dissimilarity]]))*100</f>
        <v>5.2584134615384617</v>
      </c>
    </row>
    <row r="312" spans="1:22" s="34" customFormat="1" x14ac:dyDescent="0.25">
      <c r="A312" s="11" t="s">
        <v>148</v>
      </c>
      <c r="B312" s="12" t="s">
        <v>1407</v>
      </c>
      <c r="C312" s="11">
        <v>300</v>
      </c>
      <c r="D312" s="11">
        <v>0.05</v>
      </c>
      <c r="E312" s="11">
        <v>10</v>
      </c>
      <c r="F312" s="12" t="s">
        <v>18</v>
      </c>
      <c r="G312" s="12" t="s">
        <v>16</v>
      </c>
      <c r="H312" s="155">
        <v>3637</v>
      </c>
      <c r="I312" s="140">
        <v>2.2969999999040698</v>
      </c>
      <c r="J312" s="147">
        <v>0</v>
      </c>
      <c r="K312" s="157">
        <v>3578</v>
      </c>
      <c r="L312" s="161">
        <v>29</v>
      </c>
      <c r="M312" s="161">
        <v>2</v>
      </c>
      <c r="N312" s="154">
        <f>(((Tabela1369[[#This Row],[Objetive value Dissimilarity]]-Tabela1369[[#This Row],[Objetive value Dissimilarity/GATeS]])/Tabela1369[[#This Row],[Objetive value Dissimilarity]]))*100</f>
        <v>1.6222161121803684</v>
      </c>
      <c r="O312" s="23">
        <v>3629</v>
      </c>
      <c r="P312" s="53">
        <v>0.57999999999999996</v>
      </c>
      <c r="Q312" s="53">
        <v>0</v>
      </c>
      <c r="R312" s="55">
        <f>(((Tabela1369[[#This Row],[Objetive value Dissimilarity]]-Tabela1369[[#This Row],[Objetive Value Dissimilarity/H-R1]])/Tabela1369[[#This Row],[Objetive value Dissimilarity]]))*100</f>
        <v>0.21996150673632117</v>
      </c>
      <c r="S312" s="96">
        <v>3629</v>
      </c>
      <c r="T312" s="21">
        <v>0.84</v>
      </c>
      <c r="U312" s="21">
        <v>0</v>
      </c>
      <c r="V312" s="144">
        <f>(((Tabela1369[[#This Row],[Objetive value Dissimilarity]]-Tabela1369[[#This Row],[Objetive value Dissimilarity/H-R2]])/Tabela1369[[#This Row],[Objetive value Dissimilarity]]))*100</f>
        <v>0.21996150673632117</v>
      </c>
    </row>
    <row r="313" spans="1:22" s="34" customFormat="1" x14ac:dyDescent="0.25">
      <c r="A313" s="11" t="s">
        <v>148</v>
      </c>
      <c r="B313" s="12" t="s">
        <v>1408</v>
      </c>
      <c r="C313" s="11">
        <v>300</v>
      </c>
      <c r="D313" s="11">
        <v>0.05</v>
      </c>
      <c r="E313" s="11">
        <v>10</v>
      </c>
      <c r="F313" s="12" t="s">
        <v>21</v>
      </c>
      <c r="G313" s="12" t="s">
        <v>14</v>
      </c>
      <c r="H313" s="155">
        <v>3627</v>
      </c>
      <c r="I313" s="140">
        <v>0.17200000002048901</v>
      </c>
      <c r="J313" s="147">
        <v>0</v>
      </c>
      <c r="K313" s="157">
        <v>3624</v>
      </c>
      <c r="L313" s="161">
        <v>27</v>
      </c>
      <c r="M313" s="161">
        <v>12</v>
      </c>
      <c r="N313" s="154">
        <f>(((Tabela1369[[#This Row],[Objetive value Dissimilarity]]-Tabela1369[[#This Row],[Objetive value Dissimilarity/GATeS]])/Tabela1369[[#This Row],[Objetive value Dissimilarity]]))*100</f>
        <v>8.2712985938792394E-2</v>
      </c>
      <c r="O313" s="23">
        <v>1296</v>
      </c>
      <c r="P313" s="53">
        <v>1.62</v>
      </c>
      <c r="Q313" s="53">
        <v>0</v>
      </c>
      <c r="R313" s="55">
        <f>(((Tabela1369[[#This Row],[Objetive value Dissimilarity]]-Tabela1369[[#This Row],[Objetive Value Dissimilarity/H-R1]])/Tabela1369[[#This Row],[Objetive value Dissimilarity]]))*100</f>
        <v>64.267990074441684</v>
      </c>
      <c r="S313" s="96">
        <v>3627</v>
      </c>
      <c r="T313" s="21">
        <v>1.17</v>
      </c>
      <c r="U313" s="21">
        <v>0</v>
      </c>
      <c r="V313" s="144">
        <f>(((Tabela1369[[#This Row],[Objetive value Dissimilarity]]-Tabela1369[[#This Row],[Objetive value Dissimilarity/H-R2]])/Tabela1369[[#This Row],[Objetive value Dissimilarity]]))*100</f>
        <v>0</v>
      </c>
    </row>
    <row r="314" spans="1:22" s="34" customFormat="1" x14ac:dyDescent="0.25">
      <c r="A314" s="11" t="s">
        <v>148</v>
      </c>
      <c r="B314" s="12" t="s">
        <v>1409</v>
      </c>
      <c r="C314" s="11">
        <v>300</v>
      </c>
      <c r="D314" s="11">
        <v>0.05</v>
      </c>
      <c r="E314" s="11">
        <v>10</v>
      </c>
      <c r="F314" s="12" t="s">
        <v>21</v>
      </c>
      <c r="G314" s="12" t="s">
        <v>16</v>
      </c>
      <c r="H314" s="155">
        <v>3606</v>
      </c>
      <c r="I314" s="140">
        <v>0.84400000004097797</v>
      </c>
      <c r="J314" s="147">
        <v>0</v>
      </c>
      <c r="K314" s="157">
        <v>3599</v>
      </c>
      <c r="L314" s="161">
        <v>43</v>
      </c>
      <c r="M314" s="161">
        <v>16</v>
      </c>
      <c r="N314" s="154">
        <f>(((Tabela1369[[#This Row],[Objetive value Dissimilarity]]-Tabela1369[[#This Row],[Objetive value Dissimilarity/GATeS]])/Tabela1369[[#This Row],[Objetive value Dissimilarity]]))*100</f>
        <v>0.19412090959511924</v>
      </c>
      <c r="O314" s="23">
        <v>3478</v>
      </c>
      <c r="P314" s="53">
        <v>0.6</v>
      </c>
      <c r="Q314" s="53">
        <v>0</v>
      </c>
      <c r="R314" s="55">
        <f>(((Tabela1369[[#This Row],[Objetive value Dissimilarity]]-Tabela1369[[#This Row],[Objetive Value Dissimilarity/H-R1]])/Tabela1369[[#This Row],[Objetive value Dissimilarity]]))*100</f>
        <v>3.5496394897393237</v>
      </c>
      <c r="S314" s="96">
        <v>3461</v>
      </c>
      <c r="T314" s="21">
        <v>0.49</v>
      </c>
      <c r="U314" s="21">
        <v>0</v>
      </c>
      <c r="V314" s="144">
        <f>(((Tabela1369[[#This Row],[Objetive value Dissimilarity]]-Tabela1369[[#This Row],[Objetive value Dissimilarity/H-R2]])/Tabela1369[[#This Row],[Objetive value Dissimilarity]]))*100</f>
        <v>4.0210759844703272</v>
      </c>
    </row>
    <row r="315" spans="1:22" s="34" customFormat="1" x14ac:dyDescent="0.25">
      <c r="A315" s="29" t="s">
        <v>167</v>
      </c>
      <c r="B315" s="12" t="s">
        <v>1410</v>
      </c>
      <c r="C315" s="11">
        <v>300</v>
      </c>
      <c r="D315" s="11">
        <v>0.05</v>
      </c>
      <c r="E315" s="11">
        <v>15</v>
      </c>
      <c r="F315" s="12" t="s">
        <v>13</v>
      </c>
      <c r="G315" s="12" t="s">
        <v>14</v>
      </c>
      <c r="H315" s="155">
        <v>6435</v>
      </c>
      <c r="I315" s="140">
        <v>2.5629999999655402</v>
      </c>
      <c r="J315" s="147">
        <v>12.7</v>
      </c>
      <c r="K315" s="157">
        <v>6207</v>
      </c>
      <c r="L315" s="161">
        <v>263</v>
      </c>
      <c r="M315" s="161">
        <v>133</v>
      </c>
      <c r="N315" s="154">
        <f>(((Tabela1369[[#This Row],[Objetive value Dissimilarity]]-Tabela1369[[#This Row],[Objetive value Dissimilarity/GATeS]])/Tabela1369[[#This Row],[Objetive value Dissimilarity]]))*100</f>
        <v>3.5431235431235435</v>
      </c>
      <c r="O315" s="23">
        <v>6232</v>
      </c>
      <c r="P315" s="53">
        <v>0.75</v>
      </c>
      <c r="Q315" s="53">
        <v>0</v>
      </c>
      <c r="R315" s="55">
        <f>(((Tabela1369[[#This Row],[Objetive value Dissimilarity]]-Tabela1369[[#This Row],[Objetive Value Dissimilarity/H-R1]])/Tabela1369[[#This Row],[Objetive value Dissimilarity]]))*100</f>
        <v>3.1546231546231547</v>
      </c>
      <c r="S315" s="96">
        <v>5702</v>
      </c>
      <c r="T315" s="21">
        <v>0.52</v>
      </c>
      <c r="U315" s="21">
        <v>0</v>
      </c>
      <c r="V315" s="144">
        <f>(((Tabela1369[[#This Row],[Objetive value Dissimilarity]]-Tabela1369[[#This Row],[Objetive value Dissimilarity/H-R2]])/Tabela1369[[#This Row],[Objetive value Dissimilarity]]))*100</f>
        <v>11.390831390831391</v>
      </c>
    </row>
    <row r="316" spans="1:22" s="34" customFormat="1" x14ac:dyDescent="0.25">
      <c r="A316" s="11" t="s">
        <v>167</v>
      </c>
      <c r="B316" s="12" t="s">
        <v>1411</v>
      </c>
      <c r="C316" s="11">
        <v>300</v>
      </c>
      <c r="D316" s="11">
        <v>0.05</v>
      </c>
      <c r="E316" s="11">
        <v>15</v>
      </c>
      <c r="F316" s="12" t="s">
        <v>13</v>
      </c>
      <c r="G316" s="12" t="s">
        <v>16</v>
      </c>
      <c r="H316" s="155">
        <v>5366</v>
      </c>
      <c r="I316" s="140">
        <v>11.655999999959</v>
      </c>
      <c r="J316" s="147">
        <v>0.02</v>
      </c>
      <c r="K316" s="157">
        <v>5314</v>
      </c>
      <c r="L316" s="161">
        <v>73</v>
      </c>
      <c r="M316" s="161">
        <v>61</v>
      </c>
      <c r="N316" s="154">
        <f>(((Tabela1369[[#This Row],[Objetive value Dissimilarity]]-Tabela1369[[#This Row],[Objetive value Dissimilarity/GATeS]])/Tabela1369[[#This Row],[Objetive value Dissimilarity]]))*100</f>
        <v>0.96906448005963475</v>
      </c>
      <c r="O316" s="23">
        <v>5115</v>
      </c>
      <c r="P316" s="53">
        <v>0.81</v>
      </c>
      <c r="Q316" s="53">
        <v>0</v>
      </c>
      <c r="R316" s="55">
        <f>(((Tabela1369[[#This Row],[Objetive value Dissimilarity]]-Tabela1369[[#This Row],[Objetive Value Dissimilarity/H-R1]])/Tabela1369[[#This Row],[Objetive value Dissimilarity]]))*100</f>
        <v>4.6775997018263142</v>
      </c>
      <c r="S316" s="96">
        <v>5179</v>
      </c>
      <c r="T316" s="21">
        <v>0.78</v>
      </c>
      <c r="U316" s="21">
        <v>0</v>
      </c>
      <c r="V316" s="144">
        <f>(((Tabela1369[[#This Row],[Objetive value Dissimilarity]]-Tabela1369[[#This Row],[Objetive value Dissimilarity/H-R2]])/Tabela1369[[#This Row],[Objetive value Dissimilarity]]))*100</f>
        <v>3.484904957137533</v>
      </c>
    </row>
    <row r="317" spans="1:22" s="34" customFormat="1" x14ac:dyDescent="0.25">
      <c r="A317" s="11" t="s">
        <v>167</v>
      </c>
      <c r="B317" s="12" t="s">
        <v>1412</v>
      </c>
      <c r="C317" s="11">
        <v>300</v>
      </c>
      <c r="D317" s="11">
        <v>0.05</v>
      </c>
      <c r="E317" s="11">
        <v>15</v>
      </c>
      <c r="F317" s="12" t="s">
        <v>18</v>
      </c>
      <c r="G317" s="12" t="s">
        <v>14</v>
      </c>
      <c r="H317" s="155">
        <v>8708</v>
      </c>
      <c r="I317" s="140">
        <v>2.6410000000614602</v>
      </c>
      <c r="J317" s="147">
        <v>15.45</v>
      </c>
      <c r="K317" s="157">
        <v>8153</v>
      </c>
      <c r="L317" s="161">
        <v>41</v>
      </c>
      <c r="M317" s="161">
        <v>19</v>
      </c>
      <c r="N317" s="154">
        <f>(((Tabela1369[[#This Row],[Objetive value Dissimilarity]]-Tabela1369[[#This Row],[Objetive value Dissimilarity/GATeS]])/Tabela1369[[#This Row],[Objetive value Dissimilarity]]))*100</f>
        <v>6.3734497014239775</v>
      </c>
      <c r="O317" s="23">
        <v>8329</v>
      </c>
      <c r="P317" s="53">
        <v>0.39</v>
      </c>
      <c r="Q317" s="53">
        <v>0</v>
      </c>
      <c r="R317" s="55">
        <f>(((Tabela1369[[#This Row],[Objetive value Dissimilarity]]-Tabela1369[[#This Row],[Objetive Value Dissimilarity/H-R1]])/Tabela1369[[#This Row],[Objetive value Dissimilarity]]))*100</f>
        <v>4.3523197060174557</v>
      </c>
      <c r="S317" s="96">
        <v>8403</v>
      </c>
      <c r="T317" s="21">
        <v>0.51</v>
      </c>
      <c r="U317" s="21">
        <v>0</v>
      </c>
      <c r="V317" s="144">
        <f>(((Tabela1369[[#This Row],[Objetive value Dissimilarity]]-Tabela1369[[#This Row],[Objetive value Dissimilarity/H-R2]])/Tabela1369[[#This Row],[Objetive value Dissimilarity]]))*100</f>
        <v>3.5025264124942583</v>
      </c>
    </row>
    <row r="318" spans="1:22" s="34" customFormat="1" x14ac:dyDescent="0.25">
      <c r="A318" s="11" t="s">
        <v>167</v>
      </c>
      <c r="B318" s="12" t="s">
        <v>1413</v>
      </c>
      <c r="C318" s="11">
        <v>300</v>
      </c>
      <c r="D318" s="11">
        <v>0.05</v>
      </c>
      <c r="E318" s="11">
        <v>15</v>
      </c>
      <c r="F318" s="12" t="s">
        <v>18</v>
      </c>
      <c r="G318" s="12" t="s">
        <v>16</v>
      </c>
      <c r="H318" s="155">
        <v>5104</v>
      </c>
      <c r="I318" s="140">
        <v>13.9370000000344</v>
      </c>
      <c r="J318" s="147">
        <v>0.43</v>
      </c>
      <c r="K318" s="157">
        <v>5020</v>
      </c>
      <c r="L318" s="161">
        <v>69</v>
      </c>
      <c r="M318" s="161">
        <v>65</v>
      </c>
      <c r="N318" s="154">
        <f>(((Tabela1369[[#This Row],[Objetive value Dissimilarity]]-Tabela1369[[#This Row],[Objetive value Dissimilarity/GATeS]])/Tabela1369[[#This Row],[Objetive value Dissimilarity]]))*100</f>
        <v>1.6457680250783697</v>
      </c>
      <c r="O318" s="23">
        <v>5078</v>
      </c>
      <c r="P318" s="53">
        <v>0.8</v>
      </c>
      <c r="Q318" s="53">
        <v>0</v>
      </c>
      <c r="R318" s="55">
        <f>(((Tabela1369[[#This Row],[Objetive value Dissimilarity]]-Tabela1369[[#This Row],[Objetive Value Dissimilarity/H-R1]])/Tabela1369[[#This Row],[Objetive value Dissimilarity]]))*100</f>
        <v>0.50940438871473348</v>
      </c>
      <c r="S318" s="96">
        <v>5001</v>
      </c>
      <c r="T318" s="21">
        <v>0.64</v>
      </c>
      <c r="U318" s="21">
        <v>0</v>
      </c>
      <c r="V318" s="144">
        <f>(((Tabela1369[[#This Row],[Objetive value Dissimilarity]]-Tabela1369[[#This Row],[Objetive value Dissimilarity/H-R2]])/Tabela1369[[#This Row],[Objetive value Dissimilarity]]))*100</f>
        <v>2.0180250783699059</v>
      </c>
    </row>
    <row r="319" spans="1:22" s="34" customFormat="1" x14ac:dyDescent="0.25">
      <c r="A319" s="11" t="s">
        <v>167</v>
      </c>
      <c r="B319" s="12" t="s">
        <v>1414</v>
      </c>
      <c r="C319" s="11">
        <v>300</v>
      </c>
      <c r="D319" s="11">
        <v>0.05</v>
      </c>
      <c r="E319" s="11">
        <v>15</v>
      </c>
      <c r="F319" s="12" t="s">
        <v>21</v>
      </c>
      <c r="G319" s="12" t="s">
        <v>14</v>
      </c>
      <c r="H319" s="155">
        <v>5357</v>
      </c>
      <c r="I319" s="140">
        <v>1.2650000000139601</v>
      </c>
      <c r="J319" s="147">
        <v>15.84</v>
      </c>
      <c r="K319" s="157">
        <v>5049</v>
      </c>
      <c r="L319" s="161">
        <v>52</v>
      </c>
      <c r="M319" s="161">
        <v>21</v>
      </c>
      <c r="N319" s="154">
        <f>(((Tabela1369[[#This Row],[Objetive value Dissimilarity]]-Tabela1369[[#This Row],[Objetive value Dissimilarity/GATeS]])/Tabela1369[[#This Row],[Objetive value Dissimilarity]]))*100</f>
        <v>5.7494866529774127</v>
      </c>
      <c r="O319" s="23">
        <v>957</v>
      </c>
      <c r="P319" s="53">
        <v>3.54</v>
      </c>
      <c r="Q319" s="53">
        <v>0</v>
      </c>
      <c r="R319" s="55">
        <f>(((Tabela1369[[#This Row],[Objetive value Dissimilarity]]-Tabela1369[[#This Row],[Objetive Value Dissimilarity/H-R1]])/Tabela1369[[#This Row],[Objetive value Dissimilarity]]))*100</f>
        <v>82.135523613963031</v>
      </c>
      <c r="S319" s="96">
        <v>3619</v>
      </c>
      <c r="T319" s="21">
        <v>1.85</v>
      </c>
      <c r="U319" s="21">
        <v>0</v>
      </c>
      <c r="V319" s="144">
        <f>(((Tabela1369[[#This Row],[Objetive value Dissimilarity]]-Tabela1369[[#This Row],[Objetive value Dissimilarity/H-R2]])/Tabela1369[[#This Row],[Objetive value Dissimilarity]]))*100</f>
        <v>32.4435318275154</v>
      </c>
    </row>
    <row r="320" spans="1:22" s="34" customFormat="1" x14ac:dyDescent="0.25">
      <c r="A320" s="11" t="s">
        <v>167</v>
      </c>
      <c r="B320" s="12" t="s">
        <v>1415</v>
      </c>
      <c r="C320" s="11">
        <v>300</v>
      </c>
      <c r="D320" s="11">
        <v>0.05</v>
      </c>
      <c r="E320" s="11">
        <v>15</v>
      </c>
      <c r="F320" s="12" t="s">
        <v>21</v>
      </c>
      <c r="G320" s="12" t="s">
        <v>16</v>
      </c>
      <c r="H320" s="155">
        <v>5193</v>
      </c>
      <c r="I320" s="140">
        <v>5.3440000000409702</v>
      </c>
      <c r="J320" s="147">
        <v>0</v>
      </c>
      <c r="K320" s="157">
        <v>5171</v>
      </c>
      <c r="L320" s="161">
        <v>44</v>
      </c>
      <c r="M320" s="161">
        <v>16</v>
      </c>
      <c r="N320" s="154">
        <f>(((Tabela1369[[#This Row],[Objetive value Dissimilarity]]-Tabela1369[[#This Row],[Objetive value Dissimilarity/GATeS]])/Tabela1369[[#This Row],[Objetive value Dissimilarity]]))*100</f>
        <v>0.42364721740804928</v>
      </c>
      <c r="O320" s="23">
        <v>4991</v>
      </c>
      <c r="P320" s="53">
        <v>0.77</v>
      </c>
      <c r="Q320" s="53">
        <v>0</v>
      </c>
      <c r="R320" s="55">
        <f>(((Tabela1369[[#This Row],[Objetive value Dissimilarity]]-Tabela1369[[#This Row],[Objetive Value Dissimilarity/H-R1]])/Tabela1369[[#This Row],[Objetive value Dissimilarity]]))*100</f>
        <v>3.8898517234739067</v>
      </c>
      <c r="S320" s="96">
        <v>5065</v>
      </c>
      <c r="T320" s="21">
        <v>0.68</v>
      </c>
      <c r="U320" s="21">
        <v>0</v>
      </c>
      <c r="V320" s="144">
        <f>(((Tabela1369[[#This Row],[Objetive value Dissimilarity]]-Tabela1369[[#This Row],[Objetive value Dissimilarity/H-R2]])/Tabela1369[[#This Row],[Objetive value Dissimilarity]]))*100</f>
        <v>2.4648565376468321</v>
      </c>
    </row>
    <row r="321" spans="1:22" s="34" customFormat="1" x14ac:dyDescent="0.25">
      <c r="A321" s="11" t="s">
        <v>129</v>
      </c>
      <c r="B321" s="30" t="s">
        <v>1416</v>
      </c>
      <c r="C321" s="11">
        <v>300</v>
      </c>
      <c r="D321" s="11">
        <v>0.05</v>
      </c>
      <c r="E321" s="11">
        <v>5</v>
      </c>
      <c r="F321" s="12" t="s">
        <v>13</v>
      </c>
      <c r="G321" s="12" t="s">
        <v>14</v>
      </c>
      <c r="H321" s="155">
        <v>2881</v>
      </c>
      <c r="I321" s="140">
        <v>0.14000000001396901</v>
      </c>
      <c r="J321" s="147">
        <v>0</v>
      </c>
      <c r="K321" s="157">
        <v>2878</v>
      </c>
      <c r="L321" s="161">
        <v>21</v>
      </c>
      <c r="M321" s="161">
        <v>8</v>
      </c>
      <c r="N321" s="154">
        <f>(((Tabela1369[[#This Row],[Objetive value Dissimilarity]]-Tabela1369[[#This Row],[Objetive value Dissimilarity/GATeS]])/Tabela1369[[#This Row],[Objetive value Dissimilarity]]))*100</f>
        <v>0.10413051023950018</v>
      </c>
      <c r="O321" s="23">
        <v>2715</v>
      </c>
      <c r="P321" s="53">
        <v>0.38</v>
      </c>
      <c r="Q321" s="53">
        <v>0</v>
      </c>
      <c r="R321" s="55">
        <f>(((Tabela1369[[#This Row],[Objetive value Dissimilarity]]-Tabela1369[[#This Row],[Objetive Value Dissimilarity/H-R1]])/Tabela1369[[#This Row],[Objetive value Dissimilarity]]))*100</f>
        <v>5.7618882332523427</v>
      </c>
      <c r="S321" s="96">
        <v>2881</v>
      </c>
      <c r="T321" s="21">
        <v>0.45</v>
      </c>
      <c r="U321" s="21">
        <v>0</v>
      </c>
      <c r="V321" s="144">
        <f>(((Tabela1369[[#This Row],[Objetive value Dissimilarity]]-Tabela1369[[#This Row],[Objetive value Dissimilarity/H-R2]])/Tabela1369[[#This Row],[Objetive value Dissimilarity]]))*100</f>
        <v>0</v>
      </c>
    </row>
    <row r="322" spans="1:22" s="34" customFormat="1" x14ac:dyDescent="0.25">
      <c r="A322" s="11" t="s">
        <v>129</v>
      </c>
      <c r="B322" s="12" t="s">
        <v>1417</v>
      </c>
      <c r="C322" s="11">
        <v>300</v>
      </c>
      <c r="D322" s="11">
        <v>0.05</v>
      </c>
      <c r="E322" s="11">
        <v>5</v>
      </c>
      <c r="F322" s="12" t="s">
        <v>13</v>
      </c>
      <c r="G322" s="12" t="s">
        <v>16</v>
      </c>
      <c r="H322" s="155">
        <v>1873</v>
      </c>
      <c r="I322" s="140">
        <v>0.17200000002048901</v>
      </c>
      <c r="J322" s="147">
        <v>0</v>
      </c>
      <c r="K322" s="157">
        <v>1873</v>
      </c>
      <c r="L322" s="161">
        <v>15</v>
      </c>
      <c r="M322" s="161">
        <v>3</v>
      </c>
      <c r="N322" s="154">
        <f>(((Tabela1369[[#This Row],[Objetive value Dissimilarity]]-Tabela1369[[#This Row],[Objetive value Dissimilarity/GATeS]])/Tabela1369[[#This Row],[Objetive value Dissimilarity]]))*100</f>
        <v>0</v>
      </c>
      <c r="O322" s="23">
        <v>1849</v>
      </c>
      <c r="P322" s="53">
        <v>0.65</v>
      </c>
      <c r="Q322" s="53">
        <v>0</v>
      </c>
      <c r="R322" s="55">
        <f>(((Tabela1369[[#This Row],[Objetive value Dissimilarity]]-Tabela1369[[#This Row],[Objetive Value Dissimilarity/H-R1]])/Tabela1369[[#This Row],[Objetive value Dissimilarity]]))*100</f>
        <v>1.2813667912439934</v>
      </c>
      <c r="S322" s="96">
        <v>1687</v>
      </c>
      <c r="T322" s="21">
        <v>0.4</v>
      </c>
      <c r="U322" s="21">
        <v>0</v>
      </c>
      <c r="V322" s="144">
        <f>(((Tabela1369[[#This Row],[Objetive value Dissimilarity]]-Tabela1369[[#This Row],[Objetive value Dissimilarity/H-R2]])/Tabela1369[[#This Row],[Objetive value Dissimilarity]]))*100</f>
        <v>9.9305926321409501</v>
      </c>
    </row>
    <row r="323" spans="1:22" s="34" customFormat="1" x14ac:dyDescent="0.25">
      <c r="A323" s="11" t="s">
        <v>129</v>
      </c>
      <c r="B323" s="12" t="s">
        <v>1418</v>
      </c>
      <c r="C323" s="11">
        <v>300</v>
      </c>
      <c r="D323" s="11">
        <v>0.05</v>
      </c>
      <c r="E323" s="11">
        <v>5</v>
      </c>
      <c r="F323" s="12" t="s">
        <v>18</v>
      </c>
      <c r="G323" s="12" t="s">
        <v>14</v>
      </c>
      <c r="H323" s="155">
        <v>3036</v>
      </c>
      <c r="I323" s="140">
        <v>0.14100000006146701</v>
      </c>
      <c r="J323" s="147">
        <v>0</v>
      </c>
      <c r="K323" s="157">
        <v>2978</v>
      </c>
      <c r="L323" s="161">
        <v>13</v>
      </c>
      <c r="M323" s="161">
        <v>7</v>
      </c>
      <c r="N323" s="154">
        <f>(((Tabela1369[[#This Row],[Objetive value Dissimilarity]]-Tabela1369[[#This Row],[Objetive value Dissimilarity/GATeS]])/Tabela1369[[#This Row],[Objetive value Dissimilarity]]))*100</f>
        <v>1.9104084321475625</v>
      </c>
      <c r="O323" s="23">
        <v>3036</v>
      </c>
      <c r="P323" s="53">
        <v>0.44</v>
      </c>
      <c r="Q323" s="53">
        <v>0</v>
      </c>
      <c r="R323" s="55">
        <f>(((Tabela1369[[#This Row],[Objetive value Dissimilarity]]-Tabela1369[[#This Row],[Objetive Value Dissimilarity/H-R1]])/Tabela1369[[#This Row],[Objetive value Dissimilarity]]))*100</f>
        <v>0</v>
      </c>
      <c r="S323" s="96">
        <v>3036</v>
      </c>
      <c r="T323" s="21">
        <v>0.42</v>
      </c>
      <c r="U323" s="21">
        <v>0</v>
      </c>
      <c r="V323" s="144">
        <f>(((Tabela1369[[#This Row],[Objetive value Dissimilarity]]-Tabela1369[[#This Row],[Objetive value Dissimilarity/H-R2]])/Tabela1369[[#This Row],[Objetive value Dissimilarity]]))*100</f>
        <v>0</v>
      </c>
    </row>
    <row r="324" spans="1:22" s="34" customFormat="1" x14ac:dyDescent="0.25">
      <c r="A324" s="11" t="s">
        <v>129</v>
      </c>
      <c r="B324" s="12" t="s">
        <v>1419</v>
      </c>
      <c r="C324" s="11">
        <v>300</v>
      </c>
      <c r="D324" s="11">
        <v>0.05</v>
      </c>
      <c r="E324" s="11">
        <v>5</v>
      </c>
      <c r="F324" s="12" t="s">
        <v>18</v>
      </c>
      <c r="G324" s="12" t="s">
        <v>16</v>
      </c>
      <c r="H324" s="155">
        <v>1916</v>
      </c>
      <c r="I324" s="140">
        <v>0.125</v>
      </c>
      <c r="J324" s="147">
        <v>0</v>
      </c>
      <c r="K324" s="157">
        <v>1915</v>
      </c>
      <c r="L324" s="161">
        <v>15</v>
      </c>
      <c r="M324" s="161">
        <v>5</v>
      </c>
      <c r="N324" s="154">
        <f>(((Tabela1369[[#This Row],[Objetive value Dissimilarity]]-Tabela1369[[#This Row],[Objetive value Dissimilarity/GATeS]])/Tabela1369[[#This Row],[Objetive value Dissimilarity]]))*100</f>
        <v>5.2192066805845504E-2</v>
      </c>
      <c r="O324" s="23">
        <v>1916</v>
      </c>
      <c r="P324" s="53">
        <v>0.56000000000000005</v>
      </c>
      <c r="Q324" s="53">
        <v>0</v>
      </c>
      <c r="R324" s="55">
        <f>(((Tabela1369[[#This Row],[Objetive value Dissimilarity]]-Tabela1369[[#This Row],[Objetive Value Dissimilarity/H-R1]])/Tabela1369[[#This Row],[Objetive value Dissimilarity]]))*100</f>
        <v>0</v>
      </c>
      <c r="S324" s="96">
        <v>1916</v>
      </c>
      <c r="T324" s="21">
        <v>0.69</v>
      </c>
      <c r="U324" s="21">
        <v>0</v>
      </c>
      <c r="V324" s="144">
        <f>(((Tabela1369[[#This Row],[Objetive value Dissimilarity]]-Tabela1369[[#This Row],[Objetive value Dissimilarity/H-R2]])/Tabela1369[[#This Row],[Objetive value Dissimilarity]]))*100</f>
        <v>0</v>
      </c>
    </row>
    <row r="325" spans="1:22" s="34" customFormat="1" x14ac:dyDescent="0.25">
      <c r="A325" s="11" t="s">
        <v>129</v>
      </c>
      <c r="B325" s="12" t="s">
        <v>1420</v>
      </c>
      <c r="C325" s="11">
        <v>300</v>
      </c>
      <c r="D325" s="11">
        <v>0.05</v>
      </c>
      <c r="E325" s="11">
        <v>5</v>
      </c>
      <c r="F325" s="12" t="s">
        <v>21</v>
      </c>
      <c r="G325" s="12" t="s">
        <v>14</v>
      </c>
      <c r="H325" s="155">
        <v>2632</v>
      </c>
      <c r="I325" s="140">
        <v>0.140999999945051</v>
      </c>
      <c r="J325" s="147">
        <v>0</v>
      </c>
      <c r="K325" s="157">
        <v>2625</v>
      </c>
      <c r="L325" s="161">
        <v>13</v>
      </c>
      <c r="M325" s="161">
        <v>3</v>
      </c>
      <c r="N325" s="154">
        <f>(((Tabela1369[[#This Row],[Objetive value Dissimilarity]]-Tabela1369[[#This Row],[Objetive value Dissimilarity/GATeS]])/Tabela1369[[#This Row],[Objetive value Dissimilarity]]))*100</f>
        <v>0.26595744680851063</v>
      </c>
      <c r="O325" s="23">
        <v>2377</v>
      </c>
      <c r="P325" s="53">
        <v>0.45</v>
      </c>
      <c r="Q325" s="53">
        <v>0</v>
      </c>
      <c r="R325" s="55">
        <f>(((Tabela1369[[#This Row],[Objetive value Dissimilarity]]-Tabela1369[[#This Row],[Objetive Value Dissimilarity/H-R1]])/Tabela1369[[#This Row],[Objetive value Dissimilarity]]))*100</f>
        <v>9.688449848024316</v>
      </c>
      <c r="S325" s="96">
        <v>2632</v>
      </c>
      <c r="T325" s="21">
        <v>0.53</v>
      </c>
      <c r="U325" s="21">
        <v>0</v>
      </c>
      <c r="V325" s="144">
        <f>(((Tabela1369[[#This Row],[Objetive value Dissimilarity]]-Tabela1369[[#This Row],[Objetive value Dissimilarity/H-R2]])/Tabela1369[[#This Row],[Objetive value Dissimilarity]]))*100</f>
        <v>0</v>
      </c>
    </row>
    <row r="326" spans="1:22" s="34" customFormat="1" x14ac:dyDescent="0.25">
      <c r="A326" s="11" t="s">
        <v>129</v>
      </c>
      <c r="B326" s="12" t="s">
        <v>1421</v>
      </c>
      <c r="C326" s="11">
        <v>300</v>
      </c>
      <c r="D326" s="11">
        <v>0.05</v>
      </c>
      <c r="E326" s="11">
        <v>5</v>
      </c>
      <c r="F326" s="12" t="s">
        <v>21</v>
      </c>
      <c r="G326" s="12" t="s">
        <v>16</v>
      </c>
      <c r="H326" s="155">
        <v>2311</v>
      </c>
      <c r="I326" s="140">
        <v>0.140999999945051</v>
      </c>
      <c r="J326" s="147">
        <v>0</v>
      </c>
      <c r="K326" s="157">
        <v>2311</v>
      </c>
      <c r="L326" s="161">
        <v>14</v>
      </c>
      <c r="M326" s="161">
        <v>5</v>
      </c>
      <c r="N326" s="154">
        <f>(((Tabela1369[[#This Row],[Objetive value Dissimilarity]]-Tabela1369[[#This Row],[Objetive value Dissimilarity/GATeS]])/Tabela1369[[#This Row],[Objetive value Dissimilarity]]))*100</f>
        <v>0</v>
      </c>
      <c r="O326" s="23">
        <v>2286</v>
      </c>
      <c r="P326" s="53">
        <v>0.43</v>
      </c>
      <c r="Q326" s="53">
        <v>0</v>
      </c>
      <c r="R326" s="55">
        <f>(((Tabela1369[[#This Row],[Objetive value Dissimilarity]]-Tabela1369[[#This Row],[Objetive Value Dissimilarity/H-R1]])/Tabela1369[[#This Row],[Objetive value Dissimilarity]]))*100</f>
        <v>1.0817827780181739</v>
      </c>
      <c r="S326" s="96">
        <v>2311</v>
      </c>
      <c r="T326" s="21">
        <v>0.53</v>
      </c>
      <c r="U326" s="21">
        <v>0</v>
      </c>
      <c r="V326" s="144">
        <f>(((Tabela1369[[#This Row],[Objetive value Dissimilarity]]-Tabela1369[[#This Row],[Objetive value Dissimilarity/H-R2]])/Tabela1369[[#This Row],[Objetive value Dissimilarity]]))*100</f>
        <v>0</v>
      </c>
    </row>
    <row r="327" spans="1:22" s="34" customFormat="1" x14ac:dyDescent="0.25">
      <c r="A327" s="3" t="s">
        <v>358</v>
      </c>
      <c r="B327" s="39"/>
      <c r="C327" s="3"/>
      <c r="D327" s="3"/>
      <c r="E327" s="3"/>
      <c r="F327" s="3"/>
      <c r="G327" s="3"/>
      <c r="H327" s="61">
        <f>SUBTOTAL(101,Tabela1369[Objetive value Dissimilarity])</f>
        <v>33269.919753086411</v>
      </c>
      <c r="I327" s="61">
        <f>SUBTOTAL(101,Tabela1369[Time/s Disssimilarity])</f>
        <v>159.45926234567958</v>
      </c>
      <c r="J327" s="61">
        <f>SUBTOTAL(101,Tabela1369[GAP% Dissimilarity])</f>
        <v>2.4970061728395061</v>
      </c>
      <c r="K327" s="89">
        <f>SUBTOTAL(101,Tabela1369[Objetive value Dissimilarity/GATeS])</f>
        <v>31903.6512345679</v>
      </c>
      <c r="L327" s="89">
        <f>SUBTOTAL(101,Tabela1369[Time/s Dissimilarity/GATeS])</f>
        <v>333.42901234567898</v>
      </c>
      <c r="M327" s="89">
        <f>SUBTOTAL(101,Tabela1369[Time/s best solution Dissimilarity/GATeS])</f>
        <v>151.95987654320987</v>
      </c>
      <c r="N327" s="89">
        <f>SUBTOTAL(101,Tabela1369[Δ % (2020) Dissimilarity/GATeS])</f>
        <v>2.9384515056164093</v>
      </c>
      <c r="O327" s="68">
        <f>SUBTOTAL(101,Tabela1369[Objetive Value Dissimilarity/H-R1])</f>
        <v>31671.077850467289</v>
      </c>
      <c r="P327" s="68">
        <f>SUBTOTAL(101,Tabela1369[Time/s  Dissimilarity/H-R1])</f>
        <v>1.4444236760124605</v>
      </c>
      <c r="Q327" s="68">
        <f>SUBTOTAL(101,Tabela1369[GAP %  Dissimilarity/H-R1 ])</f>
        <v>0</v>
      </c>
      <c r="R327" s="68">
        <f>SUBTOTAL(101,Tabela1369[Δ % (2020)  Dissimilarity/H-R1])</f>
        <v>7.147170113471959</v>
      </c>
      <c r="S327" s="68">
        <f>SUBTOTAL(101,Tabela1369[Objetive value Dissimilarity/H-R2])</f>
        <v>31841.456759259261</v>
      </c>
      <c r="T327" s="68">
        <f>SUBTOTAL(101,Tabela1369[Time/s Dissimilarity/H-R2  ])</f>
        <v>1.3047839506172831</v>
      </c>
      <c r="U327" s="68">
        <f>SUBTOTAL(101,Tabela1369[GAP% Dissimilarity/H-R2                                     ])</f>
        <v>0</v>
      </c>
      <c r="V327" s="68">
        <f>SUBTOTAL(101,Tabela1369[Δ % (2020) Dissimilarity/H-R2                   ])</f>
        <v>3.7070297281698368</v>
      </c>
    </row>
    <row r="328" spans="1:22" s="34" customFormat="1" x14ac:dyDescent="0.25">
      <c r="A328" s="35"/>
      <c r="B328" s="36"/>
      <c r="C328" s="35"/>
      <c r="D328" s="35"/>
      <c r="E328" s="35"/>
      <c r="F328" s="35"/>
      <c r="G328" s="35"/>
      <c r="H328" s="35"/>
      <c r="I328" s="35"/>
      <c r="J328" s="35"/>
      <c r="K328" s="35"/>
      <c r="L328" s="73"/>
      <c r="M328" s="73"/>
      <c r="N328" s="35"/>
      <c r="O328" s="45"/>
      <c r="P328" s="45"/>
      <c r="Q328" s="45"/>
      <c r="R328" s="45"/>
      <c r="S328" s="45"/>
      <c r="T328" s="45"/>
      <c r="U328" s="45"/>
      <c r="V328" s="45"/>
    </row>
    <row r="329" spans="1:22" s="34" customFormat="1" x14ac:dyDescent="0.25">
      <c r="B329" s="37"/>
      <c r="H329" s="38"/>
      <c r="I329" s="38"/>
      <c r="J329" s="38"/>
      <c r="K329" s="38"/>
      <c r="L329" s="97"/>
      <c r="M329" s="97"/>
      <c r="N329" s="38"/>
    </row>
    <row r="330" spans="1:22" s="34" customFormat="1" x14ac:dyDescent="0.25">
      <c r="B330" s="37"/>
      <c r="H330" s="38"/>
      <c r="I330" s="38"/>
      <c r="J330" s="38"/>
      <c r="K330" s="38"/>
      <c r="L330" s="97"/>
      <c r="M330" s="97"/>
      <c r="N330" s="38"/>
    </row>
    <row r="331" spans="1:22" s="34" customFormat="1" x14ac:dyDescent="0.25">
      <c r="B331" s="37"/>
      <c r="L331" s="97"/>
      <c r="M331" s="97"/>
    </row>
    <row r="332" spans="1:22" s="34" customFormat="1" x14ac:dyDescent="0.25">
      <c r="B332" s="37"/>
      <c r="L332" s="97"/>
      <c r="M332" s="97"/>
    </row>
    <row r="333" spans="1:22" s="34" customFormat="1" x14ac:dyDescent="0.25">
      <c r="B333" s="37"/>
      <c r="L333" s="97"/>
      <c r="M333" s="97"/>
    </row>
    <row r="334" spans="1:22" s="34" customFormat="1" x14ac:dyDescent="0.25">
      <c r="B334" s="37"/>
      <c r="L334" s="97"/>
      <c r="M334" s="97"/>
    </row>
    <row r="335" spans="1:22" s="34" customFormat="1" x14ac:dyDescent="0.25">
      <c r="B335" s="37"/>
      <c r="L335" s="97"/>
      <c r="M335" s="97"/>
    </row>
    <row r="336" spans="1:22" s="34" customFormat="1" x14ac:dyDescent="0.25">
      <c r="B336" s="37"/>
      <c r="L336" s="97"/>
      <c r="M336" s="97"/>
    </row>
    <row r="337" spans="2:13" s="34" customFormat="1" x14ac:dyDescent="0.25">
      <c r="B337" s="37"/>
      <c r="L337" s="97"/>
      <c r="M337" s="97"/>
    </row>
    <row r="338" spans="2:13" s="34" customFormat="1" x14ac:dyDescent="0.25">
      <c r="B338" s="37"/>
      <c r="L338" s="97"/>
      <c r="M338" s="97"/>
    </row>
    <row r="339" spans="2:13" s="34" customFormat="1" x14ac:dyDescent="0.25">
      <c r="B339" s="37"/>
      <c r="L339" s="97"/>
      <c r="M339" s="97"/>
    </row>
    <row r="340" spans="2:13" s="34" customFormat="1" x14ac:dyDescent="0.25">
      <c r="B340" s="37"/>
      <c r="L340" s="97"/>
      <c r="M340" s="97"/>
    </row>
    <row r="341" spans="2:13" s="34" customFormat="1" x14ac:dyDescent="0.25">
      <c r="B341" s="37"/>
      <c r="L341" s="97"/>
      <c r="M341" s="97"/>
    </row>
    <row r="342" spans="2:13" s="34" customFormat="1" x14ac:dyDescent="0.25">
      <c r="B342" s="37"/>
      <c r="L342" s="97"/>
      <c r="M342" s="97"/>
    </row>
    <row r="343" spans="2:13" s="34" customFormat="1" x14ac:dyDescent="0.25">
      <c r="B343" s="37"/>
      <c r="L343" s="97"/>
      <c r="M343" s="97"/>
    </row>
    <row r="344" spans="2:13" s="34" customFormat="1" x14ac:dyDescent="0.25">
      <c r="B344" s="37"/>
      <c r="L344" s="97"/>
      <c r="M344" s="97"/>
    </row>
    <row r="345" spans="2:13" s="34" customFormat="1" x14ac:dyDescent="0.25">
      <c r="B345" s="37"/>
      <c r="L345" s="97"/>
      <c r="M345" s="97"/>
    </row>
    <row r="346" spans="2:13" s="34" customFormat="1" x14ac:dyDescent="0.25">
      <c r="B346" s="37"/>
      <c r="L346" s="97"/>
      <c r="M346" s="97"/>
    </row>
    <row r="347" spans="2:13" s="34" customFormat="1" x14ac:dyDescent="0.25">
      <c r="B347" s="37"/>
      <c r="L347" s="97"/>
      <c r="M347" s="97"/>
    </row>
    <row r="348" spans="2:13" s="34" customFormat="1" x14ac:dyDescent="0.25">
      <c r="B348" s="37"/>
      <c r="L348" s="97"/>
      <c r="M348" s="97"/>
    </row>
    <row r="349" spans="2:13" s="34" customFormat="1" x14ac:dyDescent="0.25">
      <c r="B349" s="37"/>
      <c r="L349" s="97"/>
      <c r="M349" s="97"/>
    </row>
    <row r="350" spans="2:13" s="34" customFormat="1" x14ac:dyDescent="0.25">
      <c r="B350" s="37"/>
      <c r="L350" s="97"/>
      <c r="M350" s="97"/>
    </row>
    <row r="351" spans="2:13" s="34" customFormat="1" x14ac:dyDescent="0.25">
      <c r="B351" s="37"/>
      <c r="L351" s="97"/>
      <c r="M351" s="97"/>
    </row>
    <row r="352" spans="2:13" s="34" customFormat="1" x14ac:dyDescent="0.25">
      <c r="B352" s="37"/>
      <c r="L352" s="97"/>
      <c r="M352" s="97"/>
    </row>
    <row r="353" spans="1:21" s="34" customFormat="1" x14ac:dyDescent="0.25">
      <c r="B353" s="37"/>
      <c r="L353" s="97"/>
      <c r="M353" s="97"/>
    </row>
    <row r="354" spans="1:21" s="34" customFormat="1" x14ac:dyDescent="0.25">
      <c r="B354" s="37"/>
      <c r="L354" s="97"/>
      <c r="M354" s="97"/>
    </row>
    <row r="355" spans="1:21" s="34" customFormat="1" x14ac:dyDescent="0.25">
      <c r="B355" s="37"/>
      <c r="L355" s="97"/>
      <c r="M355" s="97"/>
    </row>
    <row r="356" spans="1:21" s="34" customFormat="1" x14ac:dyDescent="0.25">
      <c r="B356" s="37"/>
      <c r="L356" s="97"/>
      <c r="M356" s="97"/>
    </row>
    <row r="357" spans="1:21" s="34" customFormat="1" x14ac:dyDescent="0.25">
      <c r="B357" s="37"/>
      <c r="L357" s="97"/>
      <c r="M357" s="97"/>
    </row>
    <row r="358" spans="1:21" s="34" customFormat="1" x14ac:dyDescent="0.25">
      <c r="B358" s="37"/>
      <c r="L358" s="97"/>
      <c r="M358" s="97"/>
    </row>
    <row r="359" spans="1:21" s="34" customFormat="1" x14ac:dyDescent="0.25">
      <c r="B359" s="37"/>
      <c r="L359" s="97"/>
      <c r="M359" s="97"/>
    </row>
    <row r="360" spans="1:21" s="34" customFormat="1" x14ac:dyDescent="0.25">
      <c r="B360" s="37"/>
      <c r="L360" s="97"/>
      <c r="M360" s="97"/>
    </row>
    <row r="361" spans="1:21" s="34" customFormat="1" x14ac:dyDescent="0.25">
      <c r="B361" s="37"/>
      <c r="L361" s="97"/>
      <c r="M361" s="97"/>
    </row>
    <row r="362" spans="1:21" s="34" customFormat="1" x14ac:dyDescent="0.25">
      <c r="B362" s="37"/>
      <c r="L362" s="97"/>
      <c r="M362" s="97"/>
    </row>
    <row r="363" spans="1:21" s="34" customFormat="1" x14ac:dyDescent="0.25">
      <c r="B363" s="37"/>
      <c r="L363" s="97"/>
      <c r="M363" s="97"/>
    </row>
    <row r="364" spans="1:21" s="34" customFormat="1" x14ac:dyDescent="0.25">
      <c r="B364" s="37"/>
      <c r="L364" s="97"/>
      <c r="M364" s="97"/>
      <c r="R364" s="52"/>
      <c r="S364" s="52"/>
      <c r="T364" s="52"/>
    </row>
    <row r="365" spans="1:21" s="34" customFormat="1" x14ac:dyDescent="0.25">
      <c r="B365" s="37"/>
      <c r="L365" s="97"/>
      <c r="M365" s="97"/>
      <c r="U365" s="51"/>
    </row>
    <row r="366" spans="1:21" s="34" customFormat="1" x14ac:dyDescent="0.25">
      <c r="B366" s="37"/>
      <c r="L366" s="97"/>
      <c r="M366" s="97"/>
      <c r="R366" s="35"/>
      <c r="S366" s="35"/>
      <c r="T366" s="35"/>
    </row>
    <row r="367" spans="1:21" x14ac:dyDescent="0.25">
      <c r="A367" s="34"/>
      <c r="B367" s="37"/>
      <c r="C367" s="34"/>
      <c r="D367" s="34"/>
      <c r="E367" s="34"/>
      <c r="F367" s="34"/>
      <c r="G367" s="34"/>
      <c r="H367" s="34"/>
      <c r="I367" s="34"/>
      <c r="J367" s="34"/>
      <c r="K367" s="34"/>
      <c r="L367" s="97"/>
      <c r="M367" s="97"/>
      <c r="N367" s="34"/>
    </row>
    <row r="368" spans="1:21" x14ac:dyDescent="0.25">
      <c r="A368" s="34"/>
      <c r="B368" s="37"/>
      <c r="C368" s="34"/>
      <c r="D368" s="34"/>
      <c r="E368" s="34"/>
      <c r="F368" s="34"/>
      <c r="G368" s="34"/>
      <c r="H368" s="34"/>
      <c r="I368" s="34"/>
      <c r="J368" s="34"/>
      <c r="K368" s="34"/>
      <c r="L368" s="97"/>
      <c r="M368" s="97"/>
      <c r="N368" s="34"/>
    </row>
    <row r="369" spans="1:14" x14ac:dyDescent="0.25">
      <c r="A369" s="34"/>
      <c r="B369" s="37"/>
      <c r="C369" s="34"/>
      <c r="D369" s="34"/>
      <c r="E369" s="34"/>
      <c r="F369" s="34"/>
      <c r="G369" s="34"/>
      <c r="H369" s="34"/>
      <c r="I369" s="34"/>
      <c r="J369" s="34"/>
      <c r="K369" s="34"/>
      <c r="L369" s="97"/>
      <c r="M369" s="97"/>
      <c r="N369" s="34"/>
    </row>
    <row r="370" spans="1:14" x14ac:dyDescent="0.25">
      <c r="A370" s="34"/>
      <c r="B370" s="37"/>
      <c r="C370" s="34"/>
      <c r="D370" s="34"/>
      <c r="E370" s="34"/>
      <c r="F370" s="34"/>
      <c r="G370" s="34"/>
      <c r="H370" s="34"/>
      <c r="I370" s="34"/>
      <c r="J370" s="34"/>
      <c r="K370" s="34"/>
      <c r="L370" s="97"/>
      <c r="M370" s="97"/>
      <c r="N370" s="34"/>
    </row>
    <row r="371" spans="1:14" x14ac:dyDescent="0.25">
      <c r="A371" s="34"/>
      <c r="B371" s="37"/>
      <c r="C371" s="34"/>
      <c r="D371" s="34"/>
      <c r="E371" s="34"/>
      <c r="F371" s="34"/>
      <c r="G371" s="34"/>
      <c r="H371" s="34"/>
      <c r="I371" s="34"/>
      <c r="J371" s="34"/>
      <c r="K371" s="34"/>
      <c r="L371" s="97"/>
      <c r="M371" s="97"/>
      <c r="N371" s="34"/>
    </row>
    <row r="372" spans="1:14" x14ac:dyDescent="0.25">
      <c r="A372" s="34"/>
      <c r="B372" s="37"/>
      <c r="C372" s="34"/>
      <c r="D372" s="34"/>
      <c r="E372" s="34"/>
      <c r="F372" s="34"/>
      <c r="G372" s="34"/>
      <c r="H372" s="34"/>
      <c r="I372" s="34"/>
      <c r="J372" s="34"/>
      <c r="K372" s="34"/>
      <c r="L372" s="97"/>
      <c r="M372" s="97"/>
      <c r="N372" s="34"/>
    </row>
    <row r="373" spans="1:14" x14ac:dyDescent="0.25">
      <c r="A373" s="34"/>
      <c r="B373" s="37"/>
      <c r="C373" s="34"/>
      <c r="D373" s="34"/>
      <c r="E373" s="34"/>
      <c r="F373" s="34"/>
      <c r="G373" s="34"/>
      <c r="H373" s="34"/>
      <c r="I373" s="34"/>
      <c r="J373" s="34"/>
      <c r="K373" s="34"/>
      <c r="L373" s="97"/>
      <c r="M373" s="97"/>
      <c r="N373" s="34"/>
    </row>
    <row r="374" spans="1:14" x14ac:dyDescent="0.25">
      <c r="A374" s="34"/>
      <c r="B374" s="37"/>
      <c r="C374" s="34"/>
      <c r="D374" s="34"/>
      <c r="E374" s="34"/>
      <c r="F374" s="34"/>
      <c r="G374" s="34"/>
      <c r="H374" s="34"/>
      <c r="I374" s="34"/>
      <c r="J374" s="34"/>
      <c r="K374" s="34"/>
      <c r="L374" s="97"/>
      <c r="M374" s="97"/>
      <c r="N374" s="34"/>
    </row>
    <row r="375" spans="1:14" x14ac:dyDescent="0.25">
      <c r="A375" s="34"/>
      <c r="B375" s="37"/>
      <c r="C375" s="34"/>
      <c r="D375" s="34"/>
      <c r="E375" s="34"/>
      <c r="F375" s="34"/>
      <c r="G375" s="34"/>
      <c r="H375" s="34"/>
      <c r="I375" s="34"/>
      <c r="J375" s="34"/>
      <c r="K375" s="34"/>
      <c r="L375" s="97"/>
      <c r="M375" s="97"/>
      <c r="N375" s="34"/>
    </row>
    <row r="376" spans="1:14" x14ac:dyDescent="0.25">
      <c r="A376" s="34"/>
      <c r="B376" s="37"/>
      <c r="C376" s="34"/>
      <c r="D376" s="34"/>
      <c r="E376" s="34"/>
      <c r="F376" s="34"/>
      <c r="G376" s="34"/>
      <c r="H376" s="34"/>
      <c r="I376" s="34"/>
      <c r="J376" s="34"/>
      <c r="K376" s="34"/>
      <c r="L376" s="97"/>
      <c r="M376" s="97"/>
      <c r="N376" s="34"/>
    </row>
    <row r="377" spans="1:14" x14ac:dyDescent="0.25">
      <c r="A377" s="34"/>
      <c r="B377" s="37"/>
      <c r="C377" s="34"/>
      <c r="D377" s="34"/>
      <c r="E377" s="34"/>
      <c r="F377" s="34"/>
      <c r="G377" s="34"/>
      <c r="H377" s="34"/>
      <c r="I377" s="34"/>
      <c r="J377" s="34"/>
      <c r="K377" s="34"/>
      <c r="L377" s="97"/>
      <c r="M377" s="97"/>
      <c r="N377" s="34"/>
    </row>
    <row r="378" spans="1:14" x14ac:dyDescent="0.25">
      <c r="A378" s="34"/>
      <c r="B378" s="37"/>
      <c r="C378" s="34"/>
      <c r="D378" s="34"/>
      <c r="E378" s="34"/>
      <c r="F378" s="34"/>
      <c r="G378" s="34"/>
      <c r="H378" s="34"/>
      <c r="I378" s="34"/>
      <c r="J378" s="34"/>
      <c r="K378" s="34"/>
      <c r="L378" s="97"/>
      <c r="M378" s="97"/>
      <c r="N378" s="34"/>
    </row>
    <row r="379" spans="1:14" x14ac:dyDescent="0.25">
      <c r="A379" s="34"/>
      <c r="B379" s="37"/>
      <c r="C379" s="34"/>
      <c r="D379" s="34"/>
      <c r="E379" s="34"/>
      <c r="F379" s="34"/>
      <c r="G379" s="34"/>
      <c r="H379" s="34"/>
      <c r="I379" s="34"/>
      <c r="J379" s="34"/>
      <c r="K379" s="34"/>
      <c r="L379" s="97"/>
      <c r="M379" s="97"/>
      <c r="N379" s="34"/>
    </row>
    <row r="380" spans="1:14" x14ac:dyDescent="0.25">
      <c r="A380" s="34"/>
      <c r="B380" s="37"/>
      <c r="C380" s="34"/>
      <c r="D380" s="34"/>
      <c r="E380" s="34"/>
      <c r="F380" s="34"/>
      <c r="G380" s="34"/>
      <c r="H380" s="34"/>
      <c r="I380" s="34"/>
      <c r="J380" s="34"/>
      <c r="K380" s="34"/>
      <c r="L380" s="97"/>
      <c r="M380" s="97"/>
      <c r="N380" s="34"/>
    </row>
  </sheetData>
  <mergeCells count="4">
    <mergeCell ref="S1:V1"/>
    <mergeCell ref="O1:R1"/>
    <mergeCell ref="H1:J1"/>
    <mergeCell ref="K1:N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workbookViewId="0">
      <pane ySplit="2" topLeftCell="A3" activePane="bottomLeft" state="frozen"/>
      <selection pane="bottomLeft" activeCell="F2" sqref="F1:H1048576"/>
    </sheetView>
  </sheetViews>
  <sheetFormatPr defaultColWidth="12.140625" defaultRowHeight="15" x14ac:dyDescent="0.25"/>
  <cols>
    <col min="1" max="1" width="11.140625" style="3" bestFit="1" customWidth="1"/>
    <col min="2" max="2" width="15.140625" style="39" customWidth="1"/>
    <col min="3" max="3" width="10" style="3" customWidth="1"/>
    <col min="4" max="4" width="11.85546875" style="3" customWidth="1"/>
    <col min="5" max="5" width="13" style="3" customWidth="1"/>
    <col min="6" max="6" width="13.7109375" style="3" bestFit="1" customWidth="1"/>
    <col min="7" max="9" width="10" style="3" customWidth="1"/>
    <col min="10" max="12" width="11.28515625" style="3" customWidth="1"/>
    <col min="13" max="13" width="14.28515625" style="34" customWidth="1"/>
    <col min="14" max="15" width="11.7109375" style="34" customWidth="1"/>
    <col min="16" max="16" width="11.42578125" style="34" customWidth="1"/>
    <col min="17" max="17" width="13.42578125" style="34" customWidth="1"/>
    <col min="18" max="20" width="11.42578125" style="34" customWidth="1"/>
    <col min="21" max="16384" width="12.140625" style="3"/>
  </cols>
  <sheetData>
    <row r="1" spans="1:20" x14ac:dyDescent="0.25">
      <c r="A1" s="1"/>
      <c r="B1" s="1"/>
      <c r="C1" s="2"/>
      <c r="D1" s="2"/>
      <c r="E1" s="2"/>
      <c r="F1" s="238" t="s">
        <v>1493</v>
      </c>
      <c r="G1" s="271"/>
      <c r="H1" s="271"/>
      <c r="I1" s="272"/>
      <c r="J1" s="226" t="s">
        <v>1559</v>
      </c>
      <c r="K1" s="227"/>
      <c r="L1" s="239"/>
      <c r="M1" s="233" t="s">
        <v>1503</v>
      </c>
      <c r="N1" s="234"/>
      <c r="O1" s="234"/>
      <c r="P1" s="235"/>
      <c r="Q1" s="229" t="s">
        <v>1504</v>
      </c>
      <c r="R1" s="230"/>
      <c r="S1" s="230"/>
      <c r="T1" s="231"/>
    </row>
    <row r="2" spans="1:20" s="10" customFormat="1" ht="75.75" customHeight="1" x14ac:dyDescent="0.25">
      <c r="A2" s="4" t="s">
        <v>1085</v>
      </c>
      <c r="B2" s="4" t="s">
        <v>1</v>
      </c>
      <c r="C2" s="4" t="s">
        <v>2</v>
      </c>
      <c r="D2" s="4" t="s">
        <v>3</v>
      </c>
      <c r="E2" s="4" t="s">
        <v>4</v>
      </c>
      <c r="F2" s="107" t="s">
        <v>1567</v>
      </c>
      <c r="G2" s="107" t="s">
        <v>1568</v>
      </c>
      <c r="H2" s="107" t="s">
        <v>1569</v>
      </c>
      <c r="I2" s="107" t="s">
        <v>1570</v>
      </c>
      <c r="J2" s="5" t="s">
        <v>1565</v>
      </c>
      <c r="K2" s="5" t="s">
        <v>1566</v>
      </c>
      <c r="L2" s="5" t="s">
        <v>1575</v>
      </c>
      <c r="M2" s="44" t="s">
        <v>1574</v>
      </c>
      <c r="N2" s="44" t="s">
        <v>1564</v>
      </c>
      <c r="O2" s="44" t="s">
        <v>1573</v>
      </c>
      <c r="P2" s="44" t="s">
        <v>1563</v>
      </c>
      <c r="Q2" s="46" t="s">
        <v>1560</v>
      </c>
      <c r="R2" s="46" t="s">
        <v>1572</v>
      </c>
      <c r="S2" s="46" t="s">
        <v>1561</v>
      </c>
      <c r="T2" s="8" t="s">
        <v>1562</v>
      </c>
    </row>
    <row r="3" spans="1:20" s="34" customFormat="1" x14ac:dyDescent="0.25">
      <c r="A3" s="11" t="s">
        <v>357</v>
      </c>
      <c r="B3" s="12" t="s">
        <v>381</v>
      </c>
      <c r="C3" s="11">
        <v>100000</v>
      </c>
      <c r="D3" s="47">
        <v>0.15</v>
      </c>
      <c r="E3" s="11">
        <v>15</v>
      </c>
      <c r="F3" s="90">
        <v>1593980</v>
      </c>
      <c r="G3" s="90">
        <v>51585</v>
      </c>
      <c r="H3" s="90">
        <v>51585</v>
      </c>
      <c r="I3" s="90">
        <f>((Tabela1327[[#This Row],[Objetive value 16 Large/Exact method]]-Tabela1327[[#This Row],[Objetive value 16 Large/GATeS]])/Tabela1327[[#This Row],[Objetive value 16 Large/Exact method]])*100</f>
        <v>6.7318342754862552</v>
      </c>
      <c r="J3" s="13">
        <v>1709029</v>
      </c>
      <c r="K3" s="66"/>
      <c r="L3" s="66"/>
      <c r="M3" s="23">
        <v>1669952</v>
      </c>
      <c r="N3" s="19">
        <v>276.02999999999997</v>
      </c>
      <c r="O3" s="19">
        <v>0</v>
      </c>
      <c r="P3" s="20">
        <f>(((Tabela1327[[#This Row],[Objetive value 16 Large/Exact method]]-Tabela1327[[#This Row],[Objetive Value 16 Large/H-R1]])/Tabela1327[[#This Row],[Objetive value 16 Large/Exact method]]))*100</f>
        <v>2.2865030376898225</v>
      </c>
      <c r="Q3" s="96">
        <v>1680323</v>
      </c>
      <c r="R3" s="22">
        <v>146.86000000000001</v>
      </c>
      <c r="S3" s="22">
        <v>0</v>
      </c>
      <c r="T3" s="43">
        <f>(((Tabela1327[[#This Row],[Objetive value 16 Large/Exact method]]-Tabela1327[[#This Row],[Objetive value  16 Large/H-R2]])/Tabela1327[[#This Row],[Objetive value 16 Large/Exact method]]))*100</f>
        <v>1.679667226243674</v>
      </c>
    </row>
    <row r="4" spans="1:20" s="34" customFormat="1" x14ac:dyDescent="0.25">
      <c r="A4" s="11" t="s">
        <v>361</v>
      </c>
      <c r="B4" s="12" t="s">
        <v>360</v>
      </c>
      <c r="C4" s="11">
        <v>15000</v>
      </c>
      <c r="D4" s="47">
        <v>0.1</v>
      </c>
      <c r="E4" s="11">
        <v>10</v>
      </c>
      <c r="F4" s="90">
        <v>174015</v>
      </c>
      <c r="G4" s="90">
        <v>1964</v>
      </c>
      <c r="H4" s="90">
        <v>924</v>
      </c>
      <c r="I4" s="90">
        <f>((Tabela1327[[#This Row],[Objetive value 16 Large/Exact method]]-Tabela1327[[#This Row],[Objetive value 16 Large/GATeS]])/Tabela1327[[#This Row],[Objetive value 16 Large/Exact method]])*100</f>
        <v>3.4740789225529456</v>
      </c>
      <c r="J4" s="13">
        <v>180278</v>
      </c>
      <c r="K4" s="66"/>
      <c r="L4" s="66">
        <v>0</v>
      </c>
      <c r="M4" s="23">
        <v>180166</v>
      </c>
      <c r="N4" s="19">
        <v>12.75</v>
      </c>
      <c r="O4" s="19">
        <v>0</v>
      </c>
      <c r="P4" s="20">
        <f>(((Tabela1327[[#This Row],[Objetive value 16 Large/Exact method]]-Tabela1327[[#This Row],[Objetive Value 16 Large/H-R1]])/Tabela1327[[#This Row],[Objetive value 16 Large/Exact method]]))*100</f>
        <v>6.2126271647122776E-2</v>
      </c>
      <c r="Q4" s="96">
        <v>180277</v>
      </c>
      <c r="R4" s="22">
        <v>7.87</v>
      </c>
      <c r="S4" s="22">
        <v>0</v>
      </c>
      <c r="T4" s="43">
        <f>(((Tabela1327[[#This Row],[Objetive value 16 Large/Exact method]]-Tabela1327[[#This Row],[Objetive value  16 Large/H-R2]])/Tabela1327[[#This Row],[Objetive value 16 Large/Exact method]]))*100</f>
        <v>5.5469885399216763E-4</v>
      </c>
    </row>
    <row r="5" spans="1:20" s="34" customFormat="1" x14ac:dyDescent="0.25">
      <c r="A5" s="11" t="s">
        <v>362</v>
      </c>
      <c r="B5" s="12" t="s">
        <v>367</v>
      </c>
      <c r="C5" s="11">
        <v>15000</v>
      </c>
      <c r="D5" s="47">
        <v>0.1</v>
      </c>
      <c r="E5" s="11">
        <v>20</v>
      </c>
      <c r="F5" s="90">
        <v>284887</v>
      </c>
      <c r="G5" s="90">
        <v>2660</v>
      </c>
      <c r="H5" s="90">
        <v>497</v>
      </c>
      <c r="I5" s="90">
        <f>((Tabela1327[[#This Row],[Objetive value 16 Large/Exact method]]-Tabela1327[[#This Row],[Objetive value 16 Large/GATeS]])/Tabela1327[[#This Row],[Objetive value 16 Large/Exact method]])*100</f>
        <v>3.4438464249884766</v>
      </c>
      <c r="J5" s="13">
        <v>295048</v>
      </c>
      <c r="K5" s="66">
        <v>2422.91</v>
      </c>
      <c r="L5" s="66">
        <v>0</v>
      </c>
      <c r="M5" s="23">
        <v>287665</v>
      </c>
      <c r="N5" s="19">
        <v>18.46</v>
      </c>
      <c r="O5" s="19">
        <v>0</v>
      </c>
      <c r="P5" s="20">
        <f>(((Tabela1327[[#This Row],[Objetive value 16 Large/Exact method]]-Tabela1327[[#This Row],[Objetive Value 16 Large/H-R1]])/Tabela1327[[#This Row],[Objetive value 16 Large/Exact method]]))*100</f>
        <v>2.5023047097421434</v>
      </c>
      <c r="Q5" s="96">
        <v>288771</v>
      </c>
      <c r="R5" s="22">
        <v>14.64</v>
      </c>
      <c r="S5" s="22">
        <v>0</v>
      </c>
      <c r="T5" s="43">
        <f>(((Tabela1327[[#This Row],[Objetive value 16 Large/Exact method]]-Tabela1327[[#This Row],[Objetive value  16 Large/H-R2]])/Tabela1327[[#This Row],[Objetive value 16 Large/Exact method]]))*100</f>
        <v>2.1274504487405439</v>
      </c>
    </row>
    <row r="6" spans="1:20" s="34" customFormat="1" x14ac:dyDescent="0.25">
      <c r="A6" s="11" t="s">
        <v>363</v>
      </c>
      <c r="B6" s="12" t="s">
        <v>368</v>
      </c>
      <c r="C6" s="11">
        <v>15000</v>
      </c>
      <c r="D6" s="47">
        <v>0.1</v>
      </c>
      <c r="E6" s="11">
        <v>30</v>
      </c>
      <c r="F6" s="90">
        <v>434397</v>
      </c>
      <c r="G6" s="90">
        <v>4641</v>
      </c>
      <c r="H6" s="90">
        <v>1844</v>
      </c>
      <c r="I6" s="90">
        <f>((Tabela1327[[#This Row],[Objetive value 16 Large/Exact method]]-Tabela1327[[#This Row],[Objetive value 16 Large/GATeS]])/Tabela1327[[#This Row],[Objetive value 16 Large/Exact method]])*100</f>
        <v>2.8046772215907563</v>
      </c>
      <c r="J6" s="13">
        <v>446932</v>
      </c>
      <c r="K6" s="66">
        <v>2868.41</v>
      </c>
      <c r="L6" s="66">
        <v>0.01</v>
      </c>
      <c r="M6" s="23">
        <v>438857</v>
      </c>
      <c r="N6" s="19">
        <v>38.25</v>
      </c>
      <c r="O6" s="19">
        <v>0</v>
      </c>
      <c r="P6" s="20">
        <f>(((Tabela1327[[#This Row],[Objetive value 16 Large/Exact method]]-Tabela1327[[#This Row],[Objetive Value 16 Large/H-R1]])/Tabela1327[[#This Row],[Objetive value 16 Large/Exact method]]))*100</f>
        <v>1.8067625500076074</v>
      </c>
      <c r="Q6" s="96">
        <v>439919</v>
      </c>
      <c r="R6" s="22">
        <v>47.48</v>
      </c>
      <c r="S6" s="22">
        <v>0</v>
      </c>
      <c r="T6" s="43">
        <f>(((Tabela1327[[#This Row],[Objetive value 16 Large/Exact method]]-Tabela1327[[#This Row],[Objetive value  16 Large/H-R2]])/Tabela1327[[#This Row],[Objetive value 16 Large/Exact method]]))*100</f>
        <v>1.569142509375028</v>
      </c>
    </row>
    <row r="7" spans="1:20" s="34" customFormat="1" x14ac:dyDescent="0.25">
      <c r="A7" s="11" t="s">
        <v>364</v>
      </c>
      <c r="B7" s="12" t="s">
        <v>369</v>
      </c>
      <c r="C7" s="11">
        <v>15000</v>
      </c>
      <c r="D7" s="47">
        <v>0.1</v>
      </c>
      <c r="E7" s="11">
        <v>40</v>
      </c>
      <c r="F7" s="90">
        <v>557432</v>
      </c>
      <c r="G7" s="90">
        <v>7152</v>
      </c>
      <c r="H7" s="90">
        <v>3684</v>
      </c>
      <c r="I7" s="90">
        <f>((Tabela1327[[#This Row],[Objetive value 16 Large/Exact method]]-Tabela1327[[#This Row],[Objetive value 16 Large/GATeS]])/Tabela1327[[#This Row],[Objetive value 16 Large/Exact method]])*100</f>
        <v>3.4375238187626023</v>
      </c>
      <c r="J7" s="13">
        <v>577276</v>
      </c>
      <c r="K7" s="66"/>
      <c r="L7" s="66"/>
      <c r="M7" s="23">
        <v>553868</v>
      </c>
      <c r="N7" s="19">
        <v>51.38</v>
      </c>
      <c r="O7" s="19">
        <v>0</v>
      </c>
      <c r="P7" s="20">
        <f>(((Tabela1327[[#This Row],[Objetive value 16 Large/Exact method]]-Tabela1327[[#This Row],[Objetive Value 16 Large/H-R1]])/Tabela1327[[#This Row],[Objetive value 16 Large/Exact method]]))*100</f>
        <v>4.0549061454139785</v>
      </c>
      <c r="Q7" s="96">
        <v>571302</v>
      </c>
      <c r="R7" s="22">
        <v>84.52</v>
      </c>
      <c r="S7" s="22">
        <v>0</v>
      </c>
      <c r="T7" s="43">
        <f>(((Tabela1327[[#This Row],[Objetive value 16 Large/Exact method]]-Tabela1327[[#This Row],[Objetive value  16 Large/H-R2]])/Tabela1327[[#This Row],[Objetive value 16 Large/Exact method]]))*100</f>
        <v>1.0348602748078908</v>
      </c>
    </row>
    <row r="8" spans="1:20" s="34" customFormat="1" x14ac:dyDescent="0.25">
      <c r="A8" s="11" t="s">
        <v>365</v>
      </c>
      <c r="B8" s="12" t="s">
        <v>370</v>
      </c>
      <c r="C8" s="11">
        <v>15000</v>
      </c>
      <c r="D8" s="47">
        <v>0.1</v>
      </c>
      <c r="E8" s="11">
        <v>50</v>
      </c>
      <c r="F8" s="90">
        <v>649660</v>
      </c>
      <c r="G8" s="90">
        <v>8678</v>
      </c>
      <c r="H8" s="90">
        <v>2529</v>
      </c>
      <c r="I8" s="90">
        <f>((Tabela1327[[#This Row],[Objetive value 16 Large/Exact method]]-Tabela1327[[#This Row],[Objetive value 16 Large/GATeS]])/Tabela1327[[#This Row],[Objetive value 16 Large/Exact method]])*100</f>
        <v>8.4534629747058414</v>
      </c>
      <c r="J8" s="13">
        <v>709650</v>
      </c>
      <c r="K8" s="66"/>
      <c r="L8" s="66"/>
      <c r="M8" s="23">
        <v>687957</v>
      </c>
      <c r="N8" s="19">
        <v>60.27</v>
      </c>
      <c r="O8" s="19">
        <v>0</v>
      </c>
      <c r="P8" s="20">
        <f>(((Tabela1327[[#This Row],[Objetive value 16 Large/Exact method]]-Tabela1327[[#This Row],[Objetive Value 16 Large/H-R1]])/Tabela1327[[#This Row],[Objetive value 16 Large/Exact method]]))*100</f>
        <v>3.0568590150073982</v>
      </c>
      <c r="Q8" s="96">
        <v>700084</v>
      </c>
      <c r="R8" s="22">
        <v>151.82</v>
      </c>
      <c r="S8" s="22">
        <v>0</v>
      </c>
      <c r="T8" s="43">
        <f>(((Tabela1327[[#This Row],[Objetive value 16 Large/Exact method]]-Tabela1327[[#This Row],[Objetive value  16 Large/H-R2]])/Tabela1327[[#This Row],[Objetive value 16 Large/Exact method]]))*100</f>
        <v>1.3479884450081026</v>
      </c>
    </row>
    <row r="9" spans="1:20" s="34" customFormat="1" x14ac:dyDescent="0.25">
      <c r="A9" s="11" t="s">
        <v>361</v>
      </c>
      <c r="B9" s="12" t="s">
        <v>371</v>
      </c>
      <c r="C9" s="11">
        <v>20000</v>
      </c>
      <c r="D9" s="47">
        <v>0.1</v>
      </c>
      <c r="E9" s="11">
        <v>10</v>
      </c>
      <c r="F9" s="90">
        <v>237751</v>
      </c>
      <c r="G9" s="90">
        <v>1985</v>
      </c>
      <c r="H9" s="90">
        <v>243</v>
      </c>
      <c r="I9" s="90">
        <f>((Tabela1327[[#This Row],[Objetive value 16 Large/Exact method]]-Tabela1327[[#This Row],[Objetive value 16 Large/GATeS]])/Tabela1327[[#This Row],[Objetive value 16 Large/Exact method]])*100</f>
        <v>4.7498667905948153</v>
      </c>
      <c r="J9" s="13">
        <v>249607</v>
      </c>
      <c r="K9" s="66"/>
      <c r="L9" s="66"/>
      <c r="M9" s="23">
        <v>249603</v>
      </c>
      <c r="N9" s="19">
        <v>21.47</v>
      </c>
      <c r="O9" s="19">
        <v>0</v>
      </c>
      <c r="P9" s="20">
        <f>(((Tabela1327[[#This Row],[Objetive value 16 Large/Exact method]]-Tabela1327[[#This Row],[Objetive Value 16 Large/H-R1]])/Tabela1327[[#This Row],[Objetive value 16 Large/Exact method]]))*100</f>
        <v>1.6025191601197082E-3</v>
      </c>
      <c r="Q9" s="96">
        <v>249607</v>
      </c>
      <c r="R9" s="22">
        <v>15.35</v>
      </c>
      <c r="S9" s="22">
        <v>0</v>
      </c>
      <c r="T9" s="43">
        <f>(((Tabela1327[[#This Row],[Objetive value 16 Large/Exact method]]-Tabela1327[[#This Row],[Objetive value  16 Large/H-R2]])/Tabela1327[[#This Row],[Objetive value 16 Large/Exact method]]))*100</f>
        <v>0</v>
      </c>
    </row>
    <row r="10" spans="1:20" s="34" customFormat="1" x14ac:dyDescent="0.25">
      <c r="A10" s="11" t="s">
        <v>362</v>
      </c>
      <c r="B10" s="12" t="s">
        <v>372</v>
      </c>
      <c r="C10" s="11">
        <v>20000</v>
      </c>
      <c r="D10" s="47">
        <v>0.1</v>
      </c>
      <c r="E10" s="11">
        <v>20</v>
      </c>
      <c r="F10" s="90">
        <v>415490</v>
      </c>
      <c r="G10" s="90">
        <v>4399</v>
      </c>
      <c r="H10" s="90">
        <v>1273</v>
      </c>
      <c r="I10" s="90">
        <f>((Tabela1327[[#This Row],[Objetive value 16 Large/Exact method]]-Tabela1327[[#This Row],[Objetive value 16 Large/GATeS]])/Tabela1327[[#This Row],[Objetive value 16 Large/Exact method]])*100</f>
        <v>5.3990979114441391</v>
      </c>
      <c r="J10" s="13">
        <v>439203</v>
      </c>
      <c r="K10" s="66"/>
      <c r="L10" s="66">
        <v>0</v>
      </c>
      <c r="M10" s="23">
        <v>428277</v>
      </c>
      <c r="N10" s="19">
        <v>42.76</v>
      </c>
      <c r="O10" s="19">
        <v>0</v>
      </c>
      <c r="P10" s="20">
        <f>(((Tabela1327[[#This Row],[Objetive value 16 Large/Exact method]]-Tabela1327[[#This Row],[Objetive Value 16 Large/H-R1]])/Tabela1327[[#This Row],[Objetive value 16 Large/Exact method]]))*100</f>
        <v>2.4876879256289235</v>
      </c>
      <c r="Q10" s="96">
        <v>439202</v>
      </c>
      <c r="R10" s="22">
        <v>48.83</v>
      </c>
      <c r="S10" s="22">
        <v>0</v>
      </c>
      <c r="T10" s="43">
        <f>(((Tabela1327[[#This Row],[Objetive value 16 Large/Exact method]]-Tabela1327[[#This Row],[Objetive value  16 Large/H-R2]])/Tabela1327[[#This Row],[Objetive value 16 Large/Exact method]]))*100</f>
        <v>2.2768514787011927E-4</v>
      </c>
    </row>
    <row r="11" spans="1:20" s="34" customFormat="1" x14ac:dyDescent="0.25">
      <c r="A11" s="11" t="s">
        <v>363</v>
      </c>
      <c r="B11" s="12" t="s">
        <v>373</v>
      </c>
      <c r="C11" s="11">
        <v>20000</v>
      </c>
      <c r="D11" s="47">
        <v>0.1</v>
      </c>
      <c r="E11" s="11">
        <v>30</v>
      </c>
      <c r="F11" s="90">
        <v>568760</v>
      </c>
      <c r="G11" s="90">
        <v>8274</v>
      </c>
      <c r="H11" s="90">
        <v>3566</v>
      </c>
      <c r="I11" s="90">
        <f>((Tabela1327[[#This Row],[Objetive value 16 Large/Exact method]]-Tabela1327[[#This Row],[Objetive value 16 Large/GATeS]])/Tabela1327[[#This Row],[Objetive value 16 Large/Exact method]])*100</f>
        <v>2.4179338529612098</v>
      </c>
      <c r="J11" s="13">
        <v>582853</v>
      </c>
      <c r="K11" s="66"/>
      <c r="L11" s="66"/>
      <c r="M11" s="23">
        <v>575724</v>
      </c>
      <c r="N11" s="19">
        <v>59.48</v>
      </c>
      <c r="O11" s="19">
        <v>0</v>
      </c>
      <c r="P11" s="20">
        <f>(((Tabela1327[[#This Row],[Objetive value 16 Large/Exact method]]-Tabela1327[[#This Row],[Objetive Value 16 Large/H-R1]])/Tabela1327[[#This Row],[Objetive value 16 Large/Exact method]]))*100</f>
        <v>1.2231214388533644</v>
      </c>
      <c r="Q11" s="96">
        <v>577477</v>
      </c>
      <c r="R11" s="22">
        <v>56.74</v>
      </c>
      <c r="S11" s="22">
        <v>0</v>
      </c>
      <c r="T11" s="43">
        <f>(((Tabela1327[[#This Row],[Objetive value 16 Large/Exact method]]-Tabela1327[[#This Row],[Objetive value  16 Large/H-R2]])/Tabela1327[[#This Row],[Objetive value 16 Large/Exact method]]))*100</f>
        <v>0.92235949716309262</v>
      </c>
    </row>
    <row r="12" spans="1:20" s="34" customFormat="1" x14ac:dyDescent="0.25">
      <c r="A12" s="11" t="s">
        <v>364</v>
      </c>
      <c r="B12" s="12" t="s">
        <v>374</v>
      </c>
      <c r="C12" s="11">
        <v>20000</v>
      </c>
      <c r="D12" s="47">
        <v>0.1</v>
      </c>
      <c r="E12" s="11">
        <v>40</v>
      </c>
      <c r="F12" s="90">
        <v>732789</v>
      </c>
      <c r="G12" s="90">
        <v>10303</v>
      </c>
      <c r="H12" s="90">
        <v>4438</v>
      </c>
      <c r="I12" s="90">
        <f>((Tabela1327[[#This Row],[Objetive value 16 Large/Exact method]]-Tabela1327[[#This Row],[Objetive value 16 Large/GATeS]])/Tabela1327[[#This Row],[Objetive value 16 Large/Exact method]])*100</f>
        <v>4.4436707325660549</v>
      </c>
      <c r="J12" s="13">
        <v>766866</v>
      </c>
      <c r="K12" s="66"/>
      <c r="L12" s="66"/>
      <c r="M12" s="23">
        <v>736793</v>
      </c>
      <c r="N12" s="19">
        <v>109.07</v>
      </c>
      <c r="O12" s="19">
        <v>0</v>
      </c>
      <c r="P12" s="20">
        <f>(((Tabela1327[[#This Row],[Objetive value 16 Large/Exact method]]-Tabela1327[[#This Row],[Objetive Value 16 Large/H-R1]])/Tabela1327[[#This Row],[Objetive value 16 Large/Exact method]]))*100</f>
        <v>3.921545615531266</v>
      </c>
      <c r="Q12" s="96">
        <v>747891</v>
      </c>
      <c r="R12" s="22">
        <v>402.89</v>
      </c>
      <c r="S12" s="22">
        <v>0</v>
      </c>
      <c r="T12" s="43">
        <f>(((Tabela1327[[#This Row],[Objetive value 16 Large/Exact method]]-Tabela1327[[#This Row],[Objetive value  16 Large/H-R2]])/Tabela1327[[#This Row],[Objetive value 16 Large/Exact method]]))*100</f>
        <v>2.4743566672665107</v>
      </c>
    </row>
    <row r="13" spans="1:20" s="34" customFormat="1" x14ac:dyDescent="0.25">
      <c r="A13" s="11" t="s">
        <v>365</v>
      </c>
      <c r="B13" s="12" t="s">
        <v>375</v>
      </c>
      <c r="C13" s="11">
        <v>20000</v>
      </c>
      <c r="D13" s="47">
        <v>0.1</v>
      </c>
      <c r="E13" s="11">
        <v>50</v>
      </c>
      <c r="F13" s="90">
        <v>926145</v>
      </c>
      <c r="G13" s="90">
        <v>15619</v>
      </c>
      <c r="H13" s="90">
        <v>4750</v>
      </c>
      <c r="I13" s="90">
        <f>((Tabela1327[[#This Row],[Objetive value 16 Large/Exact method]]-Tabela1327[[#This Row],[Objetive value 16 Large/GATeS]])/Tabela1327[[#This Row],[Objetive value 16 Large/Exact method]])*100</f>
        <v>3.6971990254767335</v>
      </c>
      <c r="J13" s="13">
        <v>961701</v>
      </c>
      <c r="K13" s="66"/>
      <c r="L13" s="66"/>
      <c r="M13" s="23">
        <v>914037</v>
      </c>
      <c r="N13" s="19">
        <v>83.9</v>
      </c>
      <c r="O13" s="19">
        <v>0</v>
      </c>
      <c r="P13" s="20">
        <f>(((Tabela1327[[#This Row],[Objetive value 16 Large/Exact method]]-Tabela1327[[#This Row],[Objetive Value 16 Large/H-R1]])/Tabela1327[[#This Row],[Objetive value 16 Large/Exact method]]))*100</f>
        <v>4.9562182008753242</v>
      </c>
      <c r="Q13" s="96">
        <v>954738</v>
      </c>
      <c r="R13" s="22">
        <v>436.9</v>
      </c>
      <c r="S13" s="22">
        <v>0</v>
      </c>
      <c r="T13" s="43">
        <f>(((Tabela1327[[#This Row],[Objetive value 16 Large/Exact method]]-Tabela1327[[#This Row],[Objetive value  16 Large/H-R2]])/Tabela1327[[#This Row],[Objetive value 16 Large/Exact method]]))*100</f>
        <v>0.72402961003471966</v>
      </c>
    </row>
    <row r="14" spans="1:20" s="34" customFormat="1" x14ac:dyDescent="0.25">
      <c r="A14" s="11" t="s">
        <v>361</v>
      </c>
      <c r="B14" s="12" t="s">
        <v>377</v>
      </c>
      <c r="C14" s="11">
        <v>40000</v>
      </c>
      <c r="D14" s="47">
        <v>0.1</v>
      </c>
      <c r="E14" s="11">
        <v>10</v>
      </c>
      <c r="F14" s="90">
        <v>451341</v>
      </c>
      <c r="G14" s="90">
        <v>4372</v>
      </c>
      <c r="H14" s="90">
        <v>1149</v>
      </c>
      <c r="I14" s="90">
        <f>((Tabela1327[[#This Row],[Objetive value 16 Large/Exact method]]-Tabela1327[[#This Row],[Objetive value 16 Large/GATeS]])/Tabela1327[[#This Row],[Objetive value 16 Large/Exact method]])*100</f>
        <v>4.2903219649979958</v>
      </c>
      <c r="J14" s="13">
        <v>471573</v>
      </c>
      <c r="K14" s="66"/>
      <c r="L14" s="66">
        <v>0</v>
      </c>
      <c r="M14" s="23">
        <v>471572</v>
      </c>
      <c r="N14" s="19">
        <v>34.07</v>
      </c>
      <c r="O14" s="19">
        <v>0</v>
      </c>
      <c r="P14" s="20">
        <f>(((Tabela1327[[#This Row],[Objetive value 16 Large/Exact method]]-Tabela1327[[#This Row],[Objetive Value 16 Large/H-R1]])/Tabela1327[[#This Row],[Objetive value 16 Large/Exact method]]))*100</f>
        <v>2.1205624579863564E-4</v>
      </c>
      <c r="Q14" s="96">
        <v>466921</v>
      </c>
      <c r="R14" s="22">
        <v>25.67</v>
      </c>
      <c r="S14" s="22">
        <v>0</v>
      </c>
      <c r="T14" s="43">
        <f>(((Tabela1327[[#This Row],[Objetive value 16 Large/Exact method]]-Tabela1327[[#This Row],[Objetive value  16 Large/H-R2]])/Tabela1327[[#This Row],[Objetive value 16 Large/Exact method]]))*100</f>
        <v>0.98648565545525291</v>
      </c>
    </row>
    <row r="15" spans="1:20" s="34" customFormat="1" x14ac:dyDescent="0.25">
      <c r="A15" s="11" t="s">
        <v>357</v>
      </c>
      <c r="B15" s="12" t="s">
        <v>378</v>
      </c>
      <c r="C15" s="11">
        <v>40000</v>
      </c>
      <c r="D15" s="47">
        <v>0.1</v>
      </c>
      <c r="E15" s="11">
        <v>15</v>
      </c>
      <c r="F15" s="90">
        <v>634661</v>
      </c>
      <c r="G15" s="90">
        <v>10116</v>
      </c>
      <c r="H15" s="90">
        <v>4490</v>
      </c>
      <c r="I15" s="90">
        <f>((Tabela1327[[#This Row],[Objetive value 16 Large/Exact method]]-Tabela1327[[#This Row],[Objetive value 16 Large/GATeS]])/Tabela1327[[#This Row],[Objetive value 16 Large/Exact method]])*100</f>
        <v>2.4102925257097869</v>
      </c>
      <c r="J15" s="13">
        <v>650336</v>
      </c>
      <c r="K15" s="66"/>
      <c r="L15" s="66">
        <v>0</v>
      </c>
      <c r="M15" s="23">
        <v>640354</v>
      </c>
      <c r="N15" s="19">
        <v>67.58</v>
      </c>
      <c r="O15" s="19">
        <v>0</v>
      </c>
      <c r="P15" s="20">
        <f>(((Tabela1327[[#This Row],[Objetive value 16 Large/Exact method]]-Tabela1327[[#This Row],[Objetive Value 16 Large/H-R1]])/Tabela1327[[#This Row],[Objetive value 16 Large/Exact method]]))*100</f>
        <v>1.5348988830389214</v>
      </c>
      <c r="Q15" s="96">
        <v>623352</v>
      </c>
      <c r="R15" s="22">
        <v>43.34</v>
      </c>
      <c r="S15" s="22">
        <v>0</v>
      </c>
      <c r="T15" s="43">
        <f>(((Tabela1327[[#This Row],[Objetive value 16 Large/Exact method]]-Tabela1327[[#This Row],[Objetive value  16 Large/H-R2]])/Tabela1327[[#This Row],[Objetive value 16 Large/Exact method]]))*100</f>
        <v>4.149239777591891</v>
      </c>
    </row>
    <row r="16" spans="1:20" s="34" customFormat="1" x14ac:dyDescent="0.25">
      <c r="A16" s="11" t="s">
        <v>364</v>
      </c>
      <c r="B16" s="12" t="s">
        <v>379</v>
      </c>
      <c r="C16" s="11">
        <v>40000</v>
      </c>
      <c r="D16" s="47">
        <v>0.1</v>
      </c>
      <c r="E16" s="11">
        <v>40</v>
      </c>
      <c r="F16" s="90">
        <v>1396373</v>
      </c>
      <c r="G16" s="90">
        <v>59487</v>
      </c>
      <c r="H16" s="90">
        <v>4881</v>
      </c>
      <c r="I16" s="90">
        <f>((Tabela1327[[#This Row],[Objetive value 16 Large/Exact method]]-Tabela1327[[#This Row],[Objetive value 16 Large/GATeS]])/Tabela1327[[#This Row],[Objetive value 16 Large/Exact method]])*100</f>
        <v>6.4981180741882545</v>
      </c>
      <c r="J16" s="13">
        <v>1493417</v>
      </c>
      <c r="K16" s="66"/>
      <c r="L16" s="66"/>
      <c r="M16" s="53">
        <v>140122</v>
      </c>
      <c r="N16" s="19">
        <v>301.14999999999998</v>
      </c>
      <c r="O16" s="19">
        <v>0</v>
      </c>
      <c r="P16" s="20">
        <f>(((Tabela1327[[#This Row],[Objetive value 16 Large/Exact method]]-Tabela1327[[#This Row],[Objetive Value 16 Large/H-R1]])/Tabela1327[[#This Row],[Objetive value 16 Large/Exact method]]))*100</f>
        <v>90.617356036525635</v>
      </c>
      <c r="Q16" s="96">
        <v>147923</v>
      </c>
      <c r="R16" s="22">
        <v>571.35</v>
      </c>
      <c r="S16" s="22">
        <v>0</v>
      </c>
      <c r="T16" s="50">
        <f>(((Tabela1327[[#This Row],[Objetive value 16 Large/Exact method]]-Tabela1327[[#This Row],[Objetive value  16 Large/H-R2]])/Tabela1327[[#This Row],[Objetive value 16 Large/Exact method]]))*100</f>
        <v>90.094996909771353</v>
      </c>
    </row>
    <row r="17" spans="1:20" s="34" customFormat="1" x14ac:dyDescent="0.25">
      <c r="A17" s="11" t="s">
        <v>366</v>
      </c>
      <c r="B17" s="12" t="s">
        <v>376</v>
      </c>
      <c r="C17" s="11">
        <v>40000</v>
      </c>
      <c r="D17" s="47">
        <v>0.1</v>
      </c>
      <c r="E17" s="11">
        <v>5</v>
      </c>
      <c r="F17" s="90">
        <v>259053</v>
      </c>
      <c r="G17" s="90">
        <v>2464</v>
      </c>
      <c r="H17" s="90">
        <v>345</v>
      </c>
      <c r="I17" s="90">
        <f>((Tabela1327[[#This Row],[Objetive value 16 Large/Exact method]]-Tabela1327[[#This Row],[Objetive value 16 Large/GATeS]])/Tabela1327[[#This Row],[Objetive value 16 Large/Exact method]])*100</f>
        <v>3.3679993434844562</v>
      </c>
      <c r="J17" s="13">
        <v>268082</v>
      </c>
      <c r="K17" s="66"/>
      <c r="L17" s="66">
        <v>0</v>
      </c>
      <c r="M17" s="23">
        <v>253405</v>
      </c>
      <c r="N17" s="19">
        <v>18.93</v>
      </c>
      <c r="O17" s="19">
        <v>0</v>
      </c>
      <c r="P17" s="20">
        <f>(((Tabela1327[[#This Row],[Objetive value 16 Large/Exact method]]-Tabela1327[[#This Row],[Objetive Value 16 Large/H-R1]])/Tabela1327[[#This Row],[Objetive value 16 Large/Exact method]]))*100</f>
        <v>5.4748174066143944</v>
      </c>
      <c r="Q17" s="96">
        <v>268082</v>
      </c>
      <c r="R17" s="22">
        <v>11.46</v>
      </c>
      <c r="S17" s="22">
        <v>0</v>
      </c>
      <c r="T17" s="43">
        <f>(((Tabela1327[[#This Row],[Objetive value 16 Large/Exact method]]-Tabela1327[[#This Row],[Objetive value  16 Large/H-R2]])/Tabela1327[[#This Row],[Objetive value 16 Large/Exact method]]))*100</f>
        <v>0</v>
      </c>
    </row>
    <row r="18" spans="1:20" s="34" customFormat="1" x14ac:dyDescent="0.25">
      <c r="A18" s="11" t="s">
        <v>357</v>
      </c>
      <c r="B18" s="12" t="s">
        <v>380</v>
      </c>
      <c r="C18" s="11">
        <v>50000</v>
      </c>
      <c r="D18" s="47">
        <v>0.15</v>
      </c>
      <c r="E18" s="11">
        <v>15</v>
      </c>
      <c r="F18" s="90">
        <v>807036</v>
      </c>
      <c r="G18" s="90">
        <v>12227</v>
      </c>
      <c r="H18" s="90">
        <v>4341</v>
      </c>
      <c r="I18" s="90">
        <f>((Tabela1327[[#This Row],[Objetive value 16 Large/Exact method]]-Tabela1327[[#This Row],[Objetive value 16 Large/GATeS]])/Tabela1327[[#This Row],[Objetive value 16 Large/Exact method]])*100</f>
        <v>3.1276257604202176</v>
      </c>
      <c r="J18" s="13">
        <v>833092</v>
      </c>
      <c r="K18" s="66"/>
      <c r="L18" s="66">
        <v>0</v>
      </c>
      <c r="M18" s="23">
        <v>811472</v>
      </c>
      <c r="N18" s="19">
        <v>93.44</v>
      </c>
      <c r="O18" s="19">
        <v>0</v>
      </c>
      <c r="P18" s="20">
        <f>(((Tabela1327[[#This Row],[Objetive value 16 Large/Exact method]]-Tabela1327[[#This Row],[Objetive Value 16 Large/H-R1]])/Tabela1327[[#This Row],[Objetive value 16 Large/Exact method]]))*100</f>
        <v>2.595151555890586</v>
      </c>
      <c r="Q18" s="96">
        <v>817143</v>
      </c>
      <c r="R18" s="22">
        <v>58.82</v>
      </c>
      <c r="S18" s="22">
        <v>0</v>
      </c>
      <c r="T18" s="43">
        <f>(((Tabela1327[[#This Row],[Objetive value 16 Large/Exact method]]-Tabela1327[[#This Row],[Objetive value  16 Large/H-R2]])/Tabela1327[[#This Row],[Objetive value 16 Large/Exact method]]))*100</f>
        <v>1.9144344202080923</v>
      </c>
    </row>
    <row r="19" spans="1:20" s="34" customFormat="1" x14ac:dyDescent="0.25">
      <c r="A19" s="3" t="s">
        <v>1090</v>
      </c>
      <c r="B19" s="39"/>
      <c r="C19" s="3"/>
      <c r="D19" s="3"/>
      <c r="E19" s="3"/>
      <c r="F19" s="95">
        <f>SUBTOTAL(101,Tabela1327[Objetive value 16 Large/GATeS])</f>
        <v>632735.625</v>
      </c>
      <c r="G19" s="95">
        <f>SUBTOTAL(101,Tabela1327[Time/s 16 Large/GATeS])</f>
        <v>12870.375</v>
      </c>
      <c r="H19" s="95">
        <f>SUBTOTAL(101,Tabela1327[Time/s Best Solution 16 Large/GATeS])</f>
        <v>5658.6875</v>
      </c>
      <c r="I19" s="95">
        <f>SUBTOTAL(101,Tabela1327[Δ % (2020) 16 Large/GATeS])</f>
        <v>4.2967218512456586</v>
      </c>
      <c r="J19" s="95">
        <f>SUBTOTAL(101,Tabela1327[Objetive value 16 Large/Exact method])</f>
        <v>664683.9375</v>
      </c>
      <c r="K19" s="95">
        <f>SUBTOTAL(101,Tabela1327[Time/s 16 Large/Exact method])</f>
        <v>2645.66</v>
      </c>
      <c r="L19" s="95">
        <f>SUBTOTAL(101,Tabela1327[Objetive value 16 Large/Exact method ])</f>
        <v>1.25E-3</v>
      </c>
      <c r="M19" s="95">
        <f>SUBTOTAL(101,Tabela1327[Objetive Value 16 Large/H-R1])</f>
        <v>564989</v>
      </c>
      <c r="N19" s="95">
        <f>SUBTOTAL(101,Tabela1327[Time/s  16 Large/H-R1])</f>
        <v>80.561875000000001</v>
      </c>
      <c r="O19" s="95">
        <f>SUBTOTAL(101,Tabela1327[GAP %  16 Large/H-R1])</f>
        <v>0</v>
      </c>
      <c r="P19" s="95">
        <f>SUBTOTAL(101,Tabela1327[Δ % (2020) 16 Large/H-R1])</f>
        <v>7.9113795854920248</v>
      </c>
      <c r="Q19" s="95">
        <f>SUBTOTAL(101,Tabela1327[Objetive value  16 Large/H-R2])</f>
        <v>572063.25</v>
      </c>
      <c r="R19" s="95">
        <f>SUBTOTAL(101,Tabela1327[Time/s  16 Large/H-R1                ])</f>
        <v>132.78375000000003</v>
      </c>
      <c r="S19" s="95">
        <f>SUBTOTAL(101,Tabela1327[GAP%  16 Large/H-R1])</f>
        <v>0</v>
      </c>
      <c r="T19" s="95">
        <f>SUBTOTAL(101,Tabela1327[Δ % (2020)  16 Large/H-R2])</f>
        <v>6.8141121141042511</v>
      </c>
    </row>
    <row r="20" spans="1:20" s="34" customFormat="1" x14ac:dyDescent="0.25">
      <c r="A20" s="35"/>
      <c r="B20" s="36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45"/>
      <c r="N20" s="45"/>
      <c r="O20" s="45"/>
      <c r="P20" s="45"/>
      <c r="Q20" s="45"/>
      <c r="R20" s="45"/>
      <c r="S20" s="45"/>
      <c r="T20" s="45"/>
    </row>
    <row r="21" spans="1:20" s="34" customFormat="1" x14ac:dyDescent="0.25">
      <c r="B21" s="37"/>
      <c r="J21" s="38"/>
      <c r="K21" s="38"/>
      <c r="L21" s="38"/>
      <c r="P21" s="97"/>
    </row>
    <row r="22" spans="1:20" s="34" customFormat="1" x14ac:dyDescent="0.25">
      <c r="B22" s="37"/>
      <c r="J22" s="38"/>
      <c r="K22" s="38"/>
      <c r="L22" s="38"/>
      <c r="P22" s="97"/>
    </row>
    <row r="23" spans="1:20" s="34" customFormat="1" x14ac:dyDescent="0.25">
      <c r="B23" s="37"/>
      <c r="P23" s="97"/>
    </row>
    <row r="24" spans="1:20" s="34" customFormat="1" x14ac:dyDescent="0.25">
      <c r="B24" s="37"/>
    </row>
    <row r="25" spans="1:20" s="34" customFormat="1" x14ac:dyDescent="0.25">
      <c r="B25" s="37"/>
      <c r="R25" s="136"/>
    </row>
    <row r="26" spans="1:20" s="34" customFormat="1" x14ac:dyDescent="0.25">
      <c r="B26" s="37"/>
    </row>
    <row r="27" spans="1:20" s="34" customFormat="1" x14ac:dyDescent="0.25">
      <c r="B27" s="37"/>
    </row>
    <row r="28" spans="1:20" s="34" customFormat="1" x14ac:dyDescent="0.25">
      <c r="B28" s="37"/>
    </row>
    <row r="29" spans="1:20" s="34" customFormat="1" x14ac:dyDescent="0.25">
      <c r="B29" s="37"/>
    </row>
    <row r="30" spans="1:20" s="34" customFormat="1" x14ac:dyDescent="0.25">
      <c r="B30" s="37"/>
    </row>
    <row r="31" spans="1:20" s="34" customFormat="1" x14ac:dyDescent="0.25">
      <c r="B31" s="37"/>
    </row>
    <row r="32" spans="1:20" s="34" customFormat="1" x14ac:dyDescent="0.25">
      <c r="B32" s="37"/>
    </row>
    <row r="33" spans="2:2" s="34" customFormat="1" x14ac:dyDescent="0.25">
      <c r="B33" s="37"/>
    </row>
    <row r="34" spans="2:2" s="34" customFormat="1" x14ac:dyDescent="0.25">
      <c r="B34" s="37"/>
    </row>
    <row r="35" spans="2:2" s="34" customFormat="1" x14ac:dyDescent="0.25">
      <c r="B35" s="37"/>
    </row>
    <row r="36" spans="2:2" s="34" customFormat="1" x14ac:dyDescent="0.25">
      <c r="B36" s="37"/>
    </row>
    <row r="37" spans="2:2" s="34" customFormat="1" x14ac:dyDescent="0.25">
      <c r="B37" s="37"/>
    </row>
    <row r="38" spans="2:2" s="34" customFormat="1" x14ac:dyDescent="0.25">
      <c r="B38" s="37"/>
    </row>
    <row r="39" spans="2:2" s="34" customFormat="1" x14ac:dyDescent="0.25">
      <c r="B39" s="37"/>
    </row>
    <row r="40" spans="2:2" s="34" customFormat="1" x14ac:dyDescent="0.25">
      <c r="B40" s="37"/>
    </row>
    <row r="41" spans="2:2" s="34" customFormat="1" x14ac:dyDescent="0.25">
      <c r="B41" s="37"/>
    </row>
    <row r="42" spans="2:2" s="34" customFormat="1" x14ac:dyDescent="0.25">
      <c r="B42" s="37"/>
    </row>
    <row r="43" spans="2:2" s="34" customFormat="1" x14ac:dyDescent="0.25">
      <c r="B43" s="37"/>
    </row>
    <row r="44" spans="2:2" s="34" customFormat="1" x14ac:dyDescent="0.25">
      <c r="B44" s="37"/>
    </row>
    <row r="45" spans="2:2" s="34" customFormat="1" x14ac:dyDescent="0.25">
      <c r="B45" s="37"/>
    </row>
    <row r="46" spans="2:2" s="34" customFormat="1" x14ac:dyDescent="0.25">
      <c r="B46" s="37"/>
    </row>
    <row r="47" spans="2:2" s="34" customFormat="1" x14ac:dyDescent="0.25">
      <c r="B47" s="37"/>
    </row>
    <row r="48" spans="2:2" s="34" customFormat="1" x14ac:dyDescent="0.25">
      <c r="B48" s="37"/>
    </row>
    <row r="49" spans="1:19" s="34" customFormat="1" x14ac:dyDescent="0.25">
      <c r="B49" s="37"/>
    </row>
    <row r="50" spans="1:19" s="34" customFormat="1" x14ac:dyDescent="0.25">
      <c r="B50" s="37"/>
    </row>
    <row r="51" spans="1:19" s="34" customFormat="1" x14ac:dyDescent="0.25">
      <c r="B51" s="37"/>
    </row>
    <row r="52" spans="1:19" s="34" customFormat="1" x14ac:dyDescent="0.25">
      <c r="B52" s="37"/>
    </row>
    <row r="53" spans="1:19" s="34" customFormat="1" x14ac:dyDescent="0.25">
      <c r="B53" s="37"/>
    </row>
    <row r="54" spans="1:19" s="34" customFormat="1" x14ac:dyDescent="0.25">
      <c r="B54" s="37"/>
    </row>
    <row r="55" spans="1:19" s="34" customFormat="1" x14ac:dyDescent="0.25">
      <c r="B55" s="37"/>
    </row>
    <row r="56" spans="1:19" s="34" customFormat="1" x14ac:dyDescent="0.25">
      <c r="B56" s="37"/>
      <c r="P56" s="52"/>
      <c r="Q56" s="52"/>
      <c r="R56" s="52"/>
    </row>
    <row r="57" spans="1:19" s="34" customFormat="1" x14ac:dyDescent="0.25">
      <c r="B57" s="37"/>
      <c r="S57" s="51"/>
    </row>
    <row r="58" spans="1:19" s="34" customFormat="1" x14ac:dyDescent="0.25">
      <c r="B58" s="37"/>
      <c r="P58" s="35"/>
      <c r="Q58" s="35"/>
      <c r="R58" s="35"/>
    </row>
    <row r="59" spans="1:19" x14ac:dyDescent="0.25">
      <c r="A59" s="34"/>
      <c r="B59" s="37"/>
      <c r="C59" s="34"/>
      <c r="D59" s="34"/>
      <c r="E59" s="34"/>
      <c r="F59" s="34"/>
      <c r="G59" s="34"/>
      <c r="H59" s="34"/>
      <c r="I59" s="34"/>
      <c r="J59" s="34"/>
      <c r="K59" s="34"/>
      <c r="L59" s="34"/>
    </row>
    <row r="60" spans="1:19" x14ac:dyDescent="0.25">
      <c r="A60" s="34"/>
      <c r="B60" s="37"/>
      <c r="C60" s="34"/>
      <c r="D60" s="34"/>
      <c r="E60" s="34"/>
      <c r="F60" s="34"/>
      <c r="G60" s="34"/>
      <c r="H60" s="34"/>
      <c r="I60" s="34"/>
      <c r="J60" s="34"/>
      <c r="K60" s="34"/>
      <c r="L60" s="34"/>
    </row>
    <row r="61" spans="1:19" x14ac:dyDescent="0.25">
      <c r="A61" s="34"/>
      <c r="B61" s="37"/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1:19" x14ac:dyDescent="0.25">
      <c r="A62" s="34"/>
      <c r="B62" s="37"/>
      <c r="C62" s="34"/>
      <c r="D62" s="34"/>
      <c r="E62" s="34"/>
      <c r="F62" s="34"/>
      <c r="G62" s="34"/>
      <c r="H62" s="34"/>
      <c r="I62" s="34"/>
      <c r="J62" s="34"/>
      <c r="K62" s="34"/>
      <c r="L62" s="34"/>
    </row>
    <row r="63" spans="1:19" x14ac:dyDescent="0.25">
      <c r="A63" s="34"/>
      <c r="B63" s="37"/>
      <c r="C63" s="34"/>
      <c r="D63" s="34"/>
      <c r="E63" s="34"/>
      <c r="F63" s="34"/>
      <c r="G63" s="34"/>
      <c r="H63" s="34"/>
      <c r="I63" s="34"/>
      <c r="J63" s="34"/>
      <c r="K63" s="34"/>
      <c r="L63" s="34"/>
    </row>
    <row r="64" spans="1:19" x14ac:dyDescent="0.25">
      <c r="A64" s="34"/>
      <c r="B64" s="37"/>
      <c r="C64" s="34"/>
      <c r="D64" s="34"/>
      <c r="E64" s="34"/>
      <c r="F64" s="34"/>
      <c r="G64" s="34"/>
      <c r="H64" s="34"/>
      <c r="I64" s="34"/>
      <c r="J64" s="34"/>
      <c r="K64" s="34"/>
      <c r="L64" s="34"/>
    </row>
    <row r="65" spans="1:12" x14ac:dyDescent="0.25">
      <c r="A65" s="34"/>
      <c r="B65" s="37"/>
      <c r="C65" s="34"/>
      <c r="D65" s="34"/>
      <c r="E65" s="34"/>
      <c r="F65" s="34"/>
      <c r="G65" s="34"/>
      <c r="H65" s="34"/>
      <c r="I65" s="34"/>
      <c r="J65" s="34"/>
      <c r="K65" s="34"/>
      <c r="L65" s="34"/>
    </row>
    <row r="66" spans="1:12" x14ac:dyDescent="0.25">
      <c r="A66" s="34"/>
      <c r="B66" s="37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 x14ac:dyDescent="0.25">
      <c r="A67" s="34"/>
      <c r="B67" s="37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 x14ac:dyDescent="0.25">
      <c r="A68" s="34"/>
      <c r="B68" s="37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 x14ac:dyDescent="0.25">
      <c r="A69" s="34"/>
      <c r="B69" s="37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 x14ac:dyDescent="0.25">
      <c r="A70" s="34"/>
      <c r="B70" s="37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 x14ac:dyDescent="0.25">
      <c r="A71" s="34"/>
      <c r="B71" s="37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 x14ac:dyDescent="0.25">
      <c r="A72" s="34"/>
      <c r="B72" s="37"/>
      <c r="C72" s="34"/>
      <c r="D72" s="34"/>
      <c r="E72" s="34"/>
      <c r="F72" s="34"/>
      <c r="G72" s="34"/>
      <c r="H72" s="34"/>
      <c r="I72" s="34"/>
      <c r="J72" s="34"/>
      <c r="K72" s="34"/>
      <c r="L72" s="34"/>
    </row>
  </sheetData>
  <mergeCells count="4">
    <mergeCell ref="Q1:T1"/>
    <mergeCell ref="F1:I1"/>
    <mergeCell ref="J1:L1"/>
    <mergeCell ref="M1:P1"/>
  </mergeCells>
  <conditionalFormatting sqref="R4:R16 O4:O18 N4:N16 S4:S18">
    <cfRule type="cellIs" dxfId="51" priority="2" operator="greaterThan">
      <formula>3600</formula>
    </cfRule>
  </conditionalFormatting>
  <conditionalFormatting sqref="N3:O3 R3:S3">
    <cfRule type="cellIs" dxfId="50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zoomScaleNormal="100" workbookViewId="0">
      <pane ySplit="2" topLeftCell="A3" activePane="bottomLeft" state="frozen"/>
      <selection activeCell="F1" sqref="F1"/>
      <selection pane="bottomLeft"/>
    </sheetView>
  </sheetViews>
  <sheetFormatPr defaultColWidth="12.140625" defaultRowHeight="15" x14ac:dyDescent="0.25"/>
  <cols>
    <col min="1" max="1" width="11.140625" style="3" bestFit="1" customWidth="1"/>
    <col min="2" max="2" width="26.7109375" style="39" customWidth="1"/>
    <col min="3" max="3" width="10" style="3" customWidth="1"/>
    <col min="4" max="4" width="11.85546875" style="3" customWidth="1"/>
    <col min="5" max="5" width="13" style="3" customWidth="1"/>
    <col min="6" max="6" width="15.140625" style="3" bestFit="1" customWidth="1"/>
    <col min="7" max="8" width="10" style="3" customWidth="1"/>
    <col min="9" max="9" width="10" style="95" customWidth="1"/>
    <col min="10" max="10" width="23.42578125" style="3" customWidth="1"/>
    <col min="11" max="11" width="10" style="3" customWidth="1"/>
    <col min="12" max="12" width="11.42578125" style="3" customWidth="1"/>
    <col min="13" max="13" width="0.140625" style="3" customWidth="1"/>
    <col min="14" max="14" width="14.28515625" style="34" customWidth="1"/>
    <col min="15" max="16" width="11.7109375" style="34" customWidth="1"/>
    <col min="17" max="17" width="12.140625" style="34" customWidth="1"/>
    <col min="18" max="18" width="13.7109375" style="34" customWidth="1"/>
    <col min="19" max="19" width="12.5703125" style="34" customWidth="1"/>
    <col min="20" max="20" width="12.42578125" style="34" customWidth="1"/>
    <col min="21" max="21" width="12.140625" style="34" customWidth="1"/>
    <col min="22" max="16384" width="12.140625" style="3"/>
  </cols>
  <sheetData>
    <row r="1" spans="1:21" x14ac:dyDescent="0.25">
      <c r="A1" s="1"/>
      <c r="B1" s="1"/>
      <c r="C1" s="2"/>
      <c r="D1" s="2"/>
      <c r="E1" s="2"/>
      <c r="F1" s="238" t="s">
        <v>1514</v>
      </c>
      <c r="G1" s="238"/>
      <c r="H1" s="238"/>
      <c r="I1" s="238"/>
      <c r="J1" s="226" t="s">
        <v>1571</v>
      </c>
      <c r="K1" s="227"/>
      <c r="L1" s="239"/>
      <c r="M1" s="134"/>
      <c r="N1" s="233" t="s">
        <v>1515</v>
      </c>
      <c r="O1" s="234"/>
      <c r="P1" s="234"/>
      <c r="Q1" s="235"/>
      <c r="R1" s="229" t="s">
        <v>1524</v>
      </c>
      <c r="S1" s="230"/>
      <c r="T1" s="230"/>
      <c r="U1" s="231"/>
    </row>
    <row r="2" spans="1:21" s="10" customFormat="1" ht="106.5" customHeight="1" x14ac:dyDescent="0.25">
      <c r="A2" s="4" t="s">
        <v>1085</v>
      </c>
      <c r="B2" s="4" t="s">
        <v>1</v>
      </c>
      <c r="C2" s="4" t="s">
        <v>2</v>
      </c>
      <c r="D2" s="4" t="s">
        <v>3</v>
      </c>
      <c r="E2" s="4" t="s">
        <v>4</v>
      </c>
      <c r="F2" s="107" t="s">
        <v>1587</v>
      </c>
      <c r="G2" s="107" t="s">
        <v>1588</v>
      </c>
      <c r="H2" s="107" t="s">
        <v>1589</v>
      </c>
      <c r="I2" s="135" t="s">
        <v>1590</v>
      </c>
      <c r="J2" s="5" t="s">
        <v>1584</v>
      </c>
      <c r="K2" s="5" t="s">
        <v>1585</v>
      </c>
      <c r="L2" s="5" t="s">
        <v>1586</v>
      </c>
      <c r="M2" s="6" t="s">
        <v>10</v>
      </c>
      <c r="N2" s="44" t="s">
        <v>1583</v>
      </c>
      <c r="O2" s="44" t="s">
        <v>1582</v>
      </c>
      <c r="P2" s="44" t="s">
        <v>1581</v>
      </c>
      <c r="Q2" s="44" t="s">
        <v>1580</v>
      </c>
      <c r="R2" s="46" t="s">
        <v>1579</v>
      </c>
      <c r="S2" s="46" t="s">
        <v>1578</v>
      </c>
      <c r="T2" s="46" t="s">
        <v>1577</v>
      </c>
      <c r="U2" s="8" t="s">
        <v>1576</v>
      </c>
    </row>
    <row r="3" spans="1:21" s="34" customFormat="1" x14ac:dyDescent="0.25">
      <c r="A3" s="11" t="s">
        <v>357</v>
      </c>
      <c r="B3" s="12" t="s">
        <v>1048</v>
      </c>
      <c r="C3" s="11">
        <v>100000</v>
      </c>
      <c r="D3" s="47">
        <v>0.15</v>
      </c>
      <c r="E3" s="11">
        <v>15</v>
      </c>
      <c r="F3" s="90">
        <v>1595775</v>
      </c>
      <c r="G3" s="90">
        <v>46990</v>
      </c>
      <c r="H3" s="90">
        <v>17699</v>
      </c>
      <c r="I3" s="90">
        <f>((Tabela132436[[#This Row],[Objetive value Cannibalism 16 Large/Exact method  ]]-Tabela132436[[#This Row],[Objetive value Cannibalism 16 Large/GATeS]])/Tabela132436[[#This Row],[Objetive value Cannibalism 16 Large/Exact method  ]])*100</f>
        <v>4.9312262741369333</v>
      </c>
      <c r="J3" s="66">
        <v>1678548</v>
      </c>
      <c r="K3" s="67">
        <v>84504.53</v>
      </c>
      <c r="L3" s="67">
        <v>0</v>
      </c>
      <c r="M3" s="14" t="e">
        <f>(((Tabela132436[[#This Row],[Objetive value Cannibalism 16 Large/Exact method  ]]-#REF!)/Tabela132436[[#This Row],[Objetive value Cannibalism 16 Large/Exact method  ]]))*(-1)</f>
        <v>#REF!</v>
      </c>
      <c r="N3" s="23">
        <v>157771.21</v>
      </c>
      <c r="O3" s="19">
        <v>78.62</v>
      </c>
      <c r="P3" s="19">
        <v>0</v>
      </c>
      <c r="Q3" s="20">
        <f>(((Tabela132436[[#This Row],[Objetive value Cannibalism 16 Large/Exact method  ]]-Tabela132436[[#This Row],[Objetive Value Cannibalism 16 Large/H-R1]])/Tabela132436[[#This Row],[Objetive value Cannibalism 16 Large/Exact method  ]]))*100</f>
        <v>90.600732895335739</v>
      </c>
      <c r="R3" s="96">
        <v>161448.41</v>
      </c>
      <c r="S3" s="22">
        <v>60.22</v>
      </c>
      <c r="T3" s="22">
        <v>0</v>
      </c>
      <c r="U3" s="43">
        <f>(((Tabela132436[[#This Row],[Objetive value Cannibalism 16 Large/Exact method  ]]-Tabela132436[[#This Row],[Objetive value Cannibalism/H-R2 ]])/Tabela132436[[#This Row],[Objetive value Cannibalism 16 Large/Exact method  ]]))*100</f>
        <v>90.381662603631241</v>
      </c>
    </row>
    <row r="4" spans="1:21" s="34" customFormat="1" x14ac:dyDescent="0.25">
      <c r="A4" s="11" t="s">
        <v>361</v>
      </c>
      <c r="B4" s="12" t="s">
        <v>1033</v>
      </c>
      <c r="C4" s="11">
        <v>15000</v>
      </c>
      <c r="D4" s="47">
        <v>0.1</v>
      </c>
      <c r="E4" s="11">
        <v>10</v>
      </c>
      <c r="F4" s="90">
        <v>157740</v>
      </c>
      <c r="G4" s="90">
        <v>2099</v>
      </c>
      <c r="H4" s="90">
        <v>431</v>
      </c>
      <c r="I4" s="90">
        <f>((Tabela132436[[#This Row],[Objetive value Cannibalism 16 Large/Exact method  ]]-Tabela132436[[#This Row],[Objetive value Cannibalism 16 Large/GATeS]])/Tabela132436[[#This Row],[Objetive value Cannibalism 16 Large/Exact method  ]])*100</f>
        <v>10.686582037664058</v>
      </c>
      <c r="J4" s="66">
        <v>176614</v>
      </c>
      <c r="K4" s="67">
        <v>436</v>
      </c>
      <c r="L4" s="67">
        <v>0</v>
      </c>
      <c r="M4" s="14" t="e">
        <f>(((Tabela132436[[#This Row],[Objetive value Cannibalism 16 Large/Exact method  ]]-#REF!)/Tabela132436[[#This Row],[Objetive value Cannibalism 16 Large/Exact method  ]]))*(-1)</f>
        <v>#REF!</v>
      </c>
      <c r="N4" s="23">
        <v>162088</v>
      </c>
      <c r="O4" s="19">
        <v>3.6</v>
      </c>
      <c r="P4" s="19">
        <v>0</v>
      </c>
      <c r="Q4" s="20">
        <f>(((Tabela132436[[#This Row],[Objetive value Cannibalism 16 Large/Exact method  ]]-Tabela132436[[#This Row],[Objetive Value Cannibalism 16 Large/H-R1]])/Tabela132436[[#This Row],[Objetive value Cannibalism 16 Large/Exact method  ]]))*100</f>
        <v>8.2247160474254599</v>
      </c>
      <c r="R4" s="96">
        <v>162088</v>
      </c>
      <c r="S4" s="22">
        <v>3.62</v>
      </c>
      <c r="T4" s="22">
        <v>0</v>
      </c>
      <c r="U4" s="43">
        <f>(((Tabela132436[[#This Row],[Objetive value Cannibalism 16 Large/Exact method  ]]-Tabela132436[[#This Row],[Objetive value Cannibalism/H-R2 ]])/Tabela132436[[#This Row],[Objetive value Cannibalism 16 Large/Exact method  ]]))*100</f>
        <v>8.2247160474254599</v>
      </c>
    </row>
    <row r="5" spans="1:21" s="34" customFormat="1" x14ac:dyDescent="0.25">
      <c r="A5" s="11" t="s">
        <v>362</v>
      </c>
      <c r="B5" s="12" t="s">
        <v>1034</v>
      </c>
      <c r="C5" s="11">
        <v>15000</v>
      </c>
      <c r="D5" s="47">
        <v>0.1</v>
      </c>
      <c r="E5" s="11">
        <v>20</v>
      </c>
      <c r="F5" s="90">
        <v>284887</v>
      </c>
      <c r="G5" s="90">
        <v>2850</v>
      </c>
      <c r="H5" s="90">
        <v>546</v>
      </c>
      <c r="I5" s="90">
        <f>((Tabela132436[[#This Row],[Objetive value Cannibalism 16 Large/Exact method  ]]-Tabela132436[[#This Row],[Objetive value Cannibalism 16 Large/GATeS]])/Tabela132436[[#This Row],[Objetive value Cannibalism 16 Large/Exact method  ]])*100</f>
        <v>2.6483322341330728</v>
      </c>
      <c r="J5" s="66">
        <v>292637</v>
      </c>
      <c r="K5" s="67">
        <v>4194.95</v>
      </c>
      <c r="L5" s="67">
        <v>0</v>
      </c>
      <c r="M5" s="14" t="e">
        <f>(((Tabela132436[[#This Row],[Objetive value Cannibalism 16 Large/Exact method  ]]-#REF!)/Tabela132436[[#This Row],[Objetive value Cannibalism 16 Large/Exact method  ]]))*(-1)</f>
        <v>#REF!</v>
      </c>
      <c r="N5" s="23">
        <v>273198</v>
      </c>
      <c r="O5" s="19">
        <v>7.25</v>
      </c>
      <c r="P5" s="19">
        <v>0</v>
      </c>
      <c r="Q5" s="20">
        <f>(((Tabela132436[[#This Row],[Objetive value Cannibalism 16 Large/Exact method  ]]-Tabela132436[[#This Row],[Objetive Value Cannibalism 16 Large/H-R1]])/Tabela132436[[#This Row],[Objetive value Cannibalism 16 Large/Exact method  ]]))*100</f>
        <v>6.6427006837822971</v>
      </c>
      <c r="R5" s="96">
        <v>274261</v>
      </c>
      <c r="S5" s="22">
        <v>7.13</v>
      </c>
      <c r="T5" s="22">
        <v>0</v>
      </c>
      <c r="U5" s="43">
        <f>(((Tabela132436[[#This Row],[Objetive value Cannibalism 16 Large/Exact method  ]]-Tabela132436[[#This Row],[Objetive value Cannibalism/H-R2 ]])/Tabela132436[[#This Row],[Objetive value Cannibalism 16 Large/Exact method  ]]))*100</f>
        <v>6.2794520173457213</v>
      </c>
    </row>
    <row r="6" spans="1:21" s="34" customFormat="1" x14ac:dyDescent="0.25">
      <c r="A6" s="11" t="s">
        <v>363</v>
      </c>
      <c r="B6" s="12" t="s">
        <v>1035</v>
      </c>
      <c r="C6" s="11">
        <v>15000</v>
      </c>
      <c r="D6" s="47">
        <v>0.1</v>
      </c>
      <c r="E6" s="11">
        <v>30</v>
      </c>
      <c r="F6" s="90">
        <v>427042</v>
      </c>
      <c r="G6" s="90">
        <v>4575</v>
      </c>
      <c r="H6" s="90">
        <v>2029</v>
      </c>
      <c r="I6" s="90">
        <f>((Tabela132436[[#This Row],[Objetive value Cannibalism 16 Large/Exact method  ]]-Tabela132436[[#This Row],[Objetive value Cannibalism 16 Large/GATeS]])/Tabela132436[[#This Row],[Objetive value Cannibalism 16 Large/Exact method  ]])*100</f>
        <v>10.992731739365075</v>
      </c>
      <c r="J6" s="66">
        <v>479783.29</v>
      </c>
      <c r="K6" s="67">
        <v>11576.53</v>
      </c>
      <c r="L6" s="67">
        <v>0</v>
      </c>
      <c r="M6" s="14" t="e">
        <f>(((Tabela132436[[#This Row],[Objetive value Cannibalism 16 Large/Exact method  ]]-#REF!)/Tabela132436[[#This Row],[Objetive value Cannibalism 16 Large/Exact method  ]]))*(-1)</f>
        <v>#REF!</v>
      </c>
      <c r="N6" s="23">
        <v>428283</v>
      </c>
      <c r="O6" s="19">
        <v>21.97</v>
      </c>
      <c r="P6" s="19">
        <v>0</v>
      </c>
      <c r="Q6" s="20">
        <f>(((Tabela132436[[#This Row],[Objetive value Cannibalism 16 Large/Exact method  ]]-Tabela132436[[#This Row],[Objetive Value Cannibalism 16 Large/H-R1]])/Tabela132436[[#This Row],[Objetive value Cannibalism 16 Large/Exact method  ]]))*100</f>
        <v>10.734073293798954</v>
      </c>
      <c r="R6" s="96">
        <v>429204</v>
      </c>
      <c r="S6" s="22">
        <v>21.83</v>
      </c>
      <c r="T6" s="22">
        <v>0</v>
      </c>
      <c r="U6" s="43">
        <f>(((Tabela132436[[#This Row],[Objetive value Cannibalism 16 Large/Exact method  ]]-Tabela132436[[#This Row],[Objetive value Cannibalism/H-R2 ]])/Tabela132436[[#This Row],[Objetive value Cannibalism 16 Large/Exact method  ]]))*100</f>
        <v>10.542111627105642</v>
      </c>
    </row>
    <row r="7" spans="1:21" s="34" customFormat="1" x14ac:dyDescent="0.25">
      <c r="A7" s="11" t="s">
        <v>364</v>
      </c>
      <c r="B7" s="12" t="s">
        <v>1036</v>
      </c>
      <c r="C7" s="11">
        <v>15000</v>
      </c>
      <c r="D7" s="47">
        <v>0.1</v>
      </c>
      <c r="E7" s="11">
        <v>40</v>
      </c>
      <c r="F7" s="90">
        <v>549156</v>
      </c>
      <c r="G7" s="90">
        <v>6585</v>
      </c>
      <c r="H7" s="90">
        <v>2590</v>
      </c>
      <c r="I7" s="90">
        <f>((Tabela132436[[#This Row],[Objetive value Cannibalism 16 Large/Exact method  ]]-Tabela132436[[#This Row],[Objetive value Cannibalism 16 Large/GATeS]])/Tabela132436[[#This Row],[Objetive value Cannibalism 16 Large/Exact method  ]])*100</f>
        <v>3.0347333682944786</v>
      </c>
      <c r="J7" s="66">
        <v>566343</v>
      </c>
      <c r="K7" s="67">
        <v>93625.3</v>
      </c>
      <c r="L7" s="67">
        <v>0.01</v>
      </c>
      <c r="M7" s="14" t="e">
        <f>(((Tabela132436[[#This Row],[Objetive value Cannibalism 16 Large/Exact method  ]]-#REF!)/Tabela132436[[#This Row],[Objetive value Cannibalism 16 Large/Exact method  ]]))*(-1)</f>
        <v>#REF!</v>
      </c>
      <c r="N7" s="23">
        <v>548156</v>
      </c>
      <c r="O7" s="19">
        <v>21.94</v>
      </c>
      <c r="P7" s="19">
        <v>0</v>
      </c>
      <c r="Q7" s="20">
        <f>(((Tabela132436[[#This Row],[Objetive value Cannibalism 16 Large/Exact method  ]]-Tabela132436[[#This Row],[Objetive Value Cannibalism 16 Large/H-R1]])/Tabela132436[[#This Row],[Objetive value Cannibalism 16 Large/Exact method  ]]))*100</f>
        <v>3.2113048099826429</v>
      </c>
      <c r="R7" s="96">
        <v>548321</v>
      </c>
      <c r="S7" s="22">
        <v>25.32</v>
      </c>
      <c r="T7" s="22">
        <v>0</v>
      </c>
      <c r="U7" s="43">
        <f>(((Tabela132436[[#This Row],[Objetive value Cannibalism 16 Large/Exact method  ]]-Tabela132436[[#This Row],[Objetive value Cannibalism/H-R2 ]])/Tabela132436[[#This Row],[Objetive value Cannibalism 16 Large/Exact method  ]]))*100</f>
        <v>3.1821705221040961</v>
      </c>
    </row>
    <row r="8" spans="1:21" s="34" customFormat="1" x14ac:dyDescent="0.25">
      <c r="A8" s="11" t="s">
        <v>365</v>
      </c>
      <c r="B8" s="12" t="s">
        <v>1037</v>
      </c>
      <c r="C8" s="11">
        <v>15000</v>
      </c>
      <c r="D8" s="47">
        <v>0.1</v>
      </c>
      <c r="E8" s="11">
        <v>50</v>
      </c>
      <c r="F8" s="90">
        <v>681527</v>
      </c>
      <c r="G8" s="90">
        <v>9723</v>
      </c>
      <c r="H8" s="90">
        <v>3619</v>
      </c>
      <c r="I8" s="90">
        <f>((Tabela132436[[#This Row],[Objetive value Cannibalism 16 Large/Exact method  ]]-Tabela132436[[#This Row],[Objetive value Cannibalism 16 Large/GATeS]])/Tabela132436[[#This Row],[Objetive value Cannibalism 16 Large/Exact method  ]])*100</f>
        <v>2.7869027836220606</v>
      </c>
      <c r="J8" s="66">
        <v>701065</v>
      </c>
      <c r="K8" s="67">
        <v>42038.25</v>
      </c>
      <c r="L8" s="67">
        <v>0</v>
      </c>
      <c r="M8" s="14" t="e">
        <f>(((Tabela132436[[#This Row],[Objetive value Cannibalism 16 Large/Exact method  ]]-#REF!)/Tabela132436[[#This Row],[Objetive value Cannibalism 16 Large/Exact method  ]]))*(-1)</f>
        <v>#REF!</v>
      </c>
      <c r="N8" s="23">
        <v>671483</v>
      </c>
      <c r="O8" s="19">
        <v>38.08</v>
      </c>
      <c r="P8" s="19">
        <v>0</v>
      </c>
      <c r="Q8" s="20">
        <f>(((Tabela132436[[#This Row],[Objetive value Cannibalism 16 Large/Exact method  ]]-Tabela132436[[#This Row],[Objetive Value Cannibalism 16 Large/H-R1]])/Tabela132436[[#This Row],[Objetive value Cannibalism 16 Large/Exact method  ]]))*100</f>
        <v>4.2195802101089059</v>
      </c>
      <c r="R8" s="96">
        <v>664232</v>
      </c>
      <c r="S8" s="22">
        <v>38.229999999999997</v>
      </c>
      <c r="T8" s="22">
        <v>0</v>
      </c>
      <c r="U8" s="43">
        <f>(((Tabela132436[[#This Row],[Objetive value Cannibalism 16 Large/Exact method  ]]-Tabela132436[[#This Row],[Objetive value Cannibalism/H-R2 ]])/Tabela132436[[#This Row],[Objetive value Cannibalism 16 Large/Exact method  ]]))*100</f>
        <v>5.2538637644155681</v>
      </c>
    </row>
    <row r="9" spans="1:21" s="34" customFormat="1" x14ac:dyDescent="0.25">
      <c r="A9" s="11" t="s">
        <v>361</v>
      </c>
      <c r="B9" s="12" t="s">
        <v>1038</v>
      </c>
      <c r="C9" s="11">
        <v>20000</v>
      </c>
      <c r="D9" s="47">
        <v>0.1</v>
      </c>
      <c r="E9" s="11">
        <v>10</v>
      </c>
      <c r="F9" s="90">
        <v>223132</v>
      </c>
      <c r="G9" s="90">
        <v>2035</v>
      </c>
      <c r="H9" s="90">
        <v>1703</v>
      </c>
      <c r="I9" s="90">
        <f>((Tabela132436[[#This Row],[Objetive value Cannibalism 16 Large/Exact method  ]]-Tabela132436[[#This Row],[Objetive value Cannibalism 16 Large/GATeS]])/Tabela132436[[#This Row],[Objetive value Cannibalism 16 Large/Exact method  ]])*100</f>
        <v>5.04455584588018</v>
      </c>
      <c r="J9" s="66">
        <v>234986</v>
      </c>
      <c r="K9" s="67">
        <v>861.23</v>
      </c>
      <c r="L9" s="67">
        <v>0</v>
      </c>
      <c r="M9" s="14" t="e">
        <f>(((Tabela132436[[#This Row],[Objetive value Cannibalism 16 Large/Exact method  ]]-#REF!)/Tabela132436[[#This Row],[Objetive value Cannibalism 16 Large/Exact method  ]]))*(-1)</f>
        <v>#REF!</v>
      </c>
      <c r="N9" s="23">
        <v>234092</v>
      </c>
      <c r="O9" s="19">
        <v>15.42</v>
      </c>
      <c r="P9" s="19">
        <v>0</v>
      </c>
      <c r="Q9" s="20">
        <f>(((Tabela132436[[#This Row],[Objetive value Cannibalism 16 Large/Exact method  ]]-Tabela132436[[#This Row],[Objetive Value Cannibalism 16 Large/H-R1]])/Tabela132436[[#This Row],[Objetive value Cannibalism 16 Large/Exact method  ]]))*100</f>
        <v>0.38044819691385867</v>
      </c>
      <c r="R9" s="96">
        <v>234092</v>
      </c>
      <c r="S9" s="22">
        <v>11.24</v>
      </c>
      <c r="T9" s="22">
        <v>0</v>
      </c>
      <c r="U9" s="43">
        <f>(((Tabela132436[[#This Row],[Objetive value Cannibalism 16 Large/Exact method  ]]-Tabela132436[[#This Row],[Objetive value Cannibalism/H-R2 ]])/Tabela132436[[#This Row],[Objetive value Cannibalism 16 Large/Exact method  ]]))*100</f>
        <v>0.38044819691385867</v>
      </c>
    </row>
    <row r="10" spans="1:21" s="34" customFormat="1" x14ac:dyDescent="0.25">
      <c r="A10" s="11" t="s">
        <v>362</v>
      </c>
      <c r="B10" s="12" t="s">
        <v>1039</v>
      </c>
      <c r="C10" s="11">
        <v>20000</v>
      </c>
      <c r="D10" s="47">
        <v>0.1</v>
      </c>
      <c r="E10" s="11">
        <v>20</v>
      </c>
      <c r="F10" s="90">
        <v>426746</v>
      </c>
      <c r="G10" s="90">
        <v>3969</v>
      </c>
      <c r="H10" s="90">
        <v>1660</v>
      </c>
      <c r="I10" s="90">
        <f>((Tabela132436[[#This Row],[Objetive value Cannibalism 16 Large/Exact method  ]]-Tabela132436[[#This Row],[Objetive value Cannibalism 16 Large/GATeS]])/Tabela132436[[#This Row],[Objetive value Cannibalism 16 Large/Exact method  ]])*100</f>
        <v>2.6438682742651167</v>
      </c>
      <c r="J10" s="66">
        <v>438335</v>
      </c>
      <c r="K10" s="67">
        <v>4375.83</v>
      </c>
      <c r="L10" s="67">
        <v>0</v>
      </c>
      <c r="M10" s="14" t="e">
        <f>(((Tabela132436[[#This Row],[Objetive value Cannibalism 16 Large/Exact method  ]]-#REF!)/Tabela132436[[#This Row],[Objetive value Cannibalism 16 Large/Exact method  ]]))*(-1)</f>
        <v>#REF!</v>
      </c>
      <c r="N10" s="23">
        <v>438105</v>
      </c>
      <c r="O10" s="19">
        <v>16.73</v>
      </c>
      <c r="P10" s="19">
        <v>0</v>
      </c>
      <c r="Q10" s="20">
        <f>(((Tabela132436[[#This Row],[Objetive value Cannibalism 16 Large/Exact method  ]]-Tabela132436[[#This Row],[Objetive Value Cannibalism 16 Large/H-R1]])/Tabela132436[[#This Row],[Objetive value Cannibalism 16 Large/Exact method  ]]))*100</f>
        <v>5.2471283379150656E-2</v>
      </c>
      <c r="R10" s="96">
        <v>438105</v>
      </c>
      <c r="S10" s="22">
        <v>17.399999999999999</v>
      </c>
      <c r="T10" s="22">
        <v>0</v>
      </c>
      <c r="U10" s="43">
        <f>(((Tabela132436[[#This Row],[Objetive value Cannibalism 16 Large/Exact method  ]]-Tabela132436[[#This Row],[Objetive value Cannibalism/H-R2 ]])/Tabela132436[[#This Row],[Objetive value Cannibalism 16 Large/Exact method  ]]))*100</f>
        <v>5.2471283379150656E-2</v>
      </c>
    </row>
    <row r="11" spans="1:21" s="34" customFormat="1" x14ac:dyDescent="0.25">
      <c r="A11" s="11" t="s">
        <v>363</v>
      </c>
      <c r="B11" s="12" t="s">
        <v>1040</v>
      </c>
      <c r="C11" s="11">
        <v>20000</v>
      </c>
      <c r="D11" s="47">
        <v>0.1</v>
      </c>
      <c r="E11" s="11">
        <v>30</v>
      </c>
      <c r="F11" s="90">
        <v>544431</v>
      </c>
      <c r="G11" s="90">
        <v>7009</v>
      </c>
      <c r="H11" s="90">
        <v>2962</v>
      </c>
      <c r="I11" s="90">
        <f>((Tabela132436[[#This Row],[Objetive value Cannibalism 16 Large/Exact method  ]]-Tabela132436[[#This Row],[Objetive value Cannibalism 16 Large/GATeS]])/Tabela132436[[#This Row],[Objetive value Cannibalism 16 Large/Exact method  ]])*100</f>
        <v>3.4633477728148834</v>
      </c>
      <c r="J11" s="66">
        <v>563963</v>
      </c>
      <c r="K11" s="67">
        <v>144303.23000000001</v>
      </c>
      <c r="L11" s="67">
        <v>0</v>
      </c>
      <c r="M11" s="14" t="e">
        <f>(((Tabela132436[[#This Row],[Objetive value Cannibalism 16 Large/Exact method  ]]-#REF!)/Tabela132436[[#This Row],[Objetive value Cannibalism 16 Large/Exact method  ]]))*(-1)</f>
        <v>#REF!</v>
      </c>
      <c r="N11" s="23">
        <v>526589</v>
      </c>
      <c r="O11" s="19">
        <v>21.27</v>
      </c>
      <c r="P11" s="19">
        <v>0</v>
      </c>
      <c r="Q11" s="20">
        <f>(((Tabela132436[[#This Row],[Objetive value Cannibalism 16 Large/Exact method  ]]-Tabela132436[[#This Row],[Objetive Value Cannibalism 16 Large/H-R1]])/Tabela132436[[#This Row],[Objetive value Cannibalism 16 Large/Exact method  ]]))*100</f>
        <v>6.6270304966815203</v>
      </c>
      <c r="R11" s="96">
        <v>529550</v>
      </c>
      <c r="S11" s="22">
        <v>25.22</v>
      </c>
      <c r="T11" s="22">
        <v>0</v>
      </c>
      <c r="U11" s="43">
        <f>(((Tabela132436[[#This Row],[Objetive value Cannibalism 16 Large/Exact method  ]]-Tabela132436[[#This Row],[Objetive value Cannibalism/H-R2 ]])/Tabela132436[[#This Row],[Objetive value Cannibalism 16 Large/Exact method  ]]))*100</f>
        <v>6.1019960529325505</v>
      </c>
    </row>
    <row r="12" spans="1:21" s="34" customFormat="1" x14ac:dyDescent="0.25">
      <c r="A12" s="11" t="s">
        <v>364</v>
      </c>
      <c r="B12" s="12" t="s">
        <v>1041</v>
      </c>
      <c r="C12" s="11">
        <v>20000</v>
      </c>
      <c r="D12" s="47">
        <v>0.1</v>
      </c>
      <c r="E12" s="11">
        <v>40</v>
      </c>
      <c r="F12" s="90">
        <v>706583</v>
      </c>
      <c r="G12" s="90">
        <v>9835</v>
      </c>
      <c r="H12" s="90">
        <v>3952</v>
      </c>
      <c r="I12" s="90">
        <f>((Tabela132436[[#This Row],[Objetive value Cannibalism 16 Large/Exact method  ]]-Tabela132436[[#This Row],[Objetive value Cannibalism 16 Large/GATeS]])/Tabela132436[[#This Row],[Objetive value Cannibalism 16 Large/Exact method  ]])*100</f>
        <v>6.3282329203333347</v>
      </c>
      <c r="J12" s="66">
        <v>754318</v>
      </c>
      <c r="K12" s="67">
        <v>68366.14</v>
      </c>
      <c r="L12" s="67">
        <v>0</v>
      </c>
      <c r="M12" s="14" t="e">
        <f>(((Tabela132436[[#This Row],[Objetive value Cannibalism 16 Large/Exact method  ]]-#REF!)/Tabela132436[[#This Row],[Objetive value Cannibalism 16 Large/Exact method  ]]))*(-1)</f>
        <v>#REF!</v>
      </c>
      <c r="N12" s="23">
        <v>754306</v>
      </c>
      <c r="O12" s="19">
        <v>43</v>
      </c>
      <c r="P12" s="19">
        <v>0</v>
      </c>
      <c r="Q12" s="20">
        <f>(((Tabela132436[[#This Row],[Objetive value Cannibalism 16 Large/Exact method  ]]-Tabela132436[[#This Row],[Objetive Value Cannibalism 16 Large/H-R1]])/Tabela132436[[#This Row],[Objetive value Cannibalism 16 Large/Exact method  ]]))*100</f>
        <v>1.5908409980936421E-3</v>
      </c>
      <c r="R12" s="96">
        <v>727554</v>
      </c>
      <c r="S12" s="22">
        <v>83.34</v>
      </c>
      <c r="T12" s="22">
        <v>0</v>
      </c>
      <c r="U12" s="43">
        <f>(((Tabela132436[[#This Row],[Objetive value Cannibalism 16 Large/Exact method  ]]-Tabela132436[[#This Row],[Objetive value Cannibalism/H-R2 ]])/Tabela132436[[#This Row],[Objetive value Cannibalism 16 Large/Exact method  ]]))*100</f>
        <v>3.5481057060815195</v>
      </c>
    </row>
    <row r="13" spans="1:21" s="34" customFormat="1" x14ac:dyDescent="0.25">
      <c r="A13" s="11" t="s">
        <v>365</v>
      </c>
      <c r="B13" s="12" t="s">
        <v>1042</v>
      </c>
      <c r="C13" s="11">
        <v>20000</v>
      </c>
      <c r="D13" s="47">
        <v>0.1</v>
      </c>
      <c r="E13" s="11">
        <v>50</v>
      </c>
      <c r="F13" s="90">
        <v>920036</v>
      </c>
      <c r="G13" s="90">
        <v>14768</v>
      </c>
      <c r="H13" s="90">
        <v>5105</v>
      </c>
      <c r="I13" s="90">
        <f>((Tabela132436[[#This Row],[Objetive value Cannibalism 16 Large/Exact method  ]]-Tabela132436[[#This Row],[Objetive value Cannibalism 16 Large/GATeS]])/Tabela132436[[#This Row],[Objetive value Cannibalism 16 Large/Exact method  ]])*100</f>
        <v>3.4448886038992041</v>
      </c>
      <c r="J13" s="66">
        <v>952861</v>
      </c>
      <c r="K13" s="67">
        <v>133474.01999999999</v>
      </c>
      <c r="L13" s="67">
        <v>0</v>
      </c>
      <c r="M13" s="14" t="e">
        <f>(((Tabela132436[[#This Row],[Objetive value Cannibalism 16 Large/Exact method  ]]-#REF!)/Tabela132436[[#This Row],[Objetive value Cannibalism 16 Large/Exact method  ]]))*(-1)</f>
        <v>#REF!</v>
      </c>
      <c r="N13" s="23">
        <v>921385</v>
      </c>
      <c r="O13" s="19">
        <v>52.41</v>
      </c>
      <c r="P13" s="19">
        <v>0</v>
      </c>
      <c r="Q13" s="20">
        <f>(((Tabela132436[[#This Row],[Objetive value Cannibalism 16 Large/Exact method  ]]-Tabela132436[[#This Row],[Objetive Value Cannibalism 16 Large/H-R1]])/Tabela132436[[#This Row],[Objetive value Cannibalism 16 Large/Exact method  ]]))*100</f>
        <v>3.3033149640923494</v>
      </c>
      <c r="R13" s="96">
        <v>924046</v>
      </c>
      <c r="S13" s="22">
        <v>114.22</v>
      </c>
      <c r="T13" s="22">
        <v>0</v>
      </c>
      <c r="U13" s="43">
        <f>(((Tabela132436[[#This Row],[Objetive value Cannibalism 16 Large/Exact method  ]]-Tabela132436[[#This Row],[Objetive value Cannibalism/H-R2 ]])/Tabela132436[[#This Row],[Objetive value Cannibalism 16 Large/Exact method  ]]))*100</f>
        <v>3.0240507272309394</v>
      </c>
    </row>
    <row r="14" spans="1:21" s="34" customFormat="1" x14ac:dyDescent="0.25">
      <c r="A14" s="11" t="s">
        <v>361</v>
      </c>
      <c r="B14" s="12" t="s">
        <v>1044</v>
      </c>
      <c r="C14" s="11">
        <v>40000</v>
      </c>
      <c r="D14" s="47">
        <v>0.1</v>
      </c>
      <c r="E14" s="11">
        <v>10</v>
      </c>
      <c r="F14" s="90">
        <v>451341</v>
      </c>
      <c r="G14" s="90">
        <v>3808</v>
      </c>
      <c r="H14" s="90">
        <v>1249</v>
      </c>
      <c r="I14" s="90">
        <f>((Tabela132436[[#This Row],[Objetive value Cannibalism 16 Large/Exact method  ]]-Tabela132436[[#This Row],[Objetive value Cannibalism 16 Large/GATeS]])/Tabela132436[[#This Row],[Objetive value Cannibalism 16 Large/Exact method  ]])*100</f>
        <v>4.2903219649979958</v>
      </c>
      <c r="J14" s="66">
        <v>471573</v>
      </c>
      <c r="K14" s="67">
        <v>4537.5</v>
      </c>
      <c r="L14" s="67">
        <v>0</v>
      </c>
      <c r="M14" s="14" t="e">
        <f>(((Tabela132436[[#This Row],[Objetive value Cannibalism 16 Large/Exact method  ]]-#REF!)/Tabela132436[[#This Row],[Objetive value Cannibalism 16 Large/Exact method  ]]))*(-1)</f>
        <v>#REF!</v>
      </c>
      <c r="N14" s="23">
        <v>438131</v>
      </c>
      <c r="O14" s="19">
        <v>33.33</v>
      </c>
      <c r="P14" s="19">
        <v>0</v>
      </c>
      <c r="Q14" s="20">
        <f>(((Tabela132436[[#This Row],[Objetive value Cannibalism 16 Large/Exact method  ]]-Tabela132436[[#This Row],[Objetive Value Cannibalism 16 Large/H-R1]])/Tabela132436[[#This Row],[Objetive value Cannibalism 16 Large/Exact method  ]]))*100</f>
        <v>7.0915849719979729</v>
      </c>
      <c r="R14" s="96">
        <v>412579</v>
      </c>
      <c r="S14" s="22">
        <v>24.47</v>
      </c>
      <c r="T14" s="22">
        <v>0</v>
      </c>
      <c r="U14" s="43">
        <f>(((Tabela132436[[#This Row],[Objetive value Cannibalism 16 Large/Exact method  ]]-Tabela132436[[#This Row],[Objetive value Cannibalism/H-R2 ]])/Tabela132436[[#This Row],[Objetive value Cannibalism 16 Large/Exact method  ]]))*100</f>
        <v>12.510046164644711</v>
      </c>
    </row>
    <row r="15" spans="1:21" s="34" customFormat="1" x14ac:dyDescent="0.25">
      <c r="A15" s="11" t="s">
        <v>357</v>
      </c>
      <c r="B15" s="12" t="s">
        <v>1045</v>
      </c>
      <c r="C15" s="11">
        <v>40000</v>
      </c>
      <c r="D15" s="47">
        <v>0.1</v>
      </c>
      <c r="E15" s="11">
        <v>15</v>
      </c>
      <c r="F15" s="90">
        <v>588479</v>
      </c>
      <c r="G15" s="90">
        <v>7057</v>
      </c>
      <c r="H15" s="90">
        <v>2065</v>
      </c>
      <c r="I15" s="90">
        <f>((Tabela132436[[#This Row],[Objetive value Cannibalism 16 Large/Exact method  ]]-Tabela132436[[#This Row],[Objetive value Cannibalism 16 Large/GATeS]])/Tabela132436[[#This Row],[Objetive value Cannibalism 16 Large/Exact method  ]])*100</f>
        <v>6.0552992449034972</v>
      </c>
      <c r="J15" s="66">
        <v>626410</v>
      </c>
      <c r="K15" s="67">
        <v>188642.83</v>
      </c>
      <c r="L15" s="67">
        <v>0</v>
      </c>
      <c r="M15" s="14" t="e">
        <f>(((Tabela132436[[#This Row],[Objetive value Cannibalism 16 Large/Exact method  ]]-#REF!)/Tabela132436[[#This Row],[Objetive value Cannibalism 16 Large/Exact method  ]]))*(-1)</f>
        <v>#REF!</v>
      </c>
      <c r="N15" s="23">
        <v>599190</v>
      </c>
      <c r="O15" s="19">
        <v>44.77</v>
      </c>
      <c r="P15" s="19">
        <v>0</v>
      </c>
      <c r="Q15" s="20">
        <f>(((Tabela132436[[#This Row],[Objetive value Cannibalism 16 Large/Exact method  ]]-Tabela132436[[#This Row],[Objetive Value Cannibalism 16 Large/H-R1]])/Tabela132436[[#This Row],[Objetive value Cannibalism 16 Large/Exact method  ]]))*100</f>
        <v>4.3453967848533708</v>
      </c>
      <c r="R15" s="96">
        <v>592457</v>
      </c>
      <c r="S15" s="22">
        <v>30.11</v>
      </c>
      <c r="T15" s="22">
        <v>0</v>
      </c>
      <c r="U15" s="43">
        <f>(((Tabela132436[[#This Row],[Objetive value Cannibalism 16 Large/Exact method  ]]-Tabela132436[[#This Row],[Objetive value Cannibalism/H-R2 ]])/Tabela132436[[#This Row],[Objetive value Cannibalism 16 Large/Exact method  ]]))*100</f>
        <v>5.4202519116872336</v>
      </c>
    </row>
    <row r="16" spans="1:21" s="34" customFormat="1" x14ac:dyDescent="0.25">
      <c r="A16" s="11" t="s">
        <v>364</v>
      </c>
      <c r="B16" s="12" t="s">
        <v>1046</v>
      </c>
      <c r="C16" s="11">
        <v>40000</v>
      </c>
      <c r="D16" s="47">
        <v>0.1</v>
      </c>
      <c r="E16" s="11">
        <v>40</v>
      </c>
      <c r="F16" s="90">
        <v>1338751</v>
      </c>
      <c r="G16" s="90">
        <v>7964</v>
      </c>
      <c r="H16" s="90">
        <v>801</v>
      </c>
      <c r="I16" s="90">
        <f>((Tabela132436[[#This Row],[Objetive value Cannibalism 16 Large/Exact method  ]]-Tabela132436[[#This Row],[Objetive value Cannibalism 16 Large/GATeS]])/Tabela132436[[#This Row],[Objetive value Cannibalism 16 Large/Exact method  ]])*100</f>
        <v>9.3545370770981826</v>
      </c>
      <c r="J16" s="66">
        <v>1476909</v>
      </c>
      <c r="K16" s="67">
        <v>338276.88</v>
      </c>
      <c r="L16" s="67">
        <v>0</v>
      </c>
      <c r="M16" s="14" t="e">
        <f>(((Tabela132436[[#This Row],[Objetive value Cannibalism 16 Large/Exact method  ]]-#REF!)/Tabela132436[[#This Row],[Objetive value Cannibalism 16 Large/Exact method  ]]))*(-1)</f>
        <v>#REF!</v>
      </c>
      <c r="N16" s="53">
        <v>145163.81</v>
      </c>
      <c r="O16" s="19">
        <v>126.89</v>
      </c>
      <c r="P16" s="19">
        <v>0</v>
      </c>
      <c r="Q16" s="20">
        <f>(((Tabela132436[[#This Row],[Objetive value Cannibalism 16 Large/Exact method  ]]-Tabela132436[[#This Row],[Objetive Value Cannibalism 16 Large/H-R1]])/Tabela132436[[#This Row],[Objetive value Cannibalism 16 Large/Exact method  ]]))*100</f>
        <v>90.171106682943901</v>
      </c>
      <c r="R16" s="96">
        <v>143780.60999999999</v>
      </c>
      <c r="S16" s="22">
        <v>91.88</v>
      </c>
      <c r="T16" s="22">
        <v>0</v>
      </c>
      <c r="U16" s="50">
        <f>(((Tabela132436[[#This Row],[Objetive value Cannibalism 16 Large/Exact method  ]]-Tabela132436[[#This Row],[Objetive value Cannibalism/H-R2 ]])/Tabela132436[[#This Row],[Objetive value Cannibalism 16 Large/Exact method  ]]))*100</f>
        <v>90.264761742260362</v>
      </c>
    </row>
    <row r="17" spans="1:21" s="34" customFormat="1" x14ac:dyDescent="0.25">
      <c r="A17" s="11" t="s">
        <v>366</v>
      </c>
      <c r="B17" s="12" t="s">
        <v>1043</v>
      </c>
      <c r="C17" s="11">
        <v>40000</v>
      </c>
      <c r="D17" s="47">
        <v>0.1</v>
      </c>
      <c r="E17" s="11">
        <v>5</v>
      </c>
      <c r="F17" s="90">
        <v>263569</v>
      </c>
      <c r="G17" s="90">
        <v>3293</v>
      </c>
      <c r="H17" s="90">
        <v>2574</v>
      </c>
      <c r="I17" s="90">
        <f>((Tabela132436[[#This Row],[Objetive value Cannibalism 16 Large/Exact method  ]]-Tabela132436[[#This Row],[Objetive value Cannibalism 16 Large/GATeS]])/Tabela132436[[#This Row],[Objetive value Cannibalism 16 Large/Exact method  ]])*100</f>
        <v>1.6834401414492581</v>
      </c>
      <c r="J17" s="66">
        <v>268082</v>
      </c>
      <c r="K17" s="67">
        <v>574.75</v>
      </c>
      <c r="L17" s="67">
        <v>0</v>
      </c>
      <c r="M17" s="14" t="e">
        <f>(((Tabela132436[[#This Row],[Objetive value Cannibalism 16 Large/Exact method  ]]-#REF!)/Tabela132436[[#This Row],[Objetive value Cannibalism 16 Large/Exact method  ]]))*(-1)</f>
        <v>#REF!</v>
      </c>
      <c r="N17" s="23">
        <v>253405</v>
      </c>
      <c r="O17" s="19">
        <v>23.32</v>
      </c>
      <c r="P17" s="19">
        <v>0</v>
      </c>
      <c r="Q17" s="20">
        <f>(((Tabela132436[[#This Row],[Objetive value Cannibalism 16 Large/Exact method  ]]-Tabela132436[[#This Row],[Objetive Value Cannibalism 16 Large/H-R1]])/Tabela132436[[#This Row],[Objetive value Cannibalism 16 Large/Exact method  ]]))*100</f>
        <v>5.4748174066143944</v>
      </c>
      <c r="R17" s="96">
        <v>268081</v>
      </c>
      <c r="S17" s="22">
        <v>7.9</v>
      </c>
      <c r="T17" s="22">
        <v>0</v>
      </c>
      <c r="U17" s="43">
        <f>(((Tabela132436[[#This Row],[Objetive value Cannibalism 16 Large/Exact method  ]]-Tabela132436[[#This Row],[Objetive value Cannibalism/H-R2 ]])/Tabela132436[[#This Row],[Objetive value Cannibalism 16 Large/Exact method  ]]))*100</f>
        <v>3.7302019531337426E-4</v>
      </c>
    </row>
    <row r="18" spans="1:21" s="34" customFormat="1" x14ac:dyDescent="0.25">
      <c r="A18" s="11" t="s">
        <v>357</v>
      </c>
      <c r="B18" s="12" t="s">
        <v>1047</v>
      </c>
      <c r="C18" s="11">
        <v>50000</v>
      </c>
      <c r="D18" s="47">
        <v>0.15</v>
      </c>
      <c r="E18" s="11">
        <v>15</v>
      </c>
      <c r="F18" s="90">
        <v>807036</v>
      </c>
      <c r="G18" s="90">
        <v>13043</v>
      </c>
      <c r="H18" s="90">
        <v>4191</v>
      </c>
      <c r="I18" s="90">
        <f>((Tabela132436[[#This Row],[Objetive value Cannibalism 16 Large/Exact method  ]]-Tabela132436[[#This Row],[Objetive value Cannibalism 16 Large/GATeS]])/Tabela132436[[#This Row],[Objetive value Cannibalism 16 Large/Exact method  ]])*100</f>
        <v>3.1268117899133938</v>
      </c>
      <c r="J18" s="66">
        <v>833085</v>
      </c>
      <c r="K18" s="67">
        <v>34790.33</v>
      </c>
      <c r="L18" s="67">
        <v>0</v>
      </c>
      <c r="M18" s="14" t="e">
        <f>(((Tabela132436[[#This Row],[Objetive value Cannibalism 16 Large/Exact method  ]]-#REF!)/Tabela132436[[#This Row],[Objetive value Cannibalism 16 Large/Exact method  ]]))*(-1)</f>
        <v>#REF!</v>
      </c>
      <c r="N18" s="23">
        <v>786903</v>
      </c>
      <c r="O18" s="19">
        <v>31.09</v>
      </c>
      <c r="P18" s="19">
        <v>0</v>
      </c>
      <c r="Q18" s="20">
        <f>(((Tabela132436[[#This Row],[Objetive value Cannibalism 16 Large/Exact method  ]]-Tabela132436[[#This Row],[Objetive Value Cannibalism 16 Large/H-R1]])/Tabela132436[[#This Row],[Objetive value Cannibalism 16 Large/Exact method  ]]))*100</f>
        <v>5.5434919606042605</v>
      </c>
      <c r="R18" s="96">
        <v>796071</v>
      </c>
      <c r="S18" s="22">
        <v>31.78</v>
      </c>
      <c r="T18" s="22">
        <v>0</v>
      </c>
      <c r="U18" s="43">
        <f>(((Tabela132436[[#This Row],[Objetive value Cannibalism 16 Large/Exact method  ]]-Tabela132436[[#This Row],[Objetive value Cannibalism/H-R2 ]])/Tabela132436[[#This Row],[Objetive value Cannibalism 16 Large/Exact method  ]]))*100</f>
        <v>4.4430040151965287</v>
      </c>
    </row>
    <row r="19" spans="1:21" s="34" customFormat="1" x14ac:dyDescent="0.25">
      <c r="A19" s="3" t="s">
        <v>1090</v>
      </c>
      <c r="B19" s="39"/>
      <c r="C19" s="3"/>
      <c r="D19" s="3"/>
      <c r="E19" s="3"/>
      <c r="F19" s="95">
        <f>SUBTOTAL(101,Tabela132436[Objetive value Cannibalism 16 Large/GATeS])</f>
        <v>622889.4375</v>
      </c>
      <c r="G19" s="95">
        <f>SUBTOTAL(101,Tabela132436[Time/s Cannibalism 16 Large/GATeS])</f>
        <v>9100.1875</v>
      </c>
      <c r="H19" s="95">
        <f>SUBTOTAL(101,Tabela132436[Time/s Best Solution Cannibalism 16 Large/GATeS])</f>
        <v>3323.5</v>
      </c>
      <c r="I19" s="95">
        <f>SUBTOTAL(101,Tabela132436[Δ % (2020) Cannibalism 16 Large/GATeS])</f>
        <v>5.0322382545481696</v>
      </c>
      <c r="J19" s="68">
        <f>SUBTOTAL(101,Tabela132436[Objetive value Cannibalism 16 Large/Exact method  ])</f>
        <v>657219.51812499994</v>
      </c>
      <c r="K19" s="68">
        <f>SUBTOTAL(101,Tabela132436[Time/s Cannibalism 16 Large/Exact method ])</f>
        <v>72161.143750000003</v>
      </c>
      <c r="L19" s="68">
        <f>SUBTOTAL(101,Tabela132436[GAP % Cannibalism 16 Large/Exact method ])</f>
        <v>6.2500000000000001E-4</v>
      </c>
      <c r="M19" s="68" t="e">
        <f>SUBTOTAL(101,Tabela132436[Δ % (2019)])</f>
        <v>#REF!</v>
      </c>
      <c r="N19" s="68">
        <f>SUBTOTAL(101,Tabela132436[Objetive Value Cannibalism 16 Large/H-R1])</f>
        <v>458640.56374999997</v>
      </c>
      <c r="O19" s="68">
        <f>SUBTOTAL(101,Tabela132436[Time/s Cannibalism  16 Large/H-R1])</f>
        <v>36.230625000000003</v>
      </c>
      <c r="P19" s="68">
        <f>SUBTOTAL(101,Tabela132436[GAP % Cannibalism  16 Large/H-R1])</f>
        <v>0</v>
      </c>
      <c r="Q19" s="68">
        <f>SUBTOTAL(101,Tabela132436[Δ % (2020) Cannibalism  16 Large/H-R1])</f>
        <v>15.414022595594552</v>
      </c>
      <c r="R19" s="68">
        <f>SUBTOTAL(101,Tabela132436[Objetive value Cannibalism/H-R2 ])</f>
        <v>456616.87625000003</v>
      </c>
      <c r="S19" s="68">
        <f>SUBTOTAL(101,Tabela132436[Time/s Cannibalism/H-R2                     ])</f>
        <v>37.119374999999998</v>
      </c>
      <c r="T19" s="68">
        <f>SUBTOTAL(101,Tabela132436[GAP% Cannibalism /H-R2                                  ])</f>
        <v>0</v>
      </c>
      <c r="U19" s="68">
        <f>SUBTOTAL(101,Tabela132436[Δ % (2020) Cannibalism/H-R2                       ])</f>
        <v>15.600592837659368</v>
      </c>
    </row>
    <row r="20" spans="1:21" s="34" customFormat="1" x14ac:dyDescent="0.25">
      <c r="A20" s="35"/>
      <c r="B20" s="36"/>
      <c r="C20" s="35"/>
      <c r="D20" s="35"/>
      <c r="E20" s="35"/>
      <c r="F20" s="35"/>
      <c r="G20" s="35"/>
      <c r="H20" s="35"/>
      <c r="I20" s="73"/>
      <c r="J20" s="35"/>
      <c r="K20" s="35"/>
      <c r="L20" s="35"/>
      <c r="M20" s="35"/>
      <c r="N20" s="45"/>
      <c r="O20" s="45"/>
      <c r="P20" s="45"/>
      <c r="Q20" s="45"/>
      <c r="R20" s="45"/>
      <c r="S20" s="45"/>
      <c r="T20" s="45"/>
      <c r="U20" s="45"/>
    </row>
    <row r="21" spans="1:21" s="34" customFormat="1" x14ac:dyDescent="0.25">
      <c r="B21" s="37"/>
      <c r="I21" s="97"/>
      <c r="J21" s="38"/>
    </row>
    <row r="22" spans="1:21" s="34" customFormat="1" x14ac:dyDescent="0.25">
      <c r="B22" s="37"/>
      <c r="I22" s="97"/>
      <c r="J22" s="38"/>
    </row>
    <row r="23" spans="1:21" s="34" customFormat="1" x14ac:dyDescent="0.25">
      <c r="B23" s="37"/>
      <c r="I23" s="97"/>
    </row>
    <row r="24" spans="1:21" s="34" customFormat="1" x14ac:dyDescent="0.25">
      <c r="B24" s="37"/>
      <c r="I24" s="97"/>
    </row>
    <row r="25" spans="1:21" s="34" customFormat="1" x14ac:dyDescent="0.25">
      <c r="B25" s="37"/>
      <c r="I25" s="97"/>
    </row>
    <row r="26" spans="1:21" s="34" customFormat="1" x14ac:dyDescent="0.25">
      <c r="B26" s="37"/>
      <c r="I26" s="97"/>
    </row>
    <row r="27" spans="1:21" s="34" customFormat="1" x14ac:dyDescent="0.25">
      <c r="B27" s="37"/>
      <c r="I27" s="97"/>
    </row>
    <row r="28" spans="1:21" s="34" customFormat="1" x14ac:dyDescent="0.25">
      <c r="B28" s="37"/>
      <c r="I28" s="97"/>
    </row>
    <row r="29" spans="1:21" s="34" customFormat="1" x14ac:dyDescent="0.25">
      <c r="B29" s="37"/>
      <c r="I29" s="97"/>
    </row>
    <row r="30" spans="1:21" s="34" customFormat="1" x14ac:dyDescent="0.25">
      <c r="B30" s="37"/>
      <c r="I30" s="97"/>
    </row>
    <row r="31" spans="1:21" s="34" customFormat="1" x14ac:dyDescent="0.25">
      <c r="B31" s="37"/>
      <c r="I31" s="97"/>
      <c r="M31" s="94"/>
    </row>
    <row r="32" spans="1:21" s="34" customFormat="1" x14ac:dyDescent="0.25">
      <c r="B32" s="37"/>
      <c r="I32" s="97"/>
    </row>
    <row r="33" spans="2:9" s="34" customFormat="1" x14ac:dyDescent="0.25">
      <c r="B33" s="37"/>
      <c r="I33" s="97"/>
    </row>
    <row r="34" spans="2:9" s="34" customFormat="1" x14ac:dyDescent="0.25">
      <c r="B34" s="37"/>
      <c r="I34" s="97"/>
    </row>
    <row r="35" spans="2:9" s="34" customFormat="1" x14ac:dyDescent="0.25">
      <c r="B35" s="37"/>
      <c r="I35" s="97"/>
    </row>
    <row r="36" spans="2:9" s="34" customFormat="1" x14ac:dyDescent="0.25">
      <c r="B36" s="37"/>
      <c r="I36" s="97"/>
    </row>
    <row r="37" spans="2:9" s="34" customFormat="1" x14ac:dyDescent="0.25">
      <c r="B37" s="37"/>
      <c r="I37" s="97"/>
    </row>
    <row r="38" spans="2:9" s="34" customFormat="1" x14ac:dyDescent="0.25">
      <c r="B38" s="37"/>
      <c r="I38" s="97"/>
    </row>
    <row r="39" spans="2:9" s="34" customFormat="1" x14ac:dyDescent="0.25">
      <c r="B39" s="37"/>
      <c r="I39" s="97"/>
    </row>
    <row r="40" spans="2:9" s="34" customFormat="1" x14ac:dyDescent="0.25">
      <c r="B40" s="37"/>
      <c r="I40" s="97"/>
    </row>
    <row r="41" spans="2:9" s="34" customFormat="1" x14ac:dyDescent="0.25">
      <c r="B41" s="37"/>
      <c r="I41" s="97"/>
    </row>
    <row r="42" spans="2:9" s="34" customFormat="1" x14ac:dyDescent="0.25">
      <c r="B42" s="37"/>
      <c r="I42" s="97"/>
    </row>
    <row r="43" spans="2:9" s="34" customFormat="1" x14ac:dyDescent="0.25">
      <c r="B43" s="37"/>
      <c r="I43" s="97"/>
    </row>
    <row r="44" spans="2:9" s="34" customFormat="1" x14ac:dyDescent="0.25">
      <c r="B44" s="37"/>
      <c r="I44" s="97"/>
    </row>
    <row r="45" spans="2:9" s="34" customFormat="1" x14ac:dyDescent="0.25">
      <c r="B45" s="37"/>
      <c r="I45" s="97"/>
    </row>
    <row r="46" spans="2:9" s="34" customFormat="1" x14ac:dyDescent="0.25">
      <c r="B46" s="37"/>
      <c r="I46" s="97"/>
    </row>
    <row r="47" spans="2:9" s="34" customFormat="1" x14ac:dyDescent="0.25">
      <c r="B47" s="37"/>
      <c r="I47" s="97"/>
    </row>
    <row r="48" spans="2:9" s="34" customFormat="1" x14ac:dyDescent="0.25">
      <c r="B48" s="37"/>
      <c r="I48" s="97"/>
    </row>
    <row r="49" spans="1:20" s="34" customFormat="1" x14ac:dyDescent="0.25">
      <c r="B49" s="37"/>
      <c r="I49" s="97"/>
    </row>
    <row r="50" spans="1:20" s="34" customFormat="1" x14ac:dyDescent="0.25">
      <c r="B50" s="37"/>
      <c r="I50" s="97"/>
    </row>
    <row r="51" spans="1:20" s="34" customFormat="1" x14ac:dyDescent="0.25">
      <c r="B51" s="37"/>
      <c r="I51" s="97"/>
    </row>
    <row r="52" spans="1:20" s="34" customFormat="1" x14ac:dyDescent="0.25">
      <c r="B52" s="37"/>
      <c r="I52" s="97"/>
    </row>
    <row r="53" spans="1:20" s="34" customFormat="1" x14ac:dyDescent="0.25">
      <c r="B53" s="37"/>
      <c r="I53" s="97"/>
    </row>
    <row r="54" spans="1:20" s="34" customFormat="1" x14ac:dyDescent="0.25">
      <c r="B54" s="37"/>
      <c r="I54" s="97"/>
    </row>
    <row r="55" spans="1:20" s="34" customFormat="1" x14ac:dyDescent="0.25">
      <c r="B55" s="37"/>
      <c r="I55" s="97"/>
    </row>
    <row r="56" spans="1:20" s="34" customFormat="1" x14ac:dyDescent="0.25">
      <c r="B56" s="37"/>
      <c r="I56" s="97"/>
      <c r="Q56" s="52"/>
      <c r="R56" s="52"/>
      <c r="S56" s="52"/>
    </row>
    <row r="57" spans="1:20" s="34" customFormat="1" x14ac:dyDescent="0.25">
      <c r="B57" s="37"/>
      <c r="I57" s="97"/>
      <c r="T57" s="51"/>
    </row>
    <row r="58" spans="1:20" s="34" customFormat="1" x14ac:dyDescent="0.25">
      <c r="B58" s="37"/>
      <c r="I58" s="97"/>
      <c r="Q58" s="35"/>
      <c r="R58" s="35"/>
      <c r="S58" s="35"/>
    </row>
    <row r="59" spans="1:20" x14ac:dyDescent="0.25">
      <c r="A59" s="34"/>
      <c r="B59" s="37"/>
      <c r="C59" s="34"/>
      <c r="D59" s="34"/>
      <c r="E59" s="34"/>
      <c r="F59" s="34"/>
      <c r="G59" s="34"/>
      <c r="H59" s="34"/>
      <c r="I59" s="97"/>
      <c r="J59" s="34"/>
      <c r="K59" s="34"/>
      <c r="L59" s="34"/>
      <c r="M59" s="34"/>
    </row>
    <row r="60" spans="1:20" x14ac:dyDescent="0.25">
      <c r="A60" s="34"/>
      <c r="B60" s="37"/>
      <c r="C60" s="34"/>
      <c r="D60" s="34"/>
      <c r="E60" s="34"/>
      <c r="F60" s="34"/>
      <c r="G60" s="34"/>
      <c r="H60" s="34"/>
      <c r="I60" s="97"/>
      <c r="J60" s="34"/>
      <c r="K60" s="34"/>
      <c r="L60" s="34"/>
      <c r="M60" s="34"/>
    </row>
    <row r="61" spans="1:20" x14ac:dyDescent="0.25">
      <c r="A61" s="34"/>
      <c r="B61" s="37"/>
      <c r="C61" s="34"/>
      <c r="D61" s="34"/>
      <c r="E61" s="34"/>
      <c r="F61" s="34"/>
      <c r="G61" s="34"/>
      <c r="H61" s="34"/>
      <c r="I61" s="97"/>
      <c r="J61" s="34"/>
      <c r="K61" s="34"/>
      <c r="L61" s="34"/>
      <c r="M61" s="34"/>
    </row>
    <row r="62" spans="1:20" x14ac:dyDescent="0.25">
      <c r="A62" s="34"/>
      <c r="B62" s="37"/>
      <c r="C62" s="34"/>
      <c r="D62" s="34"/>
      <c r="E62" s="34"/>
      <c r="F62" s="34"/>
      <c r="G62" s="34"/>
      <c r="H62" s="34"/>
      <c r="I62" s="97"/>
      <c r="J62" s="34"/>
      <c r="K62" s="34"/>
      <c r="L62" s="34"/>
      <c r="M62" s="34"/>
    </row>
    <row r="63" spans="1:20" x14ac:dyDescent="0.25">
      <c r="A63" s="34"/>
      <c r="B63" s="37"/>
      <c r="C63" s="34"/>
      <c r="D63" s="34"/>
      <c r="E63" s="34"/>
      <c r="F63" s="34"/>
      <c r="G63" s="34"/>
      <c r="H63" s="34"/>
      <c r="I63" s="97"/>
      <c r="J63" s="34"/>
      <c r="K63" s="34"/>
      <c r="L63" s="34"/>
      <c r="M63" s="34"/>
    </row>
    <row r="64" spans="1:20" x14ac:dyDescent="0.25">
      <c r="A64" s="34"/>
      <c r="B64" s="37"/>
      <c r="C64" s="34"/>
      <c r="D64" s="34"/>
      <c r="E64" s="34"/>
      <c r="F64" s="34"/>
      <c r="G64" s="34"/>
      <c r="H64" s="34"/>
      <c r="I64" s="97"/>
      <c r="J64" s="34"/>
      <c r="K64" s="34"/>
      <c r="L64" s="34"/>
      <c r="M64" s="34"/>
    </row>
    <row r="65" spans="1:13" x14ac:dyDescent="0.25">
      <c r="A65" s="34"/>
      <c r="B65" s="37"/>
      <c r="C65" s="34"/>
      <c r="D65" s="34"/>
      <c r="E65" s="34"/>
      <c r="F65" s="34"/>
      <c r="G65" s="34"/>
      <c r="H65" s="34"/>
      <c r="I65" s="97"/>
      <c r="J65" s="34"/>
      <c r="K65" s="34"/>
      <c r="L65" s="34"/>
      <c r="M65" s="34"/>
    </row>
    <row r="66" spans="1:13" x14ac:dyDescent="0.25">
      <c r="A66" s="34"/>
      <c r="B66" s="37"/>
      <c r="C66" s="34"/>
      <c r="D66" s="34"/>
      <c r="E66" s="34"/>
      <c r="F66" s="34"/>
      <c r="G66" s="34"/>
      <c r="H66" s="34"/>
      <c r="I66" s="97"/>
      <c r="J66" s="34"/>
      <c r="K66" s="34"/>
      <c r="L66" s="34"/>
      <c r="M66" s="34"/>
    </row>
    <row r="67" spans="1:13" x14ac:dyDescent="0.25">
      <c r="A67" s="34"/>
      <c r="B67" s="37"/>
      <c r="C67" s="34"/>
      <c r="D67" s="34"/>
      <c r="E67" s="34"/>
      <c r="F67" s="34"/>
      <c r="G67" s="34"/>
      <c r="H67" s="34"/>
      <c r="I67" s="97"/>
      <c r="J67" s="34"/>
      <c r="K67" s="34"/>
      <c r="L67" s="34"/>
      <c r="M67" s="34"/>
    </row>
    <row r="68" spans="1:13" x14ac:dyDescent="0.25">
      <c r="A68" s="34"/>
      <c r="B68" s="37"/>
      <c r="C68" s="34"/>
      <c r="D68" s="34"/>
      <c r="E68" s="34"/>
      <c r="F68" s="34"/>
      <c r="G68" s="34"/>
      <c r="H68" s="34"/>
      <c r="I68" s="97"/>
      <c r="J68" s="34"/>
      <c r="K68" s="34"/>
      <c r="L68" s="34"/>
      <c r="M68" s="34"/>
    </row>
    <row r="69" spans="1:13" x14ac:dyDescent="0.25">
      <c r="A69" s="34"/>
      <c r="B69" s="37"/>
      <c r="C69" s="34"/>
      <c r="D69" s="34"/>
      <c r="E69" s="34"/>
      <c r="F69" s="34"/>
      <c r="G69" s="34"/>
      <c r="H69" s="34"/>
      <c r="I69" s="97"/>
      <c r="J69" s="34"/>
      <c r="K69" s="34"/>
      <c r="L69" s="34"/>
      <c r="M69" s="34"/>
    </row>
    <row r="70" spans="1:13" x14ac:dyDescent="0.25">
      <c r="A70" s="34"/>
      <c r="B70" s="37"/>
      <c r="C70" s="34"/>
      <c r="D70" s="34"/>
      <c r="E70" s="34"/>
      <c r="F70" s="34"/>
      <c r="G70" s="34"/>
      <c r="H70" s="34"/>
      <c r="I70" s="97"/>
      <c r="J70" s="34"/>
      <c r="K70" s="34"/>
      <c r="L70" s="34"/>
      <c r="M70" s="34"/>
    </row>
    <row r="71" spans="1:13" x14ac:dyDescent="0.25">
      <c r="A71" s="34"/>
      <c r="B71" s="37"/>
      <c r="C71" s="34"/>
      <c r="D71" s="34"/>
      <c r="E71" s="34"/>
      <c r="F71" s="34"/>
      <c r="G71" s="34"/>
      <c r="H71" s="34"/>
      <c r="I71" s="97"/>
      <c r="J71" s="34"/>
      <c r="K71" s="34"/>
      <c r="L71" s="34"/>
      <c r="M71" s="34"/>
    </row>
    <row r="72" spans="1:13" x14ac:dyDescent="0.25">
      <c r="A72" s="34"/>
      <c r="B72" s="37"/>
      <c r="C72" s="34"/>
      <c r="D72" s="34"/>
      <c r="E72" s="34"/>
      <c r="F72" s="34"/>
      <c r="G72" s="34"/>
      <c r="H72" s="34"/>
      <c r="I72" s="97"/>
      <c r="J72" s="34"/>
      <c r="K72" s="34"/>
      <c r="L72" s="34"/>
      <c r="M72" s="34"/>
    </row>
  </sheetData>
  <mergeCells count="4">
    <mergeCell ref="J1:L1"/>
    <mergeCell ref="N1:Q1"/>
    <mergeCell ref="R1:U1"/>
    <mergeCell ref="F1:I1"/>
  </mergeCells>
  <conditionalFormatting sqref="S4:S16 P4:P18 O4:O16 T4:T18">
    <cfRule type="cellIs" dxfId="49" priority="2" operator="greaterThan">
      <formula>3600</formula>
    </cfRule>
  </conditionalFormatting>
  <conditionalFormatting sqref="O3:P3 S3:T3">
    <cfRule type="cellIs" dxfId="48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L1" workbookViewId="0">
      <selection activeCell="Z4" sqref="Z4"/>
    </sheetView>
  </sheetViews>
  <sheetFormatPr defaultRowHeight="15" x14ac:dyDescent="0.25"/>
  <cols>
    <col min="1" max="1" width="11.140625" bestFit="1" customWidth="1"/>
    <col min="2" max="2" width="32.42578125" customWidth="1"/>
    <col min="3" max="3" width="11.7109375" customWidth="1"/>
    <col min="4" max="4" width="11.5703125" customWidth="1"/>
    <col min="5" max="5" width="13.28515625" customWidth="1"/>
    <col min="6" max="9" width="11.140625" style="94" customWidth="1"/>
    <col min="10" max="10" width="22" customWidth="1"/>
    <col min="11" max="11" width="15.28515625" customWidth="1"/>
    <col min="12" max="12" width="18.42578125" customWidth="1"/>
    <col min="13" max="13" width="13.28515625" bestFit="1" customWidth="1"/>
    <col min="14" max="14" width="11.7109375" bestFit="1" customWidth="1"/>
    <col min="15" max="15" width="11.42578125" bestFit="1" customWidth="1"/>
    <col min="16" max="16" width="11" bestFit="1" customWidth="1"/>
    <col min="17" max="17" width="13.28515625" bestFit="1" customWidth="1"/>
    <col min="18" max="18" width="11.7109375" bestFit="1" customWidth="1"/>
    <col min="19" max="19" width="11.42578125" bestFit="1" customWidth="1"/>
    <col min="20" max="20" width="11" bestFit="1" customWidth="1"/>
    <col min="21" max="21" width="13.28515625" bestFit="1" customWidth="1"/>
    <col min="22" max="22" width="11.7109375" bestFit="1" customWidth="1"/>
    <col min="23" max="24" width="11" bestFit="1" customWidth="1"/>
  </cols>
  <sheetData>
    <row r="1" spans="1:24" s="3" customFormat="1" x14ac:dyDescent="0.25">
      <c r="A1" s="1"/>
      <c r="B1" s="1"/>
      <c r="C1" s="2"/>
      <c r="D1" s="2"/>
      <c r="E1" s="2"/>
      <c r="F1" s="238" t="s">
        <v>1526</v>
      </c>
      <c r="G1" s="238"/>
      <c r="H1" s="238"/>
      <c r="I1" s="238"/>
      <c r="J1" s="226" t="s">
        <v>1594</v>
      </c>
      <c r="K1" s="227"/>
      <c r="L1" s="239"/>
      <c r="M1" s="240" t="s">
        <v>1531</v>
      </c>
      <c r="N1" s="232"/>
      <c r="O1" s="232"/>
      <c r="P1" s="232"/>
      <c r="Q1" s="233" t="s">
        <v>1532</v>
      </c>
      <c r="R1" s="234"/>
      <c r="S1" s="234"/>
      <c r="T1" s="235"/>
      <c r="U1" s="229" t="s">
        <v>1541</v>
      </c>
      <c r="V1" s="230"/>
      <c r="W1" s="230"/>
      <c r="X1" s="231"/>
    </row>
    <row r="2" spans="1:24" s="10" customFormat="1" ht="105" x14ac:dyDescent="0.25">
      <c r="A2" s="4" t="s">
        <v>1085</v>
      </c>
      <c r="B2" s="4" t="s">
        <v>1</v>
      </c>
      <c r="C2" s="4" t="s">
        <v>2</v>
      </c>
      <c r="D2" s="4" t="s">
        <v>3</v>
      </c>
      <c r="E2" s="4" t="s">
        <v>4</v>
      </c>
      <c r="F2" s="107" t="s">
        <v>1606</v>
      </c>
      <c r="G2" s="107" t="s">
        <v>1605</v>
      </c>
      <c r="H2" s="107" t="s">
        <v>1607</v>
      </c>
      <c r="I2" s="135" t="s">
        <v>1608</v>
      </c>
      <c r="J2" s="5" t="s">
        <v>1591</v>
      </c>
      <c r="K2" s="5" t="s">
        <v>1592</v>
      </c>
      <c r="L2" s="5" t="s">
        <v>1593</v>
      </c>
      <c r="M2" s="7" t="s">
        <v>1604</v>
      </c>
      <c r="N2" s="7" t="s">
        <v>1603</v>
      </c>
      <c r="O2" s="7" t="s">
        <v>1602</v>
      </c>
      <c r="P2" s="7" t="s">
        <v>1601</v>
      </c>
      <c r="Q2" s="44" t="s">
        <v>1600</v>
      </c>
      <c r="R2" s="44" t="s">
        <v>1599</v>
      </c>
      <c r="S2" s="44" t="s">
        <v>1598</v>
      </c>
      <c r="T2" s="44" t="s">
        <v>1597</v>
      </c>
      <c r="U2" s="46" t="s">
        <v>1537</v>
      </c>
      <c r="V2" s="46" t="s">
        <v>1538</v>
      </c>
      <c r="W2" s="46" t="s">
        <v>1595</v>
      </c>
      <c r="X2" s="8" t="s">
        <v>1596</v>
      </c>
    </row>
    <row r="3" spans="1:24" s="34" customFormat="1" x14ac:dyDescent="0.25">
      <c r="A3" s="11" t="s">
        <v>357</v>
      </c>
      <c r="B3" s="30" t="s">
        <v>1422</v>
      </c>
      <c r="C3" s="11">
        <v>100000</v>
      </c>
      <c r="D3" s="47">
        <v>0.15</v>
      </c>
      <c r="E3" s="11">
        <v>15</v>
      </c>
      <c r="F3" s="90">
        <v>1494317</v>
      </c>
      <c r="G3" s="90">
        <v>33194</v>
      </c>
      <c r="H3" s="90">
        <v>18599</v>
      </c>
      <c r="I3" s="90">
        <f>((Tabela1321832[[#This Row],[Objetive value Similarity 16 Large/Exact method ]]-Tabela1321832[[#This Row],[Objetive value Similarity 16 Large/GATeS]])/Tabela1321832[[#This Row],[Objetive value Similarity 16 Large/Exact method ]])*100</f>
        <v>6.7944530138487531</v>
      </c>
      <c r="J3" s="66">
        <v>1603249</v>
      </c>
      <c r="K3" s="66">
        <v>61273.99</v>
      </c>
      <c r="L3" s="66">
        <v>0</v>
      </c>
      <c r="M3" s="15">
        <v>185504.59</v>
      </c>
      <c r="N3" s="16">
        <v>132.19</v>
      </c>
      <c r="O3" s="17">
        <v>0</v>
      </c>
      <c r="P3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88.429458555720288</v>
      </c>
      <c r="Q3" s="23">
        <v>146669</v>
      </c>
      <c r="R3" s="19">
        <v>107.65</v>
      </c>
      <c r="S3" s="19">
        <v>0</v>
      </c>
      <c r="T3" s="20">
        <f>(((Tabela1321832[[#This Row],[Objetive value Similarity 16 Large/Exact method ]]-Tabela1321832[[#This Row],[Objetive Value Similarity/H-R1]])/Tabela1321832[[#This Row],[Objetive value Similarity 16 Large/Exact method ]]))*100</f>
        <v>90.851764136450413</v>
      </c>
      <c r="U3" s="48">
        <v>152252</v>
      </c>
      <c r="V3" s="22">
        <v>73.59</v>
      </c>
      <c r="W3" s="22">
        <v>0</v>
      </c>
      <c r="X3" s="43">
        <f>(((Tabela1321832[[#This Row],[Objetive value Similarity 16 Large/Exact method ]]-Tabela1321832[[#This Row],[Objetive value Similarity/H-R2]])/Tabela1321832[[#This Row],[Objetive value Similarity 16 Large/Exact method ]]))*100</f>
        <v>90.503533761755037</v>
      </c>
    </row>
    <row r="4" spans="1:24" s="34" customFormat="1" x14ac:dyDescent="0.25">
      <c r="A4" s="11" t="s">
        <v>361</v>
      </c>
      <c r="B4" s="30" t="s">
        <v>1423</v>
      </c>
      <c r="C4" s="11">
        <v>15000</v>
      </c>
      <c r="D4" s="47">
        <v>0.1</v>
      </c>
      <c r="E4" s="11">
        <v>10</v>
      </c>
      <c r="F4" s="90">
        <v>174626</v>
      </c>
      <c r="G4" s="90">
        <v>1879</v>
      </c>
      <c r="H4" s="90">
        <v>413</v>
      </c>
      <c r="I4" s="90">
        <f>((Tabela1321832[[#This Row],[Objetive value Similarity 16 Large/Exact method ]]-Tabela1321832[[#This Row],[Objetive value Similarity 16 Large/GATeS]])/Tabela1321832[[#This Row],[Objetive value Similarity 16 Large/Exact method ]])*100</f>
        <v>0.89892741615118321</v>
      </c>
      <c r="J4" s="66">
        <v>176210</v>
      </c>
      <c r="K4" s="66">
        <v>470.48</v>
      </c>
      <c r="L4" s="66">
        <v>0</v>
      </c>
      <c r="M4" s="15">
        <v>201067.72</v>
      </c>
      <c r="N4" s="16">
        <v>5.67</v>
      </c>
      <c r="O4" s="17">
        <v>0</v>
      </c>
      <c r="P4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-14.106872481697973</v>
      </c>
      <c r="Q4" s="23">
        <v>161492</v>
      </c>
      <c r="R4" s="19">
        <v>4.2300000000000004</v>
      </c>
      <c r="S4" s="19">
        <v>0</v>
      </c>
      <c r="T4" s="20">
        <f>(((Tabela1321832[[#This Row],[Objetive value Similarity 16 Large/Exact method ]]-Tabela1321832[[#This Row],[Objetive Value Similarity/H-R1]])/Tabela1321832[[#This Row],[Objetive value Similarity 16 Large/Exact method ]]))*100</f>
        <v>8.3525339084047445</v>
      </c>
      <c r="U4" s="48">
        <v>161492</v>
      </c>
      <c r="V4" s="22">
        <v>4.03</v>
      </c>
      <c r="W4" s="22">
        <v>0</v>
      </c>
      <c r="X4" s="43">
        <f>(((Tabela1321832[[#This Row],[Objetive value Similarity 16 Large/Exact method ]]-Tabela1321832[[#This Row],[Objetive value Similarity/H-R2]])/Tabela1321832[[#This Row],[Objetive value Similarity 16 Large/Exact method ]]))*100</f>
        <v>8.3525339084047445</v>
      </c>
    </row>
    <row r="5" spans="1:24" s="34" customFormat="1" x14ac:dyDescent="0.25">
      <c r="A5" s="11" t="s">
        <v>362</v>
      </c>
      <c r="B5" s="30" t="s">
        <v>1424</v>
      </c>
      <c r="C5" s="11">
        <v>15000</v>
      </c>
      <c r="D5" s="47">
        <v>0.1</v>
      </c>
      <c r="E5" s="11">
        <v>20</v>
      </c>
      <c r="F5" s="90">
        <v>243279</v>
      </c>
      <c r="G5" s="90">
        <v>2318</v>
      </c>
      <c r="H5" s="90">
        <v>522</v>
      </c>
      <c r="I5" s="90">
        <f>((Tabela1321832[[#This Row],[Objetive value Similarity 16 Large/Exact method ]]-Tabela1321832[[#This Row],[Objetive value Similarity 16 Large/GATeS]])/Tabela1321832[[#This Row],[Objetive value Similarity 16 Large/Exact method ]])*100</f>
        <v>9.207653638165187</v>
      </c>
      <c r="J5" s="66">
        <v>267951</v>
      </c>
      <c r="K5" s="66">
        <v>5641.25</v>
      </c>
      <c r="L5" s="66">
        <v>0</v>
      </c>
      <c r="M5" s="15">
        <v>322523.99</v>
      </c>
      <c r="N5" s="16">
        <v>10.63</v>
      </c>
      <c r="O5" s="17">
        <v>0</v>
      </c>
      <c r="P5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-20.366779747043299</v>
      </c>
      <c r="Q5" s="23">
        <v>256935</v>
      </c>
      <c r="R5" s="19">
        <v>10.73</v>
      </c>
      <c r="S5" s="19">
        <v>0</v>
      </c>
      <c r="T5" s="20">
        <f>(((Tabela1321832[[#This Row],[Objetive value Similarity 16 Large/Exact method ]]-Tabela1321832[[#This Row],[Objetive Value Similarity/H-R1]])/Tabela1321832[[#This Row],[Objetive value Similarity 16 Large/Exact method ]]))*100</f>
        <v>4.1111994357177242</v>
      </c>
      <c r="U5" s="48">
        <v>237399</v>
      </c>
      <c r="V5" s="22">
        <v>12.29</v>
      </c>
      <c r="W5" s="22">
        <v>0</v>
      </c>
      <c r="X5" s="43">
        <f>(((Tabela1321832[[#This Row],[Objetive value Similarity 16 Large/Exact method ]]-Tabela1321832[[#This Row],[Objetive value Similarity/H-R2]])/Tabela1321832[[#This Row],[Objetive value Similarity 16 Large/Exact method ]]))*100</f>
        <v>11.402084709517785</v>
      </c>
    </row>
    <row r="6" spans="1:24" s="34" customFormat="1" x14ac:dyDescent="0.25">
      <c r="A6" s="11" t="s">
        <v>363</v>
      </c>
      <c r="B6" s="30" t="s">
        <v>1425</v>
      </c>
      <c r="C6" s="11">
        <v>15000</v>
      </c>
      <c r="D6" s="47">
        <v>0.1</v>
      </c>
      <c r="E6" s="11">
        <v>30</v>
      </c>
      <c r="F6" s="90">
        <v>350084</v>
      </c>
      <c r="G6" s="90">
        <v>2933</v>
      </c>
      <c r="H6" s="90">
        <v>552</v>
      </c>
      <c r="I6" s="90">
        <f>((Tabela1321832[[#This Row],[Objetive value Similarity 16 Large/Exact method ]]-Tabela1321832[[#This Row],[Objetive value Similarity 16 Large/GATeS]])/Tabela1321832[[#This Row],[Objetive value Similarity 16 Large/Exact method ]])*100</f>
        <v>9.813306816220436</v>
      </c>
      <c r="J6" s="66">
        <v>388177</v>
      </c>
      <c r="K6" s="66">
        <v>5197.22</v>
      </c>
      <c r="L6" s="66">
        <v>0</v>
      </c>
      <c r="M6" s="15">
        <v>464643.88</v>
      </c>
      <c r="N6" s="16">
        <v>25.48</v>
      </c>
      <c r="O6" s="17">
        <v>0</v>
      </c>
      <c r="P6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-19.698972376003731</v>
      </c>
      <c r="Q6" s="23">
        <v>371924</v>
      </c>
      <c r="R6" s="19">
        <v>18.510000000000002</v>
      </c>
      <c r="S6" s="19">
        <v>0</v>
      </c>
      <c r="T6" s="20">
        <f>(((Tabela1321832[[#This Row],[Objetive value Similarity 16 Large/Exact method ]]-Tabela1321832[[#This Row],[Objetive Value Similarity/H-R1]])/Tabela1321832[[#This Row],[Objetive value Similarity 16 Large/Exact method ]]))*100</f>
        <v>4.1870074733948686</v>
      </c>
      <c r="U6" s="48">
        <v>349092</v>
      </c>
      <c r="V6" s="22">
        <v>52.85</v>
      </c>
      <c r="W6" s="22">
        <v>0</v>
      </c>
      <c r="X6" s="43">
        <f>(((Tabela1321832[[#This Row],[Objetive value Similarity 16 Large/Exact method ]]-Tabela1321832[[#This Row],[Objetive value Similarity/H-R2]])/Tabela1321832[[#This Row],[Objetive value Similarity 16 Large/Exact method ]]))*100</f>
        <v>10.068860339484308</v>
      </c>
    </row>
    <row r="7" spans="1:24" s="34" customFormat="1" x14ac:dyDescent="0.25">
      <c r="A7" s="11" t="s">
        <v>364</v>
      </c>
      <c r="B7" s="30" t="s">
        <v>1426</v>
      </c>
      <c r="C7" s="11">
        <v>15000</v>
      </c>
      <c r="D7" s="47">
        <v>0.1</v>
      </c>
      <c r="E7" s="11">
        <v>40</v>
      </c>
      <c r="F7" s="90">
        <v>466798</v>
      </c>
      <c r="G7" s="90">
        <v>4200</v>
      </c>
      <c r="H7" s="90">
        <v>725</v>
      </c>
      <c r="I7" s="90">
        <f>((Tabela1321832[[#This Row],[Objetive value Similarity 16 Large/Exact method ]]-Tabela1321832[[#This Row],[Objetive value Similarity 16 Large/GATeS]])/Tabela1321832[[#This Row],[Objetive value Similarity 16 Large/Exact method ]])*100</f>
        <v>10.375931188080791</v>
      </c>
      <c r="J7" s="66">
        <v>520840</v>
      </c>
      <c r="K7" s="66">
        <v>382579.73</v>
      </c>
      <c r="L7" s="66">
        <v>0.01</v>
      </c>
      <c r="M7" s="15">
        <v>614324.56999999995</v>
      </c>
      <c r="N7" s="16">
        <v>29.39</v>
      </c>
      <c r="O7" s="17">
        <v>0</v>
      </c>
      <c r="P7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-17.94880769526149</v>
      </c>
      <c r="Q7" s="23">
        <v>498676</v>
      </c>
      <c r="R7" s="19">
        <v>22.05</v>
      </c>
      <c r="S7" s="19">
        <v>0</v>
      </c>
      <c r="T7" s="20">
        <f>(((Tabela1321832[[#This Row],[Objetive value Similarity 16 Large/Exact method ]]-Tabela1321832[[#This Row],[Objetive Value Similarity/H-R1]])/Tabela1321832[[#This Row],[Objetive value Similarity 16 Large/Exact method ]]))*100</f>
        <v>4.2554335304508104</v>
      </c>
      <c r="U7" s="48">
        <v>430422</v>
      </c>
      <c r="V7" s="22">
        <v>67.67</v>
      </c>
      <c r="W7" s="22">
        <v>0</v>
      </c>
      <c r="X7" s="43">
        <f>(((Tabela1321832[[#This Row],[Objetive value Similarity 16 Large/Exact method ]]-Tabela1321832[[#This Row],[Objetive value Similarity/H-R2]])/Tabela1321832[[#This Row],[Objetive value Similarity 16 Large/Exact method ]]))*100</f>
        <v>17.360033791567467</v>
      </c>
    </row>
    <row r="8" spans="1:24" s="34" customFormat="1" x14ac:dyDescent="0.25">
      <c r="A8" s="11" t="s">
        <v>365</v>
      </c>
      <c r="B8" s="30" t="s">
        <v>1427</v>
      </c>
      <c r="C8" s="11">
        <v>15000</v>
      </c>
      <c r="D8" s="47">
        <v>0.1</v>
      </c>
      <c r="E8" s="11">
        <v>50</v>
      </c>
      <c r="F8" s="90">
        <v>571196</v>
      </c>
      <c r="G8" s="90">
        <v>7017</v>
      </c>
      <c r="H8" s="90">
        <v>1156</v>
      </c>
      <c r="I8" s="90">
        <f>((Tabela1321832[[#This Row],[Objetive value Similarity 16 Large/Exact method ]]-Tabela1321832[[#This Row],[Objetive value Similarity 16 Large/GATeS]])/Tabela1321832[[#This Row],[Objetive value Similarity 16 Large/Exact method ]])*100</f>
        <v>7.1914157957676919</v>
      </c>
      <c r="J8" s="66">
        <v>615456</v>
      </c>
      <c r="K8" s="66">
        <v>186483.19</v>
      </c>
      <c r="L8" s="66">
        <v>0</v>
      </c>
      <c r="M8" s="15">
        <v>736092.02</v>
      </c>
      <c r="N8" s="16">
        <v>38.200000000000003</v>
      </c>
      <c r="O8" s="17">
        <v>0</v>
      </c>
      <c r="P8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-19.601079524775127</v>
      </c>
      <c r="Q8" s="23">
        <v>600191</v>
      </c>
      <c r="R8" s="19">
        <v>29.25</v>
      </c>
      <c r="S8" s="19">
        <v>0</v>
      </c>
      <c r="T8" s="20">
        <f>(((Tabela1321832[[#This Row],[Objetive value Similarity 16 Large/Exact method ]]-Tabela1321832[[#This Row],[Objetive Value Similarity/H-R1]])/Tabela1321832[[#This Row],[Objetive value Similarity 16 Large/Exact method ]]))*100</f>
        <v>2.4802747881245772</v>
      </c>
      <c r="U8" s="48">
        <v>566403</v>
      </c>
      <c r="V8" s="22">
        <v>92.39</v>
      </c>
      <c r="W8" s="22">
        <v>0</v>
      </c>
      <c r="X8" s="43">
        <f>(((Tabela1321832[[#This Row],[Objetive value Similarity 16 Large/Exact method ]]-Tabela1321832[[#This Row],[Objetive value Similarity/H-R2]])/Tabela1321832[[#This Row],[Objetive value Similarity 16 Large/Exact method ]]))*100</f>
        <v>7.9701879581968491</v>
      </c>
    </row>
    <row r="9" spans="1:24" s="34" customFormat="1" x14ac:dyDescent="0.25">
      <c r="A9" s="11" t="s">
        <v>361</v>
      </c>
      <c r="B9" s="30" t="s">
        <v>1428</v>
      </c>
      <c r="C9" s="11">
        <v>20000</v>
      </c>
      <c r="D9" s="47">
        <v>0.1</v>
      </c>
      <c r="E9" s="11">
        <v>10</v>
      </c>
      <c r="F9" s="90">
        <v>222457</v>
      </c>
      <c r="G9" s="90">
        <v>2217</v>
      </c>
      <c r="H9" s="90">
        <v>506</v>
      </c>
      <c r="I9" s="90">
        <f>((Tabela1321832[[#This Row],[Objetive value Similarity 16 Large/Exact method ]]-Tabela1321832[[#This Row],[Objetive value Similarity 16 Large/GATeS]])/Tabela1321832[[#This Row],[Objetive value Similarity 16 Large/Exact method ]])*100</f>
        <v>5.3994403667383928</v>
      </c>
      <c r="J9" s="66">
        <v>235154</v>
      </c>
      <c r="K9" s="66">
        <v>1133.03</v>
      </c>
      <c r="L9" s="66">
        <v>0</v>
      </c>
      <c r="M9" s="15">
        <v>273504.73</v>
      </c>
      <c r="N9" s="16">
        <v>9.5299999999999994</v>
      </c>
      <c r="O9" s="17">
        <v>0</v>
      </c>
      <c r="P9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-16.308772123799713</v>
      </c>
      <c r="Q9" s="23">
        <v>225169</v>
      </c>
      <c r="R9" s="19">
        <v>5.41</v>
      </c>
      <c r="S9" s="19">
        <v>0</v>
      </c>
      <c r="T9" s="20">
        <f>(((Tabela1321832[[#This Row],[Objetive value Similarity 16 Large/Exact method ]]-Tabela1321832[[#This Row],[Objetive Value Similarity/H-R1]])/Tabela1321832[[#This Row],[Objetive value Similarity 16 Large/Exact method ]]))*100</f>
        <v>4.2461535844595462</v>
      </c>
      <c r="U9" s="48">
        <v>225169</v>
      </c>
      <c r="V9" s="22">
        <v>5.98</v>
      </c>
      <c r="W9" s="22">
        <v>0</v>
      </c>
      <c r="X9" s="43">
        <f>(((Tabela1321832[[#This Row],[Objetive value Similarity 16 Large/Exact method ]]-Tabela1321832[[#This Row],[Objetive value Similarity/H-R2]])/Tabela1321832[[#This Row],[Objetive value Similarity 16 Large/Exact method ]]))*100</f>
        <v>4.2461535844595462</v>
      </c>
    </row>
    <row r="10" spans="1:24" s="34" customFormat="1" x14ac:dyDescent="0.25">
      <c r="A10" s="11" t="s">
        <v>362</v>
      </c>
      <c r="B10" s="30" t="s">
        <v>1429</v>
      </c>
      <c r="C10" s="11">
        <v>20000</v>
      </c>
      <c r="D10" s="47">
        <v>0.1</v>
      </c>
      <c r="E10" s="11">
        <v>20</v>
      </c>
      <c r="F10" s="90">
        <v>361504</v>
      </c>
      <c r="G10" s="90">
        <v>3671</v>
      </c>
      <c r="H10" s="90">
        <v>774</v>
      </c>
      <c r="I10" s="90">
        <f>((Tabela1321832[[#This Row],[Objetive value Similarity 16 Large/Exact method ]]-Tabela1321832[[#This Row],[Objetive value Similarity 16 Large/GATeS]])/Tabela1321832[[#This Row],[Objetive value Similarity 16 Large/Exact method ]])*100</f>
        <v>9.8500509971247094</v>
      </c>
      <c r="J10" s="66">
        <v>401003</v>
      </c>
      <c r="K10" s="66">
        <v>9535.64</v>
      </c>
      <c r="L10" s="66">
        <v>0</v>
      </c>
      <c r="M10" s="15">
        <v>470148.24</v>
      </c>
      <c r="N10" s="16">
        <v>17.86</v>
      </c>
      <c r="O10" s="17">
        <v>0</v>
      </c>
      <c r="P10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-17.243072994466374</v>
      </c>
      <c r="Q10" s="23">
        <v>396085</v>
      </c>
      <c r="R10" s="19">
        <v>20.420000000000002</v>
      </c>
      <c r="S10" s="19">
        <v>0</v>
      </c>
      <c r="T10" s="20">
        <f>(((Tabela1321832[[#This Row],[Objetive value Similarity 16 Large/Exact method ]]-Tabela1321832[[#This Row],[Objetive Value Similarity/H-R1]])/Tabela1321832[[#This Row],[Objetive value Similarity 16 Large/Exact method ]]))*100</f>
        <v>1.2264247399645389</v>
      </c>
      <c r="U10" s="48">
        <v>345642</v>
      </c>
      <c r="V10" s="22">
        <v>28.05</v>
      </c>
      <c r="W10" s="22">
        <v>0</v>
      </c>
      <c r="X10" s="43">
        <f>(((Tabela1321832[[#This Row],[Objetive value Similarity 16 Large/Exact method ]]-Tabela1321832[[#This Row],[Objetive value Similarity/H-R2]])/Tabela1321832[[#This Row],[Objetive value Similarity 16 Large/Exact method ]]))*100</f>
        <v>13.805632376815137</v>
      </c>
    </row>
    <row r="11" spans="1:24" s="34" customFormat="1" x14ac:dyDescent="0.25">
      <c r="A11" s="11" t="s">
        <v>363</v>
      </c>
      <c r="B11" s="30" t="s">
        <v>1430</v>
      </c>
      <c r="C11" s="11">
        <v>20000</v>
      </c>
      <c r="D11" s="47">
        <v>0.1</v>
      </c>
      <c r="E11" s="11">
        <v>30</v>
      </c>
      <c r="F11" s="90">
        <v>533533</v>
      </c>
      <c r="G11" s="90">
        <v>6164</v>
      </c>
      <c r="H11" s="90">
        <v>1432</v>
      </c>
      <c r="I11" s="90">
        <f>((Tabela1321832[[#This Row],[Objetive value Similarity 16 Large/Exact method ]]-Tabela1321832[[#This Row],[Objetive value Similarity 16 Large/GATeS]])/Tabela1321832[[#This Row],[Objetive value Similarity 16 Large/Exact method ]])*100</f>
        <v>4.5933621830406643</v>
      </c>
      <c r="J11" s="66">
        <v>559220</v>
      </c>
      <c r="K11" s="66">
        <v>46453.11</v>
      </c>
      <c r="L11" s="66">
        <v>0</v>
      </c>
      <c r="M11" s="15">
        <v>622525.97</v>
      </c>
      <c r="N11" s="16">
        <v>119.31</v>
      </c>
      <c r="O11" s="17">
        <v>0</v>
      </c>
      <c r="P11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-11.320405207252955</v>
      </c>
      <c r="Q11" s="23">
        <v>526145</v>
      </c>
      <c r="R11" s="19">
        <v>80.400000000000006</v>
      </c>
      <c r="S11" s="19">
        <v>0</v>
      </c>
      <c r="T11" s="20">
        <f>(((Tabela1321832[[#This Row],[Objetive value Similarity 16 Large/Exact method ]]-Tabela1321832[[#This Row],[Objetive Value Similarity/H-R1]])/Tabela1321832[[#This Row],[Objetive value Similarity 16 Large/Exact method ]]))*100</f>
        <v>5.9144880369085513</v>
      </c>
      <c r="U11" s="48">
        <v>492576</v>
      </c>
      <c r="V11" s="22">
        <v>123.85</v>
      </c>
      <c r="W11" s="22">
        <v>0</v>
      </c>
      <c r="X11" s="43">
        <f>(((Tabela1321832[[#This Row],[Objetive value Similarity 16 Large/Exact method ]]-Tabela1321832[[#This Row],[Objetive value Similarity/H-R2]])/Tabela1321832[[#This Row],[Objetive value Similarity 16 Large/Exact method ]]))*100</f>
        <v>11.917313400808268</v>
      </c>
    </row>
    <row r="12" spans="1:24" s="34" customFormat="1" x14ac:dyDescent="0.25">
      <c r="A12" s="11" t="s">
        <v>364</v>
      </c>
      <c r="B12" s="30" t="s">
        <v>1431</v>
      </c>
      <c r="C12" s="11">
        <v>20000</v>
      </c>
      <c r="D12" s="47">
        <v>0.1</v>
      </c>
      <c r="E12" s="11">
        <v>40</v>
      </c>
      <c r="F12" s="90">
        <v>582077</v>
      </c>
      <c r="G12" s="90">
        <v>8231</v>
      </c>
      <c r="H12" s="90">
        <v>1986</v>
      </c>
      <c r="I12" s="90">
        <f>((Tabela1321832[[#This Row],[Objetive value Similarity 16 Large/Exact method ]]-Tabela1321832[[#This Row],[Objetive value Similarity 16 Large/GATeS]])/Tabela1321832[[#This Row],[Objetive value Similarity 16 Large/Exact method ]])*100</f>
        <v>6.0092815666922874</v>
      </c>
      <c r="J12" s="66">
        <v>619292</v>
      </c>
      <c r="K12" s="66">
        <v>30451.94</v>
      </c>
      <c r="L12" s="66">
        <v>0</v>
      </c>
      <c r="M12" s="15">
        <v>795387.55</v>
      </c>
      <c r="N12" s="16">
        <v>71.58</v>
      </c>
      <c r="O12" s="17">
        <v>0</v>
      </c>
      <c r="P12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-28.43497897599195</v>
      </c>
      <c r="Q12" s="23">
        <v>617115</v>
      </c>
      <c r="R12" s="19">
        <v>66.73</v>
      </c>
      <c r="S12" s="19">
        <v>0</v>
      </c>
      <c r="T12" s="20">
        <f>(((Tabela1321832[[#This Row],[Objetive value Similarity 16 Large/Exact method ]]-Tabela1321832[[#This Row],[Objetive Value Similarity/H-R1]])/Tabela1321832[[#This Row],[Objetive value Similarity 16 Large/Exact method ]]))*100</f>
        <v>0.35153045736098643</v>
      </c>
      <c r="U12" s="48">
        <v>534752</v>
      </c>
      <c r="V12" s="22">
        <v>148.76</v>
      </c>
      <c r="W12" s="22">
        <v>0</v>
      </c>
      <c r="X12" s="43">
        <f>(((Tabela1321832[[#This Row],[Objetive value Similarity 16 Large/Exact method ]]-Tabela1321832[[#This Row],[Objetive value Similarity/H-R2]])/Tabela1321832[[#This Row],[Objetive value Similarity 16 Large/Exact method ]]))*100</f>
        <v>13.651072515065591</v>
      </c>
    </row>
    <row r="13" spans="1:24" s="34" customFormat="1" x14ac:dyDescent="0.25">
      <c r="A13" s="11" t="s">
        <v>365</v>
      </c>
      <c r="B13" s="30" t="s">
        <v>1432</v>
      </c>
      <c r="C13" s="11">
        <v>20000</v>
      </c>
      <c r="D13" s="47">
        <v>0.1</v>
      </c>
      <c r="E13" s="11">
        <v>50</v>
      </c>
      <c r="F13" s="90">
        <v>737814</v>
      </c>
      <c r="G13" s="90">
        <v>10760</v>
      </c>
      <c r="H13" s="90">
        <v>1998</v>
      </c>
      <c r="I13" s="90">
        <f>((Tabela1321832[[#This Row],[Objetive value Similarity 16 Large/Exact method ]]-Tabela1321832[[#This Row],[Objetive value Similarity 16 Large/GATeS]])/Tabela1321832[[#This Row],[Objetive value Similarity 16 Large/Exact method ]])*100</f>
        <v>9.2933795750466874</v>
      </c>
      <c r="J13" s="66">
        <v>813407</v>
      </c>
      <c r="K13" s="66">
        <v>393491.03</v>
      </c>
      <c r="L13" s="66">
        <v>0</v>
      </c>
      <c r="M13" s="15">
        <v>100183.21</v>
      </c>
      <c r="N13" s="16">
        <v>44.34</v>
      </c>
      <c r="O13" s="17">
        <v>0</v>
      </c>
      <c r="P13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87.683507764255779</v>
      </c>
      <c r="Q13" s="23">
        <v>788820</v>
      </c>
      <c r="R13" s="19">
        <v>38.090000000000003</v>
      </c>
      <c r="S13" s="19">
        <v>0</v>
      </c>
      <c r="T13" s="20">
        <f>(((Tabela1321832[[#This Row],[Objetive value Similarity 16 Large/Exact method ]]-Tabela1321832[[#This Row],[Objetive Value Similarity/H-R1]])/Tabela1321832[[#This Row],[Objetive value Similarity 16 Large/Exact method ]]))*100</f>
        <v>3.0227180243100933</v>
      </c>
      <c r="U13" s="48">
        <v>691813</v>
      </c>
      <c r="V13" s="22">
        <v>177.53</v>
      </c>
      <c r="W13" s="22">
        <v>0</v>
      </c>
      <c r="X13" s="43">
        <f>(((Tabela1321832[[#This Row],[Objetive value Similarity 16 Large/Exact method ]]-Tabela1321832[[#This Row],[Objetive value Similarity/H-R2]])/Tabela1321832[[#This Row],[Objetive value Similarity 16 Large/Exact method ]]))*100</f>
        <v>14.948728004553685</v>
      </c>
    </row>
    <row r="14" spans="1:24" s="34" customFormat="1" x14ac:dyDescent="0.25">
      <c r="A14" s="11" t="s">
        <v>361</v>
      </c>
      <c r="B14" s="30" t="s">
        <v>1433</v>
      </c>
      <c r="C14" s="11">
        <v>40000</v>
      </c>
      <c r="D14" s="47">
        <v>0.1</v>
      </c>
      <c r="E14" s="11">
        <v>10</v>
      </c>
      <c r="F14" s="90">
        <v>410785</v>
      </c>
      <c r="G14" s="90">
        <v>4249</v>
      </c>
      <c r="H14" s="90">
        <v>1611</v>
      </c>
      <c r="I14" s="90">
        <f>((Tabela1321832[[#This Row],[Objetive value Similarity 16 Large/Exact method ]]-Tabela1321832[[#This Row],[Objetive value Similarity 16 Large/GATeS]])/Tabela1321832[[#This Row],[Objetive value Similarity 16 Large/Exact method ]])*100</f>
        <v>10.561644611077</v>
      </c>
      <c r="J14" s="66">
        <v>459294</v>
      </c>
      <c r="K14" s="66">
        <v>4903.0600000000004</v>
      </c>
      <c r="L14" s="66">
        <v>0</v>
      </c>
      <c r="M14" s="15">
        <v>538705.06000000006</v>
      </c>
      <c r="N14" s="16">
        <v>24.33</v>
      </c>
      <c r="O14" s="17">
        <v>0</v>
      </c>
      <c r="P14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-17.289810012758725</v>
      </c>
      <c r="Q14" s="23">
        <v>432229</v>
      </c>
      <c r="R14" s="19">
        <v>16.670000000000002</v>
      </c>
      <c r="S14" s="19">
        <v>0</v>
      </c>
      <c r="T14" s="20">
        <f>(((Tabela1321832[[#This Row],[Objetive value Similarity 16 Large/Exact method ]]-Tabela1321832[[#This Row],[Objetive Value Similarity/H-R1]])/Tabela1321832[[#This Row],[Objetive value Similarity 16 Large/Exact method ]]))*100</f>
        <v>5.8927397266239048</v>
      </c>
      <c r="U14" s="48">
        <v>432229</v>
      </c>
      <c r="V14" s="22">
        <v>17.600000000000001</v>
      </c>
      <c r="W14" s="22">
        <v>0</v>
      </c>
      <c r="X14" s="43">
        <f>(((Tabela1321832[[#This Row],[Objetive value Similarity 16 Large/Exact method ]]-Tabela1321832[[#This Row],[Objetive value Similarity/H-R2]])/Tabela1321832[[#This Row],[Objetive value Similarity 16 Large/Exact method ]]))*100</f>
        <v>5.8927397266239048</v>
      </c>
    </row>
    <row r="15" spans="1:24" s="34" customFormat="1" x14ac:dyDescent="0.25">
      <c r="A15" s="11" t="s">
        <v>357</v>
      </c>
      <c r="B15" s="30" t="s">
        <v>1434</v>
      </c>
      <c r="C15" s="11">
        <v>40000</v>
      </c>
      <c r="D15" s="47">
        <v>0.1</v>
      </c>
      <c r="E15" s="11">
        <v>15</v>
      </c>
      <c r="F15" s="90">
        <v>601000</v>
      </c>
      <c r="G15" s="90">
        <v>6843</v>
      </c>
      <c r="H15" s="90">
        <v>2433</v>
      </c>
      <c r="I15" s="90">
        <f>((Tabela1321832[[#This Row],[Objetive value Similarity 16 Large/Exact method ]]-Tabela1321832[[#This Row],[Objetive value Similarity 16 Large/GATeS]])/Tabela1321832[[#This Row],[Objetive value Similarity 16 Large/Exact method ]])*100</f>
        <v>6.2210841841312341</v>
      </c>
      <c r="J15" s="66">
        <v>640869</v>
      </c>
      <c r="K15" s="66">
        <v>19513.060000000001</v>
      </c>
      <c r="L15" s="66">
        <v>0</v>
      </c>
      <c r="M15" s="15">
        <v>728941.18</v>
      </c>
      <c r="N15" s="16">
        <v>81.06</v>
      </c>
      <c r="O15" s="17">
        <v>0</v>
      </c>
      <c r="P15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-13.742618226189759</v>
      </c>
      <c r="Q15" s="23">
        <v>630178</v>
      </c>
      <c r="R15" s="19">
        <v>105.71</v>
      </c>
      <c r="S15" s="19">
        <v>0</v>
      </c>
      <c r="T15" s="20">
        <f>(((Tabela1321832[[#This Row],[Objetive value Similarity 16 Large/Exact method ]]-Tabela1321832[[#This Row],[Objetive Value Similarity/H-R1]])/Tabela1321832[[#This Row],[Objetive value Similarity 16 Large/Exact method ]]))*100</f>
        <v>1.6682036422420183</v>
      </c>
      <c r="U15" s="48">
        <v>625263</v>
      </c>
      <c r="V15" s="22">
        <v>110.53</v>
      </c>
      <c r="W15" s="22">
        <v>0</v>
      </c>
      <c r="X15" s="43">
        <f>(((Tabela1321832[[#This Row],[Objetive value Similarity 16 Large/Exact method ]]-Tabela1321832[[#This Row],[Objetive value Similarity/H-R2]])/Tabela1321832[[#This Row],[Objetive value Similarity 16 Large/Exact method ]]))*100</f>
        <v>2.4351310486230413</v>
      </c>
    </row>
    <row r="16" spans="1:24" s="34" customFormat="1" x14ac:dyDescent="0.25">
      <c r="A16" s="11" t="s">
        <v>364</v>
      </c>
      <c r="B16" s="30" t="s">
        <v>1435</v>
      </c>
      <c r="C16" s="11">
        <v>40000</v>
      </c>
      <c r="D16" s="47">
        <v>0.1</v>
      </c>
      <c r="E16" s="11">
        <v>40</v>
      </c>
      <c r="F16" s="90">
        <v>1115726</v>
      </c>
      <c r="G16" s="90">
        <v>20073</v>
      </c>
      <c r="H16" s="90">
        <v>9545</v>
      </c>
      <c r="I16" s="90">
        <f>((Tabela1321832[[#This Row],[Objetive value Similarity 16 Large/Exact method ]]-Tabela1321832[[#This Row],[Objetive value Similarity 16 Large/GATeS]])/Tabela1321832[[#This Row],[Objetive value Similarity 16 Large/Exact method ]])*100</f>
        <v>14.806078964227328</v>
      </c>
      <c r="J16" s="66">
        <v>1309631</v>
      </c>
      <c r="K16" s="66">
        <v>414434.42</v>
      </c>
      <c r="L16" s="66">
        <v>0</v>
      </c>
      <c r="M16" s="15">
        <v>157882.60999999999</v>
      </c>
      <c r="N16" s="16">
        <v>109.13</v>
      </c>
      <c r="O16" s="17">
        <v>0</v>
      </c>
      <c r="P16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87.944496579570895</v>
      </c>
      <c r="Q16" s="53">
        <v>126021.36</v>
      </c>
      <c r="R16" s="19">
        <v>84.43</v>
      </c>
      <c r="S16" s="19">
        <v>0</v>
      </c>
      <c r="T16" s="20">
        <f>(((Tabela1321832[[#This Row],[Objetive value Similarity 16 Large/Exact method ]]-Tabela1321832[[#This Row],[Objetive Value Similarity/H-R1]])/Tabela1321832[[#This Row],[Objetive value Similarity 16 Large/Exact method ]]))*100</f>
        <v>90.377338349504541</v>
      </c>
      <c r="U16" s="48">
        <v>111496</v>
      </c>
      <c r="V16" s="22">
        <v>287.93</v>
      </c>
      <c r="W16" s="22">
        <v>0</v>
      </c>
      <c r="X16" s="43">
        <f>(((Tabela1321832[[#This Row],[Objetive value Similarity 16 Large/Exact method ]]-Tabela1321832[[#This Row],[Objetive value Similarity/H-R2]])/Tabela1321832[[#This Row],[Objetive value Similarity 16 Large/Exact method ]]))*100</f>
        <v>91.486456872202936</v>
      </c>
    </row>
    <row r="17" spans="1:24" s="34" customFormat="1" x14ac:dyDescent="0.25">
      <c r="A17" s="11" t="s">
        <v>366</v>
      </c>
      <c r="B17" s="30" t="s">
        <v>1436</v>
      </c>
      <c r="C17" s="11">
        <v>40000</v>
      </c>
      <c r="D17" s="47">
        <v>0.1</v>
      </c>
      <c r="E17" s="11">
        <v>5</v>
      </c>
      <c r="F17" s="90">
        <v>213286</v>
      </c>
      <c r="G17" s="90">
        <v>2090</v>
      </c>
      <c r="H17" s="90">
        <v>192</v>
      </c>
      <c r="I17" s="90">
        <f>((Tabela1321832[[#This Row],[Objetive value Similarity 16 Large/Exact method ]]-Tabela1321832[[#This Row],[Objetive value Similarity 16 Large/GATeS]])/Tabela1321832[[#This Row],[Objetive value Similarity 16 Large/Exact method ]])*100</f>
        <v>15.831636438256696</v>
      </c>
      <c r="J17" s="66">
        <v>253404</v>
      </c>
      <c r="K17" s="66">
        <v>14682.13</v>
      </c>
      <c r="L17" s="66">
        <v>0</v>
      </c>
      <c r="M17" s="15">
        <v>308644.05</v>
      </c>
      <c r="N17" s="16">
        <v>12.27</v>
      </c>
      <c r="O17" s="17">
        <v>0</v>
      </c>
      <c r="P17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-21.799202064687215</v>
      </c>
      <c r="Q17" s="23">
        <v>239031</v>
      </c>
      <c r="R17" s="19">
        <v>12.79</v>
      </c>
      <c r="S17" s="19">
        <v>0</v>
      </c>
      <c r="T17" s="20">
        <f>(((Tabela1321832[[#This Row],[Objetive value Similarity 16 Large/Exact method ]]-Tabela1321832[[#This Row],[Objetive Value Similarity/H-R1]])/Tabela1321832[[#This Row],[Objetive value Similarity 16 Large/Exact method ]]))*100</f>
        <v>5.671970450348061</v>
      </c>
      <c r="U17" s="48">
        <v>239031</v>
      </c>
      <c r="V17" s="22">
        <v>13.29</v>
      </c>
      <c r="W17" s="22">
        <v>0</v>
      </c>
      <c r="X17" s="43">
        <f>(((Tabela1321832[[#This Row],[Objetive value Similarity 16 Large/Exact method ]]-Tabela1321832[[#This Row],[Objetive value Similarity/H-R2]])/Tabela1321832[[#This Row],[Objetive value Similarity 16 Large/Exact method ]]))*100</f>
        <v>5.671970450348061</v>
      </c>
    </row>
    <row r="18" spans="1:24" s="34" customFormat="1" x14ac:dyDescent="0.25">
      <c r="A18" s="11" t="s">
        <v>357</v>
      </c>
      <c r="B18" s="30" t="s">
        <v>1437</v>
      </c>
      <c r="C18" s="11">
        <v>50000</v>
      </c>
      <c r="D18" s="47">
        <v>0.15</v>
      </c>
      <c r="E18" s="11">
        <v>15</v>
      </c>
      <c r="F18" s="90">
        <v>697351</v>
      </c>
      <c r="G18" s="90">
        <v>11764</v>
      </c>
      <c r="H18" s="90">
        <v>2966</v>
      </c>
      <c r="I18" s="90">
        <f>((Tabela1321832[[#This Row],[Objetive value Similarity 16 Large/Exact method ]]-Tabela1321832[[#This Row],[Objetive value Similarity 16 Large/GATeS]])/Tabela1321832[[#This Row],[Objetive value Similarity 16 Large/Exact method ]])*100</f>
        <v>10.749696356145764</v>
      </c>
      <c r="J18" s="66">
        <v>781343</v>
      </c>
      <c r="K18" s="66">
        <v>16863.34</v>
      </c>
      <c r="L18" s="66">
        <v>0</v>
      </c>
      <c r="M18" s="15">
        <v>929654.36</v>
      </c>
      <c r="N18" s="16">
        <v>39.76</v>
      </c>
      <c r="O18" s="17">
        <v>0</v>
      </c>
      <c r="P18" s="18">
        <f>(((Tabela1321832[[#This Row],[Objetive value Similarity 16 Large/Exact method ]]-Tabela1321832[[#This Row],[Objetive value Similarity 16 Large/Relaxed model]])/Tabela1321832[[#This Row],[Objetive value Similarity 16 Large/Exact method ]]))*100</f>
        <v>-18.98159451098941</v>
      </c>
      <c r="Q18" s="23">
        <v>781286</v>
      </c>
      <c r="R18" s="19">
        <v>34.94</v>
      </c>
      <c r="S18" s="19">
        <v>0</v>
      </c>
      <c r="T18" s="20">
        <f>(((Tabela1321832[[#This Row],[Objetive value Similarity 16 Large/Exact method ]]-Tabela1321832[[#This Row],[Objetive Value Similarity/H-R1]])/Tabela1321832[[#This Row],[Objetive value Similarity 16 Large/Exact method ]]))*100</f>
        <v>7.2951315875358193E-3</v>
      </c>
      <c r="U18" s="48">
        <v>750881</v>
      </c>
      <c r="V18" s="22">
        <v>29.62</v>
      </c>
      <c r="W18" s="22">
        <v>0</v>
      </c>
      <c r="X18" s="43">
        <f>(((Tabela1321832[[#This Row],[Objetive value Similarity 16 Large/Exact method ]]-Tabela1321832[[#This Row],[Objetive value Similarity/H-R2]])/Tabela1321832[[#This Row],[Objetive value Similarity 16 Large/Exact method ]]))*100</f>
        <v>3.8986719020967744</v>
      </c>
    </row>
    <row r="19" spans="1:24" x14ac:dyDescent="0.25">
      <c r="A19" s="3" t="s">
        <v>1090</v>
      </c>
      <c r="B19" s="61"/>
      <c r="C19" s="3"/>
      <c r="D19" s="3"/>
      <c r="E19" s="3"/>
      <c r="F19" s="3"/>
      <c r="G19" s="3"/>
      <c r="H19" s="3"/>
      <c r="I19" s="95">
        <f>SUBTOTAL(101,Tabela1321832[Δ % (2020) Similarity  16 Large/GATeS])</f>
        <v>8.5998339444196752</v>
      </c>
      <c r="J19" s="68">
        <f>SUBTOTAL(101,Tabela1321832[Objetive value Similarity 16 Large/Exact method ])</f>
        <v>602781.25</v>
      </c>
      <c r="K19" s="68">
        <f>SUBTOTAL(101,Tabela1321832[Time/s Similarity 16 Large/Exact method])</f>
        <v>99569.163749999992</v>
      </c>
      <c r="L19" s="68">
        <f>SUBTOTAL(101,Tabela1321832[GAP % Time/s Similarity 16 Large/Exact method])</f>
        <v>6.2500000000000001E-4</v>
      </c>
      <c r="M19" s="68">
        <f>SUBTOTAL(101,Tabela1321832[Objetive value Similarity 16 Large/Relaxed model])</f>
        <v>465608.35812499997</v>
      </c>
      <c r="N19" s="68">
        <f>SUBTOTAL(101,Tabela1321832[Time/s Similarity 16 Large/Relaxed model])</f>
        <v>48.170624999999994</v>
      </c>
      <c r="O19" s="68">
        <f>SUBTOTAL(101,Tabela1321832[GAP % Similarity 16 Large/Relaxed model])</f>
        <v>0</v>
      </c>
      <c r="P19" s="68">
        <f>SUBTOTAL(101,Tabela1321832[Δ % (2019) Similarity 16 Large/Relaxed model])</f>
        <v>1.700906059914328</v>
      </c>
      <c r="Q19" s="68">
        <f>SUBTOTAL(101,Tabela1321832[Objetive Value Similarity/H-R1])</f>
        <v>424872.89750000002</v>
      </c>
      <c r="R19" s="68">
        <f>SUBTOTAL(101,Tabela1321832[Time/s Similarity/H-R1])</f>
        <v>41.125624999999999</v>
      </c>
      <c r="S19" s="68">
        <f>SUBTOTAL(101,Tabela1321832[GAP %  Similarity/H-R1])</f>
        <v>0</v>
      </c>
      <c r="T19" s="68">
        <f>SUBTOTAL(101,Tabela1321832[Δ % (2019) Similarity/H-R1])</f>
        <v>14.538567213490809</v>
      </c>
      <c r="U19" s="68">
        <f>SUBTOTAL(101,Tabela1321832[Objetive value Similarity/H-R2])</f>
        <v>396619.5</v>
      </c>
      <c r="V19" s="68">
        <f>SUBTOTAL(101,Tabela1321832[Time/s Similarity/H-R2])</f>
        <v>77.872499999999988</v>
      </c>
      <c r="W19" s="68">
        <f>SUBTOTAL(101,Tabela1321832[GAP% Similarity/H-R2])</f>
        <v>0</v>
      </c>
      <c r="X19" s="68">
        <f>SUBTOTAL(101,Tabela1321832[Δ % (2019) Similarity/H-R2])</f>
        <v>19.600694021907696</v>
      </c>
    </row>
  </sheetData>
  <mergeCells count="5">
    <mergeCell ref="U1:X1"/>
    <mergeCell ref="F1:I1"/>
    <mergeCell ref="J1:L1"/>
    <mergeCell ref="M1:P1"/>
    <mergeCell ref="Q1:T1"/>
  </mergeCells>
  <conditionalFormatting sqref="V4:V16 S4:S18 R4:R16 N4:N16 O4:O18 W4:W18">
    <cfRule type="cellIs" dxfId="47" priority="2" operator="greaterThan">
      <formula>3600</formula>
    </cfRule>
  </conditionalFormatting>
  <conditionalFormatting sqref="N3:O3 R3:S3 V3:W3">
    <cfRule type="cellIs" dxfId="46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opLeftCell="F1" workbookViewId="0">
      <pane ySplit="2" topLeftCell="A3" activePane="bottomLeft" state="frozen"/>
      <selection pane="bottomLeft" activeCell="M2" sqref="M1:P1048576"/>
    </sheetView>
  </sheetViews>
  <sheetFormatPr defaultRowHeight="15" x14ac:dyDescent="0.25"/>
  <cols>
    <col min="1" max="1" width="11.140625" bestFit="1" customWidth="1"/>
    <col min="2" max="2" width="32.42578125" customWidth="1"/>
    <col min="3" max="3" width="11.7109375" customWidth="1"/>
    <col min="4" max="4" width="11.5703125" customWidth="1"/>
    <col min="5" max="5" width="13.28515625" customWidth="1"/>
    <col min="6" max="9" width="11.140625" style="94" customWidth="1"/>
    <col min="10" max="12" width="10.28515625" customWidth="1"/>
    <col min="13" max="13" width="14.42578125" customWidth="1"/>
    <col min="14" max="14" width="11.7109375" bestFit="1" customWidth="1"/>
    <col min="15" max="15" width="12.7109375" customWidth="1"/>
    <col min="16" max="16" width="12.5703125" customWidth="1"/>
    <col min="17" max="17" width="13.85546875" customWidth="1"/>
    <col min="18" max="18" width="11.7109375" bestFit="1" customWidth="1"/>
    <col min="19" max="19" width="12.5703125" customWidth="1"/>
    <col min="20" max="20" width="12" customWidth="1"/>
  </cols>
  <sheetData>
    <row r="1" spans="1:20" s="3" customFormat="1" x14ac:dyDescent="0.25">
      <c r="A1" s="1"/>
      <c r="B1" s="1"/>
      <c r="C1" s="2"/>
      <c r="D1" s="2"/>
      <c r="E1" s="2"/>
      <c r="F1" s="238" t="s">
        <v>1543</v>
      </c>
      <c r="G1" s="238"/>
      <c r="H1" s="238"/>
      <c r="I1" s="238"/>
      <c r="J1" s="226" t="s">
        <v>1614</v>
      </c>
      <c r="K1" s="227"/>
      <c r="L1" s="239"/>
      <c r="M1" s="233" t="s">
        <v>1088</v>
      </c>
      <c r="N1" s="234"/>
      <c r="O1" s="234"/>
      <c r="P1" s="235"/>
      <c r="Q1" s="229" t="s">
        <v>1554</v>
      </c>
      <c r="R1" s="230"/>
      <c r="S1" s="230"/>
      <c r="T1" s="231"/>
    </row>
    <row r="2" spans="1:20" s="10" customFormat="1" ht="75.75" customHeight="1" x14ac:dyDescent="0.25">
      <c r="A2" s="4" t="s">
        <v>1085</v>
      </c>
      <c r="B2" s="4" t="s">
        <v>1</v>
      </c>
      <c r="C2" s="4" t="s">
        <v>2</v>
      </c>
      <c r="D2" s="4" t="s">
        <v>3</v>
      </c>
      <c r="E2" s="4" t="s">
        <v>4</v>
      </c>
      <c r="F2" s="107" t="s">
        <v>1610</v>
      </c>
      <c r="G2" s="107" t="s">
        <v>1611</v>
      </c>
      <c r="H2" s="107" t="s">
        <v>1612</v>
      </c>
      <c r="I2" s="135" t="s">
        <v>1613</v>
      </c>
      <c r="J2" s="5" t="s">
        <v>1615</v>
      </c>
      <c r="K2" s="5" t="s">
        <v>1616</v>
      </c>
      <c r="L2" s="5" t="s">
        <v>1617</v>
      </c>
      <c r="M2" s="44" t="s">
        <v>1618</v>
      </c>
      <c r="N2" s="44" t="s">
        <v>1619</v>
      </c>
      <c r="O2" s="44" t="s">
        <v>1620</v>
      </c>
      <c r="P2" s="44" t="s">
        <v>1621</v>
      </c>
      <c r="Q2" s="46" t="s">
        <v>1622</v>
      </c>
      <c r="R2" s="46" t="s">
        <v>1623</v>
      </c>
      <c r="S2" s="46" t="s">
        <v>1624</v>
      </c>
      <c r="T2" s="8" t="s">
        <v>1625</v>
      </c>
    </row>
    <row r="3" spans="1:20" s="34" customFormat="1" x14ac:dyDescent="0.25">
      <c r="A3" s="11" t="s">
        <v>357</v>
      </c>
      <c r="B3" s="12" t="s">
        <v>1438</v>
      </c>
      <c r="C3" s="11">
        <v>100000</v>
      </c>
      <c r="D3" s="47">
        <v>0.15</v>
      </c>
      <c r="E3" s="11">
        <v>15</v>
      </c>
      <c r="F3" s="90">
        <v>1623609</v>
      </c>
      <c r="G3" s="90">
        <v>48132</v>
      </c>
      <c r="H3" s="90">
        <v>48132</v>
      </c>
      <c r="I3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1.5888380685916421</v>
      </c>
      <c r="J3" s="66">
        <v>1649822</v>
      </c>
      <c r="K3" s="66">
        <v>53636.160000000003</v>
      </c>
      <c r="L3" s="66">
        <v>0</v>
      </c>
      <c r="M3" s="23">
        <v>161569</v>
      </c>
      <c r="N3" s="19">
        <v>85.18</v>
      </c>
      <c r="O3" s="19">
        <v>0</v>
      </c>
      <c r="P3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90.206882924339709</v>
      </c>
      <c r="Q3" s="48">
        <v>164979</v>
      </c>
      <c r="R3" s="22">
        <v>76.900000000000006</v>
      </c>
      <c r="S3" s="22">
        <v>0</v>
      </c>
      <c r="T3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90.000193960318143</v>
      </c>
    </row>
    <row r="4" spans="1:20" s="34" customFormat="1" x14ac:dyDescent="0.25">
      <c r="A4" s="11" t="s">
        <v>361</v>
      </c>
      <c r="B4" s="12" t="s">
        <v>1439</v>
      </c>
      <c r="C4" s="11">
        <v>15000</v>
      </c>
      <c r="D4" s="47">
        <v>0.1</v>
      </c>
      <c r="E4" s="11">
        <v>10</v>
      </c>
      <c r="F4" s="90">
        <v>168873</v>
      </c>
      <c r="G4" s="90">
        <v>2024</v>
      </c>
      <c r="H4" s="90">
        <v>437</v>
      </c>
      <c r="I4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1.1322720965768382</v>
      </c>
      <c r="J4" s="66">
        <v>170807</v>
      </c>
      <c r="K4" s="66">
        <v>1258.99</v>
      </c>
      <c r="L4" s="66">
        <v>0</v>
      </c>
      <c r="M4" s="23">
        <v>159708</v>
      </c>
      <c r="N4" s="19">
        <v>6.72</v>
      </c>
      <c r="O4" s="19">
        <v>0</v>
      </c>
      <c r="P4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6.4979772491759711</v>
      </c>
      <c r="Q4" s="48">
        <v>162994</v>
      </c>
      <c r="R4" s="22">
        <v>4.87</v>
      </c>
      <c r="S4" s="22">
        <v>0</v>
      </c>
      <c r="T4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4.5741685059745798</v>
      </c>
    </row>
    <row r="5" spans="1:20" s="34" customFormat="1" x14ac:dyDescent="0.25">
      <c r="A5" s="11" t="s">
        <v>362</v>
      </c>
      <c r="B5" s="12" t="s">
        <v>1440</v>
      </c>
      <c r="C5" s="11">
        <v>15000</v>
      </c>
      <c r="D5" s="47">
        <v>0.1</v>
      </c>
      <c r="E5" s="11">
        <v>20</v>
      </c>
      <c r="F5" s="90">
        <v>243585</v>
      </c>
      <c r="G5" s="90">
        <v>1975</v>
      </c>
      <c r="H5" s="90">
        <v>241</v>
      </c>
      <c r="I5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11.355299358050571</v>
      </c>
      <c r="J5" s="66">
        <v>274788</v>
      </c>
      <c r="K5" s="66">
        <v>27902.55</v>
      </c>
      <c r="L5" s="66">
        <v>0</v>
      </c>
      <c r="M5" s="23">
        <v>267330</v>
      </c>
      <c r="N5" s="19">
        <v>11.03</v>
      </c>
      <c r="O5" s="19">
        <v>0</v>
      </c>
      <c r="P5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2.7140923184418533</v>
      </c>
      <c r="Q5" s="48">
        <v>249362</v>
      </c>
      <c r="R5" s="22">
        <v>12.65</v>
      </c>
      <c r="S5" s="22">
        <v>0</v>
      </c>
      <c r="T5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9.2529513661440834</v>
      </c>
    </row>
    <row r="6" spans="1:20" s="34" customFormat="1" x14ac:dyDescent="0.25">
      <c r="A6" s="11" t="s">
        <v>363</v>
      </c>
      <c r="B6" s="12" t="s">
        <v>1441</v>
      </c>
      <c r="C6" s="11">
        <v>15000</v>
      </c>
      <c r="D6" s="47">
        <v>0.1</v>
      </c>
      <c r="E6" s="11">
        <v>30</v>
      </c>
      <c r="F6" s="90">
        <v>370655</v>
      </c>
      <c r="G6" s="90">
        <v>2525</v>
      </c>
      <c r="H6" s="90">
        <v>257</v>
      </c>
      <c r="I6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9.6190469223585282</v>
      </c>
      <c r="J6" s="66">
        <v>410103</v>
      </c>
      <c r="K6" s="66">
        <v>57591.7</v>
      </c>
      <c r="L6" s="66">
        <v>0</v>
      </c>
      <c r="M6" s="23">
        <v>406850</v>
      </c>
      <c r="N6" s="19">
        <v>24.14</v>
      </c>
      <c r="O6" s="19">
        <v>0</v>
      </c>
      <c r="P6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0.79321536296979056</v>
      </c>
      <c r="Q6" s="48">
        <v>388275</v>
      </c>
      <c r="R6" s="22">
        <v>43.69</v>
      </c>
      <c r="S6" s="22">
        <v>0</v>
      </c>
      <c r="T6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5.3225653067643988</v>
      </c>
    </row>
    <row r="7" spans="1:20" s="34" customFormat="1" x14ac:dyDescent="0.25">
      <c r="A7" s="11" t="s">
        <v>364</v>
      </c>
      <c r="B7" s="12" t="s">
        <v>1442</v>
      </c>
      <c r="C7" s="11">
        <v>15000</v>
      </c>
      <c r="D7" s="47">
        <v>0.1</v>
      </c>
      <c r="E7" s="11">
        <v>40</v>
      </c>
      <c r="F7" s="90">
        <v>486129</v>
      </c>
      <c r="G7" s="90">
        <v>3958</v>
      </c>
      <c r="H7" s="90">
        <v>951</v>
      </c>
      <c r="I7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8.048535976394037</v>
      </c>
      <c r="J7" s="66">
        <v>528680</v>
      </c>
      <c r="K7" s="66">
        <v>393827.11</v>
      </c>
      <c r="L7" s="66">
        <v>0.04</v>
      </c>
      <c r="M7" s="23">
        <v>519163</v>
      </c>
      <c r="N7" s="19">
        <v>28</v>
      </c>
      <c r="O7" s="19">
        <v>0</v>
      </c>
      <c r="P7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1.8001437542558827</v>
      </c>
      <c r="Q7" s="48">
        <v>477801</v>
      </c>
      <c r="R7" s="22">
        <v>62.05</v>
      </c>
      <c r="S7" s="22">
        <v>0</v>
      </c>
      <c r="T7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9.623779980328365</v>
      </c>
    </row>
    <row r="8" spans="1:20" s="34" customFormat="1" x14ac:dyDescent="0.25">
      <c r="A8" s="11" t="s">
        <v>365</v>
      </c>
      <c r="B8" s="12" t="s">
        <v>1443</v>
      </c>
      <c r="C8" s="11">
        <v>15000</v>
      </c>
      <c r="D8" s="47">
        <v>0.1</v>
      </c>
      <c r="E8" s="11">
        <v>50</v>
      </c>
      <c r="F8" s="90">
        <v>598206</v>
      </c>
      <c r="G8" s="90">
        <v>6301</v>
      </c>
      <c r="H8" s="90">
        <v>1101</v>
      </c>
      <c r="I8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5.1559631282046405</v>
      </c>
      <c r="J8" s="66">
        <v>630726</v>
      </c>
      <c r="K8" s="66">
        <v>177796.99</v>
      </c>
      <c r="L8" s="66">
        <v>0</v>
      </c>
      <c r="M8" s="23">
        <v>616491</v>
      </c>
      <c r="N8" s="19">
        <v>28.98</v>
      </c>
      <c r="O8" s="19">
        <v>0</v>
      </c>
      <c r="P8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2.2569229744770309</v>
      </c>
      <c r="Q8" s="48">
        <v>585418</v>
      </c>
      <c r="R8" s="22">
        <v>93.57</v>
      </c>
      <c r="S8" s="22">
        <v>0</v>
      </c>
      <c r="T8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7.1834679401197992</v>
      </c>
    </row>
    <row r="9" spans="1:20" s="34" customFormat="1" x14ac:dyDescent="0.25">
      <c r="A9" s="11" t="s">
        <v>361</v>
      </c>
      <c r="B9" s="12" t="s">
        <v>1444</v>
      </c>
      <c r="C9" s="11">
        <v>20000</v>
      </c>
      <c r="D9" s="47">
        <v>0.1</v>
      </c>
      <c r="E9" s="11">
        <v>10</v>
      </c>
      <c r="F9" s="90">
        <v>227149</v>
      </c>
      <c r="G9" s="90">
        <v>1997</v>
      </c>
      <c r="H9" s="90">
        <v>460</v>
      </c>
      <c r="I9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4.0330382982319017</v>
      </c>
      <c r="J9" s="66">
        <v>236695</v>
      </c>
      <c r="K9" s="66">
        <v>958.83</v>
      </c>
      <c r="L9" s="66">
        <v>0</v>
      </c>
      <c r="M9" s="23">
        <v>235086</v>
      </c>
      <c r="N9" s="19">
        <v>8.52</v>
      </c>
      <c r="O9" s="19">
        <v>0</v>
      </c>
      <c r="P9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0.67977777308350407</v>
      </c>
      <c r="Q9" s="48">
        <v>230154</v>
      </c>
      <c r="R9" s="22">
        <v>6.95</v>
      </c>
      <c r="S9" s="22">
        <v>0</v>
      </c>
      <c r="T9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2.7634719787067747</v>
      </c>
    </row>
    <row r="10" spans="1:20" s="34" customFormat="1" x14ac:dyDescent="0.25">
      <c r="A10" s="11" t="s">
        <v>362</v>
      </c>
      <c r="B10" s="12" t="s">
        <v>1445</v>
      </c>
      <c r="C10" s="11">
        <v>20000</v>
      </c>
      <c r="D10" s="47">
        <v>0.1</v>
      </c>
      <c r="E10" s="11">
        <v>20</v>
      </c>
      <c r="F10" s="90">
        <v>388006</v>
      </c>
      <c r="G10" s="90">
        <v>3778</v>
      </c>
      <c r="H10" s="90">
        <v>1790</v>
      </c>
      <c r="I10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4.7798313058458879</v>
      </c>
      <c r="J10" s="66">
        <v>407483</v>
      </c>
      <c r="K10" s="66">
        <v>42742.27</v>
      </c>
      <c r="L10" s="66">
        <v>0</v>
      </c>
      <c r="M10" s="23">
        <v>406643</v>
      </c>
      <c r="N10" s="19">
        <v>23.58</v>
      </c>
      <c r="O10" s="19">
        <v>0</v>
      </c>
      <c r="P10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0.20614356917957313</v>
      </c>
      <c r="Q10" s="48">
        <v>370232</v>
      </c>
      <c r="R10" s="22">
        <v>28.76</v>
      </c>
      <c r="S10" s="22">
        <v>0</v>
      </c>
      <c r="T10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9.1417310660812845</v>
      </c>
    </row>
    <row r="11" spans="1:20" s="34" customFormat="1" x14ac:dyDescent="0.25">
      <c r="A11" s="11" t="s">
        <v>363</v>
      </c>
      <c r="B11" s="12" t="s">
        <v>1446</v>
      </c>
      <c r="C11" s="11">
        <v>20000</v>
      </c>
      <c r="D11" s="47">
        <v>0.1</v>
      </c>
      <c r="E11" s="11">
        <v>30</v>
      </c>
      <c r="F11" s="90">
        <v>533533</v>
      </c>
      <c r="G11" s="90">
        <v>5723</v>
      </c>
      <c r="H11" s="90">
        <v>1348</v>
      </c>
      <c r="I11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4.3398513280429158</v>
      </c>
      <c r="J11" s="66">
        <v>557738</v>
      </c>
      <c r="K11" s="66">
        <v>71198.27</v>
      </c>
      <c r="L11" s="66">
        <v>0</v>
      </c>
      <c r="M11" s="23">
        <v>538343</v>
      </c>
      <c r="N11" s="19">
        <v>64.55</v>
      </c>
      <c r="O11" s="19">
        <v>0</v>
      </c>
      <c r="P11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3.4774392277377553</v>
      </c>
      <c r="Q11" s="48">
        <v>485798</v>
      </c>
      <c r="R11" s="22">
        <v>92.88</v>
      </c>
      <c r="S11" s="22">
        <v>0</v>
      </c>
      <c r="T11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12.898529417038107</v>
      </c>
    </row>
    <row r="12" spans="1:20" s="34" customFormat="1" x14ac:dyDescent="0.25">
      <c r="A12" s="11" t="s">
        <v>364</v>
      </c>
      <c r="B12" s="12" t="s">
        <v>1447</v>
      </c>
      <c r="C12" s="11">
        <v>20000</v>
      </c>
      <c r="D12" s="47">
        <v>0.1</v>
      </c>
      <c r="E12" s="11">
        <v>40</v>
      </c>
      <c r="F12" s="90">
        <v>620096</v>
      </c>
      <c r="G12" s="90">
        <v>6516</v>
      </c>
      <c r="H12" s="90">
        <v>1933</v>
      </c>
      <c r="I12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5.6846613766995047</v>
      </c>
      <c r="J12" s="66">
        <v>657471</v>
      </c>
      <c r="K12" s="66">
        <v>45734.36</v>
      </c>
      <c r="L12" s="66">
        <v>0</v>
      </c>
      <c r="M12" s="23">
        <v>656128</v>
      </c>
      <c r="N12" s="19">
        <v>64.22</v>
      </c>
      <c r="O12" s="19">
        <v>0</v>
      </c>
      <c r="P12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0.20426756465304172</v>
      </c>
      <c r="Q12" s="48">
        <v>592641</v>
      </c>
      <c r="R12" s="22">
        <v>175.16</v>
      </c>
      <c r="S12" s="22">
        <v>0</v>
      </c>
      <c r="T12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9.8605109578977626</v>
      </c>
    </row>
    <row r="13" spans="1:20" s="34" customFormat="1" x14ac:dyDescent="0.25">
      <c r="A13" s="11" t="s">
        <v>365</v>
      </c>
      <c r="B13" s="12" t="s">
        <v>1448</v>
      </c>
      <c r="C13" s="11">
        <v>20000</v>
      </c>
      <c r="D13" s="47">
        <v>0.1</v>
      </c>
      <c r="E13" s="11">
        <v>50</v>
      </c>
      <c r="F13" s="90">
        <v>779066</v>
      </c>
      <c r="G13" s="90">
        <v>8463</v>
      </c>
      <c r="H13" s="90">
        <v>2471</v>
      </c>
      <c r="I13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9.273257675891907</v>
      </c>
      <c r="J13" s="66">
        <v>858695</v>
      </c>
      <c r="K13" s="66">
        <v>694638.83</v>
      </c>
      <c r="L13" s="66">
        <v>0.01</v>
      </c>
      <c r="M13" s="23">
        <v>854102</v>
      </c>
      <c r="N13" s="19">
        <v>48.6</v>
      </c>
      <c r="O13" s="19">
        <v>0</v>
      </c>
      <c r="P13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0.53488141889728025</v>
      </c>
      <c r="Q13" s="48">
        <v>792655</v>
      </c>
      <c r="R13" s="22">
        <v>141.11000000000001</v>
      </c>
      <c r="S13" s="22">
        <v>0</v>
      </c>
      <c r="T13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7.6907400182835577</v>
      </c>
    </row>
    <row r="14" spans="1:20" s="34" customFormat="1" x14ac:dyDescent="0.25">
      <c r="A14" s="11" t="s">
        <v>361</v>
      </c>
      <c r="B14" s="12" t="s">
        <v>1449</v>
      </c>
      <c r="C14" s="11">
        <v>40000</v>
      </c>
      <c r="D14" s="47">
        <v>0.1</v>
      </c>
      <c r="E14" s="11">
        <v>10</v>
      </c>
      <c r="F14" s="90">
        <v>451341</v>
      </c>
      <c r="G14" s="90">
        <v>4253</v>
      </c>
      <c r="H14" s="90">
        <v>1386</v>
      </c>
      <c r="I14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2.4897108228101068</v>
      </c>
      <c r="J14" s="66">
        <v>462865</v>
      </c>
      <c r="K14" s="66">
        <v>5173.63</v>
      </c>
      <c r="L14" s="66">
        <v>0</v>
      </c>
      <c r="M14" s="23">
        <v>448175</v>
      </c>
      <c r="N14" s="19">
        <v>16.71</v>
      </c>
      <c r="O14" s="19">
        <v>0</v>
      </c>
      <c r="P14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3.1737115573655386</v>
      </c>
      <c r="Q14" s="48">
        <v>462844</v>
      </c>
      <c r="R14" s="22">
        <v>20.57</v>
      </c>
      <c r="S14" s="22">
        <v>0</v>
      </c>
      <c r="T14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4.5369600207403882E-3</v>
      </c>
    </row>
    <row r="15" spans="1:20" s="34" customFormat="1" x14ac:dyDescent="0.25">
      <c r="A15" s="11" t="s">
        <v>357</v>
      </c>
      <c r="B15" s="12" t="s">
        <v>1450</v>
      </c>
      <c r="C15" s="11">
        <v>40000</v>
      </c>
      <c r="D15" s="47">
        <v>0.1</v>
      </c>
      <c r="E15" s="11">
        <v>15</v>
      </c>
      <c r="F15" s="90">
        <v>601000</v>
      </c>
      <c r="G15" s="90">
        <v>6659</v>
      </c>
      <c r="H15" s="90">
        <v>2257</v>
      </c>
      <c r="I15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6.2210841841312341</v>
      </c>
      <c r="J15" s="66">
        <v>640869</v>
      </c>
      <c r="K15" s="66">
        <v>19272.84</v>
      </c>
      <c r="L15" s="66">
        <v>0</v>
      </c>
      <c r="M15" s="23">
        <v>630178</v>
      </c>
      <c r="N15" s="19">
        <v>122.25</v>
      </c>
      <c r="O15" s="19">
        <v>0</v>
      </c>
      <c r="P15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1.6682036422420183</v>
      </c>
      <c r="Q15" s="48">
        <v>625263</v>
      </c>
      <c r="R15" s="22">
        <v>172.96</v>
      </c>
      <c r="S15" s="22">
        <v>0</v>
      </c>
      <c r="T15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2.4351310486230413</v>
      </c>
    </row>
    <row r="16" spans="1:20" s="34" customFormat="1" x14ac:dyDescent="0.25">
      <c r="A16" s="11" t="s">
        <v>364</v>
      </c>
      <c r="B16" s="12" t="s">
        <v>1451</v>
      </c>
      <c r="C16" s="11">
        <v>40000</v>
      </c>
      <c r="D16" s="47">
        <v>0.1</v>
      </c>
      <c r="E16" s="11">
        <v>40</v>
      </c>
      <c r="F16" s="90">
        <v>1189944</v>
      </c>
      <c r="G16" s="90">
        <v>7490</v>
      </c>
      <c r="H16" s="90">
        <v>681</v>
      </c>
      <c r="I16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13.247130459126542</v>
      </c>
      <c r="J16" s="66">
        <v>1371648</v>
      </c>
      <c r="K16" s="66">
        <v>674203.12</v>
      </c>
      <c r="L16" s="66">
        <v>0</v>
      </c>
      <c r="M16" s="53">
        <v>136251</v>
      </c>
      <c r="N16" s="19">
        <v>87.77</v>
      </c>
      <c r="O16" s="19">
        <v>0</v>
      </c>
      <c r="P16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90.066620590705483</v>
      </c>
      <c r="Q16" s="48">
        <v>126828</v>
      </c>
      <c r="R16" s="22">
        <v>254.98</v>
      </c>
      <c r="S16" s="22">
        <v>0</v>
      </c>
      <c r="T16" s="50">
        <f>(((Tabela1321827[[#This Row],[Objetive value Dissimililarity 16 Large/Exact method]]-Tabela1321827[[#This Row],[Objetive value Dissimilarity 16 Large/H-R2]])/Tabela1321827[[#This Row],[Objetive value Dissimililarity 16 Large/Exact method]]))*100</f>
        <v>90.753604423292273</v>
      </c>
    </row>
    <row r="17" spans="1:20" s="34" customFormat="1" x14ac:dyDescent="0.25">
      <c r="A17" s="11" t="s">
        <v>366</v>
      </c>
      <c r="B17" s="12" t="s">
        <v>1452</v>
      </c>
      <c r="C17" s="11">
        <v>40000</v>
      </c>
      <c r="D17" s="47">
        <v>0.1</v>
      </c>
      <c r="E17" s="11">
        <v>5</v>
      </c>
      <c r="F17" s="90">
        <v>214074</v>
      </c>
      <c r="G17" s="90">
        <v>2168</v>
      </c>
      <c r="H17" s="90">
        <v>760</v>
      </c>
      <c r="I17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15.520670549794005</v>
      </c>
      <c r="J17" s="66">
        <v>253404</v>
      </c>
      <c r="K17" s="66">
        <v>663.95</v>
      </c>
      <c r="L17" s="66">
        <v>0</v>
      </c>
      <c r="M17" s="23">
        <v>239031</v>
      </c>
      <c r="N17" s="19">
        <v>13.99</v>
      </c>
      <c r="O17" s="19">
        <v>0</v>
      </c>
      <c r="P17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5.671970450348061</v>
      </c>
      <c r="Q17" s="48">
        <v>239031</v>
      </c>
      <c r="R17" s="22">
        <v>13.25</v>
      </c>
      <c r="S17" s="22">
        <v>0</v>
      </c>
      <c r="T17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5.671970450348061</v>
      </c>
    </row>
    <row r="18" spans="1:20" s="34" customFormat="1" x14ac:dyDescent="0.25">
      <c r="A18" s="11" t="s">
        <v>357</v>
      </c>
      <c r="B18" s="12" t="s">
        <v>1453</v>
      </c>
      <c r="C18" s="11">
        <v>50000</v>
      </c>
      <c r="D18" s="47">
        <v>0.15</v>
      </c>
      <c r="E18" s="11">
        <v>15</v>
      </c>
      <c r="F18" s="90">
        <v>743204</v>
      </c>
      <c r="G18" s="90">
        <v>10997</v>
      </c>
      <c r="H18" s="90">
        <v>3287</v>
      </c>
      <c r="I18" s="90">
        <f>((Tabela1321827[[#This Row],[Objetive value Dissimililarity 16 Large/Exact method]]-Tabela1321827[[#This Row],[Objetive value  Dissimililarity 16 Large/GATeS]])/Tabela1321827[[#This Row],[Objetive value Dissimililarity 16 Large/Exact method]])*100</f>
        <v>6.7093116961692276</v>
      </c>
      <c r="J18" s="66">
        <v>796654</v>
      </c>
      <c r="K18" s="66">
        <v>17309.919999999998</v>
      </c>
      <c r="L18" s="66">
        <v>0</v>
      </c>
      <c r="M18" s="23">
        <v>796044</v>
      </c>
      <c r="N18" s="19">
        <v>39.99</v>
      </c>
      <c r="O18" s="19">
        <v>0</v>
      </c>
      <c r="P18" s="20">
        <f>(((Tabela1321827[[#This Row],[Objetive value Dissimililarity 16 Large/Exact method]]-Tabela1321827[[#This Row],[Objetive Value Dissimililarity 16 Large/H-R1 ]])/Tabela1321827[[#This Row],[Objetive value Dissimililarity 16 Large/Exact method]]))*100</f>
        <v>7.6570255091921974E-2</v>
      </c>
      <c r="Q18" s="48">
        <v>780274</v>
      </c>
      <c r="R18" s="22">
        <v>33.159999999999997</v>
      </c>
      <c r="S18" s="22">
        <v>0</v>
      </c>
      <c r="T18" s="43">
        <f>(((Tabela1321827[[#This Row],[Objetive value Dissimililarity 16 Large/Exact method]]-Tabela1321827[[#This Row],[Objetive value Dissimilarity 16 Large/H-R2]])/Tabela1321827[[#This Row],[Objetive value Dissimililarity 16 Large/Exact method]]))*100</f>
        <v>2.0560996367306261</v>
      </c>
    </row>
    <row r="19" spans="1:20" x14ac:dyDescent="0.25">
      <c r="A19" s="3" t="s">
        <v>358</v>
      </c>
      <c r="B19" s="39"/>
      <c r="C19" s="3"/>
      <c r="D19" s="3"/>
      <c r="E19" s="3"/>
      <c r="F19" s="68">
        <f>SUBTOTAL(101,Tabela1321827[Objetive value  Dissimililarity 16 Large/GATeS])</f>
        <v>577404.375</v>
      </c>
      <c r="G19" s="68">
        <f>SUBTOTAL(101,Tabela1321827[Time/s  Dissimililarity 16 Large/GATeS])</f>
        <v>7684.9375</v>
      </c>
      <c r="H19" s="68">
        <f>SUBTOTAL(101,Tabela1321827[Time/s Best Solution  Dissimililarity 16 Large/GATeS])</f>
        <v>4218.25</v>
      </c>
      <c r="I19" s="68">
        <f>SUBTOTAL(101,Tabela1321827[Δ % (2020)  Dissimililarity  16 Large/GATeS])</f>
        <v>6.8249064529324679</v>
      </c>
      <c r="J19" s="68">
        <f>SUBTOTAL(101,Tabela1321827[Objetive value Dissimililarity 16 Large/Exact method])</f>
        <v>619278</v>
      </c>
      <c r="K19" s="68">
        <f>SUBTOTAL(101,Tabela1321827[Time/s  Dissimililarity 16 Large/Exact method])</f>
        <v>142744.345</v>
      </c>
      <c r="L19" s="68">
        <f>SUBTOTAL(101,Tabela1321827[GAP % Time/s  Dissimililarity 16 Large/Exact method])</f>
        <v>3.1250000000000002E-3</v>
      </c>
      <c r="M19" s="68">
        <f>SUBTOTAL(101,Tabela1321827[Objetive Value Dissimililarity 16 Large/H-R1 ])</f>
        <v>441943.25</v>
      </c>
      <c r="N19" s="68">
        <f>SUBTOTAL(101,Tabela1321827[Time/s Dissimililarity 16 Large/H-R1])</f>
        <v>42.139375000000001</v>
      </c>
      <c r="O19" s="68">
        <f>SUBTOTAL(101,Tabela1321827[GAP %  Dissimililarity 16 Large/H-R1])</f>
        <v>0</v>
      </c>
      <c r="P19" s="68">
        <f>SUBTOTAL(101,Tabela1321827[Δ % (2020) Dissimililarity 16 Large/H-R1])</f>
        <v>13.126801289560277</v>
      </c>
      <c r="Q19" s="68">
        <f>SUBTOTAL(101,Tabela1321827[Objetive value Dissimilarity 16 Large/H-R2])</f>
        <v>420909.3125</v>
      </c>
      <c r="R19" s="68">
        <f>SUBTOTAL(101,Tabela1321827[Time/s Dissimilarity 16 Large/H-R2])</f>
        <v>77.094375000000014</v>
      </c>
      <c r="S19" s="68">
        <f>SUBTOTAL(101,Tabela1321827[GAP% Dissimilarity 16 Large/H-R2])</f>
        <v>0</v>
      </c>
      <c r="T19" s="68">
        <f>SUBTOTAL(101,Tabela1321827[Δ % (2020) Dissimilarity 16 Large/H-R2])</f>
        <v>16.827090813541972</v>
      </c>
    </row>
  </sheetData>
  <mergeCells count="4">
    <mergeCell ref="M1:P1"/>
    <mergeCell ref="Q1:T1"/>
    <mergeCell ref="J1:L1"/>
    <mergeCell ref="F1:I1"/>
  </mergeCells>
  <conditionalFormatting sqref="R4:R16 O4:O18 N4:N16 S4:S18">
    <cfRule type="cellIs" dxfId="45" priority="2" operator="greaterThan">
      <formula>3600</formula>
    </cfRule>
  </conditionalFormatting>
  <conditionalFormatting sqref="N3:O3 R3:S3">
    <cfRule type="cellIs" dxfId="44" priority="1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I1" workbookViewId="0">
      <selection activeCell="U7" sqref="U7"/>
    </sheetView>
  </sheetViews>
  <sheetFormatPr defaultRowHeight="15" x14ac:dyDescent="0.25"/>
  <cols>
    <col min="1" max="1" width="10.7109375" style="88" bestFit="1" customWidth="1"/>
    <col min="2" max="2" width="30.28515625" style="88" bestFit="1" customWidth="1"/>
    <col min="3" max="3" width="9.28515625" customWidth="1"/>
    <col min="4" max="4" width="13.5703125" customWidth="1"/>
    <col min="5" max="5" width="20.85546875" customWidth="1"/>
    <col min="6" max="8" width="15.42578125" style="94" customWidth="1"/>
    <col min="9" max="11" width="15.42578125" style="88" customWidth="1"/>
    <col min="12" max="12" width="15.42578125" style="93" customWidth="1"/>
    <col min="13" max="15" width="15.42578125" style="88" customWidth="1"/>
    <col min="16" max="17" width="15.42578125" customWidth="1"/>
    <col min="18" max="18" width="15.42578125" style="88" customWidth="1"/>
    <col min="19" max="16384" width="9.140625" style="88"/>
  </cols>
  <sheetData>
    <row r="1" spans="1:18" ht="15" customHeight="1" x14ac:dyDescent="0.25">
      <c r="A1" s="194"/>
      <c r="B1" s="194"/>
      <c r="C1" s="2"/>
      <c r="D1" s="2"/>
      <c r="E1" s="2"/>
      <c r="F1" s="248" t="s">
        <v>1559</v>
      </c>
      <c r="G1" s="249"/>
      <c r="H1" s="250"/>
      <c r="I1" s="245" t="s">
        <v>1493</v>
      </c>
      <c r="J1" s="246"/>
      <c r="K1" s="246"/>
      <c r="L1" s="247"/>
      <c r="M1" s="251" t="s">
        <v>1503</v>
      </c>
      <c r="N1" s="252"/>
      <c r="O1" s="253"/>
      <c r="P1" s="241" t="s">
        <v>1504</v>
      </c>
      <c r="Q1" s="242"/>
      <c r="R1" s="243"/>
    </row>
    <row r="2" spans="1:18" s="193" customFormat="1" ht="60" x14ac:dyDescent="0.25">
      <c r="A2" s="195" t="s">
        <v>1085</v>
      </c>
      <c r="B2" s="196" t="s">
        <v>1</v>
      </c>
      <c r="C2" s="4" t="s">
        <v>2</v>
      </c>
      <c r="D2" s="4" t="s">
        <v>3</v>
      </c>
      <c r="E2" s="4" t="s">
        <v>4</v>
      </c>
      <c r="F2" s="9" t="s">
        <v>1630</v>
      </c>
      <c r="G2" s="9" t="s">
        <v>1631</v>
      </c>
      <c r="H2" s="9" t="s">
        <v>1685</v>
      </c>
      <c r="I2" s="199" t="s">
        <v>1626</v>
      </c>
      <c r="J2" s="199" t="s">
        <v>1627</v>
      </c>
      <c r="K2" s="199" t="s">
        <v>1628</v>
      </c>
      <c r="L2" s="199" t="s">
        <v>1629</v>
      </c>
      <c r="M2" s="202" t="s">
        <v>1632</v>
      </c>
      <c r="N2" s="202" t="s">
        <v>1633</v>
      </c>
      <c r="O2" s="202" t="s">
        <v>1634</v>
      </c>
      <c r="P2" s="173" t="s">
        <v>1635</v>
      </c>
      <c r="Q2" s="173" t="s">
        <v>1636</v>
      </c>
      <c r="R2" s="203" t="s">
        <v>1637</v>
      </c>
    </row>
    <row r="3" spans="1:18" x14ac:dyDescent="0.25">
      <c r="A3" s="197" t="s">
        <v>1492</v>
      </c>
      <c r="B3" s="198" t="s">
        <v>1049</v>
      </c>
      <c r="C3" s="11">
        <v>100000</v>
      </c>
      <c r="D3" s="47">
        <v>0.15</v>
      </c>
      <c r="E3" s="11">
        <v>15</v>
      </c>
      <c r="F3" s="190">
        <v>3255529</v>
      </c>
      <c r="G3" s="190">
        <v>10508.56</v>
      </c>
      <c r="H3" s="191">
        <v>0</v>
      </c>
      <c r="I3" s="200">
        <v>3164177</v>
      </c>
      <c r="J3" s="200">
        <v>38366</v>
      </c>
      <c r="K3" s="200">
        <v>13467</v>
      </c>
      <c r="L3" s="201">
        <f>((Tabela3[[#This Row],[Objetive value 18 stratified/Exact method]]-Tabela3[[#This Row],[Objetive value 18 stratified/GATeS]])/Tabela3[[#This Row],[Objetive value 18 stratified/Exact method]])*100</f>
        <v>2.8060570186903573</v>
      </c>
      <c r="M3" s="23">
        <v>3046084.06</v>
      </c>
      <c r="N3" s="19">
        <v>74.62</v>
      </c>
      <c r="O3" s="20">
        <f>((Tabela3[[#This Row],[Objetive value 18 stratified/Exact method]]-Tabela3[[#This Row],[Objetive Value 18 stratified/H-R1]])/Tabela3[[#This Row],[Objetive value 18 stratified/Exact method]])*100</f>
        <v>6.4335147989773684</v>
      </c>
      <c r="P3" s="96">
        <v>926234</v>
      </c>
      <c r="Q3" s="22">
        <v>34.56</v>
      </c>
      <c r="R3" s="43">
        <f>((Tabela3[[#This Row],[Objetive value 18 stratified/Exact method]]-Tabela3[[#This Row],[Objetive value  18 stratified/H-R2]])/Tabela3[[#This Row],[Objetive value 18 stratified/Exact method]])*100</f>
        <v>71.548894204290605</v>
      </c>
    </row>
    <row r="4" spans="1:18" customFormat="1" x14ac:dyDescent="0.25">
      <c r="A4" s="166" t="s">
        <v>384</v>
      </c>
      <c r="B4" s="12" t="s">
        <v>1064</v>
      </c>
      <c r="C4" s="11">
        <v>15000</v>
      </c>
      <c r="D4" s="47">
        <v>0.1</v>
      </c>
      <c r="E4" s="11">
        <v>10</v>
      </c>
      <c r="F4" s="190">
        <v>29214</v>
      </c>
      <c r="G4" s="190">
        <v>265.69</v>
      </c>
      <c r="H4" s="191">
        <v>0.01</v>
      </c>
      <c r="I4" s="170">
        <v>28366</v>
      </c>
      <c r="J4" s="170">
        <v>1128</v>
      </c>
      <c r="K4" s="170">
        <v>38</v>
      </c>
      <c r="L4" s="175">
        <f>((Tabela3[[#This Row],[Objetive value 18 stratified/Exact method]]-Tabela3[[#This Row],[Objetive value 18 stratified/GATeS]])/Tabela3[[#This Row],[Objetive value 18 stratified/Exact method]])*100</f>
        <v>2.9027178749914424</v>
      </c>
      <c r="M4" s="23">
        <v>29212.99</v>
      </c>
      <c r="N4" s="19">
        <v>10.82</v>
      </c>
      <c r="O4" s="20">
        <f>((Tabela3[[#This Row],[Objetive value 18 stratified/Exact method]]-Tabela3[[#This Row],[Objetive Value 18 stratified/H-R1]])/Tabela3[[#This Row],[Objetive value 18 stratified/Exact method]])*100</f>
        <v>3.4572465256329128E-3</v>
      </c>
      <c r="P4" s="80"/>
      <c r="Q4" s="77"/>
      <c r="R4" s="76">
        <f>((Tabela3[[#This Row],[Objetive value 18 stratified/Exact method]]-Tabela3[[#This Row],[Objetive value  18 stratified/H-R2]])/Tabela3[[#This Row],[Objetive value 18 stratified/Exact method]])*100</f>
        <v>100</v>
      </c>
    </row>
    <row r="5" spans="1:18" customFormat="1" x14ac:dyDescent="0.25">
      <c r="A5" s="166" t="s">
        <v>384</v>
      </c>
      <c r="B5" s="12" t="s">
        <v>1065</v>
      </c>
      <c r="C5" s="11">
        <v>15000</v>
      </c>
      <c r="D5" s="47">
        <v>0.1</v>
      </c>
      <c r="E5" s="11">
        <v>10</v>
      </c>
      <c r="F5" s="190">
        <v>84283</v>
      </c>
      <c r="G5" s="190">
        <v>97.5</v>
      </c>
      <c r="H5" s="191">
        <v>0</v>
      </c>
      <c r="I5" s="170">
        <v>80040</v>
      </c>
      <c r="J5" s="170">
        <v>839</v>
      </c>
      <c r="K5" s="170">
        <v>159</v>
      </c>
      <c r="L5" s="175">
        <f>((Tabela3[[#This Row],[Objetive value 18 stratified/Exact method]]-Tabela3[[#This Row],[Objetive value 18 stratified/GATeS]])/Tabela3[[#This Row],[Objetive value 18 stratified/Exact method]])*100</f>
        <v>5.0342299158786474</v>
      </c>
      <c r="M5" s="23">
        <v>54875</v>
      </c>
      <c r="N5" s="19">
        <v>8.99</v>
      </c>
      <c r="O5" s="20">
        <f>((Tabela3[[#This Row],[Objetive value 18 stratified/Exact method]]-Tabela3[[#This Row],[Objetive Value 18 stratified/H-R1]])/Tabela3[[#This Row],[Objetive value 18 stratified/Exact method]])*100</f>
        <v>34.891971097374324</v>
      </c>
      <c r="P5" s="80"/>
      <c r="Q5" s="77"/>
      <c r="R5" s="76">
        <f>((Tabela3[[#This Row],[Objetive value 18 stratified/Exact method]]-Tabela3[[#This Row],[Objetive value  18 stratified/H-R2]])/Tabela3[[#This Row],[Objetive value 18 stratified/Exact method]])*100</f>
        <v>100</v>
      </c>
    </row>
    <row r="6" spans="1:18" customFormat="1" x14ac:dyDescent="0.25">
      <c r="A6" s="166" t="s">
        <v>384</v>
      </c>
      <c r="B6" s="12" t="s">
        <v>1066</v>
      </c>
      <c r="C6" s="11">
        <v>15000</v>
      </c>
      <c r="D6" s="47">
        <v>0.1</v>
      </c>
      <c r="E6" s="11">
        <v>10</v>
      </c>
      <c r="F6" s="190">
        <v>47441</v>
      </c>
      <c r="G6" s="190">
        <v>192.84</v>
      </c>
      <c r="H6" s="191">
        <v>0.01</v>
      </c>
      <c r="I6" s="170">
        <v>47441</v>
      </c>
      <c r="J6" s="170">
        <v>826</v>
      </c>
      <c r="K6" s="170">
        <v>157</v>
      </c>
      <c r="L6" s="175">
        <f>((Tabela3[[#This Row],[Objetive value 18 stratified/Exact method]]-Tabela3[[#This Row],[Objetive value 18 stratified/GATeS]])/Tabela3[[#This Row],[Objetive value 18 stratified/Exact method]])*100</f>
        <v>0</v>
      </c>
      <c r="M6" s="23">
        <v>34474</v>
      </c>
      <c r="N6" s="19">
        <v>8.9600000000000009</v>
      </c>
      <c r="O6" s="20">
        <f>((Tabela3[[#This Row],[Objetive value 18 stratified/Exact method]]-Tabela3[[#This Row],[Objetive Value 18 stratified/H-R1]])/Tabela3[[#This Row],[Objetive value 18 stratified/Exact method]])*100</f>
        <v>27.33289770451719</v>
      </c>
      <c r="P6" s="80"/>
      <c r="Q6" s="77"/>
      <c r="R6" s="76">
        <f>((Tabela3[[#This Row],[Objetive value 18 stratified/Exact method]]-Tabela3[[#This Row],[Objetive value  18 stratified/H-R2]])/Tabela3[[#This Row],[Objetive value 18 stratified/Exact method]])*100</f>
        <v>100</v>
      </c>
    </row>
    <row r="7" spans="1:18" customFormat="1" x14ac:dyDescent="0.25">
      <c r="A7" s="166" t="s">
        <v>384</v>
      </c>
      <c r="B7" s="12" t="s">
        <v>1062</v>
      </c>
      <c r="C7" s="11">
        <v>15000</v>
      </c>
      <c r="D7" s="47">
        <v>0.1</v>
      </c>
      <c r="E7" s="11">
        <v>10</v>
      </c>
      <c r="F7" s="190">
        <v>53601</v>
      </c>
      <c r="G7" s="190">
        <v>67.22</v>
      </c>
      <c r="H7" s="191">
        <v>0.01</v>
      </c>
      <c r="I7" s="170">
        <v>53592</v>
      </c>
      <c r="J7" s="170">
        <v>1521</v>
      </c>
      <c r="K7" s="170">
        <v>239</v>
      </c>
      <c r="L7" s="175">
        <f>((Tabela3[[#This Row],[Objetive value 18 stratified/Exact method]]-Tabela3[[#This Row],[Objetive value 18 stratified/GATeS]])/Tabela3[[#This Row],[Objetive value 18 stratified/Exact method]])*100</f>
        <v>1.6790731516203056E-2</v>
      </c>
      <c r="M7" s="23">
        <v>53025</v>
      </c>
      <c r="N7" s="19">
        <v>15.93</v>
      </c>
      <c r="O7" s="20">
        <f>((Tabela3[[#This Row],[Objetive value 18 stratified/Exact method]]-Tabela3[[#This Row],[Objetive Value 18 stratified/H-R1]])/Tabela3[[#This Row],[Objetive value 18 stratified/Exact method]])*100</f>
        <v>1.0746068170369956</v>
      </c>
      <c r="P7" s="80"/>
      <c r="Q7" s="77"/>
      <c r="R7" s="76">
        <f>((Tabela3[[#This Row],[Objetive value 18 stratified/Exact method]]-Tabela3[[#This Row],[Objetive value  18 stratified/H-R2]])/Tabela3[[#This Row],[Objetive value 18 stratified/Exact method]])*100</f>
        <v>100</v>
      </c>
    </row>
    <row r="8" spans="1:18" customFormat="1" x14ac:dyDescent="0.25">
      <c r="A8" s="166" t="s">
        <v>384</v>
      </c>
      <c r="B8" s="12" t="s">
        <v>1063</v>
      </c>
      <c r="C8" s="11">
        <v>15000</v>
      </c>
      <c r="D8" s="47">
        <v>0.1</v>
      </c>
      <c r="E8" s="11">
        <v>10</v>
      </c>
      <c r="F8" s="190">
        <v>73440</v>
      </c>
      <c r="G8" s="190">
        <v>97.39</v>
      </c>
      <c r="H8" s="191">
        <v>0</v>
      </c>
      <c r="I8" s="170">
        <v>73437</v>
      </c>
      <c r="J8" s="170">
        <v>1162</v>
      </c>
      <c r="K8" s="170">
        <v>323</v>
      </c>
      <c r="L8" s="175">
        <f>((Tabela3[[#This Row],[Objetive value 18 stratified/Exact method]]-Tabela3[[#This Row],[Objetive value 18 stratified/GATeS]])/Tabela3[[#This Row],[Objetive value 18 stratified/Exact method]])*100</f>
        <v>4.0849673202614373E-3</v>
      </c>
      <c r="M8" s="23">
        <v>54426</v>
      </c>
      <c r="N8" s="19">
        <v>11.52</v>
      </c>
      <c r="O8" s="20">
        <f>((Tabela3[[#This Row],[Objetive value 18 stratified/Exact method]]-Tabela3[[#This Row],[Objetive Value 18 stratified/H-R1]])/Tabela3[[#This Row],[Objetive value 18 stratified/Exact method]])*100</f>
        <v>25.890522875816995</v>
      </c>
      <c r="P8" s="80"/>
      <c r="Q8" s="77"/>
      <c r="R8" s="76">
        <f>((Tabela3[[#This Row],[Objetive value 18 stratified/Exact method]]-Tabela3[[#This Row],[Objetive value  18 stratified/H-R2]])/Tabela3[[#This Row],[Objetive value 18 stratified/Exact method]])*100</f>
        <v>100</v>
      </c>
    </row>
    <row r="9" spans="1:18" x14ac:dyDescent="0.25">
      <c r="A9" s="197" t="s">
        <v>384</v>
      </c>
      <c r="B9" s="198" t="s">
        <v>1051</v>
      </c>
      <c r="C9" s="11">
        <v>15000</v>
      </c>
      <c r="D9" s="47">
        <v>0.1</v>
      </c>
      <c r="E9" s="11">
        <v>10</v>
      </c>
      <c r="F9" s="190">
        <v>76789</v>
      </c>
      <c r="G9" s="190">
        <v>7063.39</v>
      </c>
      <c r="H9" s="191">
        <v>0.01</v>
      </c>
      <c r="I9" s="200">
        <v>66110</v>
      </c>
      <c r="J9" s="200">
        <v>1662</v>
      </c>
      <c r="K9" s="200">
        <v>303</v>
      </c>
      <c r="L9" s="201">
        <f>((Tabela3[[#This Row],[Objetive value 18 stratified/Exact method]]-Tabela3[[#This Row],[Objetive value 18 stratified/GATeS]])/Tabela3[[#This Row],[Objetive value 18 stratified/Exact method]])*100</f>
        <v>13.90693979606454</v>
      </c>
      <c r="M9" s="23">
        <v>76789</v>
      </c>
      <c r="N9" s="19">
        <v>21.87</v>
      </c>
      <c r="O9" s="20">
        <f>((Tabela3[[#This Row],[Objetive value 18 stratified/Exact method]]-Tabela3[[#This Row],[Objetive Value 18 stratified/H-R1]])/Tabela3[[#This Row],[Objetive value 18 stratified/Exact method]])*100</f>
        <v>0</v>
      </c>
      <c r="P9" s="96">
        <v>33482</v>
      </c>
      <c r="Q9" s="22">
        <v>6.87</v>
      </c>
      <c r="R9" s="43">
        <f>((Tabela3[[#This Row],[Objetive value 18 stratified/Exact method]]-Tabela3[[#This Row],[Objetive value  18 stratified/H-R2]])/Tabela3[[#This Row],[Objetive value 18 stratified/Exact method]])*100</f>
        <v>56.397400669366704</v>
      </c>
    </row>
    <row r="10" spans="1:18" customFormat="1" x14ac:dyDescent="0.25">
      <c r="A10" s="166" t="s">
        <v>384</v>
      </c>
      <c r="B10" s="12" t="s">
        <v>1052</v>
      </c>
      <c r="C10" s="11">
        <v>15000</v>
      </c>
      <c r="D10" s="47">
        <v>0.1</v>
      </c>
      <c r="E10" s="11">
        <v>10</v>
      </c>
      <c r="F10" s="190">
        <v>42210</v>
      </c>
      <c r="G10" s="190">
        <v>162.25</v>
      </c>
      <c r="H10" s="191">
        <v>0</v>
      </c>
      <c r="I10" s="170">
        <v>40844</v>
      </c>
      <c r="J10" s="170">
        <v>1554</v>
      </c>
      <c r="K10" s="170">
        <v>241</v>
      </c>
      <c r="L10" s="175">
        <f>((Tabela3[[#This Row],[Objetive value 18 stratified/Exact method]]-Tabela3[[#This Row],[Objetive value 18 stratified/GATeS]])/Tabela3[[#This Row],[Objetive value 18 stratified/Exact method]])*100</f>
        <v>3.2361999526178629</v>
      </c>
      <c r="M10" s="23">
        <v>34684</v>
      </c>
      <c r="N10" s="19">
        <v>7.86</v>
      </c>
      <c r="O10" s="20">
        <f>((Tabela3[[#This Row],[Objetive value 18 stratified/Exact method]]-Tabela3[[#This Row],[Objetive Value 18 stratified/H-R1]])/Tabela3[[#This Row],[Objetive value 18 stratified/Exact method]])*100</f>
        <v>17.829898128405592</v>
      </c>
      <c r="P10" s="80"/>
      <c r="Q10" s="77"/>
      <c r="R10" s="76">
        <f>((Tabela3[[#This Row],[Objetive value 18 stratified/Exact method]]-Tabela3[[#This Row],[Objetive value  18 stratified/H-R2]])/Tabela3[[#This Row],[Objetive value 18 stratified/Exact method]])*100</f>
        <v>100</v>
      </c>
    </row>
    <row r="11" spans="1:18" x14ac:dyDescent="0.25">
      <c r="A11" s="197" t="s">
        <v>384</v>
      </c>
      <c r="B11" s="198" t="s">
        <v>1053</v>
      </c>
      <c r="C11" s="11">
        <v>15000</v>
      </c>
      <c r="D11" s="47">
        <v>0.1</v>
      </c>
      <c r="E11" s="11">
        <v>10</v>
      </c>
      <c r="F11" s="190">
        <v>61412</v>
      </c>
      <c r="G11" s="190">
        <v>221.89</v>
      </c>
      <c r="H11" s="191">
        <v>0</v>
      </c>
      <c r="I11" s="200">
        <v>59969</v>
      </c>
      <c r="J11" s="200">
        <v>1487</v>
      </c>
      <c r="K11" s="200">
        <v>116</v>
      </c>
      <c r="L11" s="201">
        <f>((Tabela3[[#This Row],[Objetive value 18 stratified/Exact method]]-Tabela3[[#This Row],[Objetive value 18 stratified/GATeS]])/Tabela3[[#This Row],[Objetive value 18 stratified/Exact method]])*100</f>
        <v>2.3497036409822187</v>
      </c>
      <c r="M11" s="23">
        <v>61412</v>
      </c>
      <c r="N11" s="19">
        <v>10.17</v>
      </c>
      <c r="O11" s="20">
        <f>((Tabela3[[#This Row],[Objetive value 18 stratified/Exact method]]-Tabela3[[#This Row],[Objetive Value 18 stratified/H-R1]])/Tabela3[[#This Row],[Objetive value 18 stratified/Exact method]])*100</f>
        <v>0</v>
      </c>
      <c r="P11" s="96">
        <v>25056</v>
      </c>
      <c r="Q11" s="22">
        <v>8.3000000000000007</v>
      </c>
      <c r="R11" s="43">
        <f>((Tabela3[[#This Row],[Objetive value 18 stratified/Exact method]]-Tabela3[[#This Row],[Objetive value  18 stratified/H-R2]])/Tabela3[[#This Row],[Objetive value 18 stratified/Exact method]])*100</f>
        <v>59.200156321240151</v>
      </c>
    </row>
    <row r="12" spans="1:18" x14ac:dyDescent="0.25">
      <c r="A12" s="197" t="s">
        <v>384</v>
      </c>
      <c r="B12" s="198" t="s">
        <v>1054</v>
      </c>
      <c r="C12" s="11">
        <v>15000</v>
      </c>
      <c r="D12" s="47">
        <v>0.1</v>
      </c>
      <c r="E12" s="11">
        <v>10</v>
      </c>
      <c r="F12" s="190">
        <v>91334</v>
      </c>
      <c r="G12" s="190">
        <v>320.2</v>
      </c>
      <c r="H12" s="191">
        <v>0</v>
      </c>
      <c r="I12" s="200">
        <v>86825</v>
      </c>
      <c r="J12" s="200">
        <v>1388</v>
      </c>
      <c r="K12" s="200">
        <v>240</v>
      </c>
      <c r="L12" s="201">
        <f>((Tabela3[[#This Row],[Objetive value 18 stratified/Exact method]]-Tabela3[[#This Row],[Objetive value 18 stratified/GATeS]])/Tabela3[[#This Row],[Objetive value 18 stratified/Exact method]])*100</f>
        <v>4.9368252786476008</v>
      </c>
      <c r="M12" s="23">
        <v>42737</v>
      </c>
      <c r="N12" s="19">
        <v>17.73</v>
      </c>
      <c r="O12" s="20">
        <f>((Tabela3[[#This Row],[Objetive value 18 stratified/Exact method]]-Tabela3[[#This Row],[Objetive Value 18 stratified/H-R1]])/Tabela3[[#This Row],[Objetive value 18 stratified/Exact method]])*100</f>
        <v>53.208005780979704</v>
      </c>
      <c r="P12" s="96">
        <v>42946</v>
      </c>
      <c r="Q12" s="22">
        <v>5.3</v>
      </c>
      <c r="R12" s="43">
        <f>((Tabela3[[#This Row],[Objetive value 18 stratified/Exact method]]-Tabela3[[#This Row],[Objetive value  18 stratified/H-R2]])/Tabela3[[#This Row],[Objetive value 18 stratified/Exact method]])*100</f>
        <v>52.979175334486605</v>
      </c>
    </row>
    <row r="13" spans="1:18" customFormat="1" x14ac:dyDescent="0.25">
      <c r="A13" s="166" t="s">
        <v>384</v>
      </c>
      <c r="B13" s="12" t="s">
        <v>1055</v>
      </c>
      <c r="C13" s="11">
        <v>15000</v>
      </c>
      <c r="D13" s="47">
        <v>0.1</v>
      </c>
      <c r="E13" s="11">
        <v>10</v>
      </c>
      <c r="F13" s="190">
        <v>101694</v>
      </c>
      <c r="G13" s="190">
        <v>123.22</v>
      </c>
      <c r="H13" s="191">
        <v>0</v>
      </c>
      <c r="I13" s="170">
        <v>96041</v>
      </c>
      <c r="J13" s="170">
        <v>1914</v>
      </c>
      <c r="K13" s="170">
        <v>443</v>
      </c>
      <c r="L13" s="175">
        <f>((Tabela3[[#This Row],[Objetive value 18 stratified/Exact method]]-Tabela3[[#This Row],[Objetive value 18 stratified/GATeS]])/Tabela3[[#This Row],[Objetive value 18 stratified/Exact method]])*100</f>
        <v>5.5588333628335995</v>
      </c>
      <c r="M13" s="23">
        <v>90186</v>
      </c>
      <c r="N13" s="19">
        <v>15.54</v>
      </c>
      <c r="O13" s="20">
        <f>((Tabela3[[#This Row],[Objetive value 18 stratified/Exact method]]-Tabela3[[#This Row],[Objetive Value 18 stratified/H-R1]])/Tabela3[[#This Row],[Objetive value 18 stratified/Exact method]])*100</f>
        <v>11.31630184671662</v>
      </c>
      <c r="P13" s="80"/>
      <c r="Q13" s="77"/>
      <c r="R13" s="76">
        <f>((Tabela3[[#This Row],[Objetive value 18 stratified/Exact method]]-Tabela3[[#This Row],[Objetive value  18 stratified/H-R2]])/Tabela3[[#This Row],[Objetive value 18 stratified/Exact method]])*100</f>
        <v>100</v>
      </c>
    </row>
    <row r="14" spans="1:18" x14ac:dyDescent="0.25">
      <c r="A14" s="197" t="s">
        <v>384</v>
      </c>
      <c r="B14" s="198" t="s">
        <v>1056</v>
      </c>
      <c r="C14" s="11">
        <v>15000</v>
      </c>
      <c r="D14" s="47">
        <v>0.1</v>
      </c>
      <c r="E14" s="11">
        <v>10</v>
      </c>
      <c r="F14" s="190">
        <v>74077</v>
      </c>
      <c r="G14" s="190">
        <v>87.97</v>
      </c>
      <c r="H14" s="191">
        <v>0</v>
      </c>
      <c r="I14" s="200">
        <v>69285</v>
      </c>
      <c r="J14" s="200">
        <v>1833</v>
      </c>
      <c r="K14" s="200">
        <v>395</v>
      </c>
      <c r="L14" s="201">
        <f>((Tabela3[[#This Row],[Objetive value 18 stratified/Exact method]]-Tabela3[[#This Row],[Objetive value 18 stratified/GATeS]])/Tabela3[[#This Row],[Objetive value 18 stratified/Exact method]])*100</f>
        <v>6.4689444766931707</v>
      </c>
      <c r="M14" s="23">
        <v>46795</v>
      </c>
      <c r="N14" s="19">
        <v>12.86</v>
      </c>
      <c r="O14" s="20">
        <f>((Tabela3[[#This Row],[Objetive value 18 stratified/Exact method]]-Tabela3[[#This Row],[Objetive Value 18 stratified/H-R1]])/Tabela3[[#This Row],[Objetive value 18 stratified/Exact method]])*100</f>
        <v>36.829245244812832</v>
      </c>
      <c r="P14" s="96">
        <v>62424</v>
      </c>
      <c r="Q14" s="22">
        <v>5.68</v>
      </c>
      <c r="R14" s="43">
        <f>((Tabela3[[#This Row],[Objetive value 18 stratified/Exact method]]-Tabela3[[#This Row],[Objetive value  18 stratified/H-R2]])/Tabela3[[#This Row],[Objetive value 18 stratified/Exact method]])*100</f>
        <v>15.730928628319182</v>
      </c>
    </row>
    <row r="15" spans="1:18" x14ac:dyDescent="0.25">
      <c r="A15" s="197" t="s">
        <v>384</v>
      </c>
      <c r="B15" s="198" t="s">
        <v>1057</v>
      </c>
      <c r="C15" s="11">
        <v>15000</v>
      </c>
      <c r="D15" s="47">
        <v>0.1</v>
      </c>
      <c r="E15" s="11">
        <v>10</v>
      </c>
      <c r="F15" s="190">
        <v>18575</v>
      </c>
      <c r="G15" s="190">
        <v>34.840000000000003</v>
      </c>
      <c r="H15" s="191">
        <v>0</v>
      </c>
      <c r="I15" s="200">
        <v>18575</v>
      </c>
      <c r="J15" s="200">
        <v>854</v>
      </c>
      <c r="K15" s="200">
        <v>150</v>
      </c>
      <c r="L15" s="201">
        <f>((Tabela3[[#This Row],[Objetive value 18 stratified/Exact method]]-Tabela3[[#This Row],[Objetive value 18 stratified/GATeS]])/Tabela3[[#This Row],[Objetive value 18 stratified/Exact method]])*100</f>
        <v>0</v>
      </c>
      <c r="M15" s="23">
        <v>17964</v>
      </c>
      <c r="N15" s="19">
        <v>10.49</v>
      </c>
      <c r="O15" s="20">
        <f>((Tabela3[[#This Row],[Objetive value 18 stratified/Exact method]]-Tabela3[[#This Row],[Objetive Value 18 stratified/H-R1]])/Tabela3[[#This Row],[Objetive value 18 stratified/Exact method]])*100</f>
        <v>3.289367429340512</v>
      </c>
      <c r="P15" s="96">
        <v>14892</v>
      </c>
      <c r="Q15" s="22">
        <v>6.77</v>
      </c>
      <c r="R15" s="43">
        <f>((Tabela3[[#This Row],[Objetive value 18 stratified/Exact method]]-Tabela3[[#This Row],[Objetive value  18 stratified/H-R2]])/Tabela3[[#This Row],[Objetive value 18 stratified/Exact method]])*100</f>
        <v>19.827725437415882</v>
      </c>
    </row>
    <row r="16" spans="1:18" x14ac:dyDescent="0.25">
      <c r="A16" s="197" t="s">
        <v>384</v>
      </c>
      <c r="B16" s="198" t="s">
        <v>1058</v>
      </c>
      <c r="C16" s="11">
        <v>15000</v>
      </c>
      <c r="D16" s="47">
        <v>0.1</v>
      </c>
      <c r="E16" s="11">
        <v>10</v>
      </c>
      <c r="F16" s="190">
        <v>6620</v>
      </c>
      <c r="G16" s="190">
        <v>98.16</v>
      </c>
      <c r="H16" s="191">
        <v>0</v>
      </c>
      <c r="I16" s="200">
        <v>6620</v>
      </c>
      <c r="J16" s="200">
        <v>879</v>
      </c>
      <c r="K16" s="200">
        <v>26</v>
      </c>
      <c r="L16" s="201">
        <f>((Tabela3[[#This Row],[Objetive value 18 stratified/Exact method]]-Tabela3[[#This Row],[Objetive value 18 stratified/GATeS]])/Tabela3[[#This Row],[Objetive value 18 stratified/Exact method]])*100</f>
        <v>0</v>
      </c>
      <c r="M16" s="79"/>
      <c r="N16" s="77"/>
      <c r="O16" s="78">
        <v>100</v>
      </c>
      <c r="P16" s="96">
        <v>6620</v>
      </c>
      <c r="Q16" s="22">
        <v>4.7300000000000004</v>
      </c>
      <c r="R16" s="43">
        <f>((Tabela3[[#This Row],[Objetive value 18 stratified/Exact method]]-Tabela3[[#This Row],[Objetive value  18 stratified/H-R2]])/Tabela3[[#This Row],[Objetive value 18 stratified/Exact method]])*100</f>
        <v>0</v>
      </c>
    </row>
    <row r="17" spans="1:18" customFormat="1" x14ac:dyDescent="0.25">
      <c r="A17" s="166" t="s">
        <v>384</v>
      </c>
      <c r="B17" s="12" t="s">
        <v>1059</v>
      </c>
      <c r="C17" s="11">
        <v>15000</v>
      </c>
      <c r="D17" s="47">
        <v>0.1</v>
      </c>
      <c r="E17" s="11">
        <v>10</v>
      </c>
      <c r="F17" s="190">
        <v>62535</v>
      </c>
      <c r="G17" s="190">
        <v>182.22</v>
      </c>
      <c r="H17" s="191">
        <v>0</v>
      </c>
      <c r="I17" s="170">
        <v>58783</v>
      </c>
      <c r="J17" s="170">
        <v>1031</v>
      </c>
      <c r="K17" s="170">
        <v>258</v>
      </c>
      <c r="L17" s="175">
        <f>((Tabela3[[#This Row],[Objetive value 18 stratified/Exact method]]-Tabela3[[#This Row],[Objetive value 18 stratified/GATeS]])/Tabela3[[#This Row],[Objetive value 18 stratified/Exact method]])*100</f>
        <v>5.9998400895498527</v>
      </c>
      <c r="M17" s="23">
        <v>42464</v>
      </c>
      <c r="N17" s="19">
        <v>11.13</v>
      </c>
      <c r="O17" s="20">
        <f>((Tabela3[[#This Row],[Objetive value 18 stratified/Exact method]]-Tabela3[[#This Row],[Objetive Value 18 stratified/H-R1]])/Tabela3[[#This Row],[Objetive value 18 stratified/Exact method]])*100</f>
        <v>32.095626449188451</v>
      </c>
      <c r="P17" s="80"/>
      <c r="Q17" s="77"/>
      <c r="R17" s="76">
        <f>((Tabela3[[#This Row],[Objetive value 18 stratified/Exact method]]-Tabela3[[#This Row],[Objetive value  18 stratified/H-R2]])/Tabela3[[#This Row],[Objetive value 18 stratified/Exact method]])*100</f>
        <v>100</v>
      </c>
    </row>
    <row r="18" spans="1:18" customFormat="1" x14ac:dyDescent="0.25">
      <c r="A18" s="166" t="s">
        <v>384</v>
      </c>
      <c r="B18" s="12" t="s">
        <v>1060</v>
      </c>
      <c r="C18" s="11">
        <v>15000</v>
      </c>
      <c r="D18" s="47">
        <v>0.1</v>
      </c>
      <c r="E18" s="11">
        <v>10</v>
      </c>
      <c r="F18" s="190">
        <v>69676</v>
      </c>
      <c r="G18" s="190">
        <v>660.23</v>
      </c>
      <c r="H18" s="191">
        <v>0.01</v>
      </c>
      <c r="I18" s="170">
        <v>44382</v>
      </c>
      <c r="J18" s="170">
        <v>1874</v>
      </c>
      <c r="K18" s="170">
        <v>89</v>
      </c>
      <c r="L18" s="175">
        <f>((Tabela3[[#This Row],[Objetive value 18 stratified/Exact method]]-Tabela3[[#This Row],[Objetive value 18 stratified/GATeS]])/Tabela3[[#This Row],[Objetive value 18 stratified/Exact method]])*100</f>
        <v>36.302313565646713</v>
      </c>
      <c r="M18" s="23">
        <v>60539</v>
      </c>
      <c r="N18" s="19">
        <v>6.31</v>
      </c>
      <c r="O18" s="20">
        <f>((Tabela3[[#This Row],[Objetive value 18 stratified/Exact method]]-Tabela3[[#This Row],[Objetive Value 18 stratified/H-R1]])/Tabela3[[#This Row],[Objetive value 18 stratified/Exact method]])*100</f>
        <v>13.11355416499225</v>
      </c>
      <c r="P18" s="80"/>
      <c r="Q18" s="77"/>
      <c r="R18" s="76">
        <f>((Tabela3[[#This Row],[Objetive value 18 stratified/Exact method]]-Tabela3[[#This Row],[Objetive value  18 stratified/H-R2]])/Tabela3[[#This Row],[Objetive value 18 stratified/Exact method]])*100</f>
        <v>100</v>
      </c>
    </row>
    <row r="19" spans="1:18" x14ac:dyDescent="0.25">
      <c r="A19" s="197" t="s">
        <v>384</v>
      </c>
      <c r="B19" s="198" t="s">
        <v>1061</v>
      </c>
      <c r="C19" s="11">
        <v>15000</v>
      </c>
      <c r="D19" s="47">
        <v>0.1</v>
      </c>
      <c r="E19" s="11">
        <v>10</v>
      </c>
      <c r="F19" s="190">
        <v>48842</v>
      </c>
      <c r="G19" s="190">
        <v>323.72000000000003</v>
      </c>
      <c r="H19" s="191">
        <v>0</v>
      </c>
      <c r="I19" s="200">
        <v>47226</v>
      </c>
      <c r="J19" s="200">
        <v>1785</v>
      </c>
      <c r="K19" s="200">
        <v>361</v>
      </c>
      <c r="L19" s="201">
        <f>((Tabela3[[#This Row],[Objetive value 18 stratified/Exact method]]-Tabela3[[#This Row],[Objetive value 18 stratified/GATeS]])/Tabela3[[#This Row],[Objetive value 18 stratified/Exact method]])*100</f>
        <v>3.3086278203185784</v>
      </c>
      <c r="M19" s="53">
        <v>41832</v>
      </c>
      <c r="N19" s="42">
        <v>8.81</v>
      </c>
      <c r="O19" s="20">
        <f>((Tabela3[[#This Row],[Objetive value 18 stratified/Exact method]]-Tabela3[[#This Row],[Objetive Value 18 stratified/H-R1]])/Tabela3[[#This Row],[Objetive value 18 stratified/Exact method]])*100</f>
        <v>14.352401621555218</v>
      </c>
      <c r="P19" s="96">
        <v>25273</v>
      </c>
      <c r="Q19" s="22">
        <v>4.84</v>
      </c>
      <c r="R19" s="43">
        <f>((Tabela3[[#This Row],[Objetive value 18 stratified/Exact method]]-Tabela3[[#This Row],[Objetive value  18 stratified/H-R2]])/Tabela3[[#This Row],[Objetive value 18 stratified/Exact method]])*100</f>
        <v>48.255599688792437</v>
      </c>
    </row>
    <row r="20" spans="1:18" x14ac:dyDescent="0.25">
      <c r="A20" s="204" t="s">
        <v>385</v>
      </c>
      <c r="B20" s="205" t="s">
        <v>1050</v>
      </c>
      <c r="C20" s="11">
        <v>5000</v>
      </c>
      <c r="D20" s="47">
        <v>0.15</v>
      </c>
      <c r="E20" s="11">
        <v>40</v>
      </c>
      <c r="F20" s="192">
        <v>183906</v>
      </c>
      <c r="G20" s="190">
        <v>1611.7</v>
      </c>
      <c r="H20" s="191">
        <v>0.01</v>
      </c>
      <c r="I20" s="201">
        <v>177968</v>
      </c>
      <c r="J20" s="201">
        <v>835</v>
      </c>
      <c r="K20" s="201">
        <v>157</v>
      </c>
      <c r="L20" s="201">
        <f>((Tabela3[[#This Row],[Objetive value 18 stratified/Exact method]]-Tabela3[[#This Row],[Objetive value 18 stratified/GATeS]])/Tabela3[[#This Row],[Objetive value 18 stratified/Exact method]])*100</f>
        <v>3.2288234206605551</v>
      </c>
      <c r="M20" s="54">
        <v>169137</v>
      </c>
      <c r="N20" s="65">
        <v>3.7</v>
      </c>
      <c r="O20" s="20">
        <f>((Tabela3[[#This Row],[Objetive value 18 stratified/Exact method]]-Tabela3[[#This Row],[Objetive Value 18 stratified/H-R1]])/Tabela3[[#This Row],[Objetive value 18 stratified/Exact method]])*100</f>
        <v>8.0307330919056472</v>
      </c>
      <c r="P20" s="92">
        <v>75684.990000000005</v>
      </c>
      <c r="Q20" s="60">
        <v>1.38</v>
      </c>
      <c r="R20" s="43">
        <f>((Tabela3[[#This Row],[Objetive value 18 stratified/Exact method]]-Tabela3[[#This Row],[Objetive value  18 stratified/H-R2]])/Tabela3[[#This Row],[Objetive value 18 stratified/Exact method]])*100</f>
        <v>58.845828847345928</v>
      </c>
    </row>
    <row r="21" spans="1:18" s="188" customFormat="1" x14ac:dyDescent="0.25">
      <c r="A21" s="206" t="s">
        <v>1090</v>
      </c>
      <c r="B21" s="207"/>
      <c r="C21" s="186"/>
      <c r="D21" s="186"/>
      <c r="E21" s="186"/>
      <c r="F21" s="187">
        <f>SUBTOTAL(101,Tabela3[Objetive value 18 stratified/Exact method])</f>
        <v>243398.77777777778</v>
      </c>
      <c r="G21" s="187">
        <f>SUBTOTAL(101,Tabela3[Time/s 18 stratified/Exact method])</f>
        <v>1228.8327777777781</v>
      </c>
      <c r="H21" s="187">
        <f>SUBTOTAL(101,Tabela3[GAP % Time/s  18 stratified/Exact method])</f>
        <v>3.3333333333333335E-3</v>
      </c>
      <c r="I21" s="188">
        <f>SUBTOTAL(101,Tabela3[Objetive value 18 stratified/GATeS])</f>
        <v>234426.72222222222</v>
      </c>
      <c r="J21" s="188">
        <f>SUBTOTAL(101,Tabela3[Time/s 18 stratified/GATeS])</f>
        <v>3385.4444444444443</v>
      </c>
      <c r="K21" s="188">
        <f>SUBTOTAL(101,Tabela3[Time/s Best Solution 18 stratified/GATeS])</f>
        <v>953.44444444444446</v>
      </c>
      <c r="L21" s="188">
        <f>SUBTOTAL(101,Tabela3[Δ % (2020) 18 stratified/GATeS])</f>
        <v>5.3367184395784228</v>
      </c>
      <c r="M21" s="188">
        <f>SUBTOTAL(101,Tabela3[Objetive Value 18 stratified/H-R1])</f>
        <v>232743.29705882355</v>
      </c>
      <c r="N21" s="188">
        <f>SUBTOTAL(101,Tabela3[Time/s  18 stratified/H-R1])</f>
        <v>15.135882352941177</v>
      </c>
      <c r="O21" s="188">
        <f>SUBTOTAL(101,Tabela3[Δ % (2020) 18 stratified/H-R1])</f>
        <v>21.427339127674735</v>
      </c>
      <c r="P21" s="187">
        <f>SUBTOTAL(101,Tabela3[Objetive value  18 stratified/H-R2])</f>
        <v>134734.66555555555</v>
      </c>
      <c r="Q21" s="187">
        <f>SUBTOTAL(101,Tabela3[Time/s  18 stratified/H-R1                ])</f>
        <v>8.714444444444446</v>
      </c>
      <c r="R21" s="188">
        <f>SUBTOTAL(101,Tabela3[Δ % (2020) 18 stratified/H-R2])</f>
        <v>71.265872729514314</v>
      </c>
    </row>
  </sheetData>
  <mergeCells count="4">
    <mergeCell ref="P1:R1"/>
    <mergeCell ref="I1:L1"/>
    <mergeCell ref="F1:H1"/>
    <mergeCell ref="M1:O1"/>
  </mergeCells>
  <conditionalFormatting sqref="N4:N16">
    <cfRule type="cellIs" dxfId="43" priority="7" operator="greaterThan">
      <formula>3600</formula>
    </cfRule>
  </conditionalFormatting>
  <conditionalFormatting sqref="N3">
    <cfRule type="cellIs" dxfId="42" priority="6" operator="greaterThan">
      <formula>3600</formula>
    </cfRule>
  </conditionalFormatting>
  <conditionalFormatting sqref="Q4:Q16">
    <cfRule type="cellIs" dxfId="41" priority="5" operator="greaterThan">
      <formula>3600</formula>
    </cfRule>
  </conditionalFormatting>
  <conditionalFormatting sqref="Q3">
    <cfRule type="cellIs" dxfId="40" priority="4" operator="greaterThan">
      <formula>3600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Group1OriginalProblem</vt:lpstr>
      <vt:lpstr>Group1EuclidianDistance</vt:lpstr>
      <vt:lpstr>Group1Similarity</vt:lpstr>
      <vt:lpstr>Group1Dissimilarity</vt:lpstr>
      <vt:lpstr>Group2OriginalProblem</vt:lpstr>
      <vt:lpstr>Group2EuclidianDistance</vt:lpstr>
      <vt:lpstr>Group2Similarity</vt:lpstr>
      <vt:lpstr>Group2Dissimilarity</vt:lpstr>
      <vt:lpstr>Group3OriginalProblem</vt:lpstr>
      <vt:lpstr>Group3EuclidianDistance</vt:lpstr>
      <vt:lpstr>18StratifiedSimilarity</vt:lpstr>
      <vt:lpstr>Group3Dissimilarity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 da Rosa</dc:creator>
  <cp:lastModifiedBy>Vanessa Andreia Schneider.</cp:lastModifiedBy>
  <dcterms:created xsi:type="dcterms:W3CDTF">2019-10-28T09:48:59Z</dcterms:created>
  <dcterms:modified xsi:type="dcterms:W3CDTF">2021-11-19T18:32:54Z</dcterms:modified>
</cp:coreProperties>
</file>