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repl\Desktop\"/>
    </mc:Choice>
  </mc:AlternateContent>
  <xr:revisionPtr revIDLastSave="0" documentId="13_ncr:1_{0DF8D862-D66B-49F8-B758-EF10A955A71E}" xr6:coauthVersionLast="47" xr6:coauthVersionMax="47" xr10:uidLastSave="{00000000-0000-0000-0000-000000000000}"/>
  <bookViews>
    <workbookView xWindow="-120" yWindow="-120" windowWidth="29040" windowHeight="17520" tabRatio="764" firstSheet="4" activeTab="6" xr2:uid="{F3E49C50-F28E-4D20-9FB4-F316EEE097FA}"/>
  </bookViews>
  <sheets>
    <sheet name="AHLE parameters" sheetId="1" r:id="rId1"/>
    <sheet name="AMR" sheetId="4" r:id="rId2"/>
    <sheet name="Expenditure - 5% expert" sheetId="19" r:id="rId3"/>
    <sheet name="RiskSerializationData8" sheetId="29" state="hidden" r:id="rId4"/>
    <sheet name="Expert opinion - Stoch" sheetId="14" r:id="rId5"/>
    <sheet name="Expenditure - our method" sheetId="17" r:id="rId6"/>
    <sheet name="Our method - Stoch" sheetId="15" r:id="rId7"/>
    <sheet name="Expert opinion" sheetId="6" r:id="rId8"/>
    <sheet name="Our median" sheetId="10" r:id="rId9"/>
    <sheet name="lower 95% CI" sheetId="11" r:id="rId10"/>
    <sheet name="upper 95% CI" sheetId="12" r:id="rId11"/>
    <sheet name="Worst case scenario" sheetId="9" r:id="rId12"/>
    <sheet name="Best case scenario" sheetId="8" r:id="rId13"/>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anualCount" hidden="1">12</definedName>
    <definedName name="_AtRisk_SimSetting_MultipleCPUMode" hidden="1">2</definedName>
    <definedName name="_AtRisk_SimSetting_MultipleCPUModeV8" hidden="1">2</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bort">#REF!</definedName>
    <definedName name="abort_h">#REF!</definedName>
    <definedName name="aliveSL">#REF!</definedName>
    <definedName name="aliveSL_h">#REF!</definedName>
    <definedName name="BrowseRecords" localSheetId="3">RiskSerializationData8!$6:$10</definedName>
    <definedName name="country">#REF!</definedName>
    <definedName name="farmtype">#REF!</definedName>
    <definedName name="fat_days">#REF!</definedName>
    <definedName name="fat_days_h">#REF!</definedName>
    <definedName name="fat_weight">#REF!</definedName>
    <definedName name="fatclin">#REF!</definedName>
    <definedName name="fatmort">#REF!</definedName>
    <definedName name="fattening">#REF!</definedName>
    <definedName name="lsy_h">#REF!</definedName>
    <definedName name="nonconc">#REF!</definedName>
    <definedName name="nonconc_h">#REF!</definedName>
    <definedName name="nurs_weight">#REF!</definedName>
    <definedName name="nursclin">#REF!</definedName>
    <definedName name="nursery">#REF!</definedName>
    <definedName name="nursmort">#REF!</definedName>
    <definedName name="Pal_Workbook_GUID" hidden="1">"KCB3TPR2FU2DRVUS49JRL7JI"</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"$C$23"</definedName>
    <definedName name="RiskSelectedNameCell1" hidden="1">"$B$23"</definedName>
    <definedName name="RiskSelectedNameCell2" hidden="1">"$C$10"</definedName>
    <definedName name="RiskSimulationResultsStorageLocation" hidden="1">"2"</definedName>
    <definedName name="RiskStandardRecalc" hidden="1">1</definedName>
    <definedName name="RiskSwapState" hidden="1">FALSE</definedName>
    <definedName name="RiskUpdateDisplay" hidden="1">FALSE</definedName>
    <definedName name="RiskUseDifferentSeedForEachSim" hidden="1">FALSE</definedName>
    <definedName name="RiskUseFixedSeed" hidden="1">FALSE</definedName>
    <definedName name="RiskUseMultipleCPUs" hidden="1">FALSE</definedName>
    <definedName name="SerializationHeader" localSheetId="3">RiskSerializationData8!$A$1:$B$3</definedName>
    <definedName name="slaughter_weight">#REF!</definedName>
    <definedName name="suckling">#REF!</definedName>
    <definedName name="suckmort">#REF!</definedName>
    <definedName name="wean_weight">#REF!</definedName>
    <definedName name="weaner_days">#REF!</definedName>
    <definedName name="weaner_days_h">#REF!</definedName>
    <definedName name="weaner_weight">#REF!</definedName>
    <definedName name="weanSY_h">#REF!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 i="29" l="1"/>
  <c r="A10" i="29"/>
  <c r="L9" i="29"/>
  <c r="A9" i="29"/>
  <c r="L8" i="29"/>
  <c r="A8" i="29"/>
  <c r="L7" i="29"/>
  <c r="A7" i="29"/>
  <c r="L6" i="29"/>
  <c r="A6" i="29"/>
  <c r="I25" i="12"/>
  <c r="I21" i="12"/>
  <c r="I22" i="12"/>
  <c r="I23" i="12"/>
  <c r="J23" i="12" s="1"/>
  <c r="I17" i="12"/>
  <c r="I18" i="12"/>
  <c r="I13" i="12"/>
  <c r="I25" i="11"/>
  <c r="I21" i="11"/>
  <c r="I22" i="11"/>
  <c r="I23" i="11"/>
  <c r="J23" i="11" s="1"/>
  <c r="I17" i="11"/>
  <c r="I18" i="11"/>
  <c r="I13" i="11"/>
  <c r="I25" i="10"/>
  <c r="I21" i="10"/>
  <c r="I22" i="10"/>
  <c r="I23" i="10"/>
  <c r="J23" i="10" s="1"/>
  <c r="I17" i="10"/>
  <c r="I18" i="10"/>
  <c r="I13" i="10"/>
  <c r="I17" i="6"/>
  <c r="J17" i="6" s="1" a="1"/>
  <c r="I15" i="6"/>
  <c r="I14" i="6"/>
  <c r="I13" i="6"/>
  <c r="J13" i="6" s="1" a="1"/>
  <c r="I12" i="6"/>
  <c r="J12" i="6" s="1" a="1"/>
  <c r="C4" i="6" a="1"/>
  <c r="C4" i="6" s="1"/>
  <c r="C16" i="6" s="1" a="1"/>
  <c r="C5" i="6" a="1"/>
  <c r="C5" i="6" s="1"/>
  <c r="F35" i="15"/>
  <c r="C4" i="14" a="1"/>
  <c r="C4" i="14" s="1"/>
  <c r="C30" i="14" s="1" a="1"/>
  <c r="C5" i="14" a="1"/>
  <c r="C5" i="14" s="1"/>
  <c r="I18" i="14" s="1"/>
  <c r="J18" i="14" s="1" a="1"/>
  <c r="C31" i="17" a="1"/>
  <c r="C31" i="17" s="1"/>
  <c r="C32" i="17" s="1" a="1"/>
  <c r="C28" i="17" a="1"/>
  <c r="C28" i="17" s="1"/>
  <c r="C28" i="19" a="1"/>
  <c r="C28" i="19" s="1"/>
  <c r="M25" i="1"/>
  <c r="M26" i="1"/>
  <c r="O23" i="1" s="1"/>
  <c r="M19" i="1"/>
  <c r="M20" i="1"/>
  <c r="P17" i="1" s="1"/>
  <c r="M14" i="1"/>
  <c r="M9" i="1"/>
  <c r="M10" i="1"/>
  <c r="M11" i="1"/>
  <c r="M12" i="1" s="1"/>
  <c r="E41" i="14"/>
  <c r="D41" i="14"/>
  <c r="C41" i="14"/>
  <c r="B41" i="14"/>
  <c r="C42" i="15"/>
  <c r="D42" i="15"/>
  <c r="E42" i="15"/>
  <c r="B42" i="15"/>
  <c r="C48" i="19"/>
  <c r="F49" i="19"/>
  <c r="H34" i="19"/>
  <c r="C20" i="19"/>
  <c r="C21" i="19"/>
  <c r="D26" i="19"/>
  <c r="C26" i="19"/>
  <c r="D22" i="19"/>
  <c r="D22" i="17"/>
  <c r="H34" i="17"/>
  <c r="C21" i="17"/>
  <c r="C24" i="17"/>
  <c r="C36" i="17"/>
  <c r="C48" i="17"/>
  <c r="F49" i="17"/>
  <c r="D26" i="17"/>
  <c r="C26" i="17"/>
  <c r="F34" i="14"/>
  <c r="F30" i="14"/>
  <c r="F26" i="14"/>
  <c r="F22" i="14"/>
  <c r="F18" i="14"/>
  <c r="F14" i="14"/>
  <c r="F10" i="14"/>
  <c r="E17" i="10"/>
  <c r="C17" i="10"/>
  <c r="F13" i="6"/>
  <c r="F12" i="6"/>
  <c r="F14" i="6"/>
  <c r="F15" i="6"/>
  <c r="F16" i="6"/>
  <c r="F17" i="6"/>
  <c r="F11" i="6"/>
  <c r="E25" i="12"/>
  <c r="C25" i="12"/>
  <c r="E22" i="12"/>
  <c r="C22" i="12"/>
  <c r="E21" i="12"/>
  <c r="C21" i="12"/>
  <c r="E18" i="12"/>
  <c r="C18" i="12"/>
  <c r="E17" i="12"/>
  <c r="C17" i="12"/>
  <c r="E25" i="11"/>
  <c r="C25" i="11"/>
  <c r="E22" i="11"/>
  <c r="C22" i="11"/>
  <c r="E21" i="11"/>
  <c r="C21" i="11"/>
  <c r="E18" i="11"/>
  <c r="C18" i="11"/>
  <c r="E17" i="11"/>
  <c r="C17" i="11"/>
  <c r="E25" i="10"/>
  <c r="C25" i="10"/>
  <c r="E22" i="10"/>
  <c r="C22" i="10"/>
  <c r="E21" i="10"/>
  <c r="C21" i="10"/>
  <c r="E18" i="10"/>
  <c r="C18" i="10"/>
  <c r="C23" i="9"/>
  <c r="C13" i="9"/>
  <c r="C23" i="8"/>
  <c r="C13" i="8"/>
  <c r="F13" i="8"/>
  <c r="J25" i="8"/>
  <c r="E25" i="8"/>
  <c r="C25" i="8"/>
  <c r="J23" i="8"/>
  <c r="J22" i="8"/>
  <c r="E22" i="8"/>
  <c r="C22" i="8"/>
  <c r="J21" i="8"/>
  <c r="E21" i="8"/>
  <c r="C21" i="8"/>
  <c r="J18" i="8"/>
  <c r="E18" i="8"/>
  <c r="C18" i="8"/>
  <c r="J17" i="8"/>
  <c r="E17" i="8"/>
  <c r="C17" i="8"/>
  <c r="J25" i="9"/>
  <c r="E25" i="9"/>
  <c r="C25" i="9"/>
  <c r="F25" i="9"/>
  <c r="J23" i="9"/>
  <c r="J22" i="9"/>
  <c r="E22" i="9"/>
  <c r="C22" i="9"/>
  <c r="J21" i="9"/>
  <c r="E21" i="9"/>
  <c r="C21" i="9"/>
  <c r="J18" i="9"/>
  <c r="E18" i="9"/>
  <c r="C18" i="9"/>
  <c r="J17" i="9"/>
  <c r="E17" i="9"/>
  <c r="C17" i="9"/>
  <c r="S26" i="4"/>
  <c r="R26" i="4"/>
  <c r="O26" i="4"/>
  <c r="Q23" i="4"/>
  <c r="S23" i="4"/>
  <c r="Q26" i="4"/>
  <c r="S25" i="4"/>
  <c r="R25" i="4"/>
  <c r="O25" i="4"/>
  <c r="Q25" i="4"/>
  <c r="S20" i="4"/>
  <c r="R20" i="4"/>
  <c r="O20" i="4"/>
  <c r="R17" i="4"/>
  <c r="S17" i="4"/>
  <c r="Q20" i="4"/>
  <c r="S19" i="4"/>
  <c r="R19" i="4"/>
  <c r="O19" i="4"/>
  <c r="Q19" i="4"/>
  <c r="S14" i="4"/>
  <c r="R14" i="4"/>
  <c r="O14" i="4"/>
  <c r="Q14" i="4"/>
  <c r="S12" i="4"/>
  <c r="R12" i="4"/>
  <c r="Q12" i="4"/>
  <c r="S11" i="4"/>
  <c r="R11" i="4"/>
  <c r="O11" i="4"/>
  <c r="O12" i="4"/>
  <c r="Q11" i="4"/>
  <c r="S10" i="4"/>
  <c r="R10" i="4"/>
  <c r="O10" i="4"/>
  <c r="Q10" i="4"/>
  <c r="S9" i="4"/>
  <c r="R9" i="4"/>
  <c r="O9" i="4"/>
  <c r="Q9" i="4"/>
  <c r="Q14" i="1"/>
  <c r="P14" i="1"/>
  <c r="O14" i="1"/>
  <c r="Q25" i="1"/>
  <c r="P25" i="1"/>
  <c r="Q19" i="1"/>
  <c r="P19" i="1"/>
  <c r="O9" i="1"/>
  <c r="P9" i="1"/>
  <c r="Q9" i="1"/>
  <c r="O10" i="1"/>
  <c r="P10" i="1"/>
  <c r="Q10" i="1"/>
  <c r="O11" i="1"/>
  <c r="P11" i="1"/>
  <c r="Q11" i="1"/>
  <c r="O12" i="1"/>
  <c r="P12" i="1"/>
  <c r="Q12" i="1"/>
  <c r="O19" i="1"/>
  <c r="O20" i="1"/>
  <c r="P20" i="1"/>
  <c r="Q20" i="1"/>
  <c r="O25" i="1"/>
  <c r="O26" i="1"/>
  <c r="P26" i="1"/>
  <c r="Q26" i="1"/>
  <c r="Q17" i="4"/>
  <c r="B33" i="11"/>
  <c r="B19" i="6"/>
  <c r="B33" i="12"/>
  <c r="B33" i="10"/>
  <c r="C49" i="17"/>
  <c r="C49" i="19"/>
  <c r="C24" i="19"/>
  <c r="C36" i="19"/>
  <c r="D24" i="19"/>
  <c r="D24" i="17"/>
  <c r="R23" i="4"/>
  <c r="E49" i="19"/>
  <c r="D36" i="19"/>
  <c r="D36" i="17"/>
  <c r="E49" i="17"/>
  <c r="J14" i="6" a="1"/>
  <c r="J15" i="6" a="1"/>
  <c r="C32" i="19" a="1"/>
  <c r="C10" i="14" l="1" a="1"/>
  <c r="C11" i="6" a="1"/>
  <c r="C11" i="6" s="1"/>
  <c r="K11" i="6" s="1"/>
  <c r="C32" i="19"/>
  <c r="J13" i="6"/>
  <c r="C10" i="14"/>
  <c r="P10" i="14" s="1"/>
  <c r="J15" i="6"/>
  <c r="C32" i="17"/>
  <c r="D37" i="17" s="1" a="1"/>
  <c r="C16" i="6"/>
  <c r="K16" i="6" s="1"/>
  <c r="C30" i="14"/>
  <c r="P30" i="14" s="1"/>
  <c r="J14" i="6"/>
  <c r="E14" i="6" s="1" a="1"/>
  <c r="J17" i="6"/>
  <c r="E17" i="6" s="1" a="1"/>
  <c r="J18" i="14"/>
  <c r="E18" i="14" s="1" a="1"/>
  <c r="J12" i="6"/>
  <c r="E12" i="6" s="1" a="1"/>
  <c r="P23" i="1"/>
  <c r="Q23" i="1"/>
  <c r="O17" i="1"/>
  <c r="Q17" i="1"/>
  <c r="I23" i="15"/>
  <c r="J23" i="15" s="1" a="1"/>
  <c r="I35" i="15"/>
  <c r="J35" i="15" s="1" a="1"/>
  <c r="I27" i="15"/>
  <c r="I15" i="15"/>
  <c r="I19" i="15"/>
  <c r="J19" i="15" s="1" a="1"/>
  <c r="F31" i="15"/>
  <c r="C31" i="15" s="1" a="1"/>
  <c r="F15" i="15"/>
  <c r="F11" i="15"/>
  <c r="C11" i="15" s="1" a="1"/>
  <c r="F19" i="15"/>
  <c r="F27" i="15"/>
  <c r="F23" i="15"/>
  <c r="I14" i="14"/>
  <c r="J14" i="14" s="1" a="1"/>
  <c r="I26" i="14"/>
  <c r="J26" i="14" s="1" a="1"/>
  <c r="I34" i="14"/>
  <c r="J34" i="14" s="1" a="1"/>
  <c r="I22" i="14"/>
  <c r="J22" i="14" s="1" a="1"/>
  <c r="D25" i="19" a="1"/>
  <c r="C25" i="19" a="1"/>
  <c r="D37" i="19" a="1"/>
  <c r="J27" i="15" a="1"/>
  <c r="E13" i="6" a="1"/>
  <c r="E15" i="6" a="1"/>
  <c r="J15" i="15" a="1"/>
  <c r="C25" i="17" l="1" a="1"/>
  <c r="C25" i="17" s="1"/>
  <c r="D25" i="17" a="1"/>
  <c r="D25" i="17" s="1"/>
  <c r="D37" i="17"/>
  <c r="C37" i="17" s="1" a="1"/>
  <c r="J19" i="15"/>
  <c r="E19" i="15" s="1" a="1"/>
  <c r="J22" i="14"/>
  <c r="E22" i="14" s="1" a="1"/>
  <c r="J34" i="14"/>
  <c r="E34" i="14" s="1" a="1"/>
  <c r="J26" i="14"/>
  <c r="E26" i="14" s="1" a="1"/>
  <c r="J14" i="14"/>
  <c r="C11" i="15"/>
  <c r="K11" i="15" s="1"/>
  <c r="J15" i="15"/>
  <c r="E15" i="15" s="1" a="1"/>
  <c r="E15" i="6"/>
  <c r="C15" i="6" s="1" a="1"/>
  <c r="E13" i="6"/>
  <c r="C13" i="6" s="1" a="1"/>
  <c r="J27" i="15"/>
  <c r="E27" i="15" s="1" a="1"/>
  <c r="J35" i="15"/>
  <c r="E35" i="15" s="1" a="1"/>
  <c r="E17" i="6"/>
  <c r="C17" i="6" s="1" a="1"/>
  <c r="D37" i="19"/>
  <c r="D38" i="19" s="1" a="1"/>
  <c r="C25" i="19"/>
  <c r="D25" i="19"/>
  <c r="C31" i="15"/>
  <c r="K31" i="15" s="1"/>
  <c r="J23" i="15"/>
  <c r="E14" i="6"/>
  <c r="C14" i="6" s="1" a="1"/>
  <c r="E12" i="6"/>
  <c r="C12" i="6" s="1" a="1"/>
  <c r="E18" i="14"/>
  <c r="C18" i="14" s="1" a="1"/>
  <c r="E25" i="19" a="1"/>
  <c r="E23" i="15" a="1"/>
  <c r="E14" i="14" a="1"/>
  <c r="C37" i="19" l="1" a="1"/>
  <c r="D38" i="17" a="1"/>
  <c r="D38" i="17" s="1"/>
  <c r="E25" i="17" a="1"/>
  <c r="E25" i="17" s="1"/>
  <c r="F27" i="17" s="1"/>
  <c r="C37" i="19"/>
  <c r="C38" i="19" s="1" a="1"/>
  <c r="D38" i="19"/>
  <c r="E14" i="14"/>
  <c r="C14" i="14" s="1" a="1"/>
  <c r="C18" i="14"/>
  <c r="P18" i="14" s="1"/>
  <c r="C17" i="6"/>
  <c r="K17" i="6" s="1"/>
  <c r="E26" i="14"/>
  <c r="C26" i="14" s="1" a="1"/>
  <c r="C12" i="6"/>
  <c r="K12" i="6" s="1"/>
  <c r="E35" i="15"/>
  <c r="C35" i="15" s="1" a="1"/>
  <c r="E34" i="14"/>
  <c r="C34" i="14" s="1" a="1"/>
  <c r="C14" i="6"/>
  <c r="K14" i="6" s="1"/>
  <c r="E27" i="15"/>
  <c r="C27" i="15" s="1" a="1"/>
  <c r="E22" i="14"/>
  <c r="C22" i="14" s="1" a="1"/>
  <c r="E23" i="15"/>
  <c r="C23" i="15" s="1" a="1"/>
  <c r="C13" i="6"/>
  <c r="K13" i="6" s="1"/>
  <c r="E19" i="15"/>
  <c r="C19" i="15" s="1" a="1"/>
  <c r="C15" i="6"/>
  <c r="K15" i="6" s="1"/>
  <c r="C37" i="17"/>
  <c r="C38" i="17" s="1" a="1"/>
  <c r="E25" i="19"/>
  <c r="E15" i="15"/>
  <c r="C15" i="15" s="1" a="1"/>
  <c r="E50" i="17" l="1"/>
  <c r="E51" i="17" s="1"/>
  <c r="F50" i="17"/>
  <c r="F51" i="17" s="1"/>
  <c r="C34" i="14"/>
  <c r="P34" i="14" s="1"/>
  <c r="C38" i="19"/>
  <c r="C19" i="15"/>
  <c r="K19" i="15" s="1"/>
  <c r="C35" i="15"/>
  <c r="K35" i="15" s="1"/>
  <c r="C23" i="15"/>
  <c r="K23" i="15" s="1"/>
  <c r="C26" i="14"/>
  <c r="P26" i="14" s="1"/>
  <c r="C15" i="15"/>
  <c r="K15" i="15" s="1"/>
  <c r="C22" i="14"/>
  <c r="P22" i="14" s="1"/>
  <c r="C27" i="15"/>
  <c r="K27" i="15" s="1"/>
  <c r="C38" i="17"/>
  <c r="C14" i="14"/>
  <c r="P14" i="14" s="1"/>
  <c r="F50" i="19"/>
  <c r="F51" i="19" s="1"/>
  <c r="F27" i="19"/>
  <c r="E50" i="19"/>
  <c r="E51" i="1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Babo Martins, Sara</author>
  </authors>
  <commentList>
    <comment ref="C22" authorId="0" shapeId="0" xr:uid="{07ABF6C5-FE96-467B-86A4-0BB8F893B0C0}">
      <text>
        <r>
          <rPr>
            <b/>
            <sz val="9"/>
            <color indexed="81"/>
            <rFont val="Tahoma"/>
            <family val="2"/>
          </rPr>
          <t>Babo Martins, Sara:</t>
        </r>
        <r>
          <rPr>
            <sz val="9"/>
            <color indexed="81"/>
            <rFont val="Tahoma"/>
            <family val="2"/>
          </rPr>
          <t xml:space="preserve">
Europe price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Babo Martins, Sara</author>
  </authors>
  <commentList>
    <comment ref="C22" authorId="0" shapeId="0" xr:uid="{C07BBEBE-B26D-4046-87D6-BFF6A94B680D}">
      <text>
        <r>
          <rPr>
            <b/>
            <sz val="9"/>
            <color indexed="81"/>
            <rFont val="Tahoma"/>
            <family val="2"/>
          </rPr>
          <t>Babo Martins, Sara:</t>
        </r>
        <r>
          <rPr>
            <sz val="9"/>
            <color indexed="81"/>
            <rFont val="Tahoma"/>
            <family val="2"/>
          </rPr>
          <t xml:space="preserve">
Europe price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<sst xmlns="http://schemas.openxmlformats.org/spreadsheetml/2006/main" count="778" uniqueCount="217">
  <si>
    <t>DE-Healthy (formulas)</t>
  </si>
  <si>
    <t>DE-Healthy (values)</t>
  </si>
  <si>
    <t>UK-AV21 Average</t>
  </si>
  <si>
    <t>UK-AV21 Top10</t>
  </si>
  <si>
    <t>DK-SEGES22-top25%</t>
  </si>
  <si>
    <t>DK-SEGES22-Danbred-top5%</t>
  </si>
  <si>
    <t>GBADs Utopia</t>
  </si>
  <si>
    <t>Variable full name</t>
  </si>
  <si>
    <t>breeding</t>
  </si>
  <si>
    <t>E15</t>
  </si>
  <si>
    <t>nonconc_h</t>
  </si>
  <si>
    <t>E16</t>
  </si>
  <si>
    <t>abort_h</t>
  </si>
  <si>
    <t>E18</t>
  </si>
  <si>
    <t>aliveSL_h</t>
  </si>
  <si>
    <t>E20</t>
  </si>
  <si>
    <t>suckmort_h</t>
  </si>
  <si>
    <t>E23</t>
  </si>
  <si>
    <t>wean_weight_h</t>
  </si>
  <si>
    <t>nursery</t>
  </si>
  <si>
    <t>E89</t>
  </si>
  <si>
    <t>weaner_days_h</t>
  </si>
  <si>
    <t>E78</t>
  </si>
  <si>
    <t>nursmort_h</t>
  </si>
  <si>
    <t>Mortality in weaners (%)</t>
  </si>
  <si>
    <t>fattening</t>
  </si>
  <si>
    <t>E137</t>
  </si>
  <si>
    <t>fat_days_h</t>
  </si>
  <si>
    <t>Average days of fattening until your pigs go to slaughter</t>
  </si>
  <si>
    <t>E125</t>
  </si>
  <si>
    <t>fatmort_h</t>
  </si>
  <si>
    <t>Mortality in fatteners (%)</t>
  </si>
  <si>
    <t>E17</t>
  </si>
  <si>
    <t>lsy_h</t>
  </si>
  <si>
    <t>Litters/sow/year</t>
  </si>
  <si>
    <t>E19</t>
  </si>
  <si>
    <t>pigl/al/year</t>
  </si>
  <si>
    <t>Piglets born alive/sow&amp;year</t>
  </si>
  <si>
    <t>E21</t>
  </si>
  <si>
    <t>weaned/year</t>
  </si>
  <si>
    <t>Weaned piglets/sow/year</t>
  </si>
  <si>
    <t>E85</t>
  </si>
  <si>
    <t>nurs_fcr</t>
  </si>
  <si>
    <t>Average feed conversion ratio (FCR) of a healthy weaner until sale</t>
  </si>
  <si>
    <t>E91</t>
  </si>
  <si>
    <t>nurs_ADG</t>
  </si>
  <si>
    <t>ADG weaning to sale (kg)</t>
  </si>
  <si>
    <t>E128</t>
  </si>
  <si>
    <t>fat_weight-start</t>
  </si>
  <si>
    <t>E129</t>
  </si>
  <si>
    <t>slaughter weight</t>
  </si>
  <si>
    <t>live weight at slaughter (kg)</t>
  </si>
  <si>
    <t>E131</t>
  </si>
  <si>
    <t>fat_fcr</t>
  </si>
  <si>
    <t>Average feed conversion ratio (FCR) of a healthy fattener until slaughter</t>
  </si>
  <si>
    <t>E139</t>
  </si>
  <si>
    <t>fat_ADG</t>
  </si>
  <si>
    <t>ADG fatteners until sale (kg)</t>
  </si>
  <si>
    <t>E81</t>
  </si>
  <si>
    <t>nurs_weight_h</t>
  </si>
  <si>
    <t>Average weight of your weaners sold (kg)</t>
  </si>
  <si>
    <t>E26</t>
  </si>
  <si>
    <t>replace_h</t>
  </si>
  <si>
    <t>E80</t>
  </si>
  <si>
    <t>weaner_weight_start</t>
  </si>
  <si>
    <t>weight at beginning of fattening period (kg)</t>
  </si>
  <si>
    <t>weight at weaning (≈ at purchase) (kg)</t>
  </si>
  <si>
    <t>Return to estrus rate (%)</t>
  </si>
  <si>
    <t>Abortions (%)</t>
  </si>
  <si>
    <t>Average piglets born alive per sow per litter</t>
  </si>
  <si>
    <t xml:space="preserve">Average preweaning mortality (%) </t>
  </si>
  <si>
    <t>Average weight of your pigs at weaning (kg)</t>
  </si>
  <si>
    <t>Average days of your weaners in nursery</t>
  </si>
  <si>
    <t>Variable</t>
  </si>
  <si>
    <t>Cell</t>
  </si>
  <si>
    <t>DK-SEGES22-Average</t>
  </si>
  <si>
    <t>Comment</t>
  </si>
  <si>
    <t>GBADs default definition</t>
  </si>
  <si>
    <t>Same as comparison scenario</t>
  </si>
  <si>
    <t>6.3/6/6.1</t>
  </si>
  <si>
    <t>PERT Distribution, most likely 2.5% better than Danbred Top5%</t>
  </si>
  <si>
    <t>31.0/31.3/33.1</t>
  </si>
  <si>
    <t>114.7/116.0/116.0</t>
  </si>
  <si>
    <t>30.6/31.6/32.8</t>
  </si>
  <si>
    <t>6.4/6.3/6.9</t>
  </si>
  <si>
    <t>Stage</t>
  </si>
  <si>
    <t>Distribution of GBADs Utopia scenario</t>
  </si>
  <si>
    <t>Sow replacement rate</t>
  </si>
  <si>
    <t>44/46/47</t>
  </si>
  <si>
    <t>Calculated from "AGD ideal (0.552)" and  "start/end weight" of comparison scenario</t>
  </si>
  <si>
    <t>Calculated from "AGD ideal (0.1.156)" and  "start/end weight" of comparison scenario</t>
  </si>
  <si>
    <t>72/73/72</t>
  </si>
  <si>
    <t>Most Likely
(+/- 2.5%)</t>
  </si>
  <si>
    <t>Min
(+0%)</t>
  </si>
  <si>
    <t>Max
(+/- 5%)</t>
  </si>
  <si>
    <t>The number of piglets per year sow must be the number of piglets per letter times the number of litters per year</t>
  </si>
  <si>
    <t>To comply wiht the EU legislation, one cannot wean piglets young than 3 weeks of age, this sets a limit to the number of litters per year</t>
  </si>
  <si>
    <t>Most of the +2.5% values are reachable for indiviual litters, but it will take some years before it will be the average for the top5%</t>
  </si>
  <si>
    <t>The average weight at weaning sounds too goog to be true - are these values real measurements or are they guestimates?</t>
  </si>
  <si>
    <t>In Frede's many herds, the weaning weight is closer to 5 kg than to 6 kg</t>
  </si>
  <si>
    <t>If you wan to have a high weight at weaning, you need to use milk replacers - feasible but not that common yet</t>
  </si>
  <si>
    <t xml:space="preserve">Again, if you want to have as few days as possible for fattening, you need pigs that are heavy at 30 kg </t>
  </si>
  <si>
    <t>Comments from pig vet Frede Keller, DANVET group</t>
  </si>
  <si>
    <t>Hi= I * (1-bi) + Di *bi</t>
  </si>
  <si>
    <t>Hi</t>
  </si>
  <si>
    <t>value of average affected herd parameter</t>
  </si>
  <si>
    <t>I</t>
  </si>
  <si>
    <t>ideal value of the parameter in unaffeted animals</t>
  </si>
  <si>
    <t xml:space="preserve">Di </t>
  </si>
  <si>
    <t>value of the parameter in animals affetected by the cause</t>
  </si>
  <si>
    <t xml:space="preserve">bi </t>
  </si>
  <si>
    <t>incidence of animals affected by this cause</t>
  </si>
  <si>
    <t>Di= C*ei</t>
  </si>
  <si>
    <t>ei</t>
  </si>
  <si>
    <t>change in current production</t>
  </si>
  <si>
    <t>C</t>
  </si>
  <si>
    <t>current value of the parameter C</t>
  </si>
  <si>
    <t>Di</t>
  </si>
  <si>
    <t>bi</t>
  </si>
  <si>
    <t>GBADs utopia</t>
  </si>
  <si>
    <t>Incidence</t>
  </si>
  <si>
    <t>I need to make sure grey values are between green and orange</t>
  </si>
  <si>
    <t>Expenditure</t>
  </si>
  <si>
    <t>Base scenario</t>
  </si>
  <si>
    <t>Mortality</t>
  </si>
  <si>
    <t>Productivity factor</t>
  </si>
  <si>
    <t>Total ton AMU</t>
  </si>
  <si>
    <t>Average price AM Europe/ton</t>
  </si>
  <si>
    <t>Total kg AMU due to AMR</t>
  </si>
  <si>
    <t>The average Danish Krone to Euro exchange rate in 2022 was 1 Danish Krone = 0.1344 Euro.</t>
  </si>
  <si>
    <t>Reference</t>
  </si>
  <si>
    <t>Utopia</t>
  </si>
  <si>
    <t>Worst case AMR</t>
  </si>
  <si>
    <t>Best case AMR</t>
  </si>
  <si>
    <t>Min</t>
  </si>
  <si>
    <t>Max</t>
  </si>
  <si>
    <t>Pert</t>
  </si>
  <si>
    <t>Most likely</t>
  </si>
  <si>
    <t>Mortality (%)</t>
  </si>
  <si>
    <t>Productivity reduction (%)</t>
  </si>
  <si>
    <t>change in production</t>
  </si>
  <si>
    <t>AMR parameters (Hi)</t>
  </si>
  <si>
    <t>PRE-WEANING PIGLET DIARRHEA MAY HAVE A PREVALENCE OF BETWEEN 15-20%</t>
  </si>
  <si>
    <t>Unresponsive diarrhead: HENCE, A CHANGE OF THE FEED SOLVES THE PROBLEM IN 8 OUT OF 10 CASES</t>
  </si>
  <si>
    <t>IN 5 OUT OF 100 CASES, WE STAND WITH OUR BACK TO THE WALL, WHERE THE ISSUE IT REALTED TO ANTIMICROBIAL RESISTANCE. THIS MIGHT BE DUE TO PRESENCE OF AGGRESSIVE E. COLI, SUCH AS VEROTOXIN-PRODUCING F4-F-18 ANTIGEN AND EDEMA. THIS CAN BE FRUSTRATING AS THESE CASES MIGTH BE IMPOSSIBLE TO TREAT WITH ANTIBIOTICS. LUCKILY, TODAY THERE ARE HUGELY EFFECTIVE VACCINES AVAILABLE</t>
  </si>
  <si>
    <t>FEED CORRECTIONS USUALLY RESULT IN EITHER EXPENSIVE FEED AND/OR LOWER GROWTH.</t>
  </si>
  <si>
    <t>Feed corrections</t>
  </si>
  <si>
    <t>Vaccine costs</t>
  </si>
  <si>
    <t>Heads</t>
  </si>
  <si>
    <t>Number of resistant cases 2022</t>
  </si>
  <si>
    <t>Worst case</t>
  </si>
  <si>
    <t>Expenditure DKK</t>
  </si>
  <si>
    <t>recalculate feed expenses and AMU</t>
  </si>
  <si>
    <t>Base scenario AMR</t>
  </si>
  <si>
    <t>Worst case scenario</t>
  </si>
  <si>
    <t>Best case scenario</t>
  </si>
  <si>
    <t>apenas para as variaveis que nos temos interesse</t>
  </si>
  <si>
    <t>not considering as it is linked to infection and not resistance</t>
  </si>
  <si>
    <t>interviews by lis. Apenas nos porcos com resistencia. Porem os feed corrections devem ser feitos em lote e nao individual</t>
  </si>
  <si>
    <t>c23 em euro, d23 em krone.</t>
  </si>
  <si>
    <t>nao entra no modelo de attribuicao! Tem de ser menor do que a expenditure que eles calcularam</t>
  </si>
  <si>
    <t>posso copiar o worst and best - o base e que temos de popular</t>
  </si>
  <si>
    <t>as colunas em cinzento tem de estar entre a utopia e o current!</t>
  </si>
  <si>
    <t>Average</t>
  </si>
  <si>
    <t>AMU</t>
  </si>
  <si>
    <t>FEED</t>
  </si>
  <si>
    <t>Total</t>
  </si>
  <si>
    <t>95% lower CI</t>
  </si>
  <si>
    <t>Median</t>
  </si>
  <si>
    <t>95% upper CI</t>
  </si>
  <si>
    <t>max</t>
  </si>
  <si>
    <t>Parameter</t>
  </si>
  <si>
    <t>Distribution</t>
  </si>
  <si>
    <t>Value</t>
  </si>
  <si>
    <t>Written By Version</t>
  </si>
  <si>
    <t>8.7.0</t>
  </si>
  <si>
    <t>Serialization Major Version</t>
  </si>
  <si>
    <t>Serialization Minor Version</t>
  </si>
  <si>
    <t>Browse Record</t>
  </si>
  <si>
    <t>Display Mode</t>
  </si>
  <si>
    <t>Sens Graph Type</t>
  </si>
  <si>
    <t>Cond Sens Settings</t>
  </si>
  <si>
    <t>Scenario Settings</t>
  </si>
  <si>
    <t>Selected Scenario</t>
  </si>
  <si>
    <t>Distribution Options</t>
  </si>
  <si>
    <t>Distribution GS</t>
  </si>
  <si>
    <t>Distribution Curves</t>
  </si>
  <si>
    <t>Sens Tornado Options</t>
  </si>
  <si>
    <t>Sens Tornado GS</t>
  </si>
  <si>
    <t>Sens Tornado Curves</t>
  </si>
  <si>
    <t>Scen Tornado Options</t>
  </si>
  <si>
    <t>Scen Tornado GS</t>
  </si>
  <si>
    <t>Scen Tornado Curves</t>
  </si>
  <si>
    <t>Sens Spider Option</t>
  </si>
  <si>
    <t>Sens Spider GS</t>
  </si>
  <si>
    <t>Sens Spider Curves</t>
  </si>
  <si>
    <t>GF1_rK0qDwEAEwAKAQwjACcAPgByAIYAhwCVAKMA5gAGAQABKwD//wAAAAAAAAEEAAAAAAkjLCMjMC4wMDAAAAABLkFERyB3ZWFuaW5nIHRvIHNhbGUgKGtnKSAvIEFNUiBwYXJhbWV0ZXJzIChIaSkBAAEBEAACAAEKU3RhdGlzdGljcwMBAQD/AQEBAQEAAQEBAAQAAAABAQEBAQABAQEABAAAAAGnAAI7AC5BREcgd2VhbmluZyB0byBzYWxlIChrZykgLyBBTVIgcGFyYW1ldGVycyAoSGkpAAAA/9wUPAEAAAIAAgDuAPcAAQEDAZJ55A8GnuE/AV5MM93rpOE/AQUAAQEBAAEBAQA=</t>
  </si>
  <si>
    <t>GF1_rK0qDwEAEwAoAQwjACcAPgCBAJUAlgCkALIABAEkAR4BKwD//wAAAAAAAAEEAAAAAAkjLCMjMC4wMDAAAAABPUF2ZXJhZ2UgZGF5cyBvZiB5b3VyIHdlYW5lcnMgaW4gbnVyc2VyeSAvIEFNUiBwYXJhbWV0ZXJzIChIaSkBAAEBEAACAAEKU3RhdGlzdGljcwMBAQD/AQEBAQEAAQEBAAQAAAABAQEBAQABAQEABAAAAAG2AAJKAD1BdmVyYWdlIGRheXMgb2YgeW91ciB3ZWFuZXJzIGluIG51cnNlcnkgLyBBTVIgcGFyYW1ldGVycyAoSGkpAAAA/9wUPAEAAAIAAgAMARUBAQEDATy9UpYhHkhAAXxhMlUwKkhAAQUAAQEBAAEBAQA=</t>
  </si>
  <si>
    <t>GF1_rK0qDwEAEwAqAQwjACcAPgCCAJYAlwClALMABgEmASABKwD//wAAAAAAAAEEAAAAAAkjLCMjMC4wMDAAAAABPkF2ZXJhZ2Ugd2VpZ2h0IG9mIHlvdXIgd2VhbmVycyBzb2xkIChrZykgLyBBTVIgcGFyYW1ldGVycyAoSGkpAQABARAAAgABClN0YXRpc3RpY3MDAQEA/wEBAQEBAAEBAQAEAAAAAQEBAQEAAQEBAAQAAAABtwACSwA+QXZlcmFnZSB3ZWlnaHQgb2YgeW91ciB3ZWFuZXJzIHNvbGQgKGtnKSAvIEFNUiBwYXJhbWV0ZXJzIChIaSkAAAD/3BQ8AQAAAgACAA4BFwEBAQMBQNmUK7xLQEAB7Z48LNRSQEABBQABAQEAAQEBAA==</t>
  </si>
  <si>
    <t>GF1_rK0qDwEAEwAwAQwjACcAPgCFAJkAmgCoALYADAEsASYBKwD//wAAAAAAAAEEAAAAAAkjLCMjMC4wMDAAAAABQUF2ZXJhZ2Ugd2VpZ2h0IG9mIHlvdXIgcGlncyBhdCB3ZWFuaW5nIChrZykgLyBBTVIgcGFyYW1ldGVycyAoSGkpAQABARAAAgABClN0YXRpc3RpY3MDAQEA/wEBAQEBAAEBAQAEAAAAAQEBAQEAAQEBAAQAAAABugACTgBBQXZlcmFnZSB3ZWlnaHQgb2YgeW91ciBwaWdzIGF0IHdlYW5pbmcgKGtnKSAvIEFNUiBwYXJhbWV0ZXJzIChIaSkAAAD/3BQ8AQAAAgACABQBHQEBAQMBU9DtJY1xGEABBTQRNjx9GEABBQABAQEAAQEBAA==</t>
  </si>
  <si>
    <t>GF1_rK0qDwEAEwAIAQwjACcAPgBxAIUAhgCUAKIA5AAEAf4AKwD//wAAAAAAAAEEAAAAAAkjLCMjMC4wMDAAAAABLVdlYW5lZCBwaWdsZXRzL3Nvdy95ZWFyIC8gQU1SIHBhcmFtZXRlcnMgKEhpKQEAAQEQAAIAAQpTdGF0aXN0aWNzAwEBAP8BAQEBAQABAQEABAAAAAEBAQEBAAEBAQAEAAAAAaYAAjoALVdlYW5lZCBwaWdsZXRzL3Nvdy95ZWFyIC8gQU1SIHBhcmFtZXRlcnMgKEhpKQAAAP/cFDwBAAACAAIA7AD1AAEBAwH/snvysBhIQAFGJXUCmiBIQAEFAAEBAQABAQEA</t>
  </si>
  <si>
    <t>Total mg AMU due to AMR</t>
  </si>
  <si>
    <t>Total AMU cost</t>
  </si>
  <si>
    <t>EUR</t>
  </si>
  <si>
    <t>DKK</t>
  </si>
  <si>
    <t>Incidencia</t>
  </si>
  <si>
    <t>Currency rate (EUR-DKK)</t>
  </si>
  <si>
    <t>Total expenditure</t>
  </si>
  <si>
    <t>Costs with feed corrections</t>
  </si>
  <si>
    <t>Mean</t>
  </si>
  <si>
    <t>Lower limit</t>
  </si>
  <si>
    <t>Upper limit</t>
  </si>
  <si>
    <t>Expenditure EUR</t>
  </si>
  <si>
    <t>INCIDENCE</t>
  </si>
  <si>
    <t>=RiskPert(0.0065,0.0736,0.1942)</t>
  </si>
  <si>
    <t>=RiskPert(0.07,0.14,0.28)</t>
  </si>
  <si>
    <t>=RiskPert(0.02,0.04,0.08)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</si>
</sst>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
    <numFmt numFmtId="165" formatCode="0.0"/>
    <numFmt numFmtId="166" formatCode="0.000"/>
    <numFmt numFmtId="167" formatCode="0.0000"/>
    <numFmt numFmtId="168" formatCode="0.0000%"/>
    <numFmt numFmtId="169" formatCode="0.00000000%"/>
    <numFmt numFmtId="170" formatCode="0.000000"/>
    <numFmt numFmtId="171" formatCode="#,##0.0"/>
    <numFmt numFmtId="172" formatCode="#,##0.000"/>
    <numFmt numFmtId="173" formatCode="#,##0.0000"/>
    <numFmt numFmtId="174" formatCode="0.00000"/>
    <numFmt numFmtId="175" formatCode="_-[$DKK]\ * #,##0_-;\-[$DKK]\ * #,##0_-;_-[$DKK]\ * &quot;-&quot;??_-;_-@_-"/>
    <numFmt numFmtId="176" formatCode="_-[$€-2]\ * #,##0_-;\-[$€-2]\ * #,##0_-;_-[$€-2]\ * &quot;-&quot;??_-;_-@_-"/>
  </numFmts>
  <fonts count="26" x14ac:knownFonts="1">
    <font>
      <sz val="11"/>
      <color theme="1"/>
      <name val="Aptos Narrow"/>
      <family val="2"/>
      <scheme val="minor"/>
    </font>
    <font>
      <sz val="11"/>
      <color theme="1"/>
      <name val="Aptos Narrow"/>
      <family val="2"/>
      <scheme val="minor"/>
    </font>
    <font>
      <b/>
      <sz val="11"/>
      <color theme="1"/>
      <name val="Aptos Narrow"/>
      <family val="2"/>
      <scheme val="minor"/>
    </font>
    <font>
      <b/>
      <sz val="12"/>
      <color theme="1"/>
      <name val="Aptos Narrow"/>
      <family val="2"/>
      <scheme val="minor"/>
    </font>
    <font>
      <sz val="12"/>
      <color theme="1"/>
      <name val="Aptos Narrow"/>
      <family val="2"/>
      <scheme val="minor"/>
    </font>
    <font>
      <sz val="11"/>
      <color theme="0"/>
      <name val="Aptos Narrow"/>
      <family val="2"/>
      <scheme val="minor"/>
    </font>
    <font>
      <sz val="9"/>
      <color theme="1"/>
      <name val="Aptos Narrow"/>
      <family val="2"/>
      <scheme val="minor"/>
    </font>
    <font>
      <b/>
      <sz val="9"/>
      <color theme="1"/>
      <name val="Aptos Narrow"/>
      <family val="2"/>
      <scheme val="minor"/>
    </font>
    <font>
      <sz val="9"/>
      <color theme="0"/>
      <name val="Aptos Narrow"/>
      <family val="2"/>
      <scheme val="minor"/>
    </font>
    <font>
      <sz val="9"/>
      <color rgb="FF333333"/>
      <name val="Georgia"/>
      <family val="1"/>
    </font>
    <font>
      <b/>
      <sz val="11"/>
      <color theme="0"/>
      <name val="Aptos Narrow"/>
      <family val="2"/>
      <scheme val="minor"/>
    </font>
    <font>
      <b/>
      <sz val="9"/>
      <color rgb="FFFF0000"/>
      <name val="Aptos Narrow"/>
      <family val="2"/>
      <scheme val="minor"/>
    </font>
    <font>
      <sz val="9"/>
      <color indexed="81"/>
      <name val="Tahoma"/>
      <family val="2"/>
    </font>
    <font>
      <b/>
      <sz val="10"/>
      <color rgb="FFFF0000"/>
      <name val="Aptos Narrow"/>
      <family val="2"/>
      <scheme val="minor"/>
    </font>
    <font>
      <b/>
      <sz val="9"/>
      <color indexed="81"/>
      <name val="Tahoma"/>
      <family val="2"/>
    </font>
    <font>
      <sz val="8"/>
      <name val="Aptos Narrow"/>
      <family val="2"/>
      <scheme val="minor"/>
    </font>
    <font>
      <sz val="11"/>
      <color rgb="FFFF0000"/>
      <name val="Aptos Narrow"/>
      <family val="2"/>
      <scheme val="minor"/>
    </font>
    <font>
      <sz val="9"/>
      <color rgb="FFFF0000"/>
      <name val="Aptos Narrow"/>
      <family val="2"/>
      <scheme val="minor"/>
    </font>
    <font>
      <sz val="8"/>
      <color theme="1"/>
      <name val="Aptos"/>
      <family val="2"/>
    </font>
    <font>
      <sz val="8"/>
      <color theme="1"/>
      <name val="Aptos Narrow"/>
      <family val="2"/>
      <scheme val="minor"/>
    </font>
    <font>
      <sz val="11"/>
      <name val="Aptos Narrow"/>
      <family val="2"/>
      <scheme val="minor"/>
    </font>
    <font>
      <sz val="11"/>
      <color theme="5"/>
      <name val="Aptos Narrow"/>
      <family val="2"/>
      <scheme val="minor"/>
    </font>
    <font>
      <sz val="10"/>
      <color rgb="FFFF0000"/>
      <name val="Aptos Narrow"/>
      <family val="2"/>
      <scheme val="minor"/>
    </font>
    <font>
      <sz val="9"/>
      <name val="Aptos Narrow"/>
      <family val="2"/>
      <scheme val="minor"/>
    </font>
    <font>
      <b/>
      <sz val="9"/>
      <name val="Aptos Narrow"/>
      <family val="2"/>
      <scheme val="minor"/>
    </font>
    <font>
      <b/>
      <sz val="11"/>
      <color rgb="FFC00000"/>
      <name val="Aptos Narrow"/>
      <family val="2"/>
      <scheme val="minor"/>
    </font>
  </fonts>
  <fills count="2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8"/>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rgb="FFFFFF0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0"/>
        <bgColor indexed="64"/>
      </patternFill>
    </fill>
    <fill>
      <patternFill patternType="solid">
        <fgColor indexed="65"/>
        <bgColor auto="1"/>
      </patternFill>
    </fill>
    <fill>
      <patternFill patternType="lightDown">
        <fgColor auto="1"/>
        <bgColor theme="0" tint="-4.9989318521683403E-2"/>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8" tint="0.59999389629810485"/>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295">
    <xf numFmtId="0" fontId="0" fillId="0" borderId="0" xfId="0"/>
    <xf numFmtId="0" fontId="2" fillId="0" borderId="0" xfId="0" applyFont="1"/>
    <xf numFmtId="165" fontId="0" fillId="0" borderId="0" xfId="0" applyNumberFormat="1"/>
    <xf numFmtId="0" fontId="0" fillId="0" borderId="1" xfId="0" applyBorder="1"/>
    <xf numFmtId="164" fontId="0" fillId="9" borderId="1" xfId="1" applyNumberFormat="1" applyFont="1" applyFill="1" applyBorder="1"/>
    <xf numFmtId="164" fontId="0" fillId="11" borderId="1" xfId="1" applyNumberFormat="1" applyFont="1" applyFill="1" applyBorder="1"/>
    <xf numFmtId="165" fontId="0" fillId="9" borderId="1" xfId="0" applyNumberFormat="1" applyFill="1" applyBorder="1"/>
    <xf numFmtId="165" fontId="0" fillId="11" borderId="1" xfId="0" applyNumberFormat="1" applyFill="1" applyBorder="1"/>
    <xf numFmtId="165" fontId="0" fillId="4" borderId="1" xfId="0" applyNumberFormat="1" applyFill="1" applyBorder="1"/>
    <xf numFmtId="165" fontId="0" fillId="5" borderId="1" xfId="0" applyNumberFormat="1" applyFill="1" applyBorder="1"/>
    <xf numFmtId="0" fontId="0" fillId="9" borderId="1" xfId="0" applyFill="1" applyBorder="1"/>
    <xf numFmtId="0" fontId="0" fillId="11" borderId="1" xfId="0" applyFill="1" applyBorder="1"/>
    <xf numFmtId="1" fontId="0" fillId="9" borderId="1" xfId="0" applyNumberFormat="1" applyFill="1" applyBorder="1"/>
    <xf numFmtId="1" fontId="0" fillId="11" borderId="1" xfId="0" applyNumberFormat="1" applyFill="1" applyBorder="1"/>
    <xf numFmtId="2" fontId="0" fillId="9" borderId="1" xfId="0" applyNumberFormat="1" applyFill="1" applyBorder="1"/>
    <xf numFmtId="2" fontId="0" fillId="11" borderId="1" xfId="0" applyNumberFormat="1" applyFill="1" applyBorder="1"/>
    <xf numFmtId="2" fontId="0" fillId="4" borderId="1" xfId="0" applyNumberFormat="1" applyFill="1" applyBorder="1"/>
    <xf numFmtId="2" fontId="0" fillId="5" borderId="1" xfId="0" applyNumberFormat="1" applyFill="1" applyBorder="1"/>
    <xf numFmtId="166" fontId="0" fillId="4" borderId="1" xfId="0" applyNumberFormat="1" applyFill="1" applyBorder="1"/>
    <xf numFmtId="166" fontId="0" fillId="5" borderId="1" xfId="0" applyNumberFormat="1" applyFill="1" applyBorder="1"/>
    <xf numFmtId="9" fontId="0" fillId="4" borderId="1" xfId="1" applyFont="1" applyFill="1" applyBorder="1"/>
    <xf numFmtId="9" fontId="0" fillId="5" borderId="1" xfId="1" applyFont="1" applyFill="1" applyBorder="1"/>
    <xf numFmtId="165" fontId="0" fillId="3" borderId="3" xfId="0" applyNumberFormat="1" applyFill="1" applyBorder="1"/>
    <xf numFmtId="2" fontId="0" fillId="3" borderId="3" xfId="0" applyNumberFormat="1" applyFill="1" applyBorder="1"/>
    <xf numFmtId="166" fontId="0" fillId="3" borderId="3" xfId="0" applyNumberFormat="1" applyFill="1" applyBorder="1"/>
    <xf numFmtId="9" fontId="0" fillId="3" borderId="3" xfId="1" applyFont="1" applyFill="1" applyBorder="1"/>
    <xf numFmtId="164" fontId="0" fillId="0" borderId="1" xfId="1" applyNumberFormat="1" applyFont="1" applyFill="1" applyBorder="1"/>
    <xf numFmtId="165" fontId="0" fillId="0" borderId="1" xfId="0" applyNumberFormat="1" applyBorder="1"/>
    <xf numFmtId="166" fontId="0" fillId="0" borderId="1" xfId="0" applyNumberFormat="1" applyBorder="1"/>
    <xf numFmtId="164" fontId="0" fillId="0" borderId="0" xfId="1" applyNumberFormat="1" applyFont="1" applyFill="1" applyBorder="1"/>
    <xf numFmtId="0" fontId="0" fillId="0" borderId="0" xfId="0" applyAlignment="1">
      <alignment horizontal="right"/>
    </xf>
    <xf numFmtId="1" fontId="0" fillId="0" borderId="0" xfId="0" applyNumberFormat="1"/>
    <xf numFmtId="2" fontId="0" fillId="0" borderId="0" xfId="0" applyNumberFormat="1"/>
    <xf numFmtId="166" fontId="0" fillId="0" borderId="0" xfId="0" applyNumberFormat="1"/>
    <xf numFmtId="165" fontId="0" fillId="0" borderId="0" xfId="0" applyNumberFormat="1" applyAlignment="1">
      <alignment horizontal="right"/>
    </xf>
    <xf numFmtId="9" fontId="0" fillId="0" borderId="0" xfId="1" applyFont="1" applyFill="1" applyBorder="1"/>
    <xf numFmtId="0" fontId="0" fillId="0" borderId="2" xfId="0" applyBorder="1"/>
    <xf numFmtId="164" fontId="0" fillId="6" borderId="7" xfId="1" applyNumberFormat="1" applyFont="1" applyFill="1" applyBorder="1"/>
    <xf numFmtId="165" fontId="0" fillId="6" borderId="7" xfId="0" applyNumberFormat="1" applyFill="1" applyBorder="1"/>
    <xf numFmtId="0" fontId="0" fillId="6" borderId="7" xfId="0" applyFill="1" applyBorder="1"/>
    <xf numFmtId="1" fontId="0" fillId="6" borderId="7" xfId="0" applyNumberFormat="1" applyFill="1" applyBorder="1"/>
    <xf numFmtId="2" fontId="0" fillId="6" borderId="7" xfId="0" applyNumberFormat="1" applyFill="1" applyBorder="1"/>
    <xf numFmtId="164" fontId="0" fillId="0" borderId="3" xfId="1" applyNumberFormat="1" applyFont="1" applyFill="1" applyBorder="1"/>
    <xf numFmtId="0" fontId="0" fillId="0" borderId="3" xfId="0" applyBorder="1"/>
    <xf numFmtId="165" fontId="0" fillId="0" borderId="3" xfId="0" applyNumberFormat="1" applyBorder="1"/>
    <xf numFmtId="166" fontId="0" fillId="0" borderId="3" xfId="0" applyNumberFormat="1" applyBorder="1"/>
    <xf numFmtId="166" fontId="0" fillId="6" borderId="9" xfId="0" applyNumberFormat="1" applyFill="1" applyBorder="1"/>
    <xf numFmtId="166" fontId="0" fillId="9" borderId="10" xfId="0" applyNumberFormat="1" applyFill="1" applyBorder="1"/>
    <xf numFmtId="166" fontId="0" fillId="11" borderId="10" xfId="0" applyNumberFormat="1" applyFill="1" applyBorder="1"/>
    <xf numFmtId="164" fontId="0" fillId="3" borderId="8" xfId="1" applyNumberFormat="1" applyFont="1" applyFill="1" applyBorder="1"/>
    <xf numFmtId="165" fontId="0" fillId="3" borderId="8" xfId="0" applyNumberFormat="1" applyFill="1" applyBorder="1"/>
    <xf numFmtId="2" fontId="0" fillId="3" borderId="8" xfId="0" applyNumberFormat="1" applyFill="1" applyBorder="1"/>
    <xf numFmtId="0" fontId="0" fillId="3" borderId="8" xfId="0" applyFill="1" applyBorder="1" applyAlignment="1">
      <alignment horizontal="right"/>
    </xf>
    <xf numFmtId="165" fontId="0" fillId="3" borderId="8" xfId="0" applyNumberFormat="1" applyFill="1" applyBorder="1" applyAlignment="1">
      <alignment horizontal="right"/>
    </xf>
    <xf numFmtId="166" fontId="0" fillId="3" borderId="11" xfId="0" applyNumberFormat="1" applyFill="1" applyBorder="1"/>
    <xf numFmtId="0" fontId="0" fillId="0" borderId="12" xfId="0" applyBorder="1"/>
    <xf numFmtId="0" fontId="0" fillId="0" borderId="13" xfId="0" applyBorder="1"/>
    <xf numFmtId="0" fontId="0" fillId="0" borderId="5" xfId="0" applyBorder="1"/>
    <xf numFmtId="0" fontId="0" fillId="0" borderId="17" xfId="0" applyBorder="1"/>
    <xf numFmtId="0" fontId="0" fillId="12" borderId="18" xfId="0" applyFill="1" applyBorder="1"/>
    <xf numFmtId="0" fontId="0" fillId="12" borderId="19" xfId="0" applyFill="1" applyBorder="1"/>
    <xf numFmtId="0" fontId="0" fillId="0" borderId="10" xfId="0" applyBorder="1"/>
    <xf numFmtId="0" fontId="0" fillId="0" borderId="20" xfId="0" applyBorder="1"/>
    <xf numFmtId="9" fontId="0" fillId="6" borderId="9" xfId="1" applyFont="1" applyFill="1" applyBorder="1"/>
    <xf numFmtId="9" fontId="0" fillId="9" borderId="10" xfId="1" applyFont="1" applyFill="1" applyBorder="1"/>
    <xf numFmtId="9" fontId="0" fillId="11" borderId="10" xfId="1" applyFont="1" applyFill="1" applyBorder="1"/>
    <xf numFmtId="9" fontId="0" fillId="3" borderId="11" xfId="1" applyFont="1" applyFill="1" applyBorder="1"/>
    <xf numFmtId="0" fontId="2" fillId="13" borderId="16" xfId="0" applyFont="1" applyFill="1" applyBorder="1"/>
    <xf numFmtId="165" fontId="0" fillId="6" borderId="4" xfId="0" applyNumberFormat="1" applyFill="1" applyBorder="1"/>
    <xf numFmtId="165" fontId="0" fillId="9" borderId="5" xfId="0" applyNumberFormat="1" applyFill="1" applyBorder="1"/>
    <xf numFmtId="165" fontId="0" fillId="11" borderId="5" xfId="0" applyNumberFormat="1" applyFill="1" applyBorder="1"/>
    <xf numFmtId="165" fontId="0" fillId="3" borderId="6" xfId="0" applyNumberFormat="1" applyFill="1" applyBorder="1" applyAlignment="1">
      <alignment horizontal="right"/>
    </xf>
    <xf numFmtId="0" fontId="0" fillId="13" borderId="18" xfId="0" applyFill="1" applyBorder="1"/>
    <xf numFmtId="0" fontId="0" fillId="13" borderId="19" xfId="0" applyFill="1" applyBorder="1"/>
    <xf numFmtId="0" fontId="2" fillId="14" borderId="16" xfId="0" applyFont="1" applyFill="1" applyBorder="1"/>
    <xf numFmtId="0" fontId="0" fillId="14" borderId="18" xfId="0" applyFill="1" applyBorder="1"/>
    <xf numFmtId="0" fontId="0" fillId="14" borderId="19" xfId="0" applyFill="1" applyBorder="1"/>
    <xf numFmtId="0" fontId="2" fillId="12" borderId="18" xfId="0" applyFont="1" applyFill="1" applyBorder="1"/>
    <xf numFmtId="164" fontId="0" fillId="6" borderId="14" xfId="1" applyNumberFormat="1" applyFont="1" applyFill="1" applyBorder="1"/>
    <xf numFmtId="164" fontId="0" fillId="9" borderId="12" xfId="1" applyNumberFormat="1" applyFont="1" applyFill="1" applyBorder="1"/>
    <xf numFmtId="164" fontId="0" fillId="11" borderId="12" xfId="1" applyNumberFormat="1" applyFont="1" applyFill="1" applyBorder="1"/>
    <xf numFmtId="164" fontId="0" fillId="3" borderId="15" xfId="1" applyNumberFormat="1" applyFont="1" applyFill="1" applyBorder="1"/>
    <xf numFmtId="0" fontId="2" fillId="0" borderId="21" xfId="0" applyFont="1" applyBorder="1"/>
    <xf numFmtId="0" fontId="2" fillId="0" borderId="22" xfId="0" applyFont="1" applyBorder="1"/>
    <xf numFmtId="0" fontId="2" fillId="0" borderId="23" xfId="0" applyFont="1" applyBorder="1"/>
    <xf numFmtId="0" fontId="2" fillId="7" borderId="21" xfId="0" applyFont="1" applyFill="1" applyBorder="1" applyAlignment="1">
      <alignment vertical="center" wrapText="1"/>
    </xf>
    <xf numFmtId="0" fontId="2" fillId="8" borderId="22" xfId="0" applyFont="1" applyFill="1" applyBorder="1" applyAlignment="1">
      <alignment vertical="center" wrapText="1"/>
    </xf>
    <xf numFmtId="0" fontId="2" fillId="10" borderId="22" xfId="0" applyFont="1" applyFill="1" applyBorder="1" applyAlignment="1">
      <alignment vertical="center" wrapText="1"/>
    </xf>
    <xf numFmtId="0" fontId="2" fillId="2" borderId="24" xfId="0" applyFont="1" applyFill="1" applyBorder="1" applyAlignment="1">
      <alignment vertical="center" wrapText="1"/>
    </xf>
    <xf numFmtId="1" fontId="0" fillId="3" borderId="8" xfId="0" applyNumberFormat="1" applyFill="1" applyBorder="1" applyAlignment="1">
      <alignment horizontal="right"/>
    </xf>
    <xf numFmtId="1" fontId="0" fillId="6" borderId="3" xfId="0" applyNumberFormat="1" applyFill="1" applyBorder="1"/>
    <xf numFmtId="0" fontId="2" fillId="2" borderId="3" xfId="0" applyFont="1" applyFill="1" applyBorder="1" applyAlignment="1">
      <alignment horizontal="center" wrapText="1"/>
    </xf>
    <xf numFmtId="0" fontId="2" fillId="2" borderId="1" xfId="0" applyFont="1" applyFill="1" applyBorder="1" applyAlignment="1">
      <alignment horizontal="center" wrapText="1"/>
    </xf>
    <xf numFmtId="0" fontId="0" fillId="15" borderId="1" xfId="0" applyFill="1" applyBorder="1"/>
    <xf numFmtId="0" fontId="0" fillId="7" borderId="1" xfId="0" applyFill="1" applyBorder="1"/>
    <xf numFmtId="0" fontId="3" fillId="0" borderId="0" xfId="0" applyFont="1"/>
    <xf numFmtId="0" fontId="4" fillId="0" borderId="0" xfId="0" applyFont="1"/>
    <xf numFmtId="164" fontId="0" fillId="17" borderId="12" xfId="1" applyNumberFormat="1" applyFont="1" applyFill="1" applyBorder="1"/>
    <xf numFmtId="164" fontId="0" fillId="17" borderId="1" xfId="1" applyNumberFormat="1" applyFont="1" applyFill="1" applyBorder="1"/>
    <xf numFmtId="165" fontId="0" fillId="17" borderId="1" xfId="0" applyNumberFormat="1" applyFill="1" applyBorder="1"/>
    <xf numFmtId="2" fontId="0" fillId="17" borderId="1" xfId="0" applyNumberFormat="1" applyFill="1" applyBorder="1"/>
    <xf numFmtId="9" fontId="0" fillId="17" borderId="10" xfId="1" applyFont="1" applyFill="1" applyBorder="1"/>
    <xf numFmtId="165" fontId="0" fillId="17" borderId="5" xfId="0" applyNumberFormat="1" applyFill="1" applyBorder="1"/>
    <xf numFmtId="1" fontId="0" fillId="17" borderId="1" xfId="0" applyNumberFormat="1" applyFill="1" applyBorder="1"/>
    <xf numFmtId="166" fontId="0" fillId="17" borderId="10" xfId="0" applyNumberFormat="1" applyFill="1" applyBorder="1"/>
    <xf numFmtId="0" fontId="6" fillId="0" borderId="0" xfId="0" applyFont="1"/>
    <xf numFmtId="0" fontId="6" fillId="0" borderId="26" xfId="0" applyFont="1" applyBorder="1"/>
    <xf numFmtId="0" fontId="6" fillId="0" borderId="27" xfId="0" applyFont="1" applyBorder="1"/>
    <xf numFmtId="0" fontId="6" fillId="0" borderId="28" xfId="0" applyFont="1" applyBorder="1"/>
    <xf numFmtId="0" fontId="6" fillId="0" borderId="29" xfId="0" applyFont="1" applyBorder="1"/>
    <xf numFmtId="0" fontId="5" fillId="8" borderId="0" xfId="0" applyFont="1" applyFill="1"/>
    <xf numFmtId="0" fontId="6" fillId="8" borderId="26" xfId="0" applyFont="1" applyFill="1" applyBorder="1"/>
    <xf numFmtId="0" fontId="7" fillId="0" borderId="0" xfId="0" applyFont="1"/>
    <xf numFmtId="0" fontId="7" fillId="0" borderId="29" xfId="0" applyFont="1" applyBorder="1"/>
    <xf numFmtId="0" fontId="8" fillId="8" borderId="0" xfId="0" applyFont="1" applyFill="1"/>
    <xf numFmtId="0" fontId="9" fillId="0" borderId="0" xfId="0" applyFont="1"/>
    <xf numFmtId="0" fontId="7" fillId="0" borderId="28" xfId="0" applyFont="1" applyBorder="1"/>
    <xf numFmtId="0" fontId="11" fillId="0" borderId="28" xfId="0" applyFont="1" applyBorder="1"/>
    <xf numFmtId="0" fontId="11" fillId="0" borderId="0" xfId="0" applyFont="1"/>
    <xf numFmtId="0" fontId="11" fillId="0" borderId="13" xfId="0" applyFont="1" applyBorder="1"/>
    <xf numFmtId="0" fontId="11" fillId="0" borderId="30" xfId="0" applyFont="1" applyBorder="1"/>
    <xf numFmtId="0" fontId="7" fillId="0" borderId="30" xfId="0" applyFont="1" applyBorder="1"/>
    <xf numFmtId="0" fontId="7" fillId="0" borderId="31" xfId="0" applyFont="1" applyBorder="1"/>
    <xf numFmtId="0" fontId="10" fillId="8" borderId="25" xfId="0" applyFont="1" applyFill="1" applyBorder="1"/>
    <xf numFmtId="4" fontId="0" fillId="0" borderId="0" xfId="0" applyNumberFormat="1"/>
    <xf numFmtId="4" fontId="13" fillId="19" borderId="1" xfId="0" applyNumberFormat="1" applyFont="1" applyFill="1" applyBorder="1"/>
    <xf numFmtId="0" fontId="2" fillId="17" borderId="32" xfId="0" applyFont="1" applyFill="1" applyBorder="1" applyAlignment="1">
      <alignment vertical="center" wrapText="1"/>
    </xf>
    <xf numFmtId="0" fontId="2" fillId="17" borderId="22" xfId="0" applyFont="1" applyFill="1" applyBorder="1" applyAlignment="1">
      <alignment vertical="center" wrapText="1"/>
    </xf>
    <xf numFmtId="164" fontId="0" fillId="17" borderId="31" xfId="1" applyNumberFormat="1" applyFont="1" applyFill="1" applyBorder="1"/>
    <xf numFmtId="164" fontId="0" fillId="17" borderId="3" xfId="1" applyNumberFormat="1" applyFont="1" applyFill="1" applyBorder="1"/>
    <xf numFmtId="165" fontId="0" fillId="17" borderId="3" xfId="0" applyNumberFormat="1" applyFill="1" applyBorder="1"/>
    <xf numFmtId="2" fontId="0" fillId="17" borderId="3" xfId="0" applyNumberFormat="1" applyFill="1" applyBorder="1"/>
    <xf numFmtId="0" fontId="0" fillId="17" borderId="3" xfId="0" applyFill="1" applyBorder="1"/>
    <xf numFmtId="9" fontId="0" fillId="17" borderId="33" xfId="1" applyFont="1" applyFill="1" applyBorder="1"/>
    <xf numFmtId="165" fontId="0" fillId="17" borderId="34" xfId="0" applyNumberFormat="1" applyFill="1" applyBorder="1"/>
    <xf numFmtId="1" fontId="0" fillId="17" borderId="3" xfId="0" applyNumberFormat="1" applyFill="1" applyBorder="1"/>
    <xf numFmtId="166" fontId="0" fillId="17" borderId="33" xfId="0" applyNumberFormat="1" applyFill="1" applyBorder="1"/>
    <xf numFmtId="9" fontId="5" fillId="8" borderId="0" xfId="0" applyNumberFormat="1" applyFont="1" applyFill="1"/>
    <xf numFmtId="9" fontId="2" fillId="0" borderId="0" xfId="0" applyNumberFormat="1" applyFont="1"/>
    <xf numFmtId="2" fontId="2" fillId="0" borderId="0" xfId="0" applyNumberFormat="1" applyFont="1"/>
    <xf numFmtId="0" fontId="7" fillId="0" borderId="35" xfId="0" applyFont="1" applyBorder="1"/>
    <xf numFmtId="0" fontId="7" fillId="12" borderId="35" xfId="0" applyFont="1" applyFill="1" applyBorder="1"/>
    <xf numFmtId="0" fontId="6" fillId="0" borderId="35" xfId="0" applyFont="1" applyBorder="1"/>
    <xf numFmtId="164" fontId="6" fillId="17" borderId="35" xfId="1" applyNumberFormat="1" applyFont="1" applyFill="1" applyBorder="1"/>
    <xf numFmtId="164" fontId="0" fillId="3" borderId="35" xfId="1" applyNumberFormat="1" applyFont="1" applyFill="1" applyBorder="1"/>
    <xf numFmtId="0" fontId="0" fillId="0" borderId="35" xfId="0" applyBorder="1"/>
    <xf numFmtId="0" fontId="6" fillId="12" borderId="35" xfId="0" applyFont="1" applyFill="1" applyBorder="1"/>
    <xf numFmtId="0" fontId="7" fillId="13" borderId="35" xfId="0" applyFont="1" applyFill="1" applyBorder="1"/>
    <xf numFmtId="165" fontId="6" fillId="17" borderId="35" xfId="0" applyNumberFormat="1" applyFont="1" applyFill="1" applyBorder="1"/>
    <xf numFmtId="2" fontId="6" fillId="17" borderId="35" xfId="0" applyNumberFormat="1" applyFont="1" applyFill="1" applyBorder="1"/>
    <xf numFmtId="2" fontId="0" fillId="3" borderId="35" xfId="0" applyNumberFormat="1" applyFill="1" applyBorder="1"/>
    <xf numFmtId="0" fontId="6" fillId="18" borderId="35" xfId="0" applyFont="1" applyFill="1" applyBorder="1"/>
    <xf numFmtId="0" fontId="6" fillId="13" borderId="35" xfId="0" applyFont="1" applyFill="1" applyBorder="1"/>
    <xf numFmtId="1" fontId="0" fillId="3" borderId="35" xfId="0" applyNumberFormat="1" applyFill="1" applyBorder="1" applyAlignment="1">
      <alignment horizontal="right"/>
    </xf>
    <xf numFmtId="166" fontId="0" fillId="3" borderId="35" xfId="0" applyNumberFormat="1" applyFill="1" applyBorder="1"/>
    <xf numFmtId="0" fontId="7" fillId="14" borderId="35" xfId="0" applyFont="1" applyFill="1" applyBorder="1"/>
    <xf numFmtId="165" fontId="6" fillId="6" borderId="35" xfId="0" applyNumberFormat="1" applyFont="1" applyFill="1" applyBorder="1"/>
    <xf numFmtId="0" fontId="6" fillId="14" borderId="35" xfId="0" applyFont="1" applyFill="1" applyBorder="1"/>
    <xf numFmtId="1" fontId="6" fillId="6" borderId="35" xfId="0" applyNumberFormat="1" applyFont="1" applyFill="1" applyBorder="1"/>
    <xf numFmtId="164" fontId="6" fillId="6" borderId="35" xfId="1" applyNumberFormat="1" applyFont="1" applyFill="1" applyBorder="1"/>
    <xf numFmtId="2" fontId="6" fillId="6" borderId="35" xfId="0" applyNumberFormat="1" applyFont="1" applyFill="1" applyBorder="1"/>
    <xf numFmtId="166" fontId="6" fillId="6" borderId="35" xfId="0" applyNumberFormat="1" applyFont="1" applyFill="1" applyBorder="1"/>
    <xf numFmtId="164" fontId="6" fillId="3" borderId="35" xfId="1" applyNumberFormat="1" applyFont="1" applyFill="1" applyBorder="1"/>
    <xf numFmtId="165" fontId="6" fillId="3" borderId="35" xfId="0" applyNumberFormat="1" applyFont="1" applyFill="1" applyBorder="1" applyAlignment="1">
      <alignment horizontal="right"/>
    </xf>
    <xf numFmtId="164" fontId="6" fillId="17" borderId="35" xfId="1" applyNumberFormat="1" applyFont="1" applyFill="1" applyBorder="1" applyAlignment="1">
      <alignment horizontal="right"/>
    </xf>
    <xf numFmtId="164" fontId="6" fillId="3" borderId="35" xfId="1" applyNumberFormat="1" applyFont="1" applyFill="1" applyBorder="1" applyAlignment="1">
      <alignment horizontal="right"/>
    </xf>
    <xf numFmtId="2" fontId="6" fillId="0" borderId="35" xfId="0" applyNumberFormat="1" applyFont="1" applyBorder="1" applyAlignment="1">
      <alignment horizontal="right"/>
    </xf>
    <xf numFmtId="0" fontId="6" fillId="0" borderId="35" xfId="0" applyFont="1" applyBorder="1" applyAlignment="1">
      <alignment horizontal="right"/>
    </xf>
    <xf numFmtId="165" fontId="6" fillId="17" borderId="35" xfId="0" applyNumberFormat="1" applyFont="1" applyFill="1" applyBorder="1" applyAlignment="1">
      <alignment horizontal="right"/>
    </xf>
    <xf numFmtId="165" fontId="6" fillId="6" borderId="35" xfId="0" applyNumberFormat="1" applyFont="1" applyFill="1" applyBorder="1" applyAlignment="1">
      <alignment horizontal="right"/>
    </xf>
    <xf numFmtId="2" fontId="6" fillId="17" borderId="35" xfId="0" applyNumberFormat="1" applyFont="1" applyFill="1" applyBorder="1" applyAlignment="1">
      <alignment horizontal="right"/>
    </xf>
    <xf numFmtId="2" fontId="6" fillId="3" borderId="35" xfId="0" applyNumberFormat="1" applyFont="1" applyFill="1" applyBorder="1" applyAlignment="1">
      <alignment horizontal="right"/>
    </xf>
    <xf numFmtId="2" fontId="6" fillId="6" borderId="35" xfId="0" applyNumberFormat="1" applyFont="1" applyFill="1" applyBorder="1" applyAlignment="1">
      <alignment horizontal="right"/>
    </xf>
    <xf numFmtId="0" fontId="6" fillId="6" borderId="35" xfId="0" applyFont="1" applyFill="1" applyBorder="1" applyAlignment="1">
      <alignment horizontal="right"/>
    </xf>
    <xf numFmtId="9" fontId="6" fillId="3" borderId="35" xfId="1" applyFont="1" applyFill="1" applyBorder="1" applyAlignment="1">
      <alignment horizontal="right"/>
    </xf>
    <xf numFmtId="9" fontId="6" fillId="6" borderId="35" xfId="1" applyFont="1" applyFill="1" applyBorder="1" applyAlignment="1">
      <alignment horizontal="right"/>
    </xf>
    <xf numFmtId="1" fontId="6" fillId="6" borderId="35" xfId="0" applyNumberFormat="1" applyFont="1" applyFill="1" applyBorder="1" applyAlignment="1">
      <alignment horizontal="right"/>
    </xf>
    <xf numFmtId="165" fontId="6" fillId="6" borderId="35" xfId="1" applyNumberFormat="1" applyFont="1" applyFill="1" applyBorder="1" applyAlignment="1">
      <alignment horizontal="right"/>
    </xf>
    <xf numFmtId="166" fontId="6" fillId="3" borderId="35" xfId="0" applyNumberFormat="1" applyFont="1" applyFill="1" applyBorder="1" applyAlignment="1">
      <alignment horizontal="right"/>
    </xf>
    <xf numFmtId="166" fontId="6" fillId="6" borderId="35" xfId="0" applyNumberFormat="1" applyFont="1" applyFill="1" applyBorder="1" applyAlignment="1">
      <alignment horizontal="right"/>
    </xf>
    <xf numFmtId="0" fontId="6" fillId="20" borderId="35" xfId="0" applyFont="1" applyFill="1" applyBorder="1"/>
    <xf numFmtId="0" fontId="6" fillId="20" borderId="35" xfId="0" applyFont="1" applyFill="1" applyBorder="1" applyAlignment="1">
      <alignment horizontal="right"/>
    </xf>
    <xf numFmtId="0" fontId="7" fillId="16" borderId="35" xfId="0" applyFont="1" applyFill="1" applyBorder="1" applyAlignment="1">
      <alignment horizontal="center" vertical="center" wrapText="1"/>
    </xf>
    <xf numFmtId="0" fontId="7" fillId="2" borderId="35" xfId="0" applyFont="1" applyFill="1" applyBorder="1" applyAlignment="1">
      <alignment horizontal="center" vertical="center" wrapText="1"/>
    </xf>
    <xf numFmtId="0" fontId="7" fillId="0" borderId="35" xfId="0" applyFont="1" applyBorder="1" applyAlignment="1">
      <alignment horizontal="center"/>
    </xf>
    <xf numFmtId="0" fontId="6" fillId="0" borderId="35" xfId="0" applyFont="1" applyBorder="1" applyAlignment="1">
      <alignment horizontal="center"/>
    </xf>
    <xf numFmtId="0" fontId="7" fillId="20" borderId="35" xfId="0" applyFont="1" applyFill="1" applyBorder="1" applyAlignment="1">
      <alignment horizontal="center"/>
    </xf>
    <xf numFmtId="0" fontId="7" fillId="7" borderId="35" xfId="0" applyFont="1" applyFill="1" applyBorder="1" applyAlignment="1">
      <alignment horizontal="center"/>
    </xf>
    <xf numFmtId="4" fontId="16" fillId="0" borderId="0" xfId="0" applyNumberFormat="1" applyFont="1"/>
    <xf numFmtId="0" fontId="18" fillId="0" borderId="0" xfId="0" applyFont="1" applyAlignment="1">
      <alignment vertical="center"/>
    </xf>
    <xf numFmtId="0" fontId="19" fillId="0" borderId="0" xfId="0" applyFont="1"/>
    <xf numFmtId="0" fontId="20" fillId="21" borderId="0" xfId="0" applyFont="1" applyFill="1"/>
    <xf numFmtId="4" fontId="17" fillId="0" borderId="0" xfId="0" applyNumberFormat="1" applyFont="1" applyAlignment="1">
      <alignment horizontal="left"/>
    </xf>
    <xf numFmtId="3" fontId="5" fillId="8" borderId="0" xfId="0" applyNumberFormat="1" applyFont="1" applyFill="1"/>
    <xf numFmtId="0" fontId="21" fillId="0" borderId="0" xfId="0" applyFont="1"/>
    <xf numFmtId="9" fontId="0" fillId="15" borderId="0" xfId="0" applyNumberFormat="1" applyFill="1"/>
    <xf numFmtId="4" fontId="22" fillId="0" borderId="0" xfId="0" applyNumberFormat="1" applyFont="1"/>
    <xf numFmtId="4" fontId="13" fillId="0" borderId="0" xfId="0" applyNumberFormat="1" applyFont="1" applyAlignment="1">
      <alignment horizontal="left"/>
    </xf>
    <xf numFmtId="0" fontId="11" fillId="0" borderId="1" xfId="0" applyFont="1" applyBorder="1"/>
    <xf numFmtId="0" fontId="2" fillId="0" borderId="1" xfId="0" applyFont="1" applyBorder="1"/>
    <xf numFmtId="0" fontId="5" fillId="8" borderId="1" xfId="0" applyFont="1" applyFill="1" applyBorder="1"/>
    <xf numFmtId="2" fontId="0" fillId="0" borderId="1" xfId="0" applyNumberFormat="1" applyBorder="1"/>
    <xf numFmtId="9" fontId="5" fillId="8" borderId="1" xfId="0" applyNumberFormat="1" applyFont="1" applyFill="1" applyBorder="1"/>
    <xf numFmtId="2" fontId="2" fillId="0" borderId="1" xfId="0" applyNumberFormat="1" applyFont="1" applyBorder="1"/>
    <xf numFmtId="0" fontId="0" fillId="22" borderId="0" xfId="0" applyFill="1"/>
    <xf numFmtId="0" fontId="0" fillId="23" borderId="0" xfId="0" applyFill="1"/>
    <xf numFmtId="166" fontId="6" fillId="17" borderId="35" xfId="0" applyNumberFormat="1" applyFont="1" applyFill="1" applyBorder="1" applyAlignment="1">
      <alignment horizontal="right"/>
    </xf>
    <xf numFmtId="167" fontId="6" fillId="17" borderId="35" xfId="0" applyNumberFormat="1" applyFont="1" applyFill="1" applyBorder="1" applyAlignment="1">
      <alignment horizontal="right"/>
    </xf>
    <xf numFmtId="10" fontId="6" fillId="17" borderId="35" xfId="1" applyNumberFormat="1" applyFont="1" applyFill="1" applyBorder="1" applyAlignment="1">
      <alignment horizontal="right"/>
    </xf>
    <xf numFmtId="168" fontId="0" fillId="17" borderId="3" xfId="1" applyNumberFormat="1" applyFont="1" applyFill="1" applyBorder="1"/>
    <xf numFmtId="169" fontId="0" fillId="17" borderId="1" xfId="1" applyNumberFormat="1" applyFont="1" applyFill="1" applyBorder="1"/>
    <xf numFmtId="0" fontId="0" fillId="24" borderId="12" xfId="0" applyFill="1" applyBorder="1"/>
    <xf numFmtId="0" fontId="0" fillId="24" borderId="1" xfId="0" applyFill="1" applyBorder="1"/>
    <xf numFmtId="170" fontId="0" fillId="17" borderId="1" xfId="0" applyNumberFormat="1" applyFill="1" applyBorder="1"/>
    <xf numFmtId="164" fontId="0" fillId="0" borderId="0" xfId="1" applyNumberFormat="1" applyFont="1"/>
    <xf numFmtId="3" fontId="0" fillId="0" borderId="0" xfId="0" applyNumberFormat="1"/>
    <xf numFmtId="171" fontId="6" fillId="17" borderId="35" xfId="1" applyNumberFormat="1" applyFont="1" applyFill="1" applyBorder="1" applyAlignment="1">
      <alignment horizontal="right"/>
    </xf>
    <xf numFmtId="171" fontId="6" fillId="17" borderId="35" xfId="0" applyNumberFormat="1" applyFont="1" applyFill="1" applyBorder="1" applyAlignment="1">
      <alignment horizontal="right"/>
    </xf>
    <xf numFmtId="172" fontId="6" fillId="17" borderId="35" xfId="1" applyNumberFormat="1" applyFont="1" applyFill="1" applyBorder="1" applyAlignment="1">
      <alignment horizontal="right"/>
    </xf>
    <xf numFmtId="173" fontId="6" fillId="17" borderId="35" xfId="1" applyNumberFormat="1" applyFont="1" applyFill="1" applyBorder="1" applyAlignment="1">
      <alignment horizontal="right"/>
    </xf>
    <xf numFmtId="174" fontId="6" fillId="17" borderId="35" xfId="0" applyNumberFormat="1" applyFont="1" applyFill="1" applyBorder="1" applyAlignment="1">
      <alignment horizontal="right"/>
    </xf>
    <xf numFmtId="174" fontId="6" fillId="3" borderId="35" xfId="0" applyNumberFormat="1" applyFont="1" applyFill="1" applyBorder="1" applyAlignment="1">
      <alignment horizontal="right"/>
    </xf>
    <xf numFmtId="174" fontId="6" fillId="0" borderId="35" xfId="0" applyNumberFormat="1" applyFont="1" applyBorder="1" applyAlignment="1">
      <alignment horizontal="right"/>
    </xf>
    <xf numFmtId="174" fontId="6" fillId="20" borderId="35" xfId="0" applyNumberFormat="1" applyFont="1" applyFill="1" applyBorder="1" applyAlignment="1">
      <alignment horizontal="right"/>
    </xf>
    <xf numFmtId="174" fontId="6" fillId="6" borderId="35" xfId="0" applyNumberFormat="1" applyFont="1" applyFill="1" applyBorder="1" applyAlignment="1">
      <alignment horizontal="right"/>
    </xf>
    <xf numFmtId="174" fontId="6" fillId="3" borderId="35" xfId="1" applyNumberFormat="1" applyFont="1" applyFill="1" applyBorder="1" applyAlignment="1">
      <alignment horizontal="right"/>
    </xf>
    <xf numFmtId="174" fontId="6" fillId="6" borderId="35" xfId="1" applyNumberFormat="1" applyFont="1" applyFill="1" applyBorder="1" applyAlignment="1">
      <alignment horizontal="right"/>
    </xf>
    <xf numFmtId="172" fontId="6" fillId="3" borderId="35" xfId="0" applyNumberFormat="1" applyFont="1" applyFill="1" applyBorder="1" applyAlignment="1">
      <alignment horizontal="right"/>
    </xf>
    <xf numFmtId="9" fontId="0" fillId="0" borderId="0" xfId="1" applyFont="1"/>
    <xf numFmtId="9" fontId="2" fillId="0" borderId="0" xfId="1" applyFont="1"/>
    <xf numFmtId="9" fontId="6" fillId="0" borderId="35" xfId="0" applyNumberFormat="1" applyFont="1" applyBorder="1" applyAlignment="1">
      <alignment horizontal="right"/>
    </xf>
    <xf numFmtId="2" fontId="0" fillId="0" borderId="0" xfId="1" applyNumberFormat="1" applyFont="1"/>
    <xf numFmtId="164" fontId="6" fillId="6" borderId="35" xfId="1" applyNumberFormat="1" applyFont="1" applyFill="1" applyBorder="1" applyAlignment="1">
      <alignment horizontal="right"/>
    </xf>
    <xf numFmtId="0" fontId="23" fillId="12" borderId="35" xfId="0" applyFont="1" applyFill="1" applyBorder="1"/>
    <xf numFmtId="172" fontId="23" fillId="17" borderId="35" xfId="1" applyNumberFormat="1" applyFont="1" applyFill="1" applyBorder="1" applyAlignment="1">
      <alignment horizontal="right"/>
    </xf>
    <xf numFmtId="166" fontId="23" fillId="3" borderId="35" xfId="0" applyNumberFormat="1" applyFont="1" applyFill="1" applyBorder="1" applyAlignment="1">
      <alignment horizontal="right"/>
    </xf>
    <xf numFmtId="2" fontId="23" fillId="0" borderId="35" xfId="0" applyNumberFormat="1" applyFont="1" applyBorder="1" applyAlignment="1">
      <alignment horizontal="right"/>
    </xf>
    <xf numFmtId="9" fontId="23" fillId="0" borderId="35" xfId="0" applyNumberFormat="1" applyFont="1" applyBorder="1" applyAlignment="1">
      <alignment horizontal="right"/>
    </xf>
    <xf numFmtId="0" fontId="23" fillId="20" borderId="35" xfId="0" applyFont="1" applyFill="1" applyBorder="1" applyAlignment="1">
      <alignment horizontal="right"/>
    </xf>
    <xf numFmtId="0" fontId="23" fillId="6" borderId="35" xfId="0" applyFont="1" applyFill="1" applyBorder="1" applyAlignment="1">
      <alignment horizontal="right"/>
    </xf>
    <xf numFmtId="0" fontId="23" fillId="0" borderId="35" xfId="0" applyFont="1" applyBorder="1" applyAlignment="1">
      <alignment horizontal="right"/>
    </xf>
    <xf numFmtId="2" fontId="20" fillId="0" borderId="0" xfId="1" applyNumberFormat="1" applyFont="1"/>
    <xf numFmtId="0" fontId="20" fillId="0" borderId="0" xfId="0" applyFont="1"/>
    <xf numFmtId="0" fontId="24" fillId="13" borderId="35" xfId="0" applyFont="1" applyFill="1" applyBorder="1"/>
    <xf numFmtId="0" fontId="23" fillId="13" borderId="35" xfId="0" applyFont="1" applyFill="1" applyBorder="1"/>
    <xf numFmtId="2" fontId="23" fillId="3" borderId="35" xfId="0" applyNumberFormat="1" applyFont="1" applyFill="1" applyBorder="1" applyAlignment="1">
      <alignment horizontal="right"/>
    </xf>
    <xf numFmtId="165" fontId="23" fillId="6" borderId="35" xfId="0" applyNumberFormat="1" applyFont="1" applyFill="1" applyBorder="1" applyAlignment="1">
      <alignment horizontal="right"/>
    </xf>
    <xf numFmtId="172" fontId="23" fillId="3" borderId="35" xfId="0" applyNumberFormat="1" applyFont="1" applyFill="1" applyBorder="1" applyAlignment="1">
      <alignment horizontal="right"/>
    </xf>
    <xf numFmtId="1" fontId="23" fillId="6" borderId="35" xfId="0" applyNumberFormat="1" applyFont="1" applyFill="1" applyBorder="1" applyAlignment="1">
      <alignment horizontal="right"/>
    </xf>
    <xf numFmtId="0" fontId="5" fillId="8" borderId="7" xfId="0" applyFont="1" applyFill="1" applyBorder="1"/>
    <xf numFmtId="9" fontId="0" fillId="0" borderId="8" xfId="1" applyFont="1" applyBorder="1"/>
    <xf numFmtId="0" fontId="5" fillId="8" borderId="9" xfId="0" applyFont="1" applyFill="1" applyBorder="1"/>
    <xf numFmtId="9" fontId="5" fillId="8" borderId="10" xfId="0" applyNumberFormat="1" applyFont="1" applyFill="1" applyBorder="1"/>
    <xf numFmtId="9" fontId="0" fillId="0" borderId="11" xfId="1" applyFont="1" applyBorder="1"/>
    <xf numFmtId="0" fontId="2" fillId="0" borderId="36" xfId="0" applyFont="1" applyBorder="1"/>
    <xf numFmtId="0" fontId="2" fillId="0" borderId="37" xfId="0" applyFont="1" applyBorder="1"/>
    <xf numFmtId="0" fontId="2" fillId="0" borderId="38" xfId="0" applyFont="1" applyBorder="1"/>
    <xf numFmtId="0" fontId="5" fillId="8" borderId="4" xfId="0" applyFont="1" applyFill="1" applyBorder="1"/>
    <xf numFmtId="0" fontId="5" fillId="8" borderId="5" xfId="0" applyFont="1" applyFill="1" applyBorder="1"/>
    <xf numFmtId="9" fontId="0" fillId="0" borderId="6" xfId="1" applyFont="1" applyBorder="1"/>
    <xf numFmtId="0" fontId="7" fillId="25" borderId="35" xfId="0" applyFont="1" applyFill="1" applyBorder="1" applyAlignment="1">
      <alignment horizontal="center" vertical="center" wrapText="1"/>
    </xf>
    <xf numFmtId="0" fontId="6" fillId="9" borderId="35" xfId="0" applyFont="1" applyFill="1" applyBorder="1" applyAlignment="1">
      <alignment horizontal="right"/>
    </xf>
    <xf numFmtId="0" fontId="23" fillId="9" borderId="35" xfId="0" applyFont="1" applyFill="1" applyBorder="1" applyAlignment="1">
      <alignment horizontal="right"/>
    </xf>
    <xf numFmtId="4" fontId="13" fillId="19" borderId="0" xfId="0" applyNumberFormat="1" applyFont="1" applyFill="1"/>
    <xf numFmtId="10" fontId="6" fillId="0" borderId="0" xfId="1" applyNumberFormat="1" applyFont="1"/>
    <xf numFmtId="3" fontId="16" fillId="0" borderId="0" xfId="0" applyNumberFormat="1" applyFont="1"/>
    <xf numFmtId="0" fontId="6" fillId="13" borderId="0" xfId="0" applyFont="1" applyFill="1"/>
    <xf numFmtId="172" fontId="6" fillId="17" borderId="0" xfId="1" applyNumberFormat="1" applyFont="1" applyFill="1" applyBorder="1" applyAlignment="1">
      <alignment horizontal="right"/>
    </xf>
    <xf numFmtId="166" fontId="6" fillId="3" borderId="0" xfId="0" applyNumberFormat="1" applyFont="1" applyFill="1" applyAlignment="1">
      <alignment horizontal="right"/>
    </xf>
    <xf numFmtId="2" fontId="6" fillId="0" borderId="0" xfId="0" applyNumberFormat="1" applyFont="1" applyAlignment="1">
      <alignment horizontal="right"/>
    </xf>
    <xf numFmtId="9" fontId="6" fillId="0" borderId="0" xfId="0" applyNumberFormat="1" applyFont="1" applyAlignment="1">
      <alignment horizontal="right"/>
    </xf>
    <xf numFmtId="0" fontId="6" fillId="20" borderId="0" xfId="0" applyFont="1" applyFill="1" applyAlignment="1">
      <alignment horizontal="right"/>
    </xf>
    <xf numFmtId="166" fontId="6" fillId="6" borderId="0" xfId="0" applyNumberFormat="1" applyFont="1" applyFill="1" applyAlignment="1">
      <alignment horizontal="right"/>
    </xf>
    <xf numFmtId="0" fontId="6" fillId="0" borderId="0" xfId="0" applyFont="1" applyAlignment="1">
      <alignment horizontal="right"/>
    </xf>
    <xf numFmtId="176" fontId="0" fillId="0" borderId="10" xfId="0" applyNumberFormat="1" applyBorder="1"/>
    <xf numFmtId="176" fontId="0" fillId="0" borderId="11" xfId="0" applyNumberFormat="1" applyBorder="1"/>
    <xf numFmtId="3" fontId="5" fillId="8" borderId="37" xfId="0" applyNumberFormat="1" applyFont="1" applyFill="1" applyBorder="1"/>
    <xf numFmtId="3" fontId="5" fillId="8" borderId="38" xfId="0" applyNumberFormat="1" applyFont="1" applyFill="1" applyBorder="1"/>
    <xf numFmtId="175" fontId="0" fillId="0" borderId="5" xfId="0" applyNumberFormat="1" applyBorder="1"/>
    <xf numFmtId="175" fontId="0" fillId="0" borderId="6" xfId="0" applyNumberFormat="1" applyBorder="1"/>
    <xf numFmtId="3" fontId="5" fillId="8" borderId="39" xfId="0" applyNumberFormat="1" applyFont="1" applyFill="1" applyBorder="1"/>
    <xf numFmtId="175" fontId="0" fillId="0" borderId="34" xfId="0" applyNumberFormat="1" applyBorder="1"/>
    <xf numFmtId="176" fontId="0" fillId="0" borderId="33" xfId="0" applyNumberFormat="1" applyBorder="1"/>
    <xf numFmtId="3" fontId="5" fillId="8" borderId="40" xfId="0" applyNumberFormat="1" applyFont="1" applyFill="1" applyBorder="1"/>
    <xf numFmtId="175" fontId="0" fillId="0" borderId="41" xfId="0" applyNumberFormat="1" applyBorder="1"/>
    <xf numFmtId="176" fontId="0" fillId="0" borderId="42" xfId="0" applyNumberFormat="1" applyBorder="1"/>
    <xf numFmtId="0" fontId="0" fillId="0" borderId="16" xfId="0" applyBorder="1"/>
    <xf numFmtId="0" fontId="5" fillId="8" borderId="41" xfId="0" applyFont="1" applyFill="1" applyBorder="1"/>
    <xf numFmtId="0" fontId="5" fillId="8" borderId="42" xfId="0" applyFont="1" applyFill="1" applyBorder="1"/>
    <xf numFmtId="0" fontId="6" fillId="9" borderId="0" xfId="0" applyFont="1" applyFill="1" applyAlignment="1">
      <alignment horizontal="right"/>
    </xf>
    <xf numFmtId="9" fontId="6" fillId="12" borderId="35" xfId="0" applyNumberFormat="1" applyFont="1" applyFill="1" applyBorder="1"/>
    <xf numFmtId="0" fontId="25" fillId="0" borderId="0" xfId="0" applyFont="1"/>
    <xf numFmtId="0" fontId="2" fillId="0" borderId="0" xfId="0" applyFont="1" applyAlignment="1">
      <alignment horizontal="center"/>
    </xf>
    <xf numFmtId="164" fontId="0" fillId="0" borderId="0" xfId="1" quotePrefix="1" applyNumberFormat="1" applyFont="1"/>
    <xf numFmtId="9" fontId="0" fillId="0" borderId="0" xfId="1" quotePrefix="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114300</xdr:colOff>
      <xdr:row>1</xdr:row>
      <xdr:rowOff>152400</xdr:rowOff>
    </xdr:from>
    <xdr:to>
      <xdr:col>5</xdr:col>
      <xdr:colOff>9525</xdr:colOff>
      <xdr:row>3</xdr:row>
      <xdr:rowOff>38100</xdr:rowOff>
    </xdr:to>
    <xdr:sp macro="" textlink="">
      <xdr:nvSpPr>
        <xdr:cNvPr id="2" name="Arrow: Left 1">
          <a:extLst>
            <a:ext uri="{FF2B5EF4-FFF2-40B4-BE49-F238E27FC236}">
              <a16:creationId xmlns:a16="http://schemas.microsoft.com/office/drawing/2014/main" id="{4D63CD0D-36B5-2666-0188-FE9FAD5AB809}"/>
            </a:ext>
          </a:extLst>
        </xdr:cNvPr>
        <xdr:cNvSpPr/>
      </xdr:nvSpPr>
      <xdr:spPr>
        <a:xfrm>
          <a:off x="5057775" y="333375"/>
          <a:ext cx="2324100" cy="247650"/>
        </a:xfrm>
        <a:prstGeom prst="leftArrow">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2EA0F-9061-403C-859D-79FF1E65C8A0}">
  <dimension ref="B3:R36"/>
  <sheetViews>
    <sheetView topLeftCell="B1" zoomScale="80" zoomScaleNormal="80" workbookViewId="0">
      <selection activeCell="M13" sqref="M13"/>
    </sheetView>
  </sheetViews>
  <sheetFormatPr defaultRowHeight="15" x14ac:dyDescent="0.25"/>
  <cols>
    <col min="3" max="3" width="0" hidden="1" customWidth="1"/>
    <col min="4" max="4" width="17" hidden="1" customWidth="1"/>
    <col min="5" max="5" width="63.28515625" customWidth="1"/>
    <col min="6" max="9" width="0" hidden="1" customWidth="1"/>
    <col min="10" max="13" width="17.140625" customWidth="1"/>
    <col min="14" max="14" width="6.42578125" customWidth="1"/>
    <col min="15" max="17" width="12.42578125" customWidth="1"/>
    <col min="18" max="18" width="76.140625" customWidth="1"/>
  </cols>
  <sheetData>
    <row r="3" spans="2:18" ht="15.75" thickBot="1" x14ac:dyDescent="0.3">
      <c r="O3" s="292" t="s">
        <v>86</v>
      </c>
      <c r="P3" s="292"/>
      <c r="Q3" s="292"/>
    </row>
    <row r="4" spans="2:18" ht="15.75" hidden="1" thickBot="1" x14ac:dyDescent="0.3">
      <c r="O4">
        <v>1</v>
      </c>
      <c r="P4">
        <v>1.0249999999999999</v>
      </c>
      <c r="Q4">
        <v>1.05</v>
      </c>
    </row>
    <row r="5" spans="2:18" s="1" customFormat="1" ht="31.5" customHeight="1" thickBot="1" x14ac:dyDescent="0.3">
      <c r="B5" s="82" t="s">
        <v>85</v>
      </c>
      <c r="C5" s="83" t="s">
        <v>74</v>
      </c>
      <c r="D5" s="83" t="s">
        <v>73</v>
      </c>
      <c r="E5" s="83" t="s">
        <v>7</v>
      </c>
      <c r="F5" s="83" t="s">
        <v>0</v>
      </c>
      <c r="G5" s="83" t="s">
        <v>1</v>
      </c>
      <c r="H5" s="83" t="s">
        <v>2</v>
      </c>
      <c r="I5" s="84" t="s">
        <v>3</v>
      </c>
      <c r="J5" s="85" t="s">
        <v>75</v>
      </c>
      <c r="K5" s="86" t="s">
        <v>4</v>
      </c>
      <c r="L5" s="87" t="s">
        <v>5</v>
      </c>
      <c r="M5" s="88" t="s">
        <v>6</v>
      </c>
      <c r="O5" s="91" t="s">
        <v>93</v>
      </c>
      <c r="P5" s="92" t="s">
        <v>92</v>
      </c>
      <c r="Q5" s="92" t="s">
        <v>94</v>
      </c>
      <c r="R5" s="1" t="s">
        <v>76</v>
      </c>
    </row>
    <row r="6" spans="2:18" x14ac:dyDescent="0.25">
      <c r="B6" s="77" t="s">
        <v>8</v>
      </c>
      <c r="C6" s="55" t="s">
        <v>9</v>
      </c>
      <c r="D6" s="55" t="s">
        <v>10</v>
      </c>
      <c r="E6" s="55" t="s">
        <v>67</v>
      </c>
      <c r="F6" s="55">
        <v>5.1999999999999998E-2</v>
      </c>
      <c r="G6" s="55">
        <v>0.1</v>
      </c>
      <c r="H6" s="55">
        <v>0.14449999999999999</v>
      </c>
      <c r="I6" s="56">
        <v>8.8416666666666643E-2</v>
      </c>
      <c r="J6" s="78">
        <v>5.1999999999999998E-2</v>
      </c>
      <c r="K6" s="79">
        <v>3.5000000000000003E-2</v>
      </c>
      <c r="L6" s="80">
        <v>3.9E-2</v>
      </c>
      <c r="M6" s="81">
        <v>0</v>
      </c>
      <c r="N6" s="29"/>
      <c r="O6" s="42"/>
      <c r="P6" s="26"/>
      <c r="Q6" s="26"/>
      <c r="R6" t="s">
        <v>77</v>
      </c>
    </row>
    <row r="7" spans="2:18" x14ac:dyDescent="0.25">
      <c r="B7" s="59"/>
      <c r="C7" s="3" t="s">
        <v>11</v>
      </c>
      <c r="D7" s="3" t="s">
        <v>12</v>
      </c>
      <c r="E7" s="3" t="s">
        <v>68</v>
      </c>
      <c r="F7" s="3">
        <v>0.02</v>
      </c>
      <c r="G7" s="3">
        <v>0.02</v>
      </c>
      <c r="H7" s="3">
        <v>2.8899999999999999E-2</v>
      </c>
      <c r="I7" s="36">
        <v>1.7683333333333329E-2</v>
      </c>
      <c r="J7" s="37">
        <v>2.1166666666666667E-2</v>
      </c>
      <c r="K7" s="4">
        <v>1.5666666666666662E-2</v>
      </c>
      <c r="L7" s="5">
        <v>1.4666666666666661E-2</v>
      </c>
      <c r="M7" s="49">
        <v>0</v>
      </c>
      <c r="N7" s="29"/>
      <c r="O7" s="42"/>
      <c r="P7" s="26"/>
      <c r="Q7" s="26"/>
      <c r="R7" t="s">
        <v>77</v>
      </c>
    </row>
    <row r="8" spans="2:18" x14ac:dyDescent="0.25">
      <c r="B8" s="59"/>
      <c r="C8" s="3" t="s">
        <v>15</v>
      </c>
      <c r="D8" s="3" t="s">
        <v>16</v>
      </c>
      <c r="E8" s="3" t="s">
        <v>70</v>
      </c>
      <c r="F8" s="3">
        <v>0.11</v>
      </c>
      <c r="G8" s="3">
        <v>0.11</v>
      </c>
      <c r="H8" s="3">
        <v>0.1232</v>
      </c>
      <c r="I8" s="36">
        <v>9.4500000000000001E-2</v>
      </c>
      <c r="J8" s="37">
        <v>0.153</v>
      </c>
      <c r="K8" s="4">
        <v>0.129</v>
      </c>
      <c r="L8" s="5">
        <v>8.5999999999999993E-2</v>
      </c>
      <c r="M8" s="49">
        <v>0</v>
      </c>
      <c r="N8" s="29"/>
      <c r="O8" s="42"/>
      <c r="P8" s="26"/>
      <c r="Q8" s="26"/>
      <c r="R8" t="s">
        <v>77</v>
      </c>
    </row>
    <row r="9" spans="2:18" x14ac:dyDescent="0.25">
      <c r="B9" s="59"/>
      <c r="C9" s="3" t="s">
        <v>13</v>
      </c>
      <c r="D9" s="3" t="s">
        <v>14</v>
      </c>
      <c r="E9" s="3" t="s">
        <v>69</v>
      </c>
      <c r="F9" s="3">
        <v>18</v>
      </c>
      <c r="G9" s="3">
        <v>12.7</v>
      </c>
      <c r="H9" s="3">
        <v>14.31</v>
      </c>
      <c r="I9" s="36">
        <v>15.82</v>
      </c>
      <c r="J9" s="38">
        <v>18</v>
      </c>
      <c r="K9" s="6">
        <v>18.8</v>
      </c>
      <c r="L9" s="7">
        <v>19.7</v>
      </c>
      <c r="M9" s="50" t="e">
        <f ca="1">_xll.RiskPert(O9,P9,Q9,_xll.RiskStatic(P9))</f>
        <v>#NAME?</v>
      </c>
      <c r="N9" s="2"/>
      <c r="O9" s="22">
        <f t="shared" ref="O9:Q26" si="0">$L9*O$4</f>
        <v>19.7</v>
      </c>
      <c r="P9" s="8">
        <f t="shared" ref="P9:Q9" si="1">$L9*P$4</f>
        <v>20.192499999999999</v>
      </c>
      <c r="Q9" s="9">
        <f t="shared" si="1"/>
        <v>20.684999999999999</v>
      </c>
      <c r="R9" t="s">
        <v>80</v>
      </c>
    </row>
    <row r="10" spans="2:18" x14ac:dyDescent="0.25">
      <c r="B10" s="59"/>
      <c r="C10" s="3" t="s">
        <v>32</v>
      </c>
      <c r="D10" s="3" t="s">
        <v>33</v>
      </c>
      <c r="E10" s="3" t="s">
        <v>34</v>
      </c>
      <c r="F10" s="3">
        <v>2.390006253246753</v>
      </c>
      <c r="G10" s="3">
        <v>2.54</v>
      </c>
      <c r="H10" s="3">
        <v>2.21</v>
      </c>
      <c r="I10" s="36">
        <v>2.34</v>
      </c>
      <c r="J10" s="41">
        <v>2.23</v>
      </c>
      <c r="K10" s="14">
        <v>2.29</v>
      </c>
      <c r="L10" s="15">
        <v>2.33</v>
      </c>
      <c r="M10" s="51" t="e">
        <f ca="1">_xll.RiskPert(O10,P10,Q10,_xll.RiskStatic(P10))</f>
        <v>#NAME?</v>
      </c>
      <c r="N10" s="32"/>
      <c r="O10" s="23">
        <f t="shared" ref="O10:Q12" si="2">$L10*O$4</f>
        <v>2.33</v>
      </c>
      <c r="P10" s="16">
        <f t="shared" si="2"/>
        <v>2.3882499999999998</v>
      </c>
      <c r="Q10" s="17">
        <f t="shared" si="2"/>
        <v>2.4465000000000003</v>
      </c>
      <c r="R10" t="s">
        <v>80</v>
      </c>
    </row>
    <row r="11" spans="2:18" x14ac:dyDescent="0.25">
      <c r="B11" s="59"/>
      <c r="C11" s="3" t="s">
        <v>35</v>
      </c>
      <c r="D11" s="3" t="s">
        <v>36</v>
      </c>
      <c r="E11" s="3" t="s">
        <v>37</v>
      </c>
      <c r="F11" s="3">
        <v>49.026136363636361</v>
      </c>
      <c r="G11" s="3">
        <v>32.217688058235709</v>
      </c>
      <c r="H11" s="3">
        <v>34.247099660220591</v>
      </c>
      <c r="I11" s="36">
        <v>39.931076620164113</v>
      </c>
      <c r="J11" s="38">
        <v>40.14</v>
      </c>
      <c r="K11" s="6">
        <v>43.052</v>
      </c>
      <c r="L11" s="7">
        <v>45.900999999999996</v>
      </c>
      <c r="M11" s="50" t="e">
        <f ca="1">_xll.RiskPert(O11,P11,Q11,_xll.RiskStatic(P11))</f>
        <v>#NAME?</v>
      </c>
      <c r="N11" s="2"/>
      <c r="O11" s="22">
        <f t="shared" si="2"/>
        <v>45.900999999999996</v>
      </c>
      <c r="P11" s="8">
        <f t="shared" si="2"/>
        <v>47.048524999999991</v>
      </c>
      <c r="Q11" s="9">
        <f t="shared" si="2"/>
        <v>48.19605</v>
      </c>
      <c r="R11" t="s">
        <v>80</v>
      </c>
    </row>
    <row r="12" spans="2:18" x14ac:dyDescent="0.25">
      <c r="B12" s="59"/>
      <c r="C12" s="3" t="s">
        <v>38</v>
      </c>
      <c r="D12" s="3" t="s">
        <v>39</v>
      </c>
      <c r="E12" s="3" t="s">
        <v>40</v>
      </c>
      <c r="F12" s="3">
        <v>49.026136363636361</v>
      </c>
      <c r="G12" s="3">
        <v>28.673742371829782</v>
      </c>
      <c r="H12" s="3">
        <v>27.791747259035589</v>
      </c>
      <c r="I12" s="36">
        <v>33.548890319463844</v>
      </c>
      <c r="J12" s="38">
        <v>34.1</v>
      </c>
      <c r="K12" s="6">
        <v>37.1</v>
      </c>
      <c r="L12" s="7">
        <v>42</v>
      </c>
      <c r="M12" s="50" t="e">
        <f ca="1">M11</f>
        <v>#NAME?</v>
      </c>
      <c r="N12" s="2"/>
      <c r="O12" s="22">
        <f t="shared" si="2"/>
        <v>42</v>
      </c>
      <c r="P12" s="8">
        <f t="shared" si="2"/>
        <v>43.05</v>
      </c>
      <c r="Q12" s="9">
        <f t="shared" si="2"/>
        <v>44.1</v>
      </c>
      <c r="R12" t="s">
        <v>77</v>
      </c>
    </row>
    <row r="13" spans="2:18" x14ac:dyDescent="0.25">
      <c r="B13" s="59"/>
      <c r="C13" s="3" t="s">
        <v>17</v>
      </c>
      <c r="D13" s="3" t="s">
        <v>18</v>
      </c>
      <c r="E13" s="93" t="s">
        <v>71</v>
      </c>
      <c r="F13" s="3">
        <v>10</v>
      </c>
      <c r="G13" s="3">
        <v>6</v>
      </c>
      <c r="H13" s="3">
        <v>7.27</v>
      </c>
      <c r="I13" s="36">
        <v>6.87</v>
      </c>
      <c r="J13" s="39">
        <v>6.3</v>
      </c>
      <c r="K13" s="10">
        <v>6</v>
      </c>
      <c r="L13" s="11">
        <v>6.1</v>
      </c>
      <c r="M13" s="52" t="s">
        <v>79</v>
      </c>
      <c r="N13" s="30"/>
      <c r="O13" s="43"/>
      <c r="P13" s="3"/>
      <c r="Q13" s="3"/>
      <c r="R13" t="s">
        <v>78</v>
      </c>
    </row>
    <row r="14" spans="2:18" ht="15.75" thickBot="1" x14ac:dyDescent="0.3">
      <c r="B14" s="60"/>
      <c r="C14" s="61" t="s">
        <v>61</v>
      </c>
      <c r="D14" s="61" t="s">
        <v>62</v>
      </c>
      <c r="E14" s="61" t="s">
        <v>87</v>
      </c>
      <c r="F14" s="61">
        <v>0.35</v>
      </c>
      <c r="G14" s="61">
        <v>0.35</v>
      </c>
      <c r="H14" s="61">
        <v>0.53969999999999996</v>
      </c>
      <c r="I14" s="62">
        <v>0.53349999999999997</v>
      </c>
      <c r="J14" s="63">
        <v>0.53743000000000007</v>
      </c>
      <c r="K14" s="64">
        <v>0.50380000000000003</v>
      </c>
      <c r="L14" s="65">
        <v>0.49629000000000001</v>
      </c>
      <c r="M14" s="66" t="e">
        <f ca="1">_xll.RiskPert(Q14,P14,O14,_xll.RiskStatic(P14))</f>
        <v>#NAME?</v>
      </c>
      <c r="N14" s="35"/>
      <c r="O14" s="25">
        <f>$L14*O$4</f>
        <v>0.49629000000000001</v>
      </c>
      <c r="P14" s="20">
        <f>$L14*0.975</f>
        <v>0.48388274999999997</v>
      </c>
      <c r="Q14" s="21">
        <f>$L14*0.95</f>
        <v>0.47147549999999999</v>
      </c>
      <c r="R14" t="s">
        <v>80</v>
      </c>
    </row>
    <row r="15" spans="2:18" x14ac:dyDescent="0.25">
      <c r="B15" s="67" t="s">
        <v>19</v>
      </c>
      <c r="C15" s="57" t="s">
        <v>63</v>
      </c>
      <c r="D15" s="57" t="s">
        <v>64</v>
      </c>
      <c r="E15" s="57" t="s">
        <v>66</v>
      </c>
      <c r="F15" s="57">
        <v>6.3</v>
      </c>
      <c r="G15" s="57">
        <v>5</v>
      </c>
      <c r="H15" s="57">
        <v>7.46</v>
      </c>
      <c r="I15" s="58">
        <v>7.16</v>
      </c>
      <c r="J15" s="68">
        <v>6.4</v>
      </c>
      <c r="K15" s="69">
        <v>6.3</v>
      </c>
      <c r="L15" s="70">
        <v>6.9</v>
      </c>
      <c r="M15" s="71" t="s">
        <v>84</v>
      </c>
      <c r="N15" s="2"/>
      <c r="O15" s="44"/>
      <c r="P15" s="27"/>
      <c r="Q15" s="27"/>
      <c r="R15" t="s">
        <v>78</v>
      </c>
    </row>
    <row r="16" spans="2:18" x14ac:dyDescent="0.25">
      <c r="B16" s="72"/>
      <c r="C16" s="3" t="s">
        <v>58</v>
      </c>
      <c r="D16" s="3" t="s">
        <v>59</v>
      </c>
      <c r="E16" s="3" t="s">
        <v>60</v>
      </c>
      <c r="F16" s="3">
        <v>30.6</v>
      </c>
      <c r="G16" s="3">
        <v>25</v>
      </c>
      <c r="H16" s="3">
        <v>40.07</v>
      </c>
      <c r="I16" s="36">
        <v>29.93</v>
      </c>
      <c r="J16" s="38">
        <v>30.6</v>
      </c>
      <c r="K16" s="6">
        <v>31.6</v>
      </c>
      <c r="L16" s="7">
        <v>32.799999999999997</v>
      </c>
      <c r="M16" s="53" t="s">
        <v>83</v>
      </c>
      <c r="N16" s="2"/>
      <c r="O16" s="45"/>
      <c r="P16" s="28"/>
      <c r="Q16" s="28"/>
      <c r="R16" t="s">
        <v>78</v>
      </c>
    </row>
    <row r="17" spans="2:18" x14ac:dyDescent="0.25">
      <c r="B17" s="72"/>
      <c r="C17" s="3" t="s">
        <v>20</v>
      </c>
      <c r="D17" s="3" t="s">
        <v>21</v>
      </c>
      <c r="E17" s="94" t="s">
        <v>72</v>
      </c>
      <c r="F17" s="3">
        <v>52.043010752688176</v>
      </c>
      <c r="G17" s="3">
        <v>45</v>
      </c>
      <c r="H17" s="3">
        <v>66</v>
      </c>
      <c r="I17" s="36">
        <v>51</v>
      </c>
      <c r="J17" s="40">
        <v>52.043010752688176</v>
      </c>
      <c r="K17" s="12">
        <v>50</v>
      </c>
      <c r="L17" s="13">
        <v>48.051948051948045</v>
      </c>
      <c r="M17" s="89" t="s">
        <v>88</v>
      </c>
      <c r="N17" s="31"/>
      <c r="O17" s="90" t="e">
        <f ca="1">(J16-J15)/$M20</f>
        <v>#NAME?</v>
      </c>
      <c r="P17" s="12" t="e">
        <f t="shared" ref="P17:Q17" ca="1" si="3">(K16-K15)/$M20</f>
        <v>#NAME?</v>
      </c>
      <c r="Q17" s="13" t="e">
        <f t="shared" ca="1" si="3"/>
        <v>#NAME?</v>
      </c>
      <c r="R17" t="s">
        <v>89</v>
      </c>
    </row>
    <row r="18" spans="2:18" x14ac:dyDescent="0.25">
      <c r="B18" s="72"/>
      <c r="C18" s="3" t="s">
        <v>22</v>
      </c>
      <c r="D18" s="3" t="s">
        <v>23</v>
      </c>
      <c r="E18" s="3" t="s">
        <v>24</v>
      </c>
      <c r="F18" s="3">
        <v>0.03</v>
      </c>
      <c r="G18" s="3">
        <v>0.03</v>
      </c>
      <c r="H18" s="3">
        <v>4.0500000000000001E-2</v>
      </c>
      <c r="I18" s="36">
        <v>3.8600000000000002E-2</v>
      </c>
      <c r="J18" s="37">
        <v>4.2999999999999997E-2</v>
      </c>
      <c r="K18" s="4">
        <v>3.1E-2</v>
      </c>
      <c r="L18" s="5">
        <v>0.04</v>
      </c>
      <c r="M18" s="49">
        <v>0</v>
      </c>
      <c r="N18" s="29"/>
      <c r="O18" s="42"/>
      <c r="P18" s="26"/>
      <c r="Q18" s="26"/>
      <c r="R18" t="s">
        <v>77</v>
      </c>
    </row>
    <row r="19" spans="2:18" x14ac:dyDescent="0.25">
      <c r="B19" s="72"/>
      <c r="C19" s="3" t="s">
        <v>41</v>
      </c>
      <c r="D19" s="3" t="s">
        <v>42</v>
      </c>
      <c r="E19" s="3" t="s">
        <v>43</v>
      </c>
      <c r="F19" s="3">
        <v>1.66594</v>
      </c>
      <c r="G19" s="3">
        <v>1.6300999999999999</v>
      </c>
      <c r="H19" s="3">
        <v>1.8511086730393982</v>
      </c>
      <c r="I19" s="36">
        <v>1.4116148667342987</v>
      </c>
      <c r="J19" s="41">
        <v>1.77</v>
      </c>
      <c r="K19" s="14">
        <v>1.66</v>
      </c>
      <c r="L19" s="15">
        <v>1.67</v>
      </c>
      <c r="M19" s="51" t="e">
        <f ca="1">_xll.RiskPert(Q19,P19,O19,_xll.RiskStatic(P19))</f>
        <v>#NAME?</v>
      </c>
      <c r="N19" s="32"/>
      <c r="O19" s="23">
        <f>$L19*O$4</f>
        <v>1.67</v>
      </c>
      <c r="P19" s="16">
        <f>$L19*0.975</f>
        <v>1.62825</v>
      </c>
      <c r="Q19" s="17">
        <f>$L19*0.95</f>
        <v>1.5864999999999998</v>
      </c>
      <c r="R19" t="s">
        <v>80</v>
      </c>
    </row>
    <row r="20" spans="2:18" ht="15.75" thickBot="1" x14ac:dyDescent="0.3">
      <c r="B20" s="73"/>
      <c r="C20" s="61" t="s">
        <v>44</v>
      </c>
      <c r="D20" s="61" t="s">
        <v>45</v>
      </c>
      <c r="E20" s="61" t="s">
        <v>46</v>
      </c>
      <c r="F20" s="61">
        <v>0.53231863442389771</v>
      </c>
      <c r="G20" s="61">
        <v>0.42222222222222222</v>
      </c>
      <c r="H20" s="61">
        <v>0.48499999999999999</v>
      </c>
      <c r="I20" s="62">
        <v>0.41499999999999998</v>
      </c>
      <c r="J20" s="46">
        <v>0.46500000000000002</v>
      </c>
      <c r="K20" s="47">
        <v>0.50600000000000001</v>
      </c>
      <c r="L20" s="48">
        <v>0.53900000000000003</v>
      </c>
      <c r="M20" s="54" t="e">
        <f ca="1">_xll.RiskPert(O20,P20,Q20,_xll.RiskStatic(P20))</f>
        <v>#NAME?</v>
      </c>
      <c r="N20" s="33"/>
      <c r="O20" s="24">
        <f>$L20*O$4</f>
        <v>0.53900000000000003</v>
      </c>
      <c r="P20" s="18">
        <f>$L20*P$4</f>
        <v>0.55247499999999994</v>
      </c>
      <c r="Q20" s="19">
        <f>$L20*Q$4</f>
        <v>0.56595000000000006</v>
      </c>
      <c r="R20" t="s">
        <v>80</v>
      </c>
    </row>
    <row r="21" spans="2:18" x14ac:dyDescent="0.25">
      <c r="B21" s="74" t="s">
        <v>25</v>
      </c>
      <c r="C21" s="57" t="s">
        <v>47</v>
      </c>
      <c r="D21" s="57" t="s">
        <v>48</v>
      </c>
      <c r="E21" s="57" t="s">
        <v>65</v>
      </c>
      <c r="F21" s="57">
        <v>30.6</v>
      </c>
      <c r="G21" s="57">
        <v>25</v>
      </c>
      <c r="H21" s="57">
        <v>40.909192664151306</v>
      </c>
      <c r="I21" s="58">
        <v>35.374194805194804</v>
      </c>
      <c r="J21" s="68">
        <v>31</v>
      </c>
      <c r="K21" s="69">
        <v>31.3</v>
      </c>
      <c r="L21" s="70">
        <v>33.1</v>
      </c>
      <c r="M21" s="71" t="s">
        <v>81</v>
      </c>
      <c r="N21" s="34"/>
      <c r="O21" s="44"/>
      <c r="P21" s="27"/>
      <c r="Q21" s="27"/>
      <c r="R21" t="s">
        <v>78</v>
      </c>
    </row>
    <row r="22" spans="2:18" x14ac:dyDescent="0.25">
      <c r="B22" s="75"/>
      <c r="C22" s="3" t="s">
        <v>49</v>
      </c>
      <c r="D22" s="3" t="s">
        <v>50</v>
      </c>
      <c r="E22" s="94" t="s">
        <v>51</v>
      </c>
      <c r="F22" s="3">
        <v>114.7</v>
      </c>
      <c r="G22" s="3">
        <v>120.3</v>
      </c>
      <c r="H22" s="3">
        <v>115.01656320427439</v>
      </c>
      <c r="I22" s="36">
        <v>115.57258885017421</v>
      </c>
      <c r="J22" s="38">
        <v>114.7</v>
      </c>
      <c r="K22" s="6">
        <v>116</v>
      </c>
      <c r="L22" s="7">
        <v>116</v>
      </c>
      <c r="M22" s="53" t="s">
        <v>82</v>
      </c>
      <c r="N22" s="34"/>
      <c r="O22" s="44"/>
      <c r="P22" s="27"/>
      <c r="Q22" s="27"/>
      <c r="R22" t="s">
        <v>78</v>
      </c>
    </row>
    <row r="23" spans="2:18" x14ac:dyDescent="0.25">
      <c r="B23" s="75"/>
      <c r="C23" s="3" t="s">
        <v>26</v>
      </c>
      <c r="D23" s="3" t="s">
        <v>27</v>
      </c>
      <c r="E23" s="3" t="s">
        <v>28</v>
      </c>
      <c r="F23" s="3">
        <v>70</v>
      </c>
      <c r="G23" s="3">
        <v>119</v>
      </c>
      <c r="H23" s="3">
        <v>91</v>
      </c>
      <c r="I23" s="36">
        <v>77</v>
      </c>
      <c r="J23" s="40">
        <v>80.558229066410021</v>
      </c>
      <c r="K23" s="12">
        <v>76.790571169537628</v>
      </c>
      <c r="L23" s="13">
        <v>73.492907801418454</v>
      </c>
      <c r="M23" s="89" t="s">
        <v>91</v>
      </c>
      <c r="N23" s="31"/>
      <c r="O23" s="90" t="e">
        <f ca="1">(J22-J21)/$M26</f>
        <v>#NAME?</v>
      </c>
      <c r="P23" s="12" t="e">
        <f ca="1">(K22-K21)/$M26</f>
        <v>#NAME?</v>
      </c>
      <c r="Q23" s="13" t="e">
        <f ca="1">(L22-L21)/$M26</f>
        <v>#NAME?</v>
      </c>
      <c r="R23" t="s">
        <v>90</v>
      </c>
    </row>
    <row r="24" spans="2:18" x14ac:dyDescent="0.25">
      <c r="B24" s="75"/>
      <c r="C24" s="3" t="s">
        <v>29</v>
      </c>
      <c r="D24" s="3" t="s">
        <v>30</v>
      </c>
      <c r="E24" s="3" t="s">
        <v>31</v>
      </c>
      <c r="F24" s="3">
        <v>1.4999999999999999E-2</v>
      </c>
      <c r="G24" s="3">
        <v>1.4999999999999999E-2</v>
      </c>
      <c r="H24" s="3">
        <v>3.8699999999999998E-2</v>
      </c>
      <c r="I24" s="36">
        <v>3.5499999999999997E-2</v>
      </c>
      <c r="J24" s="37">
        <v>3.5000000000000003E-2</v>
      </c>
      <c r="K24" s="4">
        <v>2.7E-2</v>
      </c>
      <c r="L24" s="5">
        <v>3.3000000000000002E-2</v>
      </c>
      <c r="M24" s="49">
        <v>0</v>
      </c>
      <c r="N24" s="29"/>
      <c r="O24" s="42"/>
      <c r="P24" s="26"/>
      <c r="Q24" s="26"/>
      <c r="R24" t="s">
        <v>77</v>
      </c>
    </row>
    <row r="25" spans="2:18" x14ac:dyDescent="0.25">
      <c r="B25" s="75"/>
      <c r="C25" s="3" t="s">
        <v>52</v>
      </c>
      <c r="D25" s="3" t="s">
        <v>53</v>
      </c>
      <c r="E25" s="3" t="s">
        <v>54</v>
      </c>
      <c r="F25" s="3">
        <v>2.5340470000000002</v>
      </c>
      <c r="G25" s="3">
        <v>2.5395909999999997</v>
      </c>
      <c r="H25" s="3">
        <v>2.8156087719838605</v>
      </c>
      <c r="I25" s="36">
        <v>2.22074976243269</v>
      </c>
      <c r="J25" s="41">
        <v>2.65</v>
      </c>
      <c r="K25" s="14">
        <v>2.5099999999999998</v>
      </c>
      <c r="L25" s="15">
        <v>2.48</v>
      </c>
      <c r="M25" s="51" t="e">
        <f ca="1">_xll.RiskPert(Q25,P25,O25,_xll.RiskStatic(P25))</f>
        <v>#NAME?</v>
      </c>
      <c r="N25" s="32"/>
      <c r="O25" s="23">
        <f t="shared" si="0"/>
        <v>2.48</v>
      </c>
      <c r="P25" s="16">
        <f>$L25*0.975</f>
        <v>2.4180000000000001</v>
      </c>
      <c r="Q25" s="17">
        <f>$L25*0.95</f>
        <v>2.3559999999999999</v>
      </c>
      <c r="R25" t="s">
        <v>80</v>
      </c>
    </row>
    <row r="26" spans="2:18" ht="15.75" thickBot="1" x14ac:dyDescent="0.3">
      <c r="B26" s="76"/>
      <c r="C26" s="61" t="s">
        <v>55</v>
      </c>
      <c r="D26" s="61" t="s">
        <v>56</v>
      </c>
      <c r="E26" s="61" t="s">
        <v>57</v>
      </c>
      <c r="F26" s="61">
        <v>0.7</v>
      </c>
      <c r="G26" s="61">
        <v>0.8</v>
      </c>
      <c r="H26" s="61">
        <v>0.85</v>
      </c>
      <c r="I26" s="62">
        <v>0.94499999999999995</v>
      </c>
      <c r="J26" s="46">
        <v>1.0389999999999999</v>
      </c>
      <c r="K26" s="47">
        <v>1.103</v>
      </c>
      <c r="L26" s="48">
        <v>1.1279999999999999</v>
      </c>
      <c r="M26" s="54" t="e">
        <f ca="1">_xll.RiskPert(O26,P26,Q26,_xll.RiskStatic(P26))</f>
        <v>#NAME?</v>
      </c>
      <c r="N26" s="33"/>
      <c r="O26" s="24">
        <f t="shared" si="0"/>
        <v>1.1279999999999999</v>
      </c>
      <c r="P26" s="18">
        <f t="shared" si="0"/>
        <v>1.1561999999999999</v>
      </c>
      <c r="Q26" s="19">
        <f t="shared" si="0"/>
        <v>1.1843999999999999</v>
      </c>
      <c r="R26" t="s">
        <v>80</v>
      </c>
    </row>
    <row r="29" spans="2:18" ht="15.75" x14ac:dyDescent="0.25">
      <c r="E29" s="95" t="s">
        <v>102</v>
      </c>
      <c r="J29" s="2"/>
      <c r="K29" s="2"/>
      <c r="L29" s="2"/>
      <c r="M29" s="2"/>
    </row>
    <row r="30" spans="2:18" ht="15.75" x14ac:dyDescent="0.25">
      <c r="E30" s="96" t="s">
        <v>95</v>
      </c>
      <c r="P30" s="2"/>
    </row>
    <row r="31" spans="2:18" ht="15.75" x14ac:dyDescent="0.25">
      <c r="E31" s="96" t="s">
        <v>96</v>
      </c>
    </row>
    <row r="32" spans="2:18" ht="15.75" x14ac:dyDescent="0.25">
      <c r="E32" s="96" t="s">
        <v>97</v>
      </c>
    </row>
    <row r="33" spans="5:5" ht="15.75" x14ac:dyDescent="0.25">
      <c r="E33" s="96" t="s">
        <v>98</v>
      </c>
    </row>
    <row r="34" spans="5:5" ht="15.75" x14ac:dyDescent="0.25">
      <c r="E34" s="96" t="s">
        <v>99</v>
      </c>
    </row>
    <row r="35" spans="5:5" ht="15.75" x14ac:dyDescent="0.25">
      <c r="E35" s="96" t="s">
        <v>100</v>
      </c>
    </row>
    <row r="36" spans="5:5" ht="15.75" x14ac:dyDescent="0.25">
      <c r="E36" s="96" t="s">
        <v>101</v>
      </c>
    </row>
  </sheetData>
  <mergeCells count="1">
    <mergeCell ref="O3:Q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F8F3B-D1F4-4DB9-9022-090467579D96}">
  <dimension ref="B1:T36"/>
  <sheetViews>
    <sheetView topLeftCell="B6" zoomScale="80" zoomScaleNormal="80" workbookViewId="0">
      <selection activeCell="S9" sqref="Q9:S9"/>
    </sheetView>
  </sheetViews>
  <sheetFormatPr defaultRowHeight="15" x14ac:dyDescent="0.25"/>
  <cols>
    <col min="3" max="3" width="0" hidden="1" customWidth="1"/>
    <col min="4" max="4" width="17" hidden="1" customWidth="1"/>
    <col min="5" max="5" width="63.28515625" customWidth="1"/>
    <col min="6" max="9" width="0" hidden="1" customWidth="1"/>
    <col min="10" max="10" width="17.140625" customWidth="1"/>
    <col min="11" max="11" width="14.85546875" customWidth="1"/>
    <col min="12" max="13" width="17.140625" customWidth="1"/>
    <col min="14" max="14" width="21.42578125" customWidth="1"/>
    <col min="15" max="15" width="17.140625" customWidth="1"/>
    <col min="16" max="16" width="6.42578125" customWidth="1"/>
    <col min="17" max="17" width="19.5703125" customWidth="1"/>
    <col min="18" max="18" width="19.42578125" customWidth="1"/>
    <col min="19" max="19" width="17.42578125" customWidth="1"/>
    <col min="20" max="20" width="76.140625" customWidth="1"/>
  </cols>
  <sheetData>
    <row r="1" spans="2:20" x14ac:dyDescent="0.25">
      <c r="K1" t="s">
        <v>162</v>
      </c>
    </row>
    <row r="2" spans="2:20" x14ac:dyDescent="0.25">
      <c r="K2" t="s">
        <v>156</v>
      </c>
    </row>
    <row r="3" spans="2:20" ht="15.75" thickBot="1" x14ac:dyDescent="0.3">
      <c r="J3" t="s">
        <v>130</v>
      </c>
      <c r="K3" t="s">
        <v>161</v>
      </c>
      <c r="O3" t="s">
        <v>131</v>
      </c>
      <c r="Q3" s="292" t="s">
        <v>86</v>
      </c>
      <c r="R3" s="292"/>
      <c r="S3" s="292"/>
    </row>
    <row r="4" spans="2:20" ht="15.75" hidden="1" thickBot="1" x14ac:dyDescent="0.3">
      <c r="Q4">
        <v>1</v>
      </c>
      <c r="R4">
        <v>1.0249999999999999</v>
      </c>
      <c r="S4">
        <v>1.05</v>
      </c>
    </row>
    <row r="5" spans="2:20" s="1" customFormat="1" ht="31.5" customHeight="1" thickBot="1" x14ac:dyDescent="0.3">
      <c r="B5" s="82" t="s">
        <v>85</v>
      </c>
      <c r="C5" s="83" t="s">
        <v>74</v>
      </c>
      <c r="D5" s="83" t="s">
        <v>73</v>
      </c>
      <c r="E5" s="83" t="s">
        <v>7</v>
      </c>
      <c r="F5" s="83" t="s">
        <v>0</v>
      </c>
      <c r="G5" s="83" t="s">
        <v>1</v>
      </c>
      <c r="H5" s="83" t="s">
        <v>2</v>
      </c>
      <c r="I5" s="84" t="s">
        <v>3</v>
      </c>
      <c r="J5" s="85" t="s">
        <v>75</v>
      </c>
      <c r="K5" s="126" t="s">
        <v>132</v>
      </c>
      <c r="L5" s="126" t="s">
        <v>153</v>
      </c>
      <c r="M5" s="127" t="s">
        <v>133</v>
      </c>
      <c r="N5" s="87" t="s">
        <v>5</v>
      </c>
      <c r="O5" s="88" t="s">
        <v>6</v>
      </c>
      <c r="Q5" s="91" t="s">
        <v>93</v>
      </c>
      <c r="R5" s="92" t="s">
        <v>92</v>
      </c>
      <c r="S5" s="92" t="s">
        <v>94</v>
      </c>
      <c r="T5" s="1" t="s">
        <v>76</v>
      </c>
    </row>
    <row r="6" spans="2:20" x14ac:dyDescent="0.25">
      <c r="B6" s="77" t="s">
        <v>8</v>
      </c>
      <c r="C6" s="55" t="s">
        <v>9</v>
      </c>
      <c r="D6" s="55" t="s">
        <v>10</v>
      </c>
      <c r="E6" s="211" t="s">
        <v>67</v>
      </c>
      <c r="F6" s="55">
        <v>5.1999999999999998E-2</v>
      </c>
      <c r="G6" s="55">
        <v>0.1</v>
      </c>
      <c r="H6" s="55">
        <v>0.14449999999999999</v>
      </c>
      <c r="I6" s="56">
        <v>8.8416666666666643E-2</v>
      </c>
      <c r="J6" s="78">
        <v>5.1999999999999998E-2</v>
      </c>
      <c r="K6" s="128"/>
      <c r="L6" s="128"/>
      <c r="M6" s="97"/>
      <c r="N6" s="80">
        <v>3.9E-2</v>
      </c>
      <c r="O6" s="81">
        <v>0</v>
      </c>
      <c r="P6" s="29"/>
      <c r="Q6" s="42"/>
      <c r="R6" s="26"/>
      <c r="S6" s="26"/>
      <c r="T6" t="s">
        <v>77</v>
      </c>
    </row>
    <row r="7" spans="2:20" x14ac:dyDescent="0.25">
      <c r="B7" s="59"/>
      <c r="C7" s="3" t="s">
        <v>11</v>
      </c>
      <c r="D7" s="3" t="s">
        <v>12</v>
      </c>
      <c r="E7" s="212" t="s">
        <v>68</v>
      </c>
      <c r="F7" s="3">
        <v>0.02</v>
      </c>
      <c r="G7" s="3">
        <v>0.02</v>
      </c>
      <c r="H7" s="3">
        <v>2.8899999999999999E-2</v>
      </c>
      <c r="I7" s="36">
        <v>1.7683333333333329E-2</v>
      </c>
      <c r="J7" s="37">
        <v>2.1166666666666667E-2</v>
      </c>
      <c r="K7" s="129"/>
      <c r="L7" s="129"/>
      <c r="M7" s="98"/>
      <c r="N7" s="5">
        <v>1.4666666666666661E-2</v>
      </c>
      <c r="O7" s="49">
        <v>0</v>
      </c>
      <c r="P7" s="29"/>
      <c r="Q7" s="42"/>
      <c r="R7" s="26"/>
      <c r="S7" s="26"/>
      <c r="T7" t="s">
        <v>77</v>
      </c>
    </row>
    <row r="8" spans="2:20" x14ac:dyDescent="0.25">
      <c r="B8" s="59"/>
      <c r="C8" s="3" t="s">
        <v>15</v>
      </c>
      <c r="D8" s="3" t="s">
        <v>16</v>
      </c>
      <c r="E8" s="212" t="s">
        <v>70</v>
      </c>
      <c r="F8" s="3">
        <v>0.11</v>
      </c>
      <c r="G8" s="3">
        <v>0.11</v>
      </c>
      <c r="H8" s="3">
        <v>0.1232</v>
      </c>
      <c r="I8" s="36">
        <v>9.4500000000000001E-2</v>
      </c>
      <c r="J8" s="37">
        <v>0.153</v>
      </c>
      <c r="K8" s="209">
        <v>8.764000000000001E-2</v>
      </c>
      <c r="L8" s="209">
        <v>6.0413888888888895E-3</v>
      </c>
      <c r="M8" s="210">
        <v>0</v>
      </c>
      <c r="N8" s="5">
        <v>8.5999999999999993E-2</v>
      </c>
      <c r="O8" s="49">
        <v>0</v>
      </c>
      <c r="P8" s="29"/>
      <c r="Q8" s="42"/>
      <c r="R8" s="26"/>
      <c r="S8" s="26"/>
      <c r="T8" t="s">
        <v>77</v>
      </c>
    </row>
    <row r="9" spans="2:20" x14ac:dyDescent="0.25">
      <c r="B9" s="59"/>
      <c r="C9" s="3" t="s">
        <v>13</v>
      </c>
      <c r="D9" s="3" t="s">
        <v>14</v>
      </c>
      <c r="E9" s="212" t="s">
        <v>69</v>
      </c>
      <c r="F9" s="3">
        <v>18</v>
      </c>
      <c r="G9" s="3">
        <v>12.7</v>
      </c>
      <c r="H9" s="3">
        <v>14.31</v>
      </c>
      <c r="I9" s="36">
        <v>15.82</v>
      </c>
      <c r="J9" s="38">
        <v>18</v>
      </c>
      <c r="K9" s="130"/>
      <c r="L9" s="130"/>
      <c r="M9" s="99"/>
      <c r="N9" s="7">
        <v>19.7</v>
      </c>
      <c r="O9" s="50">
        <f>R9</f>
        <v>20.192499999999999</v>
      </c>
      <c r="P9" s="2"/>
      <c r="Q9" s="22">
        <f t="shared" ref="Q9:S12" si="0">$N9*Q$4</f>
        <v>19.7</v>
      </c>
      <c r="R9" s="8">
        <f t="shared" si="0"/>
        <v>20.192499999999999</v>
      </c>
      <c r="S9" s="9">
        <f t="shared" si="0"/>
        <v>20.684999999999999</v>
      </c>
      <c r="T9" t="s">
        <v>80</v>
      </c>
    </row>
    <row r="10" spans="2:20" x14ac:dyDescent="0.25">
      <c r="B10" s="59"/>
      <c r="C10" s="3" t="s">
        <v>32</v>
      </c>
      <c r="D10" s="3" t="s">
        <v>33</v>
      </c>
      <c r="E10" s="3" t="s">
        <v>34</v>
      </c>
      <c r="F10" s="3">
        <v>2.390006253246753</v>
      </c>
      <c r="G10" s="3">
        <v>2.54</v>
      </c>
      <c r="H10" s="3">
        <v>2.21</v>
      </c>
      <c r="I10" s="36">
        <v>2.34</v>
      </c>
      <c r="J10" s="41">
        <v>2.23</v>
      </c>
      <c r="K10" s="131"/>
      <c r="L10" s="131"/>
      <c r="M10" s="100"/>
      <c r="N10" s="15">
        <v>2.33</v>
      </c>
      <c r="O10" s="51">
        <f>R10</f>
        <v>2.3882499999999998</v>
      </c>
      <c r="P10" s="32"/>
      <c r="Q10" s="23">
        <f t="shared" si="0"/>
        <v>2.33</v>
      </c>
      <c r="R10" s="16">
        <f t="shared" si="0"/>
        <v>2.3882499999999998</v>
      </c>
      <c r="S10" s="17">
        <f t="shared" si="0"/>
        <v>2.4465000000000003</v>
      </c>
      <c r="T10" t="s">
        <v>80</v>
      </c>
    </row>
    <row r="11" spans="2:20" x14ac:dyDescent="0.25">
      <c r="B11" s="59"/>
      <c r="C11" s="3" t="s">
        <v>35</v>
      </c>
      <c r="D11" s="3" t="s">
        <v>36</v>
      </c>
      <c r="E11" s="3" t="s">
        <v>37</v>
      </c>
      <c r="F11" s="3">
        <v>49.026136363636361</v>
      </c>
      <c r="G11" s="3">
        <v>32.217688058235709</v>
      </c>
      <c r="H11" s="3">
        <v>34.247099660220591</v>
      </c>
      <c r="I11" s="36">
        <v>39.931076620164113</v>
      </c>
      <c r="J11" s="38">
        <v>40.14</v>
      </c>
      <c r="K11" s="130"/>
      <c r="L11" s="130"/>
      <c r="M11" s="99"/>
      <c r="N11" s="7">
        <v>45.900999999999996</v>
      </c>
      <c r="O11" s="50">
        <f>R11</f>
        <v>47.048524999999991</v>
      </c>
      <c r="P11" s="2"/>
      <c r="Q11" s="22">
        <f t="shared" si="0"/>
        <v>45.900999999999996</v>
      </c>
      <c r="R11" s="8">
        <f t="shared" si="0"/>
        <v>47.048524999999991</v>
      </c>
      <c r="S11" s="9">
        <f t="shared" si="0"/>
        <v>48.19605</v>
      </c>
      <c r="T11" t="s">
        <v>80</v>
      </c>
    </row>
    <row r="12" spans="2:20" x14ac:dyDescent="0.25">
      <c r="B12" s="59"/>
      <c r="C12" s="3" t="s">
        <v>38</v>
      </c>
      <c r="D12" s="3" t="s">
        <v>39</v>
      </c>
      <c r="E12" s="3" t="s">
        <v>40</v>
      </c>
      <c r="F12" s="3">
        <v>49.026136363636361</v>
      </c>
      <c r="G12" s="3">
        <v>28.673742371829782</v>
      </c>
      <c r="H12" s="3">
        <v>27.791747259035589</v>
      </c>
      <c r="I12" s="36">
        <v>33.548890319463844</v>
      </c>
      <c r="J12" s="38">
        <v>34.1</v>
      </c>
      <c r="K12" s="130">
        <v>46.146135999999998</v>
      </c>
      <c r="L12" s="130">
        <v>46.941139611111105</v>
      </c>
      <c r="M12" s="99">
        <v>46.986359999999998</v>
      </c>
      <c r="N12" s="7">
        <v>42</v>
      </c>
      <c r="O12" s="50">
        <f>O11</f>
        <v>47.048524999999991</v>
      </c>
      <c r="P12" s="2"/>
      <c r="Q12" s="22">
        <f t="shared" si="0"/>
        <v>42</v>
      </c>
      <c r="R12" s="8">
        <f t="shared" si="0"/>
        <v>43.05</v>
      </c>
      <c r="S12" s="9">
        <f t="shared" si="0"/>
        <v>44.1</v>
      </c>
      <c r="T12" t="s">
        <v>77</v>
      </c>
    </row>
    <row r="13" spans="2:20" x14ac:dyDescent="0.25">
      <c r="B13" s="59"/>
      <c r="C13" s="3" t="s">
        <v>17</v>
      </c>
      <c r="D13" s="3" t="s">
        <v>18</v>
      </c>
      <c r="E13" s="212" t="s">
        <v>71</v>
      </c>
      <c r="F13" s="3">
        <v>10</v>
      </c>
      <c r="G13" s="3">
        <v>6</v>
      </c>
      <c r="H13" s="3">
        <v>7.27</v>
      </c>
      <c r="I13" s="36">
        <v>6.87</v>
      </c>
      <c r="J13" s="39">
        <v>6.3</v>
      </c>
      <c r="K13" s="132">
        <v>6.4422479999999993</v>
      </c>
      <c r="L13" s="132">
        <v>6.289125499999999</v>
      </c>
      <c r="M13" s="213">
        <v>6.59748</v>
      </c>
      <c r="N13" s="11">
        <v>6.1</v>
      </c>
      <c r="O13" s="52" t="s">
        <v>79</v>
      </c>
      <c r="P13" s="30"/>
      <c r="Q13" s="43"/>
      <c r="R13" s="3"/>
      <c r="S13" s="3"/>
      <c r="T13" t="s">
        <v>78</v>
      </c>
    </row>
    <row r="14" spans="2:20" ht="15.75" thickBot="1" x14ac:dyDescent="0.3">
      <c r="B14" s="60"/>
      <c r="C14" s="61" t="s">
        <v>61</v>
      </c>
      <c r="D14" s="61" t="s">
        <v>62</v>
      </c>
      <c r="E14" s="61" t="s">
        <v>87</v>
      </c>
      <c r="F14" s="61">
        <v>0.35</v>
      </c>
      <c r="G14" s="61">
        <v>0.35</v>
      </c>
      <c r="H14" s="61">
        <v>0.53969999999999996</v>
      </c>
      <c r="I14" s="62">
        <v>0.53349999999999997</v>
      </c>
      <c r="J14" s="63">
        <v>0.53743000000000007</v>
      </c>
      <c r="K14" s="133"/>
      <c r="L14" s="133"/>
      <c r="M14" s="101"/>
      <c r="N14" s="65">
        <v>0.49629000000000001</v>
      </c>
      <c r="O14" s="66">
        <f>R14</f>
        <v>0.48388274999999997</v>
      </c>
      <c r="P14" s="35"/>
      <c r="Q14" s="25">
        <f>$N14*Q$4</f>
        <v>0.49629000000000001</v>
      </c>
      <c r="R14" s="20">
        <f>$N14*0.975</f>
        <v>0.48388274999999997</v>
      </c>
      <c r="S14" s="21">
        <f>$N14*0.95</f>
        <v>0.47147549999999999</v>
      </c>
      <c r="T14" t="s">
        <v>80</v>
      </c>
    </row>
    <row r="15" spans="2:20" x14ac:dyDescent="0.25">
      <c r="B15" s="67" t="s">
        <v>19</v>
      </c>
      <c r="C15" s="57" t="s">
        <v>63</v>
      </c>
      <c r="D15" s="57" t="s">
        <v>64</v>
      </c>
      <c r="E15" s="57" t="s">
        <v>66</v>
      </c>
      <c r="F15" s="57">
        <v>6.3</v>
      </c>
      <c r="G15" s="57">
        <v>5</v>
      </c>
      <c r="H15" s="57">
        <v>7.46</v>
      </c>
      <c r="I15" s="58">
        <v>7.16</v>
      </c>
      <c r="J15" s="68">
        <v>6.4</v>
      </c>
      <c r="K15" s="134"/>
      <c r="L15" s="134"/>
      <c r="M15" s="102"/>
      <c r="N15" s="70">
        <v>6.9</v>
      </c>
      <c r="O15" s="71" t="s">
        <v>84</v>
      </c>
      <c r="P15" s="2"/>
      <c r="Q15" s="44"/>
      <c r="R15" s="27"/>
      <c r="S15" s="27"/>
      <c r="T15" t="s">
        <v>78</v>
      </c>
    </row>
    <row r="16" spans="2:20" x14ac:dyDescent="0.25">
      <c r="B16" s="72"/>
      <c r="C16" s="3" t="s">
        <v>58</v>
      </c>
      <c r="D16" s="3" t="s">
        <v>59</v>
      </c>
      <c r="E16" s="3" t="s">
        <v>60</v>
      </c>
      <c r="F16" s="3">
        <v>30.6</v>
      </c>
      <c r="G16" s="3">
        <v>25</v>
      </c>
      <c r="H16" s="3">
        <v>40.07</v>
      </c>
      <c r="I16" s="36">
        <v>29.93</v>
      </c>
      <c r="J16" s="38">
        <v>30.6</v>
      </c>
      <c r="K16" s="130">
        <v>32.033775999999996</v>
      </c>
      <c r="L16" s="130">
        <v>30.547180999999998</v>
      </c>
      <c r="M16" s="99">
        <v>32.787759999999992</v>
      </c>
      <c r="N16" s="7">
        <v>32.799999999999997</v>
      </c>
      <c r="O16" s="53" t="s">
        <v>83</v>
      </c>
      <c r="P16" s="2"/>
      <c r="Q16" s="45"/>
      <c r="R16" s="28"/>
      <c r="S16" s="28"/>
      <c r="T16" t="s">
        <v>78</v>
      </c>
    </row>
    <row r="17" spans="2:20" x14ac:dyDescent="0.25">
      <c r="B17" s="72"/>
      <c r="C17" s="3" t="s">
        <v>20</v>
      </c>
      <c r="D17" s="3" t="s">
        <v>21</v>
      </c>
      <c r="E17" s="212" t="s">
        <v>72</v>
      </c>
      <c r="F17" s="3">
        <v>52.043010752688176</v>
      </c>
      <c r="G17" s="3">
        <v>45</v>
      </c>
      <c r="H17" s="3">
        <v>66</v>
      </c>
      <c r="I17" s="36">
        <v>51</v>
      </c>
      <c r="J17" s="40">
        <v>52.043010752688176</v>
      </c>
      <c r="K17" s="135">
        <v>48.303156989247313</v>
      </c>
      <c r="L17" s="135">
        <v>43.910167980884104</v>
      </c>
      <c r="M17" s="103">
        <v>47.020817204301075</v>
      </c>
      <c r="N17" s="13">
        <v>48.051948051948045</v>
      </c>
      <c r="O17" s="89" t="s">
        <v>88</v>
      </c>
      <c r="P17" s="31"/>
      <c r="Q17" s="90">
        <f>(J16-J15)/$O20</f>
        <v>43.80288700846193</v>
      </c>
      <c r="R17" s="12">
        <f>(M16-M15)/$O20</f>
        <v>59.347047377709387</v>
      </c>
      <c r="S17" s="13">
        <f>(N16-N15)/$O20</f>
        <v>46.879949318973715</v>
      </c>
      <c r="T17" t="s">
        <v>89</v>
      </c>
    </row>
    <row r="18" spans="2:20" x14ac:dyDescent="0.25">
      <c r="B18" s="72"/>
      <c r="C18" s="3" t="s">
        <v>22</v>
      </c>
      <c r="D18" s="3" t="s">
        <v>23</v>
      </c>
      <c r="E18" s="212" t="s">
        <v>24</v>
      </c>
      <c r="F18" s="3">
        <v>0.03</v>
      </c>
      <c r="G18" s="3">
        <v>0.03</v>
      </c>
      <c r="H18" s="3">
        <v>4.0500000000000001E-2</v>
      </c>
      <c r="I18" s="36">
        <v>3.8600000000000002E-2</v>
      </c>
      <c r="J18" s="37">
        <v>4.2999999999999997E-2</v>
      </c>
      <c r="K18" s="129">
        <v>8.764000000000001E-2</v>
      </c>
      <c r="L18" s="129">
        <v>6.0413888888888895E-3</v>
      </c>
      <c r="M18" s="98">
        <v>1.4000000000000002E-3</v>
      </c>
      <c r="N18" s="5">
        <v>0.04</v>
      </c>
      <c r="O18" s="49">
        <v>0</v>
      </c>
      <c r="P18" s="29"/>
      <c r="Q18" s="42"/>
      <c r="R18" s="26"/>
      <c r="S18" s="26"/>
      <c r="T18" t="s">
        <v>77</v>
      </c>
    </row>
    <row r="19" spans="2:20" x14ac:dyDescent="0.25">
      <c r="B19" s="72"/>
      <c r="C19" s="3" t="s">
        <v>41</v>
      </c>
      <c r="D19" s="3" t="s">
        <v>42</v>
      </c>
      <c r="E19" s="3" t="s">
        <v>43</v>
      </c>
      <c r="F19" s="3">
        <v>1.66594</v>
      </c>
      <c r="G19" s="3">
        <v>1.6300999999999999</v>
      </c>
      <c r="H19" s="3">
        <v>1.8511086730393982</v>
      </c>
      <c r="I19" s="36">
        <v>1.4116148667342987</v>
      </c>
      <c r="J19" s="41">
        <v>1.77</v>
      </c>
      <c r="K19" s="131"/>
      <c r="L19" s="131"/>
      <c r="M19" s="100"/>
      <c r="N19" s="15">
        <v>1.67</v>
      </c>
      <c r="O19" s="51">
        <f>R19</f>
        <v>1.62825</v>
      </c>
      <c r="P19" s="32"/>
      <c r="Q19" s="23">
        <f>$N19*Q$4</f>
        <v>1.67</v>
      </c>
      <c r="R19" s="16">
        <f>$N19*0.975</f>
        <v>1.62825</v>
      </c>
      <c r="S19" s="17">
        <f>$N19*0.95</f>
        <v>1.5864999999999998</v>
      </c>
      <c r="T19" t="s">
        <v>80</v>
      </c>
    </row>
    <row r="20" spans="2:20" ht="15.75" thickBot="1" x14ac:dyDescent="0.3">
      <c r="B20" s="73"/>
      <c r="C20" s="61" t="s">
        <v>44</v>
      </c>
      <c r="D20" s="61" t="s">
        <v>45</v>
      </c>
      <c r="E20" s="61" t="s">
        <v>46</v>
      </c>
      <c r="F20" s="61">
        <v>0.53231863442389771</v>
      </c>
      <c r="G20" s="61">
        <v>0.42222222222222222</v>
      </c>
      <c r="H20" s="61">
        <v>0.48499999999999999</v>
      </c>
      <c r="I20" s="62">
        <v>0.41499999999999998</v>
      </c>
      <c r="J20" s="46">
        <v>0.46500000000000002</v>
      </c>
      <c r="K20" s="136">
        <v>0.54035640000000007</v>
      </c>
      <c r="L20" s="136">
        <v>0.46419735833333331</v>
      </c>
      <c r="M20" s="104">
        <v>0.55181400000000003</v>
      </c>
      <c r="N20" s="48">
        <v>0.53900000000000003</v>
      </c>
      <c r="O20" s="54">
        <f>R20</f>
        <v>0.55247499999999994</v>
      </c>
      <c r="P20" s="33"/>
      <c r="Q20" s="24">
        <f>$N20*Q$4</f>
        <v>0.53900000000000003</v>
      </c>
      <c r="R20" s="18">
        <f>$N20*R$4</f>
        <v>0.55247499999999994</v>
      </c>
      <c r="S20" s="19">
        <f>$N20*S$4</f>
        <v>0.56595000000000006</v>
      </c>
      <c r="T20" t="s">
        <v>80</v>
      </c>
    </row>
    <row r="21" spans="2:20" x14ac:dyDescent="0.25">
      <c r="B21" s="74" t="s">
        <v>25</v>
      </c>
      <c r="C21" s="57" t="s">
        <v>47</v>
      </c>
      <c r="D21" s="57" t="s">
        <v>48</v>
      </c>
      <c r="E21" s="57" t="s">
        <v>65</v>
      </c>
      <c r="F21" s="57">
        <v>30.6</v>
      </c>
      <c r="G21" s="57">
        <v>25</v>
      </c>
      <c r="H21" s="57">
        <v>40.909192664151306</v>
      </c>
      <c r="I21" s="58">
        <v>35.374194805194804</v>
      </c>
      <c r="J21" s="68">
        <v>31</v>
      </c>
      <c r="K21" s="134"/>
      <c r="L21" s="134"/>
      <c r="M21" s="102"/>
      <c r="N21" s="70">
        <v>33.1</v>
      </c>
      <c r="O21" s="71" t="s">
        <v>81</v>
      </c>
      <c r="P21" s="34"/>
      <c r="Q21" s="44"/>
      <c r="R21" s="27"/>
      <c r="S21" s="27"/>
      <c r="T21" t="s">
        <v>78</v>
      </c>
    </row>
    <row r="22" spans="2:20" x14ac:dyDescent="0.25">
      <c r="B22" s="75"/>
      <c r="C22" s="3" t="s">
        <v>49</v>
      </c>
      <c r="D22" s="3" t="s">
        <v>50</v>
      </c>
      <c r="E22" s="94" t="s">
        <v>51</v>
      </c>
      <c r="F22" s="3">
        <v>114.7</v>
      </c>
      <c r="G22" s="3">
        <v>120.3</v>
      </c>
      <c r="H22" s="3">
        <v>115.01656320427439</v>
      </c>
      <c r="I22" s="36">
        <v>115.57258885017421</v>
      </c>
      <c r="J22" s="38">
        <v>114.7</v>
      </c>
      <c r="K22" s="130"/>
      <c r="L22" s="130"/>
      <c r="M22" s="99"/>
      <c r="N22" s="7">
        <v>116</v>
      </c>
      <c r="O22" s="53" t="s">
        <v>82</v>
      </c>
      <c r="P22" s="34"/>
      <c r="Q22" s="44"/>
      <c r="R22" s="27"/>
      <c r="S22" s="27"/>
      <c r="T22" t="s">
        <v>78</v>
      </c>
    </row>
    <row r="23" spans="2:20" x14ac:dyDescent="0.25">
      <c r="B23" s="75"/>
      <c r="C23" s="3" t="s">
        <v>26</v>
      </c>
      <c r="D23" s="3" t="s">
        <v>27</v>
      </c>
      <c r="E23" s="3" t="s">
        <v>28</v>
      </c>
      <c r="F23" s="3">
        <v>70</v>
      </c>
      <c r="G23" s="3">
        <v>119</v>
      </c>
      <c r="H23" s="3">
        <v>91</v>
      </c>
      <c r="I23" s="36">
        <v>77</v>
      </c>
      <c r="J23" s="40">
        <v>80.558229066410021</v>
      </c>
      <c r="K23" s="135"/>
      <c r="L23" s="135"/>
      <c r="M23" s="103"/>
      <c r="N23" s="13">
        <v>73.492907801418454</v>
      </c>
      <c r="O23" s="89" t="s">
        <v>91</v>
      </c>
      <c r="P23" s="31"/>
      <c r="Q23" s="90">
        <f>(J22-J21)/$O26</f>
        <v>72.392319667877544</v>
      </c>
      <c r="R23" s="12">
        <f>(M22-M21)/$O26</f>
        <v>0</v>
      </c>
      <c r="S23" s="13">
        <f>(N22-N21)/$O26</f>
        <v>71.700397855042397</v>
      </c>
      <c r="T23" t="s">
        <v>90</v>
      </c>
    </row>
    <row r="24" spans="2:20" x14ac:dyDescent="0.25">
      <c r="B24" s="75"/>
      <c r="C24" s="3" t="s">
        <v>29</v>
      </c>
      <c r="D24" s="3" t="s">
        <v>30</v>
      </c>
      <c r="E24" s="3" t="s">
        <v>31</v>
      </c>
      <c r="F24" s="3">
        <v>1.4999999999999999E-2</v>
      </c>
      <c r="G24" s="3">
        <v>1.4999999999999999E-2</v>
      </c>
      <c r="H24" s="3">
        <v>3.8699999999999998E-2</v>
      </c>
      <c r="I24" s="36">
        <v>3.5499999999999997E-2</v>
      </c>
      <c r="J24" s="37">
        <v>3.5000000000000003E-2</v>
      </c>
      <c r="K24" s="129"/>
      <c r="L24" s="129"/>
      <c r="M24" s="98"/>
      <c r="N24" s="5">
        <v>3.3000000000000002E-2</v>
      </c>
      <c r="O24" s="49">
        <v>0</v>
      </c>
      <c r="P24" s="29"/>
      <c r="Q24" s="42"/>
      <c r="R24" s="26"/>
      <c r="S24" s="26"/>
      <c r="T24" t="s">
        <v>77</v>
      </c>
    </row>
    <row r="25" spans="2:20" x14ac:dyDescent="0.25">
      <c r="B25" s="75"/>
      <c r="C25" s="3" t="s">
        <v>52</v>
      </c>
      <c r="D25" s="3" t="s">
        <v>53</v>
      </c>
      <c r="E25" s="3" t="s">
        <v>54</v>
      </c>
      <c r="F25" s="3">
        <v>2.5340470000000002</v>
      </c>
      <c r="G25" s="3">
        <v>2.5395909999999997</v>
      </c>
      <c r="H25" s="3">
        <v>2.8156087719838605</v>
      </c>
      <c r="I25" s="36">
        <v>2.22074976243269</v>
      </c>
      <c r="J25" s="41">
        <v>2.65</v>
      </c>
      <c r="K25" s="131"/>
      <c r="L25" s="131"/>
      <c r="M25" s="100"/>
      <c r="N25" s="15">
        <v>2.48</v>
      </c>
      <c r="O25" s="51">
        <f>R25</f>
        <v>2.4180000000000001</v>
      </c>
      <c r="P25" s="32"/>
      <c r="Q25" s="23">
        <f>$N25*Q$4</f>
        <v>2.48</v>
      </c>
      <c r="R25" s="16">
        <f>$N25*0.975</f>
        <v>2.4180000000000001</v>
      </c>
      <c r="S25" s="17">
        <f>$N25*0.95</f>
        <v>2.3559999999999999</v>
      </c>
      <c r="T25" t="s">
        <v>80</v>
      </c>
    </row>
    <row r="26" spans="2:20" ht="15.75" thickBot="1" x14ac:dyDescent="0.3">
      <c r="B26" s="76"/>
      <c r="C26" s="61" t="s">
        <v>55</v>
      </c>
      <c r="D26" s="61" t="s">
        <v>56</v>
      </c>
      <c r="E26" s="61" t="s">
        <v>57</v>
      </c>
      <c r="F26" s="61">
        <v>0.7</v>
      </c>
      <c r="G26" s="61">
        <v>0.8</v>
      </c>
      <c r="H26" s="61">
        <v>0.85</v>
      </c>
      <c r="I26" s="62">
        <v>0.94499999999999995</v>
      </c>
      <c r="J26" s="46">
        <v>1.0389999999999999</v>
      </c>
      <c r="K26" s="136"/>
      <c r="L26" s="136"/>
      <c r="M26" s="104"/>
      <c r="N26" s="48">
        <v>1.1279999999999999</v>
      </c>
      <c r="O26" s="54">
        <f>R26</f>
        <v>1.1561999999999999</v>
      </c>
      <c r="P26" s="33"/>
      <c r="Q26" s="24">
        <f>$N26*Q$4</f>
        <v>1.1279999999999999</v>
      </c>
      <c r="R26" s="18">
        <f>$N26*R$4</f>
        <v>1.1561999999999999</v>
      </c>
      <c r="S26" s="19">
        <f>$N26*S$4</f>
        <v>1.1843999999999999</v>
      </c>
      <c r="T26" t="s">
        <v>80</v>
      </c>
    </row>
    <row r="29" spans="2:20" ht="15.75" x14ac:dyDescent="0.25">
      <c r="E29" s="95" t="s">
        <v>102</v>
      </c>
      <c r="J29" s="2"/>
      <c r="K29" s="2"/>
      <c r="L29" s="2"/>
      <c r="M29" s="2"/>
      <c r="N29" s="2"/>
      <c r="O29" s="2"/>
    </row>
    <row r="30" spans="2:20" ht="15.75" x14ac:dyDescent="0.25">
      <c r="E30" s="96" t="s">
        <v>95</v>
      </c>
      <c r="R30" s="2"/>
    </row>
    <row r="31" spans="2:20" ht="15.75" x14ac:dyDescent="0.25">
      <c r="E31" s="96" t="s">
        <v>96</v>
      </c>
    </row>
    <row r="32" spans="2:20" ht="15.75" x14ac:dyDescent="0.25">
      <c r="E32" s="96" t="s">
        <v>97</v>
      </c>
    </row>
    <row r="33" spans="5:5" ht="15.75" x14ac:dyDescent="0.25">
      <c r="E33" s="96" t="s">
        <v>98</v>
      </c>
    </row>
    <row r="34" spans="5:5" ht="15.75" x14ac:dyDescent="0.25">
      <c r="E34" s="96" t="s">
        <v>99</v>
      </c>
    </row>
    <row r="35" spans="5:5" ht="15.75" x14ac:dyDescent="0.25">
      <c r="E35" s="96" t="s">
        <v>100</v>
      </c>
    </row>
    <row r="36" spans="5:5" ht="15.75" x14ac:dyDescent="0.25">
      <c r="E36" s="96" t="s">
        <v>101</v>
      </c>
    </row>
  </sheetData>
  <mergeCells count="1">
    <mergeCell ref="Q3:S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50F58-D36C-40E5-877C-606B71A2F4C0}">
  <dimension ref="B2:S51"/>
  <sheetViews>
    <sheetView topLeftCell="A16" zoomScaleNormal="100" workbookViewId="0">
      <selection activeCell="D38" sqref="D38"/>
    </sheetView>
  </sheetViews>
  <sheetFormatPr defaultRowHeight="15" x14ac:dyDescent="0.25"/>
  <cols>
    <col min="2" max="2" width="26.140625" customWidth="1"/>
    <col min="3" max="3" width="13.7109375" customWidth="1"/>
    <col min="4" max="4" width="45.140625" bestFit="1" customWidth="1"/>
    <col min="5" max="5" width="16" customWidth="1"/>
    <col min="6" max="6" width="14.140625" bestFit="1" customWidth="1"/>
    <col min="10" max="10" width="12.85546875" customWidth="1"/>
    <col min="11" max="11" width="11.85546875" customWidth="1"/>
    <col min="12" max="12" width="12.140625" customWidth="1"/>
    <col min="13" max="13" width="9.42578125" customWidth="1"/>
    <col min="14" max="14" width="6.42578125" customWidth="1"/>
    <col min="16" max="16" width="7.28515625" customWidth="1"/>
  </cols>
  <sheetData>
    <row r="2" spans="2:19" x14ac:dyDescent="0.25">
      <c r="B2" s="123" t="s">
        <v>103</v>
      </c>
      <c r="C2" s="111"/>
      <c r="D2" s="106"/>
      <c r="E2" s="106"/>
      <c r="F2" s="106"/>
      <c r="G2" s="107"/>
      <c r="H2" s="105"/>
      <c r="I2" s="105"/>
      <c r="J2" s="105"/>
      <c r="K2" s="105"/>
      <c r="L2" s="105"/>
      <c r="M2" s="105"/>
      <c r="N2" s="105"/>
      <c r="O2" s="105"/>
      <c r="P2" s="105"/>
      <c r="Q2" s="105"/>
      <c r="R2" s="105"/>
      <c r="S2" s="105"/>
    </row>
    <row r="3" spans="2:19" x14ac:dyDescent="0.25">
      <c r="B3" s="108"/>
      <c r="C3" s="105"/>
      <c r="D3" s="105"/>
      <c r="E3" s="105"/>
      <c r="F3" s="105"/>
      <c r="G3" s="109"/>
      <c r="H3" s="105"/>
      <c r="I3" s="105"/>
      <c r="J3" s="105"/>
      <c r="K3" s="105"/>
      <c r="L3" s="105"/>
      <c r="M3" s="105"/>
      <c r="N3" s="105"/>
      <c r="O3" s="105"/>
      <c r="P3" s="105"/>
      <c r="Q3" s="105"/>
      <c r="R3" s="105"/>
      <c r="S3" s="105"/>
    </row>
    <row r="4" spans="2:19" x14ac:dyDescent="0.25">
      <c r="B4" s="116" t="s">
        <v>104</v>
      </c>
      <c r="C4" s="112" t="s">
        <v>105</v>
      </c>
      <c r="D4" s="112"/>
      <c r="E4" s="112"/>
      <c r="F4" s="112"/>
      <c r="G4" s="113"/>
      <c r="H4" s="105"/>
      <c r="I4" s="105"/>
      <c r="J4" s="105"/>
      <c r="K4" s="105"/>
      <c r="L4" s="105"/>
      <c r="M4" s="105"/>
      <c r="N4" s="105"/>
      <c r="O4" s="105"/>
      <c r="P4" s="105"/>
      <c r="Q4" s="105"/>
      <c r="R4" s="105"/>
      <c r="S4" s="105"/>
    </row>
    <row r="5" spans="2:19" x14ac:dyDescent="0.25">
      <c r="B5" s="116" t="s">
        <v>106</v>
      </c>
      <c r="C5" s="112" t="s">
        <v>107</v>
      </c>
      <c r="D5" s="112"/>
      <c r="E5" s="112"/>
      <c r="F5" s="112"/>
      <c r="G5" s="113"/>
      <c r="H5" s="105"/>
      <c r="I5" s="105"/>
      <c r="J5" s="105"/>
      <c r="K5" s="105"/>
      <c r="L5" s="105"/>
      <c r="M5" s="105"/>
      <c r="N5" s="105"/>
      <c r="O5" s="105"/>
      <c r="P5" s="105"/>
      <c r="Q5" s="105"/>
      <c r="R5" s="105"/>
      <c r="S5" s="105"/>
    </row>
    <row r="6" spans="2:19" x14ac:dyDescent="0.25">
      <c r="B6" s="117" t="s">
        <v>108</v>
      </c>
      <c r="C6" s="112" t="s">
        <v>109</v>
      </c>
      <c r="D6" s="112"/>
      <c r="E6" s="112"/>
      <c r="F6" s="112"/>
      <c r="G6" s="113"/>
      <c r="H6" s="105"/>
      <c r="I6" s="105"/>
      <c r="J6" s="105"/>
      <c r="K6" s="105"/>
      <c r="L6" s="105"/>
      <c r="M6" s="105"/>
      <c r="N6" s="105"/>
      <c r="O6" s="105"/>
      <c r="P6" s="105"/>
      <c r="Q6" s="105"/>
      <c r="R6" s="105"/>
      <c r="S6" s="105"/>
    </row>
    <row r="7" spans="2:19" x14ac:dyDescent="0.25">
      <c r="B7" s="116" t="s">
        <v>110</v>
      </c>
      <c r="C7" s="112" t="s">
        <v>111</v>
      </c>
      <c r="D7" s="112"/>
      <c r="E7" s="112"/>
      <c r="F7" s="112"/>
      <c r="G7" s="113"/>
      <c r="H7" s="105"/>
      <c r="I7" s="105"/>
      <c r="J7" s="105"/>
      <c r="K7" s="105"/>
      <c r="L7" s="105"/>
      <c r="M7" s="105"/>
      <c r="N7" s="105"/>
      <c r="O7" s="105"/>
      <c r="P7" s="105"/>
      <c r="Q7" s="105"/>
      <c r="R7" s="105"/>
      <c r="S7" s="105"/>
    </row>
    <row r="8" spans="2:19" x14ac:dyDescent="0.25">
      <c r="B8" s="116"/>
      <c r="C8" s="112"/>
      <c r="D8" s="112"/>
      <c r="E8" s="112"/>
      <c r="F8" s="112"/>
      <c r="G8" s="113"/>
      <c r="H8" s="105"/>
      <c r="I8" s="105"/>
      <c r="J8" s="105"/>
      <c r="K8" s="105"/>
      <c r="L8" s="105"/>
      <c r="M8" s="105"/>
      <c r="N8" s="105"/>
      <c r="O8" s="105"/>
      <c r="P8" s="105"/>
      <c r="Q8" s="105"/>
      <c r="R8" s="105"/>
      <c r="S8" s="105"/>
    </row>
    <row r="9" spans="2:19" x14ac:dyDescent="0.25">
      <c r="B9" s="117" t="s">
        <v>112</v>
      </c>
      <c r="C9" s="118"/>
      <c r="D9" s="118"/>
      <c r="E9" s="112"/>
      <c r="F9" s="112"/>
      <c r="G9" s="113"/>
      <c r="H9" s="105"/>
      <c r="I9" s="105"/>
      <c r="J9" s="105"/>
      <c r="K9" s="105"/>
      <c r="L9" s="105"/>
      <c r="M9" s="105"/>
      <c r="N9" s="105"/>
      <c r="O9" s="105"/>
      <c r="P9" s="105"/>
      <c r="Q9" s="105"/>
      <c r="R9" s="105"/>
      <c r="S9" s="105"/>
    </row>
    <row r="10" spans="2:19" x14ac:dyDescent="0.25">
      <c r="B10" s="117"/>
      <c r="C10" s="118"/>
      <c r="D10" s="118"/>
      <c r="E10" s="112"/>
      <c r="F10" s="112"/>
      <c r="G10" s="113"/>
      <c r="H10" s="105"/>
      <c r="I10" s="105"/>
      <c r="J10" s="105"/>
      <c r="K10" s="105"/>
      <c r="L10" s="105"/>
      <c r="M10" s="105"/>
      <c r="N10" s="105"/>
      <c r="O10" s="105"/>
      <c r="P10" s="105"/>
      <c r="Q10" s="105"/>
      <c r="R10" s="105"/>
      <c r="S10" s="105"/>
    </row>
    <row r="11" spans="2:19" x14ac:dyDescent="0.25">
      <c r="B11" s="117" t="s">
        <v>113</v>
      </c>
      <c r="C11" s="118" t="s">
        <v>114</v>
      </c>
      <c r="D11" s="118"/>
      <c r="E11" s="112"/>
      <c r="F11" s="112"/>
      <c r="G11" s="113"/>
      <c r="H11" s="105"/>
      <c r="I11" s="105"/>
      <c r="J11" s="105"/>
      <c r="K11" s="105"/>
      <c r="L11" s="105"/>
      <c r="M11" s="105"/>
      <c r="N11" s="105"/>
      <c r="O11" s="105"/>
      <c r="P11" s="105"/>
      <c r="Q11" s="105"/>
      <c r="R11" s="105"/>
      <c r="S11" s="105"/>
    </row>
    <row r="12" spans="2:19" x14ac:dyDescent="0.25">
      <c r="B12" s="119" t="s">
        <v>115</v>
      </c>
      <c r="C12" s="120" t="s">
        <v>116</v>
      </c>
      <c r="D12" s="120"/>
      <c r="E12" s="121"/>
      <c r="F12" s="121"/>
      <c r="G12" s="122"/>
      <c r="H12" s="105"/>
      <c r="I12" s="105"/>
      <c r="J12" s="105"/>
      <c r="K12" s="105"/>
      <c r="L12" s="105"/>
      <c r="M12" s="105"/>
      <c r="N12" s="105"/>
      <c r="O12" s="105"/>
      <c r="P12" s="105"/>
      <c r="Q12" s="105"/>
      <c r="R12" s="105"/>
      <c r="S12" s="105"/>
    </row>
    <row r="13" spans="2:19" x14ac:dyDescent="0.25">
      <c r="B13" s="105"/>
      <c r="C13" s="105"/>
      <c r="D13" s="105"/>
      <c r="E13" s="105"/>
      <c r="F13" s="105"/>
      <c r="G13" s="105"/>
      <c r="H13" s="105"/>
      <c r="I13" s="105"/>
      <c r="J13" s="105"/>
      <c r="K13" s="105"/>
      <c r="L13" s="105"/>
      <c r="M13" s="105"/>
      <c r="N13" s="105"/>
      <c r="O13" s="105"/>
      <c r="P13" s="105"/>
      <c r="Q13" s="105"/>
      <c r="R13" s="105"/>
      <c r="S13" s="105"/>
    </row>
    <row r="14" spans="2:19" x14ac:dyDescent="0.25">
      <c r="B14" s="118" t="s">
        <v>123</v>
      </c>
      <c r="C14" s="1" t="s">
        <v>134</v>
      </c>
      <c r="D14" s="1" t="s">
        <v>134</v>
      </c>
      <c r="E14" s="1" t="s">
        <v>135</v>
      </c>
      <c r="F14" s="1" t="s">
        <v>137</v>
      </c>
      <c r="I14" s="105"/>
      <c r="J14" s="105"/>
      <c r="K14" s="105"/>
      <c r="L14" s="105"/>
      <c r="M14" s="105"/>
      <c r="N14" s="105"/>
      <c r="O14" s="105"/>
      <c r="P14" s="105"/>
      <c r="Q14" s="105"/>
      <c r="R14" s="105"/>
      <c r="S14" s="105"/>
    </row>
    <row r="15" spans="2:19" x14ac:dyDescent="0.25">
      <c r="B15" s="110" t="s">
        <v>120</v>
      </c>
      <c r="C15" s="110" t="s">
        <v>136</v>
      </c>
      <c r="D15">
        <v>3.35</v>
      </c>
      <c r="E15">
        <v>4.99</v>
      </c>
      <c r="F15" s="1">
        <v>3.89</v>
      </c>
      <c r="I15" s="105"/>
      <c r="J15" s="105"/>
      <c r="K15" s="105"/>
      <c r="M15" s="105"/>
      <c r="N15" s="105"/>
      <c r="O15" s="105"/>
      <c r="P15" s="105"/>
      <c r="Q15" s="105"/>
      <c r="R15" s="105"/>
      <c r="S15" s="105"/>
    </row>
    <row r="16" spans="2:19" x14ac:dyDescent="0.25">
      <c r="B16" s="110" t="s">
        <v>124</v>
      </c>
      <c r="C16" s="137" t="s">
        <v>136</v>
      </c>
      <c r="D16" s="195">
        <v>7.0000000000000007E-2</v>
      </c>
      <c r="E16" s="195">
        <v>0.28000000000000003</v>
      </c>
      <c r="F16" s="138">
        <v>0.14000000000000001</v>
      </c>
      <c r="G16">
        <v>0.34</v>
      </c>
      <c r="I16" s="105"/>
      <c r="J16" s="105"/>
      <c r="K16" s="105"/>
      <c r="L16" s="105"/>
      <c r="M16" s="105"/>
      <c r="N16" s="105"/>
      <c r="O16" s="105"/>
      <c r="P16" s="105"/>
      <c r="Q16" s="105"/>
      <c r="R16" s="105"/>
      <c r="S16" s="105"/>
    </row>
    <row r="17" spans="2:19" x14ac:dyDescent="0.25">
      <c r="B17" s="110" t="s">
        <v>125</v>
      </c>
      <c r="C17" s="137" t="s">
        <v>136</v>
      </c>
      <c r="D17" s="195">
        <v>0.02</v>
      </c>
      <c r="E17" s="195">
        <v>0.08</v>
      </c>
      <c r="F17" s="138">
        <v>0.04</v>
      </c>
      <c r="I17" s="105"/>
      <c r="J17" s="105"/>
      <c r="K17" s="105"/>
      <c r="L17" s="105"/>
      <c r="M17" s="105"/>
      <c r="N17" s="105"/>
      <c r="O17" s="105"/>
      <c r="P17" s="105"/>
      <c r="Q17" s="105"/>
      <c r="R17" s="105"/>
      <c r="S17" s="105"/>
    </row>
    <row r="18" spans="2:19" x14ac:dyDescent="0.25">
      <c r="I18" s="105"/>
      <c r="J18" s="105"/>
      <c r="K18" s="105"/>
      <c r="L18" s="105"/>
      <c r="M18" s="105"/>
      <c r="N18" s="105"/>
      <c r="O18" s="105"/>
      <c r="P18" s="105"/>
      <c r="Q18" s="105"/>
      <c r="R18" s="105"/>
      <c r="S18" s="105"/>
    </row>
    <row r="19" spans="2:19" x14ac:dyDescent="0.25">
      <c r="B19" s="191" t="s">
        <v>128</v>
      </c>
      <c r="C19" s="215">
        <v>25969.36956540601</v>
      </c>
      <c r="I19" s="105"/>
      <c r="J19" s="105"/>
      <c r="K19" s="105"/>
      <c r="L19" s="105"/>
      <c r="M19" s="105"/>
      <c r="N19" s="105"/>
      <c r="O19" s="105"/>
      <c r="P19" s="105"/>
      <c r="Q19" s="105"/>
      <c r="R19" s="105"/>
      <c r="S19" s="105"/>
    </row>
    <row r="20" spans="2:19" x14ac:dyDescent="0.25">
      <c r="B20" s="191" t="s">
        <v>128</v>
      </c>
      <c r="C20" s="124">
        <f>C19*C31</f>
        <v>1298.4684782703007</v>
      </c>
      <c r="D20" s="124"/>
      <c r="I20" s="105"/>
      <c r="J20" s="105"/>
      <c r="K20" s="105"/>
      <c r="L20" s="105"/>
      <c r="M20" s="105"/>
      <c r="N20" s="105"/>
      <c r="O20" s="105"/>
      <c r="P20" s="105"/>
      <c r="Q20" s="105"/>
      <c r="R20" s="105"/>
      <c r="S20" s="105"/>
    </row>
    <row r="21" spans="2:19" x14ac:dyDescent="0.25">
      <c r="B21" s="191" t="s">
        <v>126</v>
      </c>
      <c r="C21" s="124">
        <f>C20/1000</f>
        <v>1.2984684782703007</v>
      </c>
      <c r="I21" s="105"/>
      <c r="J21" s="105"/>
      <c r="K21" s="105"/>
      <c r="L21" s="105"/>
      <c r="M21" s="105"/>
      <c r="N21" s="105"/>
      <c r="O21" s="105"/>
      <c r="P21" s="105"/>
      <c r="Q21" s="105"/>
      <c r="R21" s="105"/>
      <c r="S21" s="105"/>
    </row>
    <row r="22" spans="2:19" x14ac:dyDescent="0.25">
      <c r="B22" s="191" t="s">
        <v>127</v>
      </c>
      <c r="C22" s="125">
        <v>159484.98000000001</v>
      </c>
      <c r="D22" s="125">
        <f>C22/0.1344</f>
        <v>1186644.1964285716</v>
      </c>
      <c r="I22" s="105"/>
      <c r="J22" s="105"/>
      <c r="K22" s="105"/>
      <c r="L22" s="105"/>
      <c r="M22" s="105"/>
      <c r="N22" s="105"/>
      <c r="O22" s="105"/>
      <c r="P22" s="105"/>
      <c r="Q22" s="105"/>
      <c r="R22" s="105"/>
      <c r="S22" s="105"/>
    </row>
    <row r="23" spans="2:19" x14ac:dyDescent="0.25">
      <c r="B23" s="191"/>
      <c r="C23" s="263" t="s">
        <v>203</v>
      </c>
      <c r="D23" s="263" t="s">
        <v>204</v>
      </c>
      <c r="I23" s="105"/>
      <c r="J23" s="105"/>
      <c r="K23" s="105"/>
      <c r="L23" s="105"/>
      <c r="M23" s="105"/>
      <c r="N23" s="105"/>
      <c r="O23" s="105"/>
      <c r="P23" s="105"/>
      <c r="Q23" s="105"/>
      <c r="R23" s="105"/>
      <c r="S23" s="105"/>
    </row>
    <row r="24" spans="2:19" x14ac:dyDescent="0.25">
      <c r="B24" s="110" t="s">
        <v>202</v>
      </c>
      <c r="C24" s="215">
        <f>C21*C22</f>
        <v>207086.21928756934</v>
      </c>
      <c r="D24" s="215">
        <f>C21*D22</f>
        <v>1540820.0839848912</v>
      </c>
      <c r="G24" t="s">
        <v>159</v>
      </c>
      <c r="I24" s="105"/>
      <c r="J24" s="105"/>
      <c r="K24" s="105"/>
      <c r="L24" s="105"/>
      <c r="M24" s="105"/>
      <c r="N24" s="105"/>
      <c r="O24" s="105"/>
      <c r="P24" s="105"/>
      <c r="Q24" s="105"/>
      <c r="R24" s="105"/>
      <c r="S24" s="105"/>
    </row>
    <row r="25" spans="2:19" x14ac:dyDescent="0.25">
      <c r="B25" s="110" t="s">
        <v>146</v>
      </c>
      <c r="C25" s="215" cm="1">
        <f t="array" ref="C25">_xll.RiskOutput()+2*C32</f>
        <v>3812380</v>
      </c>
      <c r="D25" s="215" cm="1">
        <f t="array" ref="D25">_xll.RiskOutput()+20*C32</f>
        <v>38123800</v>
      </c>
      <c r="E25" s="196" cm="1">
        <f t="array" ref="E25">_xll.RiskOutput()+(D25+C25)/2</f>
        <v>20968090</v>
      </c>
      <c r="G25" t="s">
        <v>158</v>
      </c>
      <c r="I25" s="105"/>
      <c r="J25" s="105"/>
      <c r="K25" s="105"/>
      <c r="L25" s="105"/>
      <c r="M25" s="105"/>
      <c r="N25" s="105"/>
      <c r="O25" s="105"/>
      <c r="P25" s="105"/>
      <c r="Q25" s="105"/>
      <c r="R25" s="105"/>
      <c r="S25" s="105"/>
    </row>
    <row r="26" spans="2:19" x14ac:dyDescent="0.25">
      <c r="B26" s="110" t="s">
        <v>147</v>
      </c>
      <c r="C26" s="215">
        <f>7.5*C33</f>
        <v>285928500</v>
      </c>
      <c r="D26" s="215">
        <f>15*C33</f>
        <v>571857000</v>
      </c>
      <c r="E26" s="188"/>
      <c r="G26" t="s">
        <v>157</v>
      </c>
      <c r="I26" s="105"/>
      <c r="J26" s="105"/>
      <c r="K26" s="105"/>
      <c r="L26" s="105"/>
      <c r="M26" s="105"/>
      <c r="N26" s="105"/>
      <c r="O26" s="105"/>
      <c r="P26" s="105"/>
      <c r="Q26" s="105"/>
      <c r="R26" s="105"/>
      <c r="S26" s="105"/>
    </row>
    <row r="27" spans="2:19" x14ac:dyDescent="0.25">
      <c r="B27" s="105" t="s">
        <v>206</v>
      </c>
      <c r="C27" s="105">
        <v>7.4404760000000003</v>
      </c>
      <c r="D27" s="105"/>
      <c r="E27" s="114" t="s">
        <v>122</v>
      </c>
      <c r="F27" s="197">
        <f>D24+E25</f>
        <v>22508910.083984893</v>
      </c>
      <c r="G27" t="s">
        <v>160</v>
      </c>
      <c r="I27" s="105"/>
      <c r="J27" s="192"/>
      <c r="K27" s="105"/>
      <c r="L27" s="105"/>
      <c r="M27" s="105"/>
      <c r="N27" s="105"/>
      <c r="O27" s="105"/>
      <c r="P27" s="105"/>
      <c r="Q27" s="105"/>
      <c r="R27" s="105"/>
      <c r="S27" s="105"/>
    </row>
    <row r="28" spans="2:19" x14ac:dyDescent="0.25">
      <c r="B28" s="105" t="s">
        <v>208</v>
      </c>
      <c r="C28" s="105" t="e" cm="1">
        <f t="array" aca="1" ref="C28" ca="1">_xll.RiskUniform(2,20)</f>
        <v>#NAME?</v>
      </c>
      <c r="D28" s="105"/>
      <c r="E28" s="197"/>
      <c r="F28" s="197"/>
      <c r="I28" s="105"/>
      <c r="J28" s="192"/>
      <c r="K28" s="105"/>
      <c r="L28" s="105"/>
      <c r="M28" s="105"/>
      <c r="N28" s="105"/>
      <c r="O28" s="105"/>
      <c r="P28" s="105"/>
      <c r="Q28" s="105"/>
      <c r="R28" s="105"/>
      <c r="S28" s="105"/>
    </row>
    <row r="29" spans="2:19" x14ac:dyDescent="0.25">
      <c r="B29" s="105"/>
      <c r="C29" s="105"/>
      <c r="D29" s="105"/>
      <c r="E29" s="197"/>
      <c r="F29" s="197"/>
      <c r="I29" s="105"/>
      <c r="J29" s="192"/>
      <c r="K29" s="105"/>
      <c r="L29" s="105"/>
      <c r="M29" s="105"/>
      <c r="N29" s="105"/>
      <c r="O29" s="105"/>
      <c r="P29" s="105"/>
      <c r="Q29" s="105"/>
      <c r="R29" s="105"/>
      <c r="S29" s="105"/>
    </row>
    <row r="30" spans="2:19" x14ac:dyDescent="0.25">
      <c r="B30" s="105"/>
      <c r="C30" s="105"/>
      <c r="D30" s="105"/>
      <c r="E30" s="197"/>
      <c r="F30" s="197"/>
      <c r="I30" s="105"/>
      <c r="J30" s="192"/>
      <c r="K30" s="105"/>
      <c r="L30" s="105"/>
      <c r="M30" s="105"/>
      <c r="N30" s="105"/>
      <c r="O30" s="105"/>
      <c r="P30" s="105"/>
      <c r="Q30" s="105"/>
      <c r="R30" s="105"/>
      <c r="S30" s="105"/>
    </row>
    <row r="31" spans="2:19" x14ac:dyDescent="0.25">
      <c r="B31" s="110" t="s">
        <v>205</v>
      </c>
      <c r="C31" s="264">
        <v>0.05</v>
      </c>
      <c r="D31" s="105"/>
      <c r="E31" s="197"/>
      <c r="F31" s="197"/>
      <c r="I31" s="105"/>
      <c r="J31" s="192"/>
      <c r="K31" s="105"/>
      <c r="L31" s="105"/>
      <c r="M31" s="105"/>
      <c r="N31" s="105"/>
      <c r="O31" s="105"/>
      <c r="P31" s="105"/>
      <c r="Q31" s="105"/>
      <c r="R31" s="105"/>
      <c r="S31" s="105"/>
    </row>
    <row r="32" spans="2:19" x14ac:dyDescent="0.25">
      <c r="B32" s="110" t="s">
        <v>149</v>
      </c>
      <c r="C32" s="124" cm="1">
        <f t="array" ref="C32">_xll.RiskOutput()+C33*C31</f>
        <v>1906190</v>
      </c>
      <c r="I32" s="105"/>
      <c r="J32" s="105"/>
      <c r="K32" s="105"/>
      <c r="L32" s="105"/>
      <c r="M32" s="105"/>
      <c r="N32" s="105"/>
      <c r="O32" s="105"/>
      <c r="P32" s="105"/>
      <c r="Q32" s="105"/>
      <c r="R32" s="105"/>
      <c r="S32" s="105"/>
    </row>
    <row r="33" spans="2:18" x14ac:dyDescent="0.25">
      <c r="B33" s="110" t="s">
        <v>148</v>
      </c>
      <c r="C33" s="124">
        <v>38123800</v>
      </c>
      <c r="I33" s="112" t="s">
        <v>129</v>
      </c>
      <c r="O33" s="105"/>
      <c r="P33" s="105"/>
      <c r="Q33" s="105"/>
      <c r="R33" s="105"/>
    </row>
    <row r="34" spans="2:18" x14ac:dyDescent="0.25">
      <c r="H34">
        <f>1/0.1344</f>
        <v>7.4404761904761907</v>
      </c>
    </row>
    <row r="35" spans="2:18" x14ac:dyDescent="0.25">
      <c r="C35" t="s">
        <v>203</v>
      </c>
      <c r="D35" t="s">
        <v>204</v>
      </c>
    </row>
    <row r="36" spans="2:18" x14ac:dyDescent="0.25">
      <c r="B36" s="110" t="s">
        <v>164</v>
      </c>
      <c r="C36" s="215">
        <f>C24</f>
        <v>207086.21928756934</v>
      </c>
      <c r="D36" s="215">
        <f>D24</f>
        <v>1540820.0839848912</v>
      </c>
    </row>
    <row r="37" spans="2:18" x14ac:dyDescent="0.25">
      <c r="B37" s="110" t="s">
        <v>146</v>
      </c>
      <c r="C37" s="215" t="e" cm="1">
        <f t="array" aca="1" ref="C37" ca="1">_xll.RiskOutput()+D37/C27</f>
        <v>#NAME?</v>
      </c>
      <c r="D37" s="215" t="e" cm="1">
        <f t="array" aca="1" ref="D37" ca="1">_xll.RiskOutput()+C32*C28</f>
        <v>#NAME?</v>
      </c>
    </row>
    <row r="38" spans="2:18" x14ac:dyDescent="0.25">
      <c r="B38" s="110" t="s">
        <v>207</v>
      </c>
      <c r="C38" s="215" t="e" cm="1">
        <f t="array" aca="1" ref="C38" ca="1">_xll.RiskOutput()+C36+C37</f>
        <v>#NAME?</v>
      </c>
      <c r="D38" s="215" t="e" cm="1">
        <f t="array" aca="1" ref="D38" ca="1">_xll.RiskOutput()+D36+D37</f>
        <v>#NAME?</v>
      </c>
    </row>
    <row r="40" spans="2:18" x14ac:dyDescent="0.25">
      <c r="E40" s="124">
        <v>22507390.489999998</v>
      </c>
      <c r="F40" s="124">
        <v>22508906.91</v>
      </c>
      <c r="G40" s="124">
        <v>7067401.8799999999</v>
      </c>
      <c r="H40" s="124">
        <v>37946521.619999997</v>
      </c>
    </row>
    <row r="41" spans="2:18" x14ac:dyDescent="0.25">
      <c r="B41" s="189" t="s">
        <v>142</v>
      </c>
    </row>
    <row r="42" spans="2:18" x14ac:dyDescent="0.25">
      <c r="B42" s="190" t="s">
        <v>143</v>
      </c>
    </row>
    <row r="43" spans="2:18" x14ac:dyDescent="0.25">
      <c r="B43" s="189" t="s">
        <v>144</v>
      </c>
    </row>
    <row r="44" spans="2:18" x14ac:dyDescent="0.25">
      <c r="B44" s="189" t="s">
        <v>145</v>
      </c>
    </row>
    <row r="46" spans="2:18" x14ac:dyDescent="0.25">
      <c r="C46">
        <v>3.8899999999999997E-2</v>
      </c>
      <c r="D46" s="215">
        <v>11908618.529999999</v>
      </c>
    </row>
    <row r="47" spans="2:18" x14ac:dyDescent="0.25">
      <c r="C47">
        <v>0.626</v>
      </c>
    </row>
    <row r="48" spans="2:18" x14ac:dyDescent="0.25">
      <c r="C48" s="215">
        <f>(C47*D46)/C46</f>
        <v>191639979.42879176</v>
      </c>
      <c r="E48" t="s">
        <v>163</v>
      </c>
      <c r="F48" t="s">
        <v>150</v>
      </c>
    </row>
    <row r="49" spans="3:6" x14ac:dyDescent="0.25">
      <c r="C49">
        <f>C48/D46</f>
        <v>16.092544987146528</v>
      </c>
      <c r="D49" t="s">
        <v>164</v>
      </c>
      <c r="E49" s="124">
        <f>D24</f>
        <v>1540820.0839848912</v>
      </c>
      <c r="F49" s="124">
        <f>C48</f>
        <v>191639979.42879176</v>
      </c>
    </row>
    <row r="50" spans="3:6" x14ac:dyDescent="0.25">
      <c r="D50" t="s">
        <v>165</v>
      </c>
      <c r="E50" s="124">
        <f>E25</f>
        <v>20968090</v>
      </c>
      <c r="F50" s="124">
        <f>(E25*C47)/C46</f>
        <v>337429931.61953729</v>
      </c>
    </row>
    <row r="51" spans="3:6" x14ac:dyDescent="0.25">
      <c r="D51" t="s">
        <v>166</v>
      </c>
      <c r="E51" s="124">
        <f>SUM(E49:E50)</f>
        <v>22508910.083984893</v>
      </c>
      <c r="F51" s="124">
        <f>SUM(F49:F50)</f>
        <v>529069911.04832906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5969-A1DE-4EEE-8C8D-5C8078D76227}">
  <dimension ref="A1:X10"/>
  <sheetViews>
    <sheetView workbookViewId="0"/>
  </sheetViews>
  <sheetFormatPr defaultColWidth="25.5703125" defaultRowHeight="15" x14ac:dyDescent="0.25"/>
  <sheetData>
    <row r="1" spans="1:24" x14ac:dyDescent="0.25">
      <c r="A1" t="s">
        <v>174</v>
      </c>
      <c r="B1" t="s">
        <v>175</v>
      </c>
    </row>
    <row r="2" spans="1:24" x14ac:dyDescent="0.25">
      <c r="A2" t="s">
        <v>176</v>
      </c>
      <c r="B2">
        <v>4</v>
      </c>
    </row>
    <row r="3" spans="1:24" x14ac:dyDescent="0.25">
      <c r="A3" t="s">
        <v>177</v>
      </c>
      <c r="B3">
        <v>0</v>
      </c>
    </row>
    <row r="5" spans="1:24" x14ac:dyDescent="0.25">
      <c r="A5" t="s">
        <v>178</v>
      </c>
      <c r="B5" t="s">
        <v>179</v>
      </c>
      <c r="C5" t="s">
        <v>180</v>
      </c>
      <c r="D5" t="s">
        <v>181</v>
      </c>
      <c r="E5" t="s">
        <v>182</v>
      </c>
      <c r="F5" t="s">
        <v>183</v>
      </c>
      <c r="J5" t="s">
        <v>184</v>
      </c>
      <c r="K5" t="s">
        <v>185</v>
      </c>
      <c r="L5" t="s">
        <v>186</v>
      </c>
      <c r="N5" t="s">
        <v>187</v>
      </c>
      <c r="O5" t="s">
        <v>188</v>
      </c>
      <c r="P5" t="s">
        <v>189</v>
      </c>
      <c r="R5" t="s">
        <v>190</v>
      </c>
      <c r="S5" t="s">
        <v>191</v>
      </c>
      <c r="T5" t="s">
        <v>192</v>
      </c>
      <c r="V5" t="s">
        <v>193</v>
      </c>
      <c r="W5" t="s">
        <v>194</v>
      </c>
      <c r="X5" t="s">
        <v>195</v>
      </c>
    </row>
    <row r="6" spans="1:24" x14ac:dyDescent="0.25">
      <c r="A6" t="e">
        <f ca="1">ModelRef('Expert opinion - Stoch'!$C$34,1,0,0)</f>
        <v>#NAME?</v>
      </c>
      <c r="B6">
        <v>0</v>
      </c>
      <c r="C6">
        <v>3</v>
      </c>
      <c r="F6">
        <v>0</v>
      </c>
      <c r="J6" t="b">
        <v>1</v>
      </c>
      <c r="K6" t="s">
        <v>196</v>
      </c>
      <c r="L6" t="e">
        <f ca="1">ModelRef('Expert opinion - Stoch'!$C$34,1,0,0)</f>
        <v>#NAME?</v>
      </c>
    </row>
    <row r="7" spans="1:24" x14ac:dyDescent="0.25">
      <c r="A7" t="e">
        <f ca="1">ModelRef('Expert opinion - Stoch'!$C$26,1,0,0)</f>
        <v>#NAME?</v>
      </c>
      <c r="B7">
        <v>0</v>
      </c>
      <c r="C7">
        <v>3</v>
      </c>
      <c r="F7">
        <v>0</v>
      </c>
      <c r="J7" t="b">
        <v>1</v>
      </c>
      <c r="K7" t="s">
        <v>197</v>
      </c>
      <c r="L7" t="e">
        <f ca="1">ModelRef('Expert opinion - Stoch'!$C$26,1,0,0)</f>
        <v>#NAME?</v>
      </c>
    </row>
    <row r="8" spans="1:24" x14ac:dyDescent="0.25">
      <c r="A8" t="e">
        <f ca="1">ModelRef('Expert opinion - Stoch'!$C$22,1,0,0)</f>
        <v>#NAME?</v>
      </c>
      <c r="B8">
        <v>0</v>
      </c>
      <c r="C8">
        <v>3</v>
      </c>
      <c r="F8">
        <v>0</v>
      </c>
      <c r="J8" t="b">
        <v>1</v>
      </c>
      <c r="K8" t="s">
        <v>198</v>
      </c>
      <c r="L8" t="e">
        <f ca="1">ModelRef('Expert opinion - Stoch'!$C$22,1,0,0)</f>
        <v>#NAME?</v>
      </c>
    </row>
    <row r="9" spans="1:24" x14ac:dyDescent="0.25">
      <c r="A9" t="e">
        <f ca="1">ModelRef('Expert opinion - Stoch'!$C$18,1,0,0)</f>
        <v>#NAME?</v>
      </c>
      <c r="B9">
        <v>0</v>
      </c>
      <c r="C9">
        <v>3</v>
      </c>
      <c r="F9">
        <v>0</v>
      </c>
      <c r="J9" t="b">
        <v>1</v>
      </c>
      <c r="K9" t="s">
        <v>199</v>
      </c>
      <c r="L9" t="e">
        <f ca="1">ModelRef('Expert opinion - Stoch'!$C$18,1,0,0)</f>
        <v>#NAME?</v>
      </c>
    </row>
    <row r="10" spans="1:24" x14ac:dyDescent="0.25">
      <c r="A10" t="e">
        <f ca="1">ModelRef('Expert opinion - Stoch'!$C$14,1,0,0)</f>
        <v>#NAME?</v>
      </c>
      <c r="B10">
        <v>0</v>
      </c>
      <c r="C10">
        <v>3</v>
      </c>
      <c r="F10">
        <v>0</v>
      </c>
      <c r="J10" t="b">
        <v>1</v>
      </c>
      <c r="K10" t="s">
        <v>200</v>
      </c>
      <c r="L10" t="e">
        <f ca="1">ModelRef('Expert opinion - Stoch'!$C$14,1,0,0)</f>
        <v>#NAME?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858F-A959-4B84-8C2D-D36653E9F376}">
  <dimension ref="A1:P41"/>
  <sheetViews>
    <sheetView showGridLines="0" zoomScaleNormal="100" workbookViewId="0">
      <selection activeCell="A9" sqref="A9:O34"/>
    </sheetView>
  </sheetViews>
  <sheetFormatPr defaultRowHeight="15" x14ac:dyDescent="0.25"/>
  <cols>
    <col min="1" max="1" width="21.85546875" bestFit="1" customWidth="1"/>
    <col min="2" max="2" width="28.42578125" bestFit="1" customWidth="1"/>
    <col min="3" max="3" width="15.5703125" bestFit="1" customWidth="1"/>
    <col min="4" max="4" width="14.42578125" bestFit="1" customWidth="1"/>
    <col min="5" max="5" width="15.5703125" bestFit="1" customWidth="1"/>
    <col min="6" max="6" width="12.42578125" customWidth="1"/>
    <col min="8" max="8" width="10.140625" customWidth="1"/>
    <col min="9" max="9" width="11.140625" customWidth="1"/>
    <col min="11" max="11" width="7.85546875" customWidth="1"/>
    <col min="12" max="12" width="11.5703125" bestFit="1" customWidth="1"/>
    <col min="13" max="13" width="7.140625" bestFit="1" customWidth="1"/>
    <col min="14" max="14" width="11.85546875" bestFit="1" customWidth="1"/>
    <col min="15" max="15" width="7.85546875" customWidth="1"/>
  </cols>
  <sheetData>
    <row r="1" spans="1:16" ht="15.75" thickBot="1" x14ac:dyDescent="0.3"/>
    <row r="2" spans="1:16" ht="15.75" thickBot="1" x14ac:dyDescent="0.3">
      <c r="A2" s="254" t="s">
        <v>171</v>
      </c>
      <c r="B2" s="255" t="s">
        <v>172</v>
      </c>
      <c r="C2" s="256" t="s">
        <v>173</v>
      </c>
      <c r="D2" s="1"/>
      <c r="E2" s="1"/>
    </row>
    <row r="3" spans="1:16" x14ac:dyDescent="0.25">
      <c r="A3" s="257" t="s">
        <v>120</v>
      </c>
      <c r="B3" s="258" t="s">
        <v>136</v>
      </c>
      <c r="C3" s="259">
        <v>0.05</v>
      </c>
      <c r="D3" s="228"/>
      <c r="E3" s="229"/>
      <c r="J3" s="1" t="s">
        <v>112</v>
      </c>
      <c r="K3" s="1"/>
    </row>
    <row r="4" spans="1:16" x14ac:dyDescent="0.25">
      <c r="A4" s="249" t="s">
        <v>138</v>
      </c>
      <c r="B4" s="202" t="s">
        <v>136</v>
      </c>
      <c r="C4" s="250" t="e" cm="1">
        <f t="array" aca="1" ref="C4" ca="1">_xll.RiskPert(0.07,0.14,0.28)</f>
        <v>#NAME?</v>
      </c>
      <c r="D4" s="228"/>
      <c r="E4" s="229"/>
      <c r="F4" s="194"/>
      <c r="J4" s="1" t="s">
        <v>113</v>
      </c>
      <c r="K4" s="1" t="s">
        <v>114</v>
      </c>
    </row>
    <row r="5" spans="1:16" ht="15.75" thickBot="1" x14ac:dyDescent="0.3">
      <c r="A5" s="251" t="s">
        <v>139</v>
      </c>
      <c r="B5" s="252" t="s">
        <v>136</v>
      </c>
      <c r="C5" s="253" t="e" cm="1">
        <f t="array" aca="1" ref="C5" ca="1">_xll.RiskPert(0.02,0.04,0.08)</f>
        <v>#NAME?</v>
      </c>
      <c r="D5" s="228"/>
      <c r="E5" s="229"/>
      <c r="J5" s="1" t="s">
        <v>115</v>
      </c>
      <c r="K5" s="1" t="s">
        <v>116</v>
      </c>
    </row>
    <row r="7" spans="1:16" x14ac:dyDescent="0.25">
      <c r="A7" s="123" t="s">
        <v>103</v>
      </c>
    </row>
    <row r="8" spans="1:16" ht="15.75" thickBot="1" x14ac:dyDescent="0.3"/>
    <row r="9" spans="1:16" ht="24.75" thickBot="1" x14ac:dyDescent="0.3">
      <c r="A9" s="140" t="s">
        <v>85</v>
      </c>
      <c r="B9" s="140" t="s">
        <v>7</v>
      </c>
      <c r="C9" s="182" t="s">
        <v>141</v>
      </c>
      <c r="D9" s="183" t="s">
        <v>119</v>
      </c>
      <c r="E9" s="184" t="s">
        <v>117</v>
      </c>
      <c r="F9" s="185" t="s">
        <v>118</v>
      </c>
      <c r="G9" s="186"/>
      <c r="H9" s="187" t="s">
        <v>115</v>
      </c>
      <c r="I9" s="184" t="s">
        <v>113</v>
      </c>
      <c r="J9" s="260" t="s">
        <v>140</v>
      </c>
      <c r="K9" s="182" t="s">
        <v>134</v>
      </c>
      <c r="L9" s="182" t="s">
        <v>167</v>
      </c>
      <c r="M9" s="182" t="s">
        <v>168</v>
      </c>
      <c r="N9" s="182" t="s">
        <v>169</v>
      </c>
      <c r="O9" s="182" t="s">
        <v>170</v>
      </c>
    </row>
    <row r="10" spans="1:16" ht="15.75" thickBot="1" x14ac:dyDescent="0.3">
      <c r="A10" s="141" t="s">
        <v>8</v>
      </c>
      <c r="B10" s="146" t="s">
        <v>70</v>
      </c>
      <c r="C10" s="208" t="e" cm="1">
        <f t="array" aca="1" ref="C10" ca="1">_xll.RiskOutput()+C4*F10</f>
        <v>#NAME?</v>
      </c>
      <c r="D10" s="165">
        <v>0</v>
      </c>
      <c r="E10" s="166"/>
      <c r="F10" s="230">
        <f>$C$3</f>
        <v>0.05</v>
      </c>
      <c r="G10" s="181"/>
      <c r="H10" s="232">
        <v>0.153</v>
      </c>
      <c r="I10" s="167"/>
      <c r="J10" s="261"/>
      <c r="K10" s="208">
        <v>3.5300000000000002E-3</v>
      </c>
      <c r="L10" s="208">
        <v>4.6499999999999996E-3</v>
      </c>
      <c r="M10" s="208">
        <v>7.4460000000000004E-3</v>
      </c>
      <c r="N10" s="208">
        <v>1.099E-2</v>
      </c>
      <c r="O10" s="208">
        <v>1.3776999999999999E-2</v>
      </c>
      <c r="P10" s="231" t="e">
        <f ca="1">IF(C10&lt;H10,1,0)</f>
        <v>#NAME?</v>
      </c>
    </row>
    <row r="11" spans="1:16" ht="15.75" thickBot="1" x14ac:dyDescent="0.3">
      <c r="A11" s="141"/>
      <c r="B11" s="146" t="s">
        <v>168</v>
      </c>
      <c r="C11" s="208">
        <v>7.4456000000000001E-3</v>
      </c>
      <c r="D11" s="165"/>
      <c r="E11" s="166"/>
      <c r="F11" s="230"/>
      <c r="G11" s="181"/>
      <c r="H11" s="232"/>
      <c r="I11" s="167"/>
      <c r="J11" s="261"/>
      <c r="K11" s="208"/>
      <c r="L11" s="208"/>
      <c r="M11" s="208"/>
      <c r="N11" s="208"/>
      <c r="O11" s="208"/>
      <c r="P11" s="231"/>
    </row>
    <row r="12" spans="1:16" ht="15.75" thickBot="1" x14ac:dyDescent="0.3">
      <c r="A12" s="141"/>
      <c r="B12" s="290">
        <v>0.05</v>
      </c>
      <c r="C12" s="208">
        <v>1.0988100000000001E-2</v>
      </c>
      <c r="D12" s="165"/>
      <c r="E12" s="166"/>
      <c r="F12" s="230"/>
      <c r="G12" s="181"/>
      <c r="H12" s="232"/>
      <c r="I12" s="167"/>
      <c r="J12" s="261"/>
      <c r="K12" s="208"/>
      <c r="L12" s="208"/>
      <c r="M12" s="208"/>
      <c r="N12" s="208"/>
      <c r="O12" s="208"/>
      <c r="P12" s="231"/>
    </row>
    <row r="13" spans="1:16" ht="15.75" thickBot="1" x14ac:dyDescent="0.3">
      <c r="A13" s="141"/>
      <c r="B13" s="290">
        <v>0.95</v>
      </c>
      <c r="C13" s="208">
        <v>4.6493000000000003E-3</v>
      </c>
      <c r="D13" s="165"/>
      <c r="E13" s="166"/>
      <c r="F13" s="230"/>
      <c r="G13" s="181"/>
      <c r="H13" s="232"/>
      <c r="I13" s="167"/>
      <c r="J13" s="261"/>
      <c r="K13" s="208"/>
      <c r="L13" s="208"/>
      <c r="M13" s="208"/>
      <c r="N13" s="208"/>
      <c r="O13" s="208"/>
      <c r="P13" s="231"/>
    </row>
    <row r="14" spans="1:16" ht="15.75" thickBot="1" x14ac:dyDescent="0.3">
      <c r="A14" s="146"/>
      <c r="B14" s="146" t="s">
        <v>40</v>
      </c>
      <c r="C14" s="218" t="e" cm="1">
        <f t="array" aca="1" ref="C14" ca="1">_xll.RiskOutput()+D14*(1-F14)+E14*F14</f>
        <v>#NAME?</v>
      </c>
      <c r="D14" s="163">
        <v>48.3</v>
      </c>
      <c r="E14" s="166" t="e" cm="1">
        <f t="array" aca="1" ref="E14" ca="1">_xll.RiskOutput()+D14-J14</f>
        <v>#NAME?</v>
      </c>
      <c r="F14" s="230">
        <f>$C$3</f>
        <v>0.05</v>
      </c>
      <c r="G14" s="181"/>
      <c r="H14" s="169">
        <v>34.1</v>
      </c>
      <c r="I14" s="230" t="e">
        <f ca="1">$C$5</f>
        <v>#NAME?</v>
      </c>
      <c r="J14" s="261" t="e" cm="1">
        <f t="array" aca="1" ref="J14" ca="1">_xll.RiskOutput()+H14*I14</f>
        <v>#NAME?</v>
      </c>
      <c r="K14" s="218">
        <v>48.168537999999998</v>
      </c>
      <c r="L14" s="218">
        <v>48.192900000000002</v>
      </c>
      <c r="M14" s="218">
        <v>48.227449</v>
      </c>
      <c r="N14" s="218">
        <v>48.2547</v>
      </c>
      <c r="O14" s="218">
        <v>48.265267999999999</v>
      </c>
      <c r="P14" s="231" t="e">
        <f ca="1">IF(AND(C14&lt;D14,C14&gt;H14),1,0)</f>
        <v>#NAME?</v>
      </c>
    </row>
    <row r="15" spans="1:16" ht="15.75" thickBot="1" x14ac:dyDescent="0.3">
      <c r="A15" s="146"/>
      <c r="B15" s="146" t="s">
        <v>168</v>
      </c>
      <c r="C15" s="218">
        <v>48.227452999999997</v>
      </c>
      <c r="D15" s="163"/>
      <c r="E15" s="166"/>
      <c r="F15" s="230"/>
      <c r="G15" s="181"/>
      <c r="H15" s="169"/>
      <c r="I15" s="230"/>
      <c r="J15" s="261"/>
      <c r="K15" s="218"/>
      <c r="L15" s="218"/>
      <c r="M15" s="218"/>
      <c r="N15" s="218"/>
      <c r="O15" s="218"/>
      <c r="P15" s="231"/>
    </row>
    <row r="16" spans="1:16" ht="15.75" thickBot="1" x14ac:dyDescent="0.3">
      <c r="A16" s="146"/>
      <c r="B16" s="290">
        <v>0.05</v>
      </c>
      <c r="C16" s="218">
        <v>48.192926999999997</v>
      </c>
      <c r="D16" s="163"/>
      <c r="E16" s="166"/>
      <c r="F16" s="230"/>
      <c r="G16" s="181"/>
      <c r="H16" s="169"/>
      <c r="I16" s="230"/>
      <c r="J16" s="261"/>
      <c r="K16" s="218"/>
      <c r="L16" s="218"/>
      <c r="M16" s="218"/>
      <c r="N16" s="218"/>
      <c r="O16" s="218"/>
      <c r="P16" s="231"/>
    </row>
    <row r="17" spans="1:16" ht="15.75" thickBot="1" x14ac:dyDescent="0.3">
      <c r="A17" s="146"/>
      <c r="B17" s="290">
        <v>0.95</v>
      </c>
      <c r="C17" s="218">
        <v>48.254694000000001</v>
      </c>
      <c r="D17" s="163"/>
      <c r="E17" s="166"/>
      <c r="F17" s="230"/>
      <c r="G17" s="181"/>
      <c r="H17" s="169"/>
      <c r="I17" s="230"/>
      <c r="J17" s="261"/>
      <c r="K17" s="218"/>
      <c r="L17" s="218"/>
      <c r="M17" s="218"/>
      <c r="N17" s="218"/>
      <c r="O17" s="218"/>
      <c r="P17" s="231"/>
    </row>
    <row r="18" spans="1:16" s="242" customFormat="1" ht="15.75" thickBot="1" x14ac:dyDescent="0.3">
      <c r="A18" s="233"/>
      <c r="B18" s="233" t="s">
        <v>71</v>
      </c>
      <c r="C18" s="234" t="e" cm="1">
        <f t="array" aca="1" ref="C18" ca="1">_xll.RiskOutput()+D18*(1-F18)+E18*F18</f>
        <v>#NAME?</v>
      </c>
      <c r="D18" s="235">
        <v>6.1025199999999993</v>
      </c>
      <c r="E18" s="236" t="e" cm="1">
        <f t="array" aca="1" ref="E18" ca="1">_xll.RiskOutput()+D18+J18</f>
        <v>#NAME?</v>
      </c>
      <c r="F18" s="237">
        <f>$C$3</f>
        <v>0.05</v>
      </c>
      <c r="G18" s="238"/>
      <c r="H18" s="239">
        <v>6.3</v>
      </c>
      <c r="I18" s="230" t="e">
        <f t="shared" ref="I18:I34" ca="1" si="0">$C$5</f>
        <v>#NAME?</v>
      </c>
      <c r="J18" s="262" t="e" cm="1">
        <f t="array" aca="1" ref="J18" ca="1">_xll.RiskOutput()+H18*I18</f>
        <v>#NAME?</v>
      </c>
      <c r="K18" s="234">
        <v>6.1089370000000001</v>
      </c>
      <c r="L18" s="234">
        <v>6.1108900000000004</v>
      </c>
      <c r="M18" s="234">
        <v>6.1159230000000004</v>
      </c>
      <c r="N18" s="234">
        <v>6.1223000000000001</v>
      </c>
      <c r="O18" s="234">
        <v>6.1268079999999996</v>
      </c>
      <c r="P18" s="241" t="e">
        <f ca="1">IF(AND(C18&gt;D18,C18&lt;H18),1,0)</f>
        <v>#NAME?</v>
      </c>
    </row>
    <row r="19" spans="1:16" s="242" customFormat="1" ht="15.75" thickBot="1" x14ac:dyDescent="0.3">
      <c r="A19" s="233"/>
      <c r="B19" s="146" t="s">
        <v>168</v>
      </c>
      <c r="C19" s="234">
        <v>6.1159220000000003</v>
      </c>
      <c r="D19" s="235"/>
      <c r="E19" s="236"/>
      <c r="F19" s="237"/>
      <c r="G19" s="238"/>
      <c r="H19" s="239"/>
      <c r="I19" s="230"/>
      <c r="J19" s="262"/>
      <c r="K19" s="234"/>
      <c r="L19" s="234"/>
      <c r="M19" s="234"/>
      <c r="N19" s="234"/>
      <c r="O19" s="234"/>
      <c r="P19" s="241"/>
    </row>
    <row r="20" spans="1:16" s="242" customFormat="1" ht="15.75" thickBot="1" x14ac:dyDescent="0.3">
      <c r="A20" s="234">
        <v>6.1223000000000001</v>
      </c>
      <c r="B20" s="290">
        <v>0.05</v>
      </c>
      <c r="C20" s="234">
        <v>6.1223000000000001</v>
      </c>
      <c r="D20" s="235"/>
      <c r="E20" s="236"/>
      <c r="F20" s="237"/>
      <c r="G20" s="238"/>
      <c r="H20" s="239"/>
      <c r="I20" s="230"/>
      <c r="J20" s="262"/>
      <c r="K20" s="234"/>
      <c r="L20" s="234"/>
      <c r="M20" s="234"/>
      <c r="N20" s="234"/>
      <c r="O20" s="234"/>
      <c r="P20" s="241"/>
    </row>
    <row r="21" spans="1:16" s="242" customFormat="1" ht="15.75" thickBot="1" x14ac:dyDescent="0.3">
      <c r="A21" s="233"/>
      <c r="B21" s="290">
        <v>0.95</v>
      </c>
      <c r="C21" s="234">
        <v>6.1108890000000002</v>
      </c>
      <c r="D21" s="235"/>
      <c r="E21" s="236"/>
      <c r="F21" s="237"/>
      <c r="G21" s="238"/>
      <c r="H21" s="239"/>
      <c r="I21" s="230"/>
      <c r="J21" s="262"/>
      <c r="K21" s="234"/>
      <c r="L21" s="234"/>
      <c r="M21" s="234"/>
      <c r="N21" s="234"/>
      <c r="O21" s="234"/>
      <c r="P21" s="241"/>
    </row>
    <row r="22" spans="1:16" s="242" customFormat="1" ht="15.75" thickBot="1" x14ac:dyDescent="0.3">
      <c r="A22" s="243" t="s">
        <v>19</v>
      </c>
      <c r="B22" s="244" t="s">
        <v>60</v>
      </c>
      <c r="C22" s="234" t="e" cm="1">
        <f t="array" aca="1" ref="C22" ca="1">_xll.RiskOutput()+D22*(1-F22)+E22*F22</f>
        <v>#NAME?</v>
      </c>
      <c r="D22" s="245">
        <v>32.687760000000004</v>
      </c>
      <c r="E22" s="236" t="e" cm="1">
        <f t="array" aca="1" ref="E22" ca="1">_xll.RiskOutput()+D22-J22</f>
        <v>#NAME?</v>
      </c>
      <c r="F22" s="237">
        <f t="shared" ref="F22:F34" si="1">$C$3</f>
        <v>0.05</v>
      </c>
      <c r="G22" s="238"/>
      <c r="H22" s="246">
        <v>30.6</v>
      </c>
      <c r="I22" s="230" t="e">
        <f t="shared" ca="1" si="0"/>
        <v>#NAME?</v>
      </c>
      <c r="J22" s="262" t="e" cm="1">
        <f t="array" aca="1" ref="J22" ca="1">_xll.RiskOutput()+H22*I22</f>
        <v>#NAME?</v>
      </c>
      <c r="K22" s="234">
        <v>32.569792</v>
      </c>
      <c r="L22" s="234">
        <v>32.591679999999997</v>
      </c>
      <c r="M22" s="234">
        <v>32.622655999999999</v>
      </c>
      <c r="N22" s="234">
        <v>32.647100000000002</v>
      </c>
      <c r="O22" s="234">
        <v>32.656593000000001</v>
      </c>
      <c r="P22" s="241" t="e">
        <f ca="1">IF(AND(C22&lt;D22,C22&gt;H22),1,0)</f>
        <v>#NAME?</v>
      </c>
    </row>
    <row r="23" spans="1:16" s="242" customFormat="1" ht="15.75" thickBot="1" x14ac:dyDescent="0.3">
      <c r="A23" s="243"/>
      <c r="B23" s="244" t="s">
        <v>168</v>
      </c>
      <c r="C23" s="234">
        <v>32.622658999999999</v>
      </c>
      <c r="D23" s="245"/>
      <c r="E23" s="236"/>
      <c r="F23" s="237"/>
      <c r="G23" s="238"/>
      <c r="H23" s="246"/>
      <c r="I23" s="230"/>
      <c r="J23" s="262"/>
      <c r="K23" s="234"/>
      <c r="L23" s="234"/>
      <c r="M23" s="234"/>
      <c r="N23" s="234"/>
      <c r="O23" s="234"/>
      <c r="P23" s="241"/>
    </row>
    <row r="24" spans="1:16" s="242" customFormat="1" ht="15.75" thickBot="1" x14ac:dyDescent="0.3">
      <c r="A24" s="243"/>
      <c r="B24" s="244">
        <v>0.05</v>
      </c>
      <c r="C24" s="234">
        <v>32.591676999999997</v>
      </c>
      <c r="D24" s="245"/>
      <c r="E24" s="236"/>
      <c r="F24" s="237"/>
      <c r="G24" s="238"/>
      <c r="H24" s="246"/>
      <c r="I24" s="230"/>
      <c r="J24" s="262"/>
      <c r="K24" s="234"/>
      <c r="L24" s="234"/>
      <c r="M24" s="234"/>
      <c r="N24" s="234"/>
      <c r="O24" s="234"/>
      <c r="P24" s="241"/>
    </row>
    <row r="25" spans="1:16" s="242" customFormat="1" ht="15.75" thickBot="1" x14ac:dyDescent="0.3">
      <c r="A25" s="243"/>
      <c r="B25" s="244">
        <v>0.95</v>
      </c>
      <c r="C25" s="234">
        <v>32.647103999999999</v>
      </c>
      <c r="D25" s="245"/>
      <c r="E25" s="236"/>
      <c r="F25" s="237"/>
      <c r="G25" s="238"/>
      <c r="H25" s="246"/>
      <c r="I25" s="230"/>
      <c r="J25" s="262"/>
      <c r="K25" s="234"/>
      <c r="L25" s="234"/>
      <c r="M25" s="234"/>
      <c r="N25" s="234"/>
      <c r="O25" s="234"/>
      <c r="P25" s="241"/>
    </row>
    <row r="26" spans="1:16" s="242" customFormat="1" ht="15.75" thickBot="1" x14ac:dyDescent="0.3">
      <c r="A26" s="244"/>
      <c r="B26" s="244" t="s">
        <v>72</v>
      </c>
      <c r="C26" s="234" t="e" cm="1">
        <f t="array" aca="1" ref="C26" ca="1">_xll.RiskOutput()+D26*(1-F26)+E26*F26</f>
        <v>#NAME?</v>
      </c>
      <c r="D26" s="247">
        <v>48.166231884057972</v>
      </c>
      <c r="E26" s="236" t="e" cm="1">
        <f t="array" aca="1" ref="E26" ca="1">_xll.RiskOutput()+D26+J26</f>
        <v>#NAME?</v>
      </c>
      <c r="F26" s="237">
        <f t="shared" si="1"/>
        <v>0.05</v>
      </c>
      <c r="G26" s="238"/>
      <c r="H26" s="248">
        <v>52.043010752688176</v>
      </c>
      <c r="I26" s="230" t="e">
        <f t="shared" ca="1" si="0"/>
        <v>#NAME?</v>
      </c>
      <c r="J26" s="262" t="e" cm="1">
        <f t="array" aca="1" ref="J26" ca="1">_xll.RiskOutput()+H26*I26</f>
        <v>#NAME?</v>
      </c>
      <c r="K26" s="234">
        <v>48.219239999999999</v>
      </c>
      <c r="L26" s="234">
        <v>48.235399999999998</v>
      </c>
      <c r="M26" s="234">
        <v>48.276949999999999</v>
      </c>
      <c r="N26" s="234">
        <v>48.329599999999999</v>
      </c>
      <c r="O26" s="234">
        <v>48.366869999999999</v>
      </c>
      <c r="P26" s="241" t="e">
        <f ca="1">IF(AND(C26&gt;D26,C26&lt;H26),1,0)</f>
        <v>#NAME?</v>
      </c>
    </row>
    <row r="27" spans="1:16" s="242" customFormat="1" ht="15.75" thickBot="1" x14ac:dyDescent="0.3">
      <c r="A27" s="244"/>
      <c r="B27" s="244" t="s">
        <v>168</v>
      </c>
      <c r="C27" s="234">
        <v>48.276940000000003</v>
      </c>
      <c r="D27" s="247"/>
      <c r="E27" s="236"/>
      <c r="F27" s="237"/>
      <c r="G27" s="238"/>
      <c r="H27" s="248"/>
      <c r="I27" s="230"/>
      <c r="J27" s="262"/>
      <c r="K27" s="234"/>
      <c r="L27" s="234"/>
      <c r="M27" s="234"/>
      <c r="N27" s="234"/>
      <c r="O27" s="234"/>
      <c r="P27" s="241"/>
    </row>
    <row r="28" spans="1:16" s="242" customFormat="1" ht="15.75" thickBot="1" x14ac:dyDescent="0.3">
      <c r="A28" s="234">
        <v>48.329630000000002</v>
      </c>
      <c r="B28" s="244">
        <v>0.05</v>
      </c>
      <c r="C28" s="234">
        <v>48.329630000000002</v>
      </c>
      <c r="D28" s="247"/>
      <c r="E28" s="236"/>
      <c r="F28" s="237"/>
      <c r="G28" s="238"/>
      <c r="H28" s="248"/>
      <c r="I28" s="230"/>
      <c r="J28" s="262"/>
      <c r="K28" s="234"/>
      <c r="L28" s="234"/>
      <c r="M28" s="234"/>
      <c r="N28" s="234"/>
      <c r="O28" s="234"/>
      <c r="P28" s="241"/>
    </row>
    <row r="29" spans="1:16" s="242" customFormat="1" ht="15.75" thickBot="1" x14ac:dyDescent="0.3">
      <c r="A29" s="244"/>
      <c r="B29" s="244">
        <v>0.95</v>
      </c>
      <c r="C29" s="234">
        <v>48.235370000000003</v>
      </c>
      <c r="D29" s="247"/>
      <c r="E29" s="236"/>
      <c r="F29" s="237"/>
      <c r="G29" s="238"/>
      <c r="H29" s="248"/>
      <c r="I29" s="230"/>
      <c r="J29" s="262"/>
      <c r="K29" s="234"/>
      <c r="L29" s="234"/>
      <c r="M29" s="234"/>
      <c r="N29" s="234"/>
      <c r="O29" s="234"/>
      <c r="P29" s="241"/>
    </row>
    <row r="30" spans="1:16" ht="15.75" thickBot="1" x14ac:dyDescent="0.3">
      <c r="A30" s="152"/>
      <c r="B30" s="244" t="s">
        <v>24</v>
      </c>
      <c r="C30" s="208" t="e" cm="1">
        <f t="array" aca="1" ref="C30" ca="1">_xll.RiskOutput()+C4*F30</f>
        <v>#NAME?</v>
      </c>
      <c r="D30" s="165">
        <v>0</v>
      </c>
      <c r="E30" s="166"/>
      <c r="F30" s="230">
        <f t="shared" si="1"/>
        <v>0.05</v>
      </c>
      <c r="G30" s="181"/>
      <c r="H30" s="232">
        <v>4.2999999999999997E-2</v>
      </c>
      <c r="I30" s="167"/>
      <c r="J30" s="261"/>
      <c r="K30" s="208">
        <v>3.5300000000000002E-3</v>
      </c>
      <c r="L30" s="208">
        <v>4.6499999999999996E-3</v>
      </c>
      <c r="M30" s="208">
        <v>7.4460000000000004E-3</v>
      </c>
      <c r="N30" s="208">
        <v>1.099E-2</v>
      </c>
      <c r="O30" s="208">
        <v>1.3776999999999999E-2</v>
      </c>
      <c r="P30" s="231" t="e">
        <f ca="1">IF(C30&lt;H30,1,0)</f>
        <v>#NAME?</v>
      </c>
    </row>
    <row r="31" spans="1:16" ht="15.75" thickBot="1" x14ac:dyDescent="0.3">
      <c r="A31" s="152"/>
      <c r="B31" s="244" t="s">
        <v>168</v>
      </c>
      <c r="C31" s="208">
        <v>7.4456000000000001E-3</v>
      </c>
      <c r="D31" s="165"/>
      <c r="E31" s="166"/>
      <c r="F31" s="230"/>
      <c r="G31" s="181"/>
      <c r="H31" s="232"/>
      <c r="I31" s="167"/>
      <c r="J31" s="261"/>
      <c r="K31" s="208"/>
      <c r="L31" s="208"/>
      <c r="M31" s="208"/>
      <c r="N31" s="208"/>
      <c r="O31" s="208"/>
      <c r="P31" s="231"/>
    </row>
    <row r="32" spans="1:16" ht="15.75" thickBot="1" x14ac:dyDescent="0.3">
      <c r="A32" s="152"/>
      <c r="B32" s="244">
        <v>0.05</v>
      </c>
      <c r="C32" s="208">
        <v>4.6493000000000003E-3</v>
      </c>
      <c r="D32" s="165"/>
      <c r="E32" s="166"/>
      <c r="F32" s="230"/>
      <c r="G32" s="181"/>
      <c r="H32" s="232"/>
      <c r="I32" s="167"/>
      <c r="J32" s="261"/>
      <c r="K32" s="208"/>
      <c r="L32" s="208"/>
      <c r="M32" s="208"/>
      <c r="N32" s="208"/>
      <c r="O32" s="208"/>
      <c r="P32" s="231"/>
    </row>
    <row r="33" spans="1:16" ht="15.75" thickBot="1" x14ac:dyDescent="0.3">
      <c r="A33" s="152"/>
      <c r="B33" s="152">
        <v>0.95</v>
      </c>
      <c r="C33" s="208">
        <v>1.0988100000000001E-2</v>
      </c>
      <c r="D33" s="165"/>
      <c r="E33" s="166"/>
      <c r="F33" s="230"/>
      <c r="G33" s="181"/>
      <c r="H33" s="232"/>
      <c r="I33" s="167"/>
      <c r="J33" s="261"/>
      <c r="K33" s="208"/>
      <c r="L33" s="208"/>
      <c r="M33" s="208"/>
      <c r="N33" s="208"/>
      <c r="O33" s="208"/>
      <c r="P33" s="231"/>
    </row>
    <row r="34" spans="1:16" ht="15.75" thickBot="1" x14ac:dyDescent="0.3">
      <c r="A34" s="152"/>
      <c r="B34" s="152" t="s">
        <v>46</v>
      </c>
      <c r="C34" s="218" t="e" cm="1">
        <f t="array" aca="1" ref="C34" ca="1">_xll.RiskOutput()+D34*(1-F34)+E34*F34</f>
        <v>#NAME?</v>
      </c>
      <c r="D34" s="178">
        <v>0.55200000000000005</v>
      </c>
      <c r="E34" s="166" t="e" cm="1">
        <f t="array" aca="1" ref="E34" ca="1">_xll.RiskOutput()+D34-J34</f>
        <v>#NAME?</v>
      </c>
      <c r="F34" s="230">
        <f t="shared" si="1"/>
        <v>0.05</v>
      </c>
      <c r="G34" s="181"/>
      <c r="H34" s="179">
        <v>0.46500000000000002</v>
      </c>
      <c r="I34" s="230" t="e">
        <f t="shared" ca="1" si="0"/>
        <v>#NAME?</v>
      </c>
      <c r="J34" s="261" t="e" cm="1">
        <f t="array" aca="1" ref="J34" ca="1">_xll.RiskOutput()+H34*I34</f>
        <v>#NAME?</v>
      </c>
      <c r="K34" s="218">
        <v>0.55020729999999995</v>
      </c>
      <c r="L34" s="218">
        <v>0.55054000000000003</v>
      </c>
      <c r="M34" s="218">
        <v>0.55101069999999996</v>
      </c>
      <c r="N34" s="218">
        <v>0.55138200000000004</v>
      </c>
      <c r="O34" s="218">
        <v>0.55152639999999997</v>
      </c>
      <c r="P34" s="231" t="e">
        <f ca="1">IF(AND(C34&lt;D34,C34&gt;H34),1,0)</f>
        <v>#NAME?</v>
      </c>
    </row>
    <row r="35" spans="1:16" ht="15.75" thickBot="1" x14ac:dyDescent="0.3">
      <c r="A35" s="266"/>
      <c r="B35" s="152" t="s">
        <v>168</v>
      </c>
      <c r="C35" s="267">
        <v>0.55101069999999996</v>
      </c>
      <c r="D35" s="268"/>
      <c r="E35" s="269"/>
      <c r="F35" s="270"/>
      <c r="G35" s="271"/>
      <c r="H35" s="272"/>
      <c r="I35" s="270"/>
      <c r="J35" s="289"/>
      <c r="K35" s="267"/>
      <c r="L35" s="267"/>
      <c r="M35" s="267"/>
      <c r="N35" s="267"/>
      <c r="O35" s="267"/>
      <c r="P35" s="231"/>
    </row>
    <row r="36" spans="1:16" ht="15.75" thickBot="1" x14ac:dyDescent="0.3">
      <c r="A36" s="266"/>
      <c r="B36" s="152">
        <v>0.05</v>
      </c>
      <c r="C36" s="267">
        <v>0.55053989999999997</v>
      </c>
      <c r="D36" s="268"/>
      <c r="E36" s="269"/>
      <c r="F36" s="270"/>
      <c r="G36" s="271"/>
      <c r="H36" s="272"/>
      <c r="I36" s="270"/>
      <c r="J36" s="289"/>
      <c r="K36" s="267"/>
      <c r="L36" s="267"/>
      <c r="M36" s="267"/>
      <c r="N36" s="267"/>
      <c r="O36" s="267"/>
      <c r="P36" s="231"/>
    </row>
    <row r="37" spans="1:16" ht="15.75" thickBot="1" x14ac:dyDescent="0.3">
      <c r="A37" s="266"/>
      <c r="B37" s="152">
        <v>0.95</v>
      </c>
      <c r="C37" s="267">
        <v>0.55138220000000004</v>
      </c>
      <c r="D37" s="268"/>
      <c r="E37" s="269"/>
      <c r="F37" s="270"/>
      <c r="G37" s="271"/>
      <c r="H37" s="272"/>
      <c r="I37" s="270"/>
      <c r="J37" s="289"/>
      <c r="K37" s="267"/>
      <c r="L37" s="267"/>
      <c r="M37" s="267"/>
      <c r="N37" s="267"/>
      <c r="O37" s="267"/>
      <c r="P37" s="231"/>
    </row>
    <row r="38" spans="1:16" ht="15.75" thickBot="1" x14ac:dyDescent="0.3"/>
    <row r="39" spans="1:16" ht="15.75" thickBot="1" x14ac:dyDescent="0.3">
      <c r="A39" s="286"/>
      <c r="B39" s="283" t="s">
        <v>168</v>
      </c>
      <c r="C39" s="280" t="s">
        <v>209</v>
      </c>
      <c r="D39" s="276" t="s">
        <v>210</v>
      </c>
      <c r="E39" s="277" t="s">
        <v>211</v>
      </c>
    </row>
    <row r="40" spans="1:16" x14ac:dyDescent="0.25">
      <c r="A40" s="287" t="s">
        <v>151</v>
      </c>
      <c r="B40" s="284">
        <v>22507390.489999998</v>
      </c>
      <c r="C40" s="281">
        <v>22508906.91</v>
      </c>
      <c r="D40" s="278">
        <v>7067401.8799999999</v>
      </c>
      <c r="E40" s="279">
        <v>37946521.619999997</v>
      </c>
    </row>
    <row r="41" spans="1:16" ht="15.75" thickBot="1" x14ac:dyDescent="0.3">
      <c r="A41" s="288" t="s">
        <v>212</v>
      </c>
      <c r="B41" s="285">
        <f>B40/'Expenditure - our method'!$C$27</f>
        <v>3024993.3592958297</v>
      </c>
      <c r="C41" s="282">
        <f>C40/'Expenditure - our method'!$C$27</f>
        <v>3025197.1661490472</v>
      </c>
      <c r="D41" s="274">
        <f>D40/'Expenditure - our method'!$C$27</f>
        <v>949858.83698838612</v>
      </c>
      <c r="E41" s="275">
        <f>E40/'Expenditure - our method'!$C$27</f>
        <v>5100012.6362883225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25841-AB9C-4E6E-A77B-99E126F83A64}">
  <dimension ref="B2:S51"/>
  <sheetViews>
    <sheetView zoomScaleNormal="100" workbookViewId="0">
      <selection activeCell="E35" sqref="E35:E37"/>
    </sheetView>
  </sheetViews>
  <sheetFormatPr defaultRowHeight="15" x14ac:dyDescent="0.25"/>
  <cols>
    <col min="2" max="2" width="26.140625" customWidth="1"/>
    <col min="3" max="3" width="13.7109375" customWidth="1"/>
    <col min="4" max="4" width="45.140625" bestFit="1" customWidth="1"/>
    <col min="5" max="5" width="16" customWidth="1"/>
    <col min="6" max="6" width="14.140625" bestFit="1" customWidth="1"/>
    <col min="10" max="10" width="12.85546875" customWidth="1"/>
    <col min="11" max="11" width="11.85546875" customWidth="1"/>
    <col min="12" max="12" width="12.140625" customWidth="1"/>
    <col min="13" max="13" width="9.42578125" customWidth="1"/>
    <col min="14" max="14" width="6.42578125" customWidth="1"/>
    <col min="16" max="16" width="7.28515625" customWidth="1"/>
  </cols>
  <sheetData>
    <row r="2" spans="2:19" x14ac:dyDescent="0.25">
      <c r="B2" s="123" t="s">
        <v>103</v>
      </c>
      <c r="C2" s="111"/>
      <c r="D2" s="106"/>
      <c r="E2" s="106"/>
      <c r="F2" s="106"/>
      <c r="G2" s="107"/>
      <c r="H2" s="105"/>
      <c r="I2" s="105"/>
      <c r="J2" s="105"/>
      <c r="K2" s="105"/>
      <c r="L2" s="105"/>
      <c r="M2" s="105"/>
      <c r="N2" s="105"/>
      <c r="O2" s="105"/>
      <c r="P2" s="105"/>
      <c r="Q2" s="105"/>
      <c r="R2" s="105"/>
      <c r="S2" s="105"/>
    </row>
    <row r="3" spans="2:19" x14ac:dyDescent="0.25">
      <c r="B3" s="108"/>
      <c r="C3" s="105"/>
      <c r="D3" s="105"/>
      <c r="E3" s="105"/>
      <c r="F3" s="105"/>
      <c r="G3" s="109"/>
      <c r="H3" s="105"/>
      <c r="I3" s="105"/>
      <c r="J3" s="105"/>
      <c r="K3" s="105"/>
      <c r="L3" s="105"/>
      <c r="M3" s="105"/>
      <c r="N3" s="105"/>
      <c r="O3" s="105"/>
      <c r="P3" s="105"/>
      <c r="Q3" s="105"/>
      <c r="R3" s="105"/>
      <c r="S3" s="105"/>
    </row>
    <row r="4" spans="2:19" x14ac:dyDescent="0.25">
      <c r="B4" s="116" t="s">
        <v>104</v>
      </c>
      <c r="C4" s="112" t="s">
        <v>105</v>
      </c>
      <c r="D4" s="112"/>
      <c r="E4" s="112"/>
      <c r="F4" s="112"/>
      <c r="G4" s="113"/>
      <c r="H4" s="105"/>
      <c r="I4" s="105"/>
      <c r="J4" s="105"/>
      <c r="K4" s="105"/>
      <c r="L4" s="105"/>
      <c r="M4" s="105"/>
      <c r="N4" s="105"/>
      <c r="O4" s="105"/>
      <c r="P4" s="105"/>
      <c r="Q4" s="105"/>
      <c r="R4" s="105"/>
      <c r="S4" s="105"/>
    </row>
    <row r="5" spans="2:19" x14ac:dyDescent="0.25">
      <c r="B5" s="116" t="s">
        <v>106</v>
      </c>
      <c r="C5" s="112" t="s">
        <v>107</v>
      </c>
      <c r="D5" s="112"/>
      <c r="E5" s="112"/>
      <c r="F5" s="112"/>
      <c r="G5" s="113"/>
      <c r="H5" s="105"/>
      <c r="I5" s="105"/>
      <c r="J5" s="105"/>
      <c r="K5" s="105"/>
      <c r="L5" s="105"/>
      <c r="M5" s="105"/>
      <c r="N5" s="105"/>
      <c r="O5" s="105"/>
      <c r="P5" s="105"/>
      <c r="Q5" s="105"/>
      <c r="R5" s="105"/>
      <c r="S5" s="105"/>
    </row>
    <row r="6" spans="2:19" x14ac:dyDescent="0.25">
      <c r="B6" s="117" t="s">
        <v>108</v>
      </c>
      <c r="C6" s="112" t="s">
        <v>109</v>
      </c>
      <c r="D6" s="112"/>
      <c r="E6" s="112"/>
      <c r="F6" s="112"/>
      <c r="G6" s="113"/>
      <c r="H6" s="105"/>
      <c r="I6" s="105"/>
      <c r="J6" s="105"/>
      <c r="K6" s="105"/>
      <c r="L6" s="105"/>
      <c r="M6" s="105"/>
      <c r="N6" s="105"/>
      <c r="O6" s="105"/>
      <c r="P6" s="105"/>
      <c r="Q6" s="105"/>
      <c r="R6" s="105"/>
      <c r="S6" s="105"/>
    </row>
    <row r="7" spans="2:19" x14ac:dyDescent="0.25">
      <c r="B7" s="116" t="s">
        <v>110</v>
      </c>
      <c r="C7" s="112" t="s">
        <v>111</v>
      </c>
      <c r="D7" s="112"/>
      <c r="E7" s="112"/>
      <c r="F7" s="112"/>
      <c r="G7" s="113"/>
      <c r="H7" s="105"/>
      <c r="I7" s="105"/>
      <c r="J7" s="105"/>
      <c r="K7" s="105"/>
      <c r="L7" s="105"/>
      <c r="M7" s="105"/>
      <c r="N7" s="105"/>
      <c r="O7" s="105"/>
      <c r="P7" s="105"/>
      <c r="Q7" s="105"/>
      <c r="R7" s="105"/>
      <c r="S7" s="105"/>
    </row>
    <row r="8" spans="2:19" x14ac:dyDescent="0.25">
      <c r="B8" s="116"/>
      <c r="C8" s="112"/>
      <c r="D8" s="112"/>
      <c r="E8" s="112"/>
      <c r="F8" s="112"/>
      <c r="G8" s="113"/>
      <c r="H8" s="105"/>
      <c r="I8" s="105"/>
      <c r="J8" s="105"/>
      <c r="K8" s="105"/>
      <c r="L8" s="105"/>
      <c r="M8" s="105"/>
      <c r="N8" s="105"/>
      <c r="O8" s="105"/>
      <c r="P8" s="105"/>
      <c r="Q8" s="105"/>
      <c r="R8" s="105"/>
      <c r="S8" s="105"/>
    </row>
    <row r="9" spans="2:19" x14ac:dyDescent="0.25">
      <c r="B9" s="117" t="s">
        <v>112</v>
      </c>
      <c r="C9" s="118"/>
      <c r="D9" s="118"/>
      <c r="E9" s="112"/>
      <c r="F9" s="112"/>
      <c r="G9" s="113"/>
      <c r="H9" s="105"/>
      <c r="I9" s="105"/>
      <c r="J9" s="105"/>
      <c r="K9" s="105"/>
      <c r="L9" s="105"/>
      <c r="M9" s="105"/>
      <c r="N9" s="105"/>
      <c r="O9" s="105"/>
      <c r="P9" s="105"/>
      <c r="Q9" s="105"/>
      <c r="R9" s="105"/>
      <c r="S9" s="105"/>
    </row>
    <row r="10" spans="2:19" x14ac:dyDescent="0.25">
      <c r="B10" s="117"/>
      <c r="C10" s="118"/>
      <c r="D10" s="118"/>
      <c r="E10" s="112"/>
      <c r="F10" s="112"/>
      <c r="G10" s="113"/>
      <c r="H10" s="105"/>
      <c r="I10" s="105"/>
      <c r="J10" s="105"/>
      <c r="K10" s="105"/>
      <c r="L10" s="105"/>
      <c r="M10" s="105"/>
      <c r="N10" s="105"/>
      <c r="O10" s="105"/>
      <c r="P10" s="105"/>
      <c r="Q10" s="105"/>
      <c r="R10" s="105"/>
      <c r="S10" s="105"/>
    </row>
    <row r="11" spans="2:19" x14ac:dyDescent="0.25">
      <c r="B11" s="117" t="s">
        <v>113</v>
      </c>
      <c r="C11" s="118" t="s">
        <v>114</v>
      </c>
      <c r="D11" s="118"/>
      <c r="E11" s="112"/>
      <c r="F11" s="112"/>
      <c r="G11" s="113"/>
      <c r="H11" s="105"/>
      <c r="I11" s="105"/>
      <c r="J11" s="105"/>
      <c r="K11" s="105"/>
      <c r="L11" s="105"/>
      <c r="M11" s="105"/>
      <c r="N11" s="105"/>
      <c r="O11" s="105"/>
      <c r="P11" s="105"/>
      <c r="Q11" s="105"/>
      <c r="R11" s="105"/>
      <c r="S11" s="105"/>
    </row>
    <row r="12" spans="2:19" x14ac:dyDescent="0.25">
      <c r="B12" s="119" t="s">
        <v>115</v>
      </c>
      <c r="C12" s="120" t="s">
        <v>116</v>
      </c>
      <c r="D12" s="120"/>
      <c r="E12" s="121"/>
      <c r="F12" s="121"/>
      <c r="G12" s="122"/>
      <c r="H12" s="105"/>
      <c r="I12" s="105"/>
      <c r="J12" s="105"/>
      <c r="K12" s="105"/>
      <c r="L12" s="105"/>
      <c r="M12" s="105"/>
      <c r="N12" s="105"/>
      <c r="O12" s="105"/>
      <c r="P12" s="105"/>
      <c r="Q12" s="105"/>
      <c r="R12" s="105"/>
      <c r="S12" s="105"/>
    </row>
    <row r="13" spans="2:19" x14ac:dyDescent="0.25">
      <c r="B13" s="105"/>
      <c r="C13" s="105"/>
      <c r="D13" s="105"/>
      <c r="E13" s="105"/>
      <c r="F13" s="105"/>
      <c r="G13" s="105"/>
      <c r="H13" s="105"/>
      <c r="I13" s="105"/>
      <c r="J13" s="105"/>
      <c r="K13" s="105"/>
      <c r="L13" s="105"/>
      <c r="M13" s="105"/>
      <c r="N13" s="105"/>
      <c r="O13" s="105"/>
      <c r="P13" s="105"/>
      <c r="Q13" s="105"/>
      <c r="R13" s="105"/>
      <c r="S13" s="105"/>
    </row>
    <row r="14" spans="2:19" x14ac:dyDescent="0.25">
      <c r="B14" s="118" t="s">
        <v>123</v>
      </c>
      <c r="C14" s="1" t="s">
        <v>134</v>
      </c>
      <c r="D14" s="1" t="s">
        <v>134</v>
      </c>
      <c r="E14" s="1" t="s">
        <v>135</v>
      </c>
      <c r="F14" s="1" t="s">
        <v>137</v>
      </c>
      <c r="I14" s="105"/>
      <c r="J14" s="105"/>
      <c r="K14" s="105"/>
      <c r="L14" s="105"/>
      <c r="M14" s="105"/>
      <c r="N14" s="105"/>
      <c r="O14" s="105"/>
      <c r="P14" s="105"/>
      <c r="Q14" s="105"/>
      <c r="R14" s="105"/>
      <c r="S14" s="105"/>
    </row>
    <row r="15" spans="2:19" x14ac:dyDescent="0.25">
      <c r="B15" s="110" t="s">
        <v>120</v>
      </c>
      <c r="C15" s="110" t="s">
        <v>136</v>
      </c>
      <c r="D15">
        <v>3.35</v>
      </c>
      <c r="E15">
        <v>4.99</v>
      </c>
      <c r="F15" s="1">
        <v>3.89</v>
      </c>
      <c r="I15" s="105"/>
      <c r="J15" s="105"/>
      <c r="K15" s="105"/>
      <c r="M15" s="105"/>
      <c r="N15" s="105"/>
      <c r="O15" s="105"/>
      <c r="P15" s="105"/>
      <c r="Q15" s="105"/>
      <c r="R15" s="105"/>
      <c r="S15" s="105"/>
    </row>
    <row r="16" spans="2:19" x14ac:dyDescent="0.25">
      <c r="B16" s="110" t="s">
        <v>124</v>
      </c>
      <c r="C16" s="137" t="s">
        <v>136</v>
      </c>
      <c r="D16" s="195">
        <v>7.0000000000000007E-2</v>
      </c>
      <c r="E16" s="195">
        <v>0.28000000000000003</v>
      </c>
      <c r="F16" s="138">
        <v>0.14000000000000001</v>
      </c>
      <c r="G16">
        <v>0.34</v>
      </c>
      <c r="I16" s="105"/>
      <c r="J16" s="105"/>
      <c r="K16" s="105"/>
      <c r="L16" s="105"/>
      <c r="M16" s="105"/>
      <c r="N16" s="105"/>
      <c r="O16" s="105"/>
      <c r="P16" s="105"/>
      <c r="Q16" s="105"/>
      <c r="R16" s="105"/>
      <c r="S16" s="105"/>
    </row>
    <row r="17" spans="2:19" x14ac:dyDescent="0.25">
      <c r="B17" s="110" t="s">
        <v>125</v>
      </c>
      <c r="C17" s="137" t="s">
        <v>136</v>
      </c>
      <c r="D17" s="195">
        <v>0.02</v>
      </c>
      <c r="E17" s="195">
        <v>0.08</v>
      </c>
      <c r="F17" s="138">
        <v>0.04</v>
      </c>
      <c r="I17" s="105"/>
      <c r="J17" s="105"/>
      <c r="K17" s="105"/>
      <c r="L17" s="105"/>
      <c r="M17" s="105"/>
      <c r="N17" s="105"/>
      <c r="O17" s="105"/>
      <c r="P17" s="105"/>
      <c r="Q17" s="105"/>
      <c r="R17" s="105"/>
      <c r="S17" s="105"/>
    </row>
    <row r="18" spans="2:19" x14ac:dyDescent="0.25">
      <c r="I18" s="105"/>
      <c r="J18" s="105"/>
      <c r="K18" s="105"/>
      <c r="L18" s="105"/>
      <c r="M18" s="105"/>
      <c r="N18" s="105"/>
      <c r="O18" s="105"/>
      <c r="P18" s="105"/>
      <c r="Q18" s="105"/>
      <c r="R18" s="105"/>
      <c r="S18" s="105"/>
    </row>
    <row r="19" spans="2:19" x14ac:dyDescent="0.25">
      <c r="B19" s="115"/>
      <c r="I19" s="105"/>
      <c r="J19" s="105"/>
      <c r="K19" s="105"/>
      <c r="L19" s="105"/>
      <c r="M19" s="105"/>
      <c r="N19" s="105"/>
      <c r="O19" s="105"/>
      <c r="P19" s="105"/>
      <c r="Q19" s="105"/>
      <c r="R19" s="105"/>
      <c r="S19" s="105"/>
    </row>
    <row r="20" spans="2:19" x14ac:dyDescent="0.25">
      <c r="B20" s="191" t="s">
        <v>201</v>
      </c>
      <c r="C20" s="124">
        <v>834363242.23968506</v>
      </c>
      <c r="D20" s="124"/>
      <c r="I20" s="105"/>
      <c r="J20" s="105"/>
      <c r="K20" s="105"/>
      <c r="L20" s="105"/>
      <c r="M20" s="105"/>
      <c r="N20" s="105"/>
      <c r="O20" s="105"/>
      <c r="P20" s="105"/>
      <c r="Q20" s="105"/>
      <c r="R20" s="105"/>
      <c r="S20" s="105"/>
    </row>
    <row r="21" spans="2:19" x14ac:dyDescent="0.25">
      <c r="B21" s="191" t="s">
        <v>126</v>
      </c>
      <c r="C21" s="124">
        <f>C20/1000000000</f>
        <v>0.83436324223968505</v>
      </c>
      <c r="I21" s="105"/>
      <c r="J21" s="105"/>
      <c r="K21" s="105"/>
      <c r="L21" s="105"/>
      <c r="M21" s="105"/>
      <c r="N21" s="105"/>
      <c r="O21" s="105"/>
      <c r="P21" s="105"/>
      <c r="Q21" s="105"/>
      <c r="R21" s="105"/>
      <c r="S21" s="105"/>
    </row>
    <row r="22" spans="2:19" x14ac:dyDescent="0.25">
      <c r="B22" s="191" t="s">
        <v>127</v>
      </c>
      <c r="C22" s="125">
        <v>159484.98000000001</v>
      </c>
      <c r="D22" s="125">
        <f>C22/0.1344</f>
        <v>1186644.1964285716</v>
      </c>
      <c r="I22" s="105"/>
      <c r="J22" s="105"/>
      <c r="K22" s="105"/>
      <c r="L22" s="105"/>
      <c r="M22" s="105"/>
      <c r="N22" s="105"/>
      <c r="O22" s="105"/>
      <c r="P22" s="105"/>
      <c r="Q22" s="105"/>
      <c r="R22" s="105"/>
      <c r="S22" s="105"/>
    </row>
    <row r="23" spans="2:19" x14ac:dyDescent="0.25">
      <c r="B23" s="191"/>
      <c r="C23" s="263" t="s">
        <v>203</v>
      </c>
      <c r="D23" s="263" t="s">
        <v>204</v>
      </c>
      <c r="I23" s="105"/>
      <c r="J23" s="105"/>
      <c r="K23" s="105"/>
      <c r="L23" s="105"/>
      <c r="M23" s="105"/>
      <c r="N23" s="105"/>
      <c r="O23" s="105"/>
      <c r="P23" s="105"/>
      <c r="Q23" s="105"/>
      <c r="R23" s="105"/>
      <c r="S23" s="105"/>
    </row>
    <row r="24" spans="2:19" x14ac:dyDescent="0.25">
      <c r="B24" s="110" t="s">
        <v>202</v>
      </c>
      <c r="C24" s="215">
        <f>C21*C22</f>
        <v>133068.40500133132</v>
      </c>
      <c r="D24" s="265">
        <f>C21*D22</f>
        <v>990092.29911704874</v>
      </c>
      <c r="G24" t="s">
        <v>159</v>
      </c>
      <c r="I24" s="105"/>
      <c r="J24" s="105"/>
      <c r="K24" s="105"/>
      <c r="L24" s="105"/>
      <c r="M24" s="105"/>
      <c r="N24" s="105"/>
      <c r="O24" s="105"/>
      <c r="P24" s="105"/>
      <c r="Q24" s="105"/>
      <c r="R24" s="105"/>
      <c r="S24" s="105"/>
    </row>
    <row r="25" spans="2:19" x14ac:dyDescent="0.25">
      <c r="B25" s="110" t="s">
        <v>146</v>
      </c>
      <c r="C25" s="215" t="e" cm="1">
        <f t="array" aca="1" ref="C25" ca="1">_xll.RiskOutput()+2*C32</f>
        <v>#NAME?</v>
      </c>
      <c r="D25" s="215" t="e" cm="1">
        <f t="array" aca="1" ref="D25" ca="1">_xll.RiskOutput()+20*C32</f>
        <v>#NAME?</v>
      </c>
      <c r="E25" s="196" t="e" cm="1">
        <f t="array" aca="1" ref="E25" ca="1">_xll.RiskOutput()+(D25+C25)/2</f>
        <v>#NAME?</v>
      </c>
      <c r="G25" t="s">
        <v>158</v>
      </c>
      <c r="I25" s="105"/>
      <c r="J25" s="105"/>
      <c r="K25" s="105"/>
      <c r="L25" s="105"/>
      <c r="M25" s="105"/>
      <c r="N25" s="105"/>
      <c r="O25" s="105"/>
      <c r="P25" s="105"/>
      <c r="Q25" s="105"/>
      <c r="R25" s="105"/>
      <c r="S25" s="105"/>
    </row>
    <row r="26" spans="2:19" x14ac:dyDescent="0.25">
      <c r="B26" s="110" t="s">
        <v>147</v>
      </c>
      <c r="C26" s="215">
        <f>7.5*C33</f>
        <v>285928500</v>
      </c>
      <c r="D26" s="215">
        <f>15*C33</f>
        <v>571857000</v>
      </c>
      <c r="E26" s="188"/>
      <c r="G26" t="s">
        <v>157</v>
      </c>
      <c r="I26" s="105"/>
      <c r="J26" s="105"/>
      <c r="K26" s="105"/>
      <c r="L26" s="105"/>
      <c r="M26" s="105"/>
      <c r="N26" s="105"/>
      <c r="O26" s="105"/>
      <c r="P26" s="105"/>
      <c r="Q26" s="105"/>
      <c r="R26" s="105"/>
      <c r="S26" s="105"/>
    </row>
    <row r="27" spans="2:19" x14ac:dyDescent="0.25">
      <c r="B27" s="105" t="s">
        <v>206</v>
      </c>
      <c r="C27" s="105">
        <v>7.4404760000000003</v>
      </c>
      <c r="D27" s="105"/>
      <c r="E27" s="114" t="s">
        <v>122</v>
      </c>
      <c r="F27" s="197" t="e">
        <f ca="1">D24+E25</f>
        <v>#NAME?</v>
      </c>
      <c r="G27" t="s">
        <v>160</v>
      </c>
      <c r="I27" s="105"/>
      <c r="J27" s="192"/>
      <c r="K27" s="105"/>
      <c r="L27" s="105"/>
      <c r="M27" s="105"/>
      <c r="N27" s="105"/>
      <c r="O27" s="105"/>
      <c r="P27" s="105"/>
      <c r="Q27" s="105"/>
      <c r="R27" s="105"/>
      <c r="S27" s="105"/>
    </row>
    <row r="28" spans="2:19" x14ac:dyDescent="0.25">
      <c r="B28" s="105" t="s">
        <v>208</v>
      </c>
      <c r="C28" s="105" t="e" cm="1">
        <f t="array" aca="1" ref="C28" ca="1">_xll.RiskUniform(2,20)</f>
        <v>#NAME?</v>
      </c>
      <c r="D28" s="105"/>
      <c r="E28" s="197"/>
      <c r="F28" s="197"/>
      <c r="I28" s="105"/>
      <c r="J28" s="192"/>
      <c r="K28" s="105"/>
      <c r="L28" s="105"/>
      <c r="M28" s="105"/>
      <c r="N28" s="105"/>
      <c r="O28" s="105"/>
      <c r="P28" s="105"/>
      <c r="Q28" s="105"/>
      <c r="R28" s="105"/>
      <c r="S28" s="105"/>
    </row>
    <row r="29" spans="2:19" x14ac:dyDescent="0.25">
      <c r="B29" s="105"/>
      <c r="C29" s="105"/>
      <c r="D29" s="105"/>
      <c r="E29" s="197"/>
      <c r="F29" s="197"/>
      <c r="I29" s="105"/>
      <c r="J29" s="192"/>
      <c r="K29" s="105"/>
      <c r="L29" s="105"/>
      <c r="M29" s="105"/>
      <c r="N29" s="105"/>
      <c r="O29" s="105"/>
      <c r="P29" s="105"/>
      <c r="Q29" s="105"/>
      <c r="R29" s="105"/>
      <c r="S29" s="105"/>
    </row>
    <row r="30" spans="2:19" x14ac:dyDescent="0.25">
      <c r="B30" s="105"/>
      <c r="C30" s="105"/>
      <c r="D30" s="105"/>
      <c r="E30" s="197"/>
      <c r="F30" s="197"/>
      <c r="I30" s="105"/>
      <c r="J30" s="192"/>
      <c r="K30" s="105"/>
      <c r="L30" s="105"/>
      <c r="M30" s="105"/>
      <c r="N30" s="105"/>
      <c r="O30" s="105"/>
      <c r="P30" s="105"/>
      <c r="Q30" s="105"/>
      <c r="R30" s="105"/>
      <c r="S30" s="105"/>
    </row>
    <row r="31" spans="2:19" x14ac:dyDescent="0.25">
      <c r="B31" s="110" t="s">
        <v>205</v>
      </c>
      <c r="C31" s="264" t="e" cm="1">
        <f t="array" aca="1" ref="C31" ca="1">_xll.RiskPert(0.0065,0.0736,0.1942)</f>
        <v>#NAME?</v>
      </c>
      <c r="D31" s="105"/>
      <c r="E31" s="197"/>
      <c r="F31" s="197"/>
      <c r="I31" s="105"/>
      <c r="J31" s="192"/>
      <c r="K31" s="105"/>
      <c r="L31" s="105"/>
      <c r="M31" s="105"/>
      <c r="N31" s="105"/>
      <c r="O31" s="105"/>
      <c r="P31" s="105"/>
      <c r="Q31" s="105"/>
      <c r="R31" s="105"/>
      <c r="S31" s="105"/>
    </row>
    <row r="32" spans="2:19" x14ac:dyDescent="0.25">
      <c r="B32" s="110" t="s">
        <v>149</v>
      </c>
      <c r="C32" s="124" t="e" cm="1">
        <f t="array" aca="1" ref="C32" ca="1">_xll.RiskOutput()+C33*C31</f>
        <v>#NAME?</v>
      </c>
      <c r="I32" s="105"/>
      <c r="J32" s="105"/>
      <c r="K32" s="105"/>
      <c r="L32" s="105"/>
      <c r="M32" s="105"/>
      <c r="N32" s="105"/>
      <c r="O32" s="105"/>
      <c r="P32" s="105"/>
      <c r="Q32" s="105"/>
      <c r="R32" s="105"/>
      <c r="S32" s="105"/>
    </row>
    <row r="33" spans="2:18" x14ac:dyDescent="0.25">
      <c r="B33" s="110" t="s">
        <v>148</v>
      </c>
      <c r="C33" s="124">
        <v>38123800</v>
      </c>
      <c r="I33" s="112" t="s">
        <v>129</v>
      </c>
      <c r="O33" s="105"/>
      <c r="P33" s="105"/>
      <c r="Q33" s="105"/>
      <c r="R33" s="105"/>
    </row>
    <row r="34" spans="2:18" x14ac:dyDescent="0.25">
      <c r="H34">
        <f>1/0.1344</f>
        <v>7.4404761904761907</v>
      </c>
    </row>
    <row r="35" spans="2:18" x14ac:dyDescent="0.25">
      <c r="C35" t="s">
        <v>203</v>
      </c>
      <c r="D35" t="s">
        <v>204</v>
      </c>
      <c r="E35" s="124"/>
    </row>
    <row r="36" spans="2:18" x14ac:dyDescent="0.25">
      <c r="B36" s="110" t="s">
        <v>164</v>
      </c>
      <c r="C36" s="215">
        <f>C24</f>
        <v>133068.40500133132</v>
      </c>
      <c r="D36" s="215">
        <f>D24</f>
        <v>990092.29911704874</v>
      </c>
      <c r="E36" s="124"/>
    </row>
    <row r="37" spans="2:18" x14ac:dyDescent="0.25">
      <c r="B37" s="110" t="s">
        <v>146</v>
      </c>
      <c r="C37" s="215" t="e" cm="1">
        <f t="array" aca="1" ref="C37" ca="1">_xll.RiskOutput()+D37/C27</f>
        <v>#NAME?</v>
      </c>
      <c r="D37" s="215" t="e" cm="1">
        <f t="array" aca="1" ref="D37" ca="1">_xll.RiskOutput()+C32*C28</f>
        <v>#NAME?</v>
      </c>
      <c r="E37" s="124"/>
    </row>
    <row r="38" spans="2:18" x14ac:dyDescent="0.25">
      <c r="B38" s="110" t="s">
        <v>207</v>
      </c>
      <c r="C38" s="215" t="e" cm="1">
        <f t="array" aca="1" ref="C38" ca="1">_xll.RiskOutput()+C36+C37</f>
        <v>#NAME?</v>
      </c>
      <c r="D38" s="215" t="e" cm="1">
        <f t="array" aca="1" ref="D38" ca="1">_xll.RiskOutput()+D36+D37</f>
        <v>#NAME?</v>
      </c>
    </row>
    <row r="41" spans="2:18" x14ac:dyDescent="0.25">
      <c r="B41" s="189" t="s">
        <v>142</v>
      </c>
    </row>
    <row r="42" spans="2:18" x14ac:dyDescent="0.25">
      <c r="B42" s="190" t="s">
        <v>143</v>
      </c>
    </row>
    <row r="43" spans="2:18" x14ac:dyDescent="0.25">
      <c r="B43" s="189" t="s">
        <v>144</v>
      </c>
    </row>
    <row r="44" spans="2:18" x14ac:dyDescent="0.25">
      <c r="B44" s="189" t="s">
        <v>145</v>
      </c>
    </row>
    <row r="46" spans="2:18" x14ac:dyDescent="0.25">
      <c r="C46">
        <v>3.8899999999999997E-2</v>
      </c>
      <c r="D46" s="215">
        <v>11908618.529999999</v>
      </c>
    </row>
    <row r="47" spans="2:18" x14ac:dyDescent="0.25">
      <c r="C47">
        <v>0.626</v>
      </c>
    </row>
    <row r="48" spans="2:18" x14ac:dyDescent="0.25">
      <c r="C48" s="215">
        <f>(C47*D46)/C46</f>
        <v>191639979.42879176</v>
      </c>
      <c r="E48" t="s">
        <v>163</v>
      </c>
      <c r="F48" t="s">
        <v>150</v>
      </c>
    </row>
    <row r="49" spans="3:6" x14ac:dyDescent="0.25">
      <c r="C49">
        <f>C48/D46</f>
        <v>16.092544987146528</v>
      </c>
      <c r="D49" t="s">
        <v>164</v>
      </c>
      <c r="E49" s="124">
        <f>D24</f>
        <v>990092.29911704874</v>
      </c>
      <c r="F49" s="124">
        <f>C48</f>
        <v>191639979.42879176</v>
      </c>
    </row>
    <row r="50" spans="3:6" x14ac:dyDescent="0.25">
      <c r="D50" t="s">
        <v>165</v>
      </c>
      <c r="E50" s="124" t="e">
        <f ca="1">E25</f>
        <v>#NAME?</v>
      </c>
      <c r="F50" s="124" t="e">
        <f ca="1">(E25*C47)/C46</f>
        <v>#NAME?</v>
      </c>
    </row>
    <row r="51" spans="3:6" x14ac:dyDescent="0.25">
      <c r="D51" t="s">
        <v>166</v>
      </c>
      <c r="E51" s="124" t="e">
        <f ca="1">SUM(E49:E50)</f>
        <v>#NAME?</v>
      </c>
      <c r="F51" s="124" t="e">
        <f ca="1">SUM(F49:F50)</f>
        <v>#NAME?</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9B65D-0B27-42EC-BC2A-6D118BB0BE69}">
  <dimension ref="A2:K42"/>
  <sheetViews>
    <sheetView tabSelected="1" zoomScaleNormal="100" workbookViewId="0">
      <selection activeCell="C6" sqref="C6"/>
    </sheetView>
  </sheetViews>
  <sheetFormatPr defaultRowHeight="15" x14ac:dyDescent="0.25"/>
  <cols>
    <col min="1" max="1" width="21.85546875" bestFit="1" customWidth="1"/>
    <col min="2" max="2" width="28.42578125" bestFit="1" customWidth="1"/>
    <col min="3" max="3" width="31.28515625" customWidth="1"/>
    <col min="4" max="4" width="14.42578125" bestFit="1" customWidth="1"/>
    <col min="5" max="5" width="20.28515625" bestFit="1" customWidth="1"/>
    <col min="6" max="6" width="12.42578125" customWidth="1"/>
    <col min="8" max="8" width="10.140625" customWidth="1"/>
    <col min="9" max="9" width="11.140625" customWidth="1"/>
  </cols>
  <sheetData>
    <row r="2" spans="1:11" x14ac:dyDescent="0.25">
      <c r="A2" s="118" t="s">
        <v>123</v>
      </c>
      <c r="B2" s="1"/>
      <c r="C2" s="1" t="s">
        <v>134</v>
      </c>
      <c r="D2" s="1"/>
      <c r="E2" s="1"/>
    </row>
    <row r="3" spans="1:11" x14ac:dyDescent="0.25">
      <c r="A3" s="110" t="s">
        <v>120</v>
      </c>
      <c r="B3" s="110" t="s">
        <v>136</v>
      </c>
      <c r="C3" s="293" t="s">
        <v>214</v>
      </c>
      <c r="D3" s="228"/>
      <c r="E3" s="229"/>
      <c r="F3" s="291" t="s">
        <v>213</v>
      </c>
      <c r="J3" s="1" t="s">
        <v>112</v>
      </c>
      <c r="K3" s="1"/>
    </row>
    <row r="4" spans="1:11" x14ac:dyDescent="0.25">
      <c r="A4" s="110" t="s">
        <v>138</v>
      </c>
      <c r="B4" s="137" t="s">
        <v>136</v>
      </c>
      <c r="C4" s="294" t="s">
        <v>215</v>
      </c>
      <c r="D4" s="228"/>
      <c r="E4" s="229"/>
      <c r="F4" s="194"/>
      <c r="J4" s="1" t="s">
        <v>113</v>
      </c>
      <c r="K4" s="1" t="s">
        <v>114</v>
      </c>
    </row>
    <row r="5" spans="1:11" x14ac:dyDescent="0.25">
      <c r="A5" s="110" t="s">
        <v>139</v>
      </c>
      <c r="B5" s="137" t="s">
        <v>136</v>
      </c>
      <c r="C5" s="294" t="s">
        <v>216</v>
      </c>
      <c r="D5" s="228"/>
      <c r="E5" s="229"/>
      <c r="J5" s="1" t="s">
        <v>115</v>
      </c>
      <c r="K5" s="1" t="s">
        <v>116</v>
      </c>
    </row>
    <row r="7" spans="1:11" x14ac:dyDescent="0.25">
      <c r="A7" s="123" t="s">
        <v>103</v>
      </c>
    </row>
    <row r="9" spans="1:11" ht="15.75" thickBot="1" x14ac:dyDescent="0.3">
      <c r="A9" s="110" t="s">
        <v>123</v>
      </c>
      <c r="C9">
        <v>3</v>
      </c>
      <c r="E9">
        <v>2</v>
      </c>
      <c r="J9">
        <v>1</v>
      </c>
    </row>
    <row r="10" spans="1:11" ht="24.75" thickBot="1" x14ac:dyDescent="0.3">
      <c r="A10" s="140" t="s">
        <v>85</v>
      </c>
      <c r="B10" s="140" t="s">
        <v>7</v>
      </c>
      <c r="C10" s="182" t="s">
        <v>141</v>
      </c>
      <c r="D10" s="183" t="s">
        <v>119</v>
      </c>
      <c r="E10" s="184" t="s">
        <v>117</v>
      </c>
      <c r="F10" s="185" t="s">
        <v>118</v>
      </c>
      <c r="G10" s="186"/>
      <c r="H10" s="187" t="s">
        <v>115</v>
      </c>
      <c r="I10" s="184" t="s">
        <v>113</v>
      </c>
      <c r="J10" s="182" t="s">
        <v>140</v>
      </c>
    </row>
    <row r="11" spans="1:11" ht="15.75" thickBot="1" x14ac:dyDescent="0.3">
      <c r="A11" s="141" t="s">
        <v>8</v>
      </c>
      <c r="B11" s="146" t="s">
        <v>70</v>
      </c>
      <c r="C11" s="208" t="e" cm="1">
        <f t="array" aca="1" ref="C11" ca="1">_xll.RiskOutput()+C4*F11</f>
        <v>#NAME?</v>
      </c>
      <c r="D11" s="165">
        <v>0</v>
      </c>
      <c r="E11" s="166"/>
      <c r="F11" s="230" t="str">
        <f>$C$3</f>
        <v>=RiskPert(0.0065,0.0736,0.1942)</v>
      </c>
      <c r="G11" s="181"/>
      <c r="H11" s="232">
        <v>0.153</v>
      </c>
      <c r="I11" s="167"/>
      <c r="J11" s="167"/>
      <c r="K11" s="231" t="e">
        <f ca="1">IF(C11&lt;H11,1,0)</f>
        <v>#NAME?</v>
      </c>
    </row>
    <row r="12" spans="1:11" ht="15.75" thickBot="1" x14ac:dyDescent="0.3">
      <c r="A12" s="141"/>
      <c r="B12" s="146" t="s">
        <v>168</v>
      </c>
      <c r="C12" s="208">
        <v>1.1637E-2</v>
      </c>
      <c r="D12" s="165"/>
      <c r="E12" s="166"/>
      <c r="F12" s="230"/>
      <c r="G12" s="181"/>
      <c r="H12" s="232"/>
      <c r="I12" s="167"/>
      <c r="J12" s="167"/>
      <c r="K12" s="231"/>
    </row>
    <row r="13" spans="1:11" ht="15.75" thickBot="1" x14ac:dyDescent="0.3">
      <c r="A13" s="141"/>
      <c r="B13" s="290">
        <v>0.05</v>
      </c>
      <c r="C13" s="208">
        <v>2.4246E-2</v>
      </c>
      <c r="D13" s="165"/>
      <c r="E13" s="166"/>
      <c r="F13" s="230"/>
      <c r="G13" s="181"/>
      <c r="H13" s="232"/>
      <c r="I13" s="167"/>
      <c r="J13" s="167"/>
      <c r="K13" s="231"/>
    </row>
    <row r="14" spans="1:11" ht="15.75" thickBot="1" x14ac:dyDescent="0.3">
      <c r="A14" s="141"/>
      <c r="B14" s="290">
        <v>0.95</v>
      </c>
      <c r="C14" s="208">
        <v>3.9240000000000004E-3</v>
      </c>
      <c r="D14" s="165"/>
      <c r="E14" s="166"/>
      <c r="F14" s="230"/>
      <c r="G14" s="181"/>
      <c r="H14" s="232"/>
      <c r="I14" s="167"/>
      <c r="J14" s="167"/>
      <c r="K14" s="231"/>
    </row>
    <row r="15" spans="1:11" ht="15.75" thickBot="1" x14ac:dyDescent="0.3">
      <c r="A15" s="146"/>
      <c r="B15" s="146" t="s">
        <v>40</v>
      </c>
      <c r="C15" s="218" t="e" cm="1">
        <f t="array" aca="1" ref="C15" ca="1">_xll.RiskOutput()+D15*(1-F15)+E15*F15</f>
        <v>#NAME?</v>
      </c>
      <c r="D15" s="163">
        <v>48.3</v>
      </c>
      <c r="E15" s="166" t="e" cm="1">
        <f t="array" aca="1" ref="E15" ca="1">_xll.RiskOutput()+D15-J15</f>
        <v>#NAME?</v>
      </c>
      <c r="F15" s="230" t="str">
        <f>$C$3</f>
        <v>=RiskPert(0.0065,0.0736,0.1942)</v>
      </c>
      <c r="G15" s="181"/>
      <c r="H15" s="169">
        <v>34.1</v>
      </c>
      <c r="I15" s="230" t="str">
        <f>$C$5</f>
        <v>=RiskPert(0.02,0.04,0.08)</v>
      </c>
      <c r="J15" s="167" t="e" cm="1">
        <f t="array" aca="1" ref="J15" ca="1">_xll.RiskOutput()+H15*I15</f>
        <v>#NAME?</v>
      </c>
      <c r="K15" s="231" t="e">
        <f ca="1">IF(AND(C15&lt;D15,C15&gt;H15),1,0)</f>
        <v>#NAME?</v>
      </c>
    </row>
    <row r="16" spans="1:11" ht="15.75" thickBot="1" x14ac:dyDescent="0.3">
      <c r="A16" s="146"/>
      <c r="B16" s="146" t="s">
        <v>168</v>
      </c>
      <c r="C16" s="218">
        <v>48.187860000000001</v>
      </c>
      <c r="D16" s="163"/>
      <c r="E16" s="166"/>
      <c r="F16" s="230"/>
      <c r="G16" s="181"/>
      <c r="H16" s="169"/>
      <c r="I16" s="230"/>
      <c r="J16" s="167"/>
      <c r="K16" s="231"/>
    </row>
    <row r="17" spans="1:11" ht="15.75" thickBot="1" x14ac:dyDescent="0.3">
      <c r="A17" s="146"/>
      <c r="B17" s="290">
        <v>0.05</v>
      </c>
      <c r="C17" s="218">
        <v>48.06277</v>
      </c>
      <c r="D17" s="163"/>
      <c r="E17" s="166"/>
      <c r="F17" s="230"/>
      <c r="G17" s="181"/>
      <c r="H17" s="169"/>
      <c r="I17" s="230"/>
      <c r="J17" s="167"/>
      <c r="K17" s="231"/>
    </row>
    <row r="18" spans="1:11" ht="15.75" thickBot="1" x14ac:dyDescent="0.3">
      <c r="A18" s="146"/>
      <c r="B18" s="290">
        <v>0.95</v>
      </c>
      <c r="C18" s="218">
        <v>48.2607</v>
      </c>
      <c r="D18" s="163"/>
      <c r="E18" s="166"/>
      <c r="F18" s="230"/>
      <c r="G18" s="181"/>
      <c r="H18" s="169"/>
      <c r="I18" s="230"/>
      <c r="J18" s="167"/>
      <c r="K18" s="231"/>
    </row>
    <row r="19" spans="1:11" s="242" customFormat="1" ht="15.75" thickBot="1" x14ac:dyDescent="0.3">
      <c r="A19" s="233"/>
      <c r="B19" s="233" t="s">
        <v>71</v>
      </c>
      <c r="C19" s="234" t="e" cm="1">
        <f t="array" aca="1" ref="C19" ca="1">_xll.RiskOutput()+D19*(1-F19)+E19*F19</f>
        <v>#NAME?</v>
      </c>
      <c r="D19" s="235">
        <v>6.1025199999999993</v>
      </c>
      <c r="E19" s="236" t="e" cm="1">
        <f t="array" aca="1" ref="E19" ca="1">_xll.RiskOutput()+D19+J19</f>
        <v>#NAME?</v>
      </c>
      <c r="F19" s="237" t="str">
        <f>$C$3</f>
        <v>=RiskPert(0.0065,0.0736,0.1942)</v>
      </c>
      <c r="G19" s="238"/>
      <c r="H19" s="239">
        <v>6.3</v>
      </c>
      <c r="I19" s="230" t="str">
        <f t="shared" ref="I19:I27" si="0">$C$5</f>
        <v>=RiskPert(0.02,0.04,0.08)</v>
      </c>
      <c r="J19" s="240" t="e" cm="1">
        <f t="array" aca="1" ref="J19" ca="1">_xll.RiskOutput()+H19*I19</f>
        <v>#NAME?</v>
      </c>
      <c r="K19" s="241" t="e">
        <f ca="1">IF(AND(C19&gt;D19,C19&lt;H19),1,0)</f>
        <v>#NAME?</v>
      </c>
    </row>
    <row r="20" spans="1:11" s="242" customFormat="1" ht="15.75" thickBot="1" x14ac:dyDescent="0.3">
      <c r="A20" s="233"/>
      <c r="B20" s="146" t="s">
        <v>168</v>
      </c>
      <c r="C20" s="234">
        <v>6.1232360000000003</v>
      </c>
      <c r="D20" s="235"/>
      <c r="E20" s="236"/>
      <c r="F20" s="237"/>
      <c r="G20" s="238"/>
      <c r="H20" s="239"/>
      <c r="I20" s="230"/>
      <c r="J20" s="240"/>
      <c r="K20" s="241"/>
    </row>
    <row r="21" spans="1:11" s="242" customFormat="1" ht="15.75" thickBot="1" x14ac:dyDescent="0.3">
      <c r="A21" s="233"/>
      <c r="B21" s="290">
        <v>0.05</v>
      </c>
      <c r="C21" s="234">
        <v>6.1463450000000002</v>
      </c>
      <c r="D21" s="235"/>
      <c r="E21" s="236"/>
      <c r="F21" s="237"/>
      <c r="G21" s="238"/>
      <c r="H21" s="239"/>
      <c r="I21" s="230"/>
      <c r="J21" s="240"/>
      <c r="K21" s="241"/>
    </row>
    <row r="22" spans="1:11" s="242" customFormat="1" ht="15.75" thickBot="1" x14ac:dyDescent="0.3">
      <c r="A22" s="233"/>
      <c r="B22" s="290">
        <v>0.95</v>
      </c>
      <c r="C22" s="234">
        <v>6.1097780000000004</v>
      </c>
      <c r="D22" s="235"/>
      <c r="E22" s="236"/>
      <c r="F22" s="237"/>
      <c r="G22" s="238"/>
      <c r="H22" s="239"/>
      <c r="I22" s="230"/>
      <c r="J22" s="240"/>
      <c r="K22" s="241"/>
    </row>
    <row r="23" spans="1:11" s="242" customFormat="1" ht="15.75" thickBot="1" x14ac:dyDescent="0.3">
      <c r="A23" s="243" t="s">
        <v>19</v>
      </c>
      <c r="B23" s="244" t="s">
        <v>60</v>
      </c>
      <c r="C23" s="234" t="e" cm="1">
        <f t="array" aca="1" ref="C23" ca="1">_xll.RiskOutput()+D23*(1-F23)+E23*F23</f>
        <v>#NAME?</v>
      </c>
      <c r="D23" s="245">
        <v>32.687760000000004</v>
      </c>
      <c r="E23" s="236" t="e" cm="1">
        <f t="array" aca="1" ref="E23" ca="1">_xll.RiskOutput()+D23-J23</f>
        <v>#NAME?</v>
      </c>
      <c r="F23" s="237" t="str">
        <f t="shared" ref="F23:F35" si="1">$C$3</f>
        <v>=RiskPert(0.0065,0.0736,0.1942)</v>
      </c>
      <c r="G23" s="238"/>
      <c r="H23" s="246">
        <v>30.6</v>
      </c>
      <c r="I23" s="230" t="str">
        <f t="shared" si="0"/>
        <v>=RiskPert(0.02,0.04,0.08)</v>
      </c>
      <c r="J23" s="240" t="e" cm="1">
        <f t="array" aca="1" ref="J23" ca="1">_xll.RiskOutput()+H23*I23</f>
        <v>#NAME?</v>
      </c>
      <c r="K23" s="241" t="e">
        <f t="shared" ref="K23" ca="1" si="2">IF(AND(C23&lt;D23,C23&gt;H23),1,0)</f>
        <v>#NAME?</v>
      </c>
    </row>
    <row r="24" spans="1:11" s="242" customFormat="1" ht="15.75" thickBot="1" x14ac:dyDescent="0.3">
      <c r="A24" s="243"/>
      <c r="B24" s="244" t="s">
        <v>168</v>
      </c>
      <c r="C24" s="234">
        <v>32.587130000000002</v>
      </c>
      <c r="D24" s="245"/>
      <c r="E24" s="236"/>
      <c r="F24" s="237"/>
      <c r="G24" s="238"/>
      <c r="H24" s="246"/>
      <c r="I24" s="230"/>
      <c r="J24" s="240"/>
      <c r="K24" s="241"/>
    </row>
    <row r="25" spans="1:11" s="242" customFormat="1" ht="15.75" thickBot="1" x14ac:dyDescent="0.3">
      <c r="A25" s="243"/>
      <c r="B25" s="244">
        <v>0.05</v>
      </c>
      <c r="C25" s="234">
        <v>32.474879999999999</v>
      </c>
      <c r="D25" s="245"/>
      <c r="E25" s="236"/>
      <c r="F25" s="237"/>
      <c r="G25" s="238"/>
      <c r="H25" s="246"/>
      <c r="I25" s="230"/>
      <c r="J25" s="240"/>
      <c r="K25" s="241"/>
    </row>
    <row r="26" spans="1:11" s="242" customFormat="1" ht="15.75" thickBot="1" x14ac:dyDescent="0.3">
      <c r="A26" s="243"/>
      <c r="B26" s="244">
        <v>0.95</v>
      </c>
      <c r="C26" s="234">
        <v>32.65249</v>
      </c>
      <c r="D26" s="245"/>
      <c r="E26" s="236"/>
      <c r="F26" s="237"/>
      <c r="G26" s="238"/>
      <c r="H26" s="246"/>
      <c r="I26" s="230"/>
      <c r="J26" s="240"/>
      <c r="K26" s="241"/>
    </row>
    <row r="27" spans="1:11" s="242" customFormat="1" ht="15.75" thickBot="1" x14ac:dyDescent="0.3">
      <c r="A27" s="244"/>
      <c r="B27" s="244" t="s">
        <v>72</v>
      </c>
      <c r="C27" s="234" t="e" cm="1">
        <f t="array" aca="1" ref="C27" ca="1">_xll.RiskOutput()+D27*(1-F27)+E27*F27</f>
        <v>#NAME?</v>
      </c>
      <c r="D27" s="247">
        <v>48.166231884057972</v>
      </c>
      <c r="E27" s="236" t="e" cm="1">
        <f t="array" aca="1" ref="E27" ca="1">_xll.RiskOutput()+D27+J27</f>
        <v>#NAME?</v>
      </c>
      <c r="F27" s="237" t="str">
        <f t="shared" si="1"/>
        <v>=RiskPert(0.0065,0.0736,0.1942)</v>
      </c>
      <c r="G27" s="238"/>
      <c r="H27" s="248">
        <v>52.043010752688176</v>
      </c>
      <c r="I27" s="230" t="str">
        <f t="shared" si="0"/>
        <v>=RiskPert(0.02,0.04,0.08)</v>
      </c>
      <c r="J27" s="240" t="e" cm="1">
        <f t="array" aca="1" ref="J27" ca="1">_xll.RiskOutput()+H27*I27</f>
        <v>#NAME?</v>
      </c>
      <c r="K27" s="241" t="e">
        <f ca="1">IF(AND(C27&gt;D27,C27&lt;H27),1,0)</f>
        <v>#NAME?</v>
      </c>
    </row>
    <row r="28" spans="1:11" s="242" customFormat="1" ht="15.75" thickBot="1" x14ac:dyDescent="0.3">
      <c r="A28" s="244"/>
      <c r="B28" s="244" t="s">
        <v>168</v>
      </c>
      <c r="C28" s="234">
        <v>48.33737</v>
      </c>
      <c r="D28" s="247"/>
      <c r="E28" s="236"/>
      <c r="F28" s="237"/>
      <c r="G28" s="238"/>
      <c r="H28" s="248"/>
      <c r="I28" s="230"/>
      <c r="J28" s="240"/>
      <c r="K28" s="241"/>
    </row>
    <row r="29" spans="1:11" s="242" customFormat="1" ht="15.75" thickBot="1" x14ac:dyDescent="0.3">
      <c r="A29" s="244"/>
      <c r="B29" s="244">
        <v>0.05</v>
      </c>
      <c r="C29" s="234">
        <v>48.528260000000003</v>
      </c>
      <c r="D29" s="247"/>
      <c r="E29" s="236"/>
      <c r="F29" s="237"/>
      <c r="G29" s="238"/>
      <c r="H29" s="248"/>
      <c r="I29" s="230"/>
      <c r="J29" s="240"/>
      <c r="K29" s="241"/>
    </row>
    <row r="30" spans="1:11" s="242" customFormat="1" ht="15.75" thickBot="1" x14ac:dyDescent="0.3">
      <c r="A30" s="244"/>
      <c r="B30" s="244">
        <v>0.95</v>
      </c>
      <c r="C30" s="234">
        <v>48.226190000000003</v>
      </c>
      <c r="D30" s="247"/>
      <c r="E30" s="236"/>
      <c r="F30" s="237"/>
      <c r="G30" s="238"/>
      <c r="H30" s="248"/>
      <c r="I30" s="230"/>
      <c r="J30" s="240"/>
      <c r="K30" s="241"/>
    </row>
    <row r="31" spans="1:11" ht="15.75" thickBot="1" x14ac:dyDescent="0.3">
      <c r="A31" s="152"/>
      <c r="B31" s="244" t="s">
        <v>24</v>
      </c>
      <c r="C31" s="208" t="e" cm="1">
        <f t="array" aca="1" ref="C31" ca="1">_xll.RiskOutput()+C4*F31</f>
        <v>#NAME?</v>
      </c>
      <c r="D31" s="165">
        <v>0</v>
      </c>
      <c r="E31" s="166"/>
      <c r="F31" s="230" t="str">
        <f t="shared" si="1"/>
        <v>=RiskPert(0.0065,0.0736,0.1942)</v>
      </c>
      <c r="G31" s="181"/>
      <c r="H31" s="232">
        <v>4.2999999999999997E-2</v>
      </c>
      <c r="I31" s="167"/>
      <c r="J31" s="167"/>
      <c r="K31" s="231" t="e">
        <f ca="1">IF(C31&lt;H31,1,0)</f>
        <v>#NAME?</v>
      </c>
    </row>
    <row r="32" spans="1:11" ht="15.75" thickBot="1" x14ac:dyDescent="0.3">
      <c r="A32" s="152"/>
      <c r="B32" s="244" t="s">
        <v>168</v>
      </c>
      <c r="C32" s="208">
        <v>1.1637E-2</v>
      </c>
      <c r="D32" s="165"/>
      <c r="E32" s="166"/>
      <c r="F32" s="230"/>
      <c r="G32" s="181"/>
      <c r="H32" s="232"/>
      <c r="I32" s="167"/>
      <c r="J32" s="167"/>
      <c r="K32" s="231"/>
    </row>
    <row r="33" spans="1:11" ht="15.75" thickBot="1" x14ac:dyDescent="0.3">
      <c r="A33" s="152"/>
      <c r="B33" s="244">
        <v>0.05</v>
      </c>
      <c r="C33" s="208">
        <v>2.4246E-2</v>
      </c>
      <c r="D33" s="165"/>
      <c r="E33" s="166"/>
      <c r="F33" s="230"/>
      <c r="G33" s="181"/>
      <c r="H33" s="232"/>
      <c r="I33" s="167"/>
      <c r="J33" s="167"/>
      <c r="K33" s="231"/>
    </row>
    <row r="34" spans="1:11" ht="15.75" thickBot="1" x14ac:dyDescent="0.3">
      <c r="A34" s="152"/>
      <c r="B34" s="152">
        <v>0.95</v>
      </c>
      <c r="C34" s="208">
        <v>3.9240000000000004E-3</v>
      </c>
      <c r="D34" s="165"/>
      <c r="E34" s="166"/>
      <c r="F34" s="230"/>
      <c r="G34" s="181"/>
      <c r="H34" s="232"/>
      <c r="I34" s="167"/>
      <c r="J34" s="167"/>
      <c r="K34" s="231"/>
    </row>
    <row r="35" spans="1:11" ht="15.75" thickBot="1" x14ac:dyDescent="0.3">
      <c r="A35" s="152"/>
      <c r="B35" s="152" t="s">
        <v>46</v>
      </c>
      <c r="C35" s="218" t="e" cm="1">
        <f t="array" aca="1" ref="C35" ca="1">_xll.RiskOutput()+D35*(1-F35)+E35*F35</f>
        <v>#NAME?</v>
      </c>
      <c r="D35" s="178">
        <v>0.55200000000000005</v>
      </c>
      <c r="E35" s="166" t="e" cm="1">
        <f t="array" aca="1" ref="E35" ca="1">_xll.RiskOutput()+D35-J35</f>
        <v>#NAME?</v>
      </c>
      <c r="F35" s="230" t="str">
        <f t="shared" si="1"/>
        <v>=RiskPert(0.0065,0.0736,0.1942)</v>
      </c>
      <c r="G35" s="181"/>
      <c r="H35" s="179">
        <v>0.46500000000000002</v>
      </c>
      <c r="I35" s="230" t="str">
        <f t="shared" ref="I35" si="3">$C$5</f>
        <v>=RiskPert(0.02,0.04,0.08)</v>
      </c>
      <c r="J35" s="167" t="e" cm="1">
        <f t="array" aca="1" ref="J35" ca="1">_xll.RiskOutput()+H35*I35</f>
        <v>#NAME?</v>
      </c>
      <c r="K35" s="231" t="e">
        <f t="shared" ref="K35" ca="1" si="4">IF(AND(C35&lt;D35,C35&gt;H35),1,0)</f>
        <v>#NAME?</v>
      </c>
    </row>
    <row r="36" spans="1:11" ht="15.75" thickBot="1" x14ac:dyDescent="0.3">
      <c r="A36" s="266"/>
      <c r="B36" s="152" t="s">
        <v>168</v>
      </c>
      <c r="C36" s="267">
        <v>0.55047080000000004</v>
      </c>
      <c r="D36" s="268"/>
      <c r="E36" s="269"/>
      <c r="F36" s="270"/>
      <c r="G36" s="271"/>
      <c r="H36" s="272"/>
      <c r="I36" s="270"/>
      <c r="J36" s="273"/>
      <c r="K36" s="231"/>
    </row>
    <row r="37" spans="1:11" ht="15.75" thickBot="1" x14ac:dyDescent="0.3">
      <c r="A37" s="266"/>
      <c r="B37" s="152">
        <v>0.05</v>
      </c>
      <c r="C37" s="267">
        <v>0.54876499999999995</v>
      </c>
      <c r="D37" s="268"/>
      <c r="E37" s="269"/>
      <c r="F37" s="270"/>
      <c r="G37" s="271"/>
      <c r="H37" s="272"/>
      <c r="I37" s="270"/>
      <c r="J37" s="273"/>
      <c r="K37" s="231"/>
    </row>
    <row r="38" spans="1:11" ht="15.75" thickBot="1" x14ac:dyDescent="0.3">
      <c r="A38" s="266"/>
      <c r="B38" s="152">
        <v>0.95</v>
      </c>
      <c r="C38" s="267">
        <v>0.55146410000000001</v>
      </c>
      <c r="D38" s="268"/>
      <c r="E38" s="269"/>
      <c r="F38" s="270"/>
      <c r="G38" s="271"/>
      <c r="H38" s="272"/>
      <c r="I38" s="270"/>
      <c r="J38" s="273"/>
      <c r="K38" s="231"/>
    </row>
    <row r="39" spans="1:11" ht="15.75" thickBot="1" x14ac:dyDescent="0.3"/>
    <row r="40" spans="1:11" ht="15.75" thickBot="1" x14ac:dyDescent="0.3">
      <c r="A40" s="286"/>
      <c r="B40" s="283" t="s">
        <v>168</v>
      </c>
      <c r="C40" s="280" t="s">
        <v>209</v>
      </c>
      <c r="D40" s="276" t="s">
        <v>210</v>
      </c>
      <c r="E40" s="277" t="s">
        <v>211</v>
      </c>
    </row>
    <row r="41" spans="1:11" x14ac:dyDescent="0.25">
      <c r="A41" s="287" t="s">
        <v>151</v>
      </c>
      <c r="B41" s="284">
        <v>30732654.23</v>
      </c>
      <c r="C41" s="281">
        <v>35480202.420000002</v>
      </c>
      <c r="D41" s="278">
        <v>7686729.46</v>
      </c>
      <c r="E41" s="279">
        <v>79746577.519999996</v>
      </c>
    </row>
    <row r="42" spans="1:11" ht="15.75" thickBot="1" x14ac:dyDescent="0.3">
      <c r="A42" s="288" t="s">
        <v>212</v>
      </c>
      <c r="B42" s="285">
        <f>B41/'Expenditure - our method'!$C$27</f>
        <v>4130468.8342520022</v>
      </c>
      <c r="C42" s="282">
        <f>C41/'Expenditure - our method'!$C$27</f>
        <v>4768539.3273226069</v>
      </c>
      <c r="D42" s="274">
        <f>D41/'Expenditure - our method'!$C$27</f>
        <v>1033096.4658712695</v>
      </c>
      <c r="E42" s="275">
        <f>E41/'Expenditure - our method'!$C$27</f>
        <v>10717940.293067271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4F879-C874-44B2-A0A7-3CBE2C11BE2A}">
  <dimension ref="A2:K20"/>
  <sheetViews>
    <sheetView topLeftCell="A9" zoomScale="120" zoomScaleNormal="120" workbookViewId="0">
      <selection activeCell="C3" sqref="C3"/>
    </sheetView>
  </sheetViews>
  <sheetFormatPr defaultRowHeight="15" x14ac:dyDescent="0.25"/>
  <cols>
    <col min="1" max="1" width="21.85546875" bestFit="1" customWidth="1"/>
    <col min="2" max="2" width="47.28515625" bestFit="1" customWidth="1"/>
    <col min="4" max="4" width="11.28515625" customWidth="1"/>
    <col min="5" max="5" width="11" customWidth="1"/>
    <col min="6" max="6" width="12.42578125" customWidth="1"/>
    <col min="8" max="8" width="10.140625" customWidth="1"/>
    <col min="9" max="9" width="11.140625" customWidth="1"/>
  </cols>
  <sheetData>
    <row r="2" spans="1:11" x14ac:dyDescent="0.25">
      <c r="A2" s="118" t="s">
        <v>123</v>
      </c>
      <c r="B2" s="1"/>
      <c r="C2" s="1" t="s">
        <v>134</v>
      </c>
      <c r="D2" s="1"/>
      <c r="E2" s="1"/>
    </row>
    <row r="3" spans="1:11" x14ac:dyDescent="0.25">
      <c r="A3" s="110" t="s">
        <v>120</v>
      </c>
      <c r="B3" s="110" t="s">
        <v>136</v>
      </c>
      <c r="C3" s="228">
        <v>0.05</v>
      </c>
      <c r="D3" s="228"/>
      <c r="E3" s="229"/>
      <c r="J3" s="1" t="s">
        <v>112</v>
      </c>
      <c r="K3" s="1"/>
    </row>
    <row r="4" spans="1:11" x14ac:dyDescent="0.25">
      <c r="A4" s="110" t="s">
        <v>138</v>
      </c>
      <c r="B4" s="137" t="s">
        <v>136</v>
      </c>
      <c r="C4" s="228" t="e" cm="1">
        <f t="array" aca="1" ref="C4" ca="1">_xll.RiskPert(0.07,0.14,0.28)</f>
        <v>#NAME?</v>
      </c>
      <c r="D4" s="228"/>
      <c r="E4" s="229"/>
      <c r="F4" s="194"/>
      <c r="J4" s="1" t="s">
        <v>113</v>
      </c>
      <c r="K4" s="1" t="s">
        <v>114</v>
      </c>
    </row>
    <row r="5" spans="1:11" x14ac:dyDescent="0.25">
      <c r="A5" s="110" t="s">
        <v>139</v>
      </c>
      <c r="B5" s="137" t="s">
        <v>136</v>
      </c>
      <c r="C5" s="228" t="e" cm="1">
        <f t="array" aca="1" ref="C5" ca="1">_xll.RiskPert(0.02,0.04,0.08)</f>
        <v>#NAME?</v>
      </c>
      <c r="D5" s="228"/>
      <c r="E5" s="229"/>
      <c r="J5" s="1" t="s">
        <v>115</v>
      </c>
      <c r="K5" s="1" t="s">
        <v>116</v>
      </c>
    </row>
    <row r="7" spans="1:11" x14ac:dyDescent="0.25">
      <c r="A7" s="123" t="s">
        <v>103</v>
      </c>
    </row>
    <row r="9" spans="1:11" ht="15.75" thickBot="1" x14ac:dyDescent="0.3">
      <c r="A9" s="110" t="s">
        <v>123</v>
      </c>
      <c r="C9">
        <v>3</v>
      </c>
      <c r="E9">
        <v>2</v>
      </c>
      <c r="J9">
        <v>1</v>
      </c>
    </row>
    <row r="10" spans="1:11" ht="36.75" thickBot="1" x14ac:dyDescent="0.3">
      <c r="A10" s="140" t="s">
        <v>85</v>
      </c>
      <c r="B10" s="140" t="s">
        <v>7</v>
      </c>
      <c r="C10" s="182" t="s">
        <v>141</v>
      </c>
      <c r="D10" s="183" t="s">
        <v>119</v>
      </c>
      <c r="E10" s="184" t="s">
        <v>117</v>
      </c>
      <c r="F10" s="185" t="s">
        <v>118</v>
      </c>
      <c r="G10" s="186"/>
      <c r="H10" s="187" t="s">
        <v>115</v>
      </c>
      <c r="I10" s="184" t="s">
        <v>113</v>
      </c>
      <c r="J10" s="182" t="s">
        <v>140</v>
      </c>
    </row>
    <row r="11" spans="1:11" ht="15.75" thickBot="1" x14ac:dyDescent="0.3">
      <c r="A11" s="141" t="s">
        <v>8</v>
      </c>
      <c r="B11" s="146" t="s">
        <v>70</v>
      </c>
      <c r="C11" s="208" t="e" cm="1">
        <f t="array" aca="1" ref="C11" ca="1">_xll.RiskOutput()+C4*F11</f>
        <v>#NAME?</v>
      </c>
      <c r="D11" s="165">
        <v>0</v>
      </c>
      <c r="E11" s="166"/>
      <c r="F11" s="230">
        <f>$C$3</f>
        <v>0.05</v>
      </c>
      <c r="G11" s="181"/>
      <c r="H11" s="232">
        <v>0.153</v>
      </c>
      <c r="I11" s="167"/>
      <c r="J11" s="167"/>
      <c r="K11" s="231" t="e">
        <f ca="1">IF(C11&lt;H11,1,0)</f>
        <v>#NAME?</v>
      </c>
    </row>
    <row r="12" spans="1:11" ht="15.75" thickBot="1" x14ac:dyDescent="0.3">
      <c r="A12" s="146"/>
      <c r="B12" s="146" t="s">
        <v>40</v>
      </c>
      <c r="C12" s="218" t="e" cm="1">
        <f t="array" aca="1" ref="C12" ca="1">_xll.RiskOutput()+D12*(1-F12)+E12*F12</f>
        <v>#NAME?</v>
      </c>
      <c r="D12" s="163">
        <v>48.3</v>
      </c>
      <c r="E12" s="166" t="e" cm="1">
        <f t="array" aca="1" ref="E12" ca="1">_xll.RiskOutput()+D12-J12</f>
        <v>#NAME?</v>
      </c>
      <c r="F12" s="230">
        <f>$C$3</f>
        <v>0.05</v>
      </c>
      <c r="G12" s="181"/>
      <c r="H12" s="169">
        <v>34.1</v>
      </c>
      <c r="I12" s="167" t="e">
        <f ca="1">_xll.RiskPert(0.02,0.04,0.08)</f>
        <v>#NAME?</v>
      </c>
      <c r="J12" s="167" t="e" cm="1">
        <f t="array" aca="1" ref="J12" ca="1">_xll.RiskOutput()+H12*I12</f>
        <v>#NAME?</v>
      </c>
      <c r="K12" s="231" t="e">
        <f t="shared" ref="K12:K17" ca="1" si="0">IF(AND(C12&lt;D12,C12&gt;H12),1,0)</f>
        <v>#NAME?</v>
      </c>
    </row>
    <row r="13" spans="1:11" s="242" customFormat="1" ht="15.75" thickBot="1" x14ac:dyDescent="0.3">
      <c r="A13" s="233"/>
      <c r="B13" s="233" t="s">
        <v>71</v>
      </c>
      <c r="C13" s="234" t="e" cm="1">
        <f t="array" aca="1" ref="C13" ca="1">_xll.RiskOutput()+D13*(1-F13)+E13*F13</f>
        <v>#NAME?</v>
      </c>
      <c r="D13" s="235">
        <v>6.1025199999999993</v>
      </c>
      <c r="E13" s="236" t="e" cm="1">
        <f t="array" aca="1" ref="E13" ca="1">_xll.RiskOutput()+D13+J13</f>
        <v>#NAME?</v>
      </c>
      <c r="F13" s="237">
        <f>$C$3</f>
        <v>0.05</v>
      </c>
      <c r="G13" s="238"/>
      <c r="H13" s="239">
        <v>6.3</v>
      </c>
      <c r="I13" s="240" t="e">
        <f ca="1">_xll.RiskPert(0.02,0.04,0.08)</f>
        <v>#NAME?</v>
      </c>
      <c r="J13" s="240" t="e" cm="1">
        <f t="array" aca="1" ref="J13" ca="1">_xll.RiskOutput()+H13*I13</f>
        <v>#NAME?</v>
      </c>
      <c r="K13" s="241" t="e">
        <f ca="1">IF(AND(C13&gt;D13,C13&lt;H13),1,0)</f>
        <v>#NAME?</v>
      </c>
    </row>
    <row r="14" spans="1:11" s="242" customFormat="1" ht="15.75" thickBot="1" x14ac:dyDescent="0.3">
      <c r="A14" s="243" t="s">
        <v>19</v>
      </c>
      <c r="B14" s="244" t="s">
        <v>60</v>
      </c>
      <c r="C14" s="234" t="e" cm="1">
        <f t="array" aca="1" ref="C14" ca="1">_xll.RiskOutput()+D14*(1-F14)+E14*F14</f>
        <v>#NAME?</v>
      </c>
      <c r="D14" s="245">
        <v>32.687760000000004</v>
      </c>
      <c r="E14" s="236" t="e" cm="1">
        <f t="array" aca="1" ref="E14" ca="1">_xll.RiskOutput()+D14-J14</f>
        <v>#NAME?</v>
      </c>
      <c r="F14" s="237">
        <f t="shared" ref="F14:F17" si="1">$C$3</f>
        <v>0.05</v>
      </c>
      <c r="G14" s="238"/>
      <c r="H14" s="246">
        <v>30.6</v>
      </c>
      <c r="I14" s="240" t="e">
        <f ca="1">_xll.RiskPert(0.02,0.04,0.08)</f>
        <v>#NAME?</v>
      </c>
      <c r="J14" s="240" t="e" cm="1">
        <f t="array" aca="1" ref="J14" ca="1">_xll.RiskOutput()+H14*I14</f>
        <v>#NAME?</v>
      </c>
      <c r="K14" s="241" t="e">
        <f t="shared" ca="1" si="0"/>
        <v>#NAME?</v>
      </c>
    </row>
    <row r="15" spans="1:11" s="242" customFormat="1" ht="15.75" thickBot="1" x14ac:dyDescent="0.3">
      <c r="A15" s="244"/>
      <c r="B15" s="244" t="s">
        <v>72</v>
      </c>
      <c r="C15" s="234" t="e" cm="1">
        <f t="array" aca="1" ref="C15" ca="1">_xll.RiskOutput()+D15*(1-F15)+E15*F15</f>
        <v>#NAME?</v>
      </c>
      <c r="D15" s="247">
        <v>48.166231884057972</v>
      </c>
      <c r="E15" s="236" t="e" cm="1">
        <f t="array" aca="1" ref="E15" ca="1">_xll.RiskOutput()+D15+J15</f>
        <v>#NAME?</v>
      </c>
      <c r="F15" s="237">
        <f t="shared" si="1"/>
        <v>0.05</v>
      </c>
      <c r="G15" s="238"/>
      <c r="H15" s="248">
        <v>52.043010752688176</v>
      </c>
      <c r="I15" s="240" t="e">
        <f ca="1">_xll.RiskPert(0.02,0.04,0.08)</f>
        <v>#NAME?</v>
      </c>
      <c r="J15" s="240" t="e" cm="1">
        <f t="array" aca="1" ref="J15" ca="1">_xll.RiskOutput()+H15*I15</f>
        <v>#NAME?</v>
      </c>
      <c r="K15" s="241" t="e">
        <f ca="1">IF(AND(C15&gt;D15,C15&lt;H15),1,0)</f>
        <v>#NAME?</v>
      </c>
    </row>
    <row r="16" spans="1:11" ht="15.75" thickBot="1" x14ac:dyDescent="0.3">
      <c r="A16" s="152"/>
      <c r="B16" s="152" t="s">
        <v>24</v>
      </c>
      <c r="C16" s="208" t="e" cm="1">
        <f t="array" aca="1" ref="C16" ca="1">_xll.RiskOutput()+C4*F16</f>
        <v>#NAME?</v>
      </c>
      <c r="D16" s="165">
        <v>0</v>
      </c>
      <c r="E16" s="166"/>
      <c r="F16" s="230">
        <f t="shared" si="1"/>
        <v>0.05</v>
      </c>
      <c r="G16" s="181"/>
      <c r="H16" s="232">
        <v>4.2999999999999997E-2</v>
      </c>
      <c r="I16" s="167"/>
      <c r="J16" s="167"/>
      <c r="K16" s="231" t="e">
        <f ca="1">IF(C16&lt;H16,1,0)</f>
        <v>#NAME?</v>
      </c>
    </row>
    <row r="17" spans="1:11" ht="15.75" thickBot="1" x14ac:dyDescent="0.3">
      <c r="A17" s="152"/>
      <c r="B17" s="152" t="s">
        <v>46</v>
      </c>
      <c r="C17" s="218" t="e" cm="1">
        <f t="array" aca="1" ref="C17" ca="1">_xll.RiskOutput()+D17*(1-F17)+E17*F17</f>
        <v>#NAME?</v>
      </c>
      <c r="D17" s="178">
        <v>0.55200000000000005</v>
      </c>
      <c r="E17" s="166" t="e" cm="1">
        <f t="array" aca="1" ref="E17" ca="1">_xll.RiskOutput()+D17-J17</f>
        <v>#NAME?</v>
      </c>
      <c r="F17" s="230">
        <f t="shared" si="1"/>
        <v>0.05</v>
      </c>
      <c r="G17" s="181"/>
      <c r="H17" s="179">
        <v>0.46500000000000002</v>
      </c>
      <c r="I17" s="167" t="e">
        <f ca="1">_xll.RiskPert(0.02,0.04,0.08)</f>
        <v>#NAME?</v>
      </c>
      <c r="J17" s="167" t="e" cm="1">
        <f t="array" aca="1" ref="J17" ca="1">_xll.RiskOutput()+H17*I17</f>
        <v>#NAME?</v>
      </c>
      <c r="K17" s="231" t="e">
        <f t="shared" ca="1" si="0"/>
        <v>#NAME?</v>
      </c>
    </row>
    <row r="19" spans="1:11" x14ac:dyDescent="0.25">
      <c r="A19" s="110" t="s">
        <v>151</v>
      </c>
      <c r="B19" s="193" t="e">
        <f>#REF!</f>
        <v>#REF!</v>
      </c>
    </row>
    <row r="20" spans="1:11" x14ac:dyDescent="0.25">
      <c r="E20" s="105" t="s">
        <v>121</v>
      </c>
    </row>
  </sheetData>
  <phoneticPr fontId="1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486F7-A70D-477C-A43E-271A61591C9A}">
  <dimension ref="A2:K34"/>
  <sheetViews>
    <sheetView topLeftCell="A4" zoomScale="120" zoomScaleNormal="120" workbookViewId="0">
      <selection activeCell="K18" sqref="K18"/>
    </sheetView>
  </sheetViews>
  <sheetFormatPr defaultRowHeight="15" x14ac:dyDescent="0.25"/>
  <cols>
    <col min="1" max="1" width="21.85546875" bestFit="1" customWidth="1"/>
    <col min="2" max="2" width="47.28515625" bestFit="1" customWidth="1"/>
    <col min="4" max="4" width="11.28515625" customWidth="1"/>
    <col min="5" max="5" width="11" customWidth="1"/>
    <col min="6" max="6" width="12.42578125" customWidth="1"/>
    <col min="8" max="8" width="10.140625" customWidth="1"/>
    <col min="9" max="9" width="11.140625" customWidth="1"/>
  </cols>
  <sheetData>
    <row r="2" spans="1:11" x14ac:dyDescent="0.25">
      <c r="A2" s="118" t="s">
        <v>123</v>
      </c>
      <c r="B2" s="1"/>
      <c r="C2" s="1" t="s">
        <v>134</v>
      </c>
      <c r="D2" s="1" t="s">
        <v>135</v>
      </c>
      <c r="E2" s="1" t="s">
        <v>137</v>
      </c>
    </row>
    <row r="3" spans="1:11" x14ac:dyDescent="0.25">
      <c r="A3" s="110" t="s">
        <v>120</v>
      </c>
      <c r="B3" s="110" t="s">
        <v>136</v>
      </c>
      <c r="C3" s="32">
        <v>3.35</v>
      </c>
      <c r="D3" s="32">
        <v>4.99</v>
      </c>
      <c r="E3" s="139">
        <v>3.89</v>
      </c>
      <c r="J3" s="1" t="s">
        <v>112</v>
      </c>
      <c r="K3" s="1"/>
    </row>
    <row r="4" spans="1:11" x14ac:dyDescent="0.25">
      <c r="A4" s="110" t="s">
        <v>138</v>
      </c>
      <c r="B4" s="137" t="s">
        <v>136</v>
      </c>
      <c r="C4" s="32">
        <v>7.0000000000000007E-2</v>
      </c>
      <c r="D4" s="32">
        <v>0.28000000000000003</v>
      </c>
      <c r="E4" s="139">
        <v>0.14000000000000001</v>
      </c>
      <c r="F4" s="194"/>
      <c r="J4" s="1" t="s">
        <v>113</v>
      </c>
      <c r="K4" s="1" t="s">
        <v>114</v>
      </c>
    </row>
    <row r="5" spans="1:11" x14ac:dyDescent="0.25">
      <c r="A5" s="110" t="s">
        <v>139</v>
      </c>
      <c r="B5" s="137" t="s">
        <v>136</v>
      </c>
      <c r="C5" s="32">
        <v>0.02</v>
      </c>
      <c r="D5" s="32">
        <v>0.08</v>
      </c>
      <c r="E5" s="139">
        <v>0.04</v>
      </c>
      <c r="J5" s="1" t="s">
        <v>115</v>
      </c>
      <c r="K5" s="1" t="s">
        <v>116</v>
      </c>
    </row>
    <row r="7" spans="1:11" x14ac:dyDescent="0.25">
      <c r="A7" s="123" t="s">
        <v>103</v>
      </c>
    </row>
    <row r="9" spans="1:11" ht="15.75" thickBot="1" x14ac:dyDescent="0.3">
      <c r="A9" s="110" t="s">
        <v>123</v>
      </c>
      <c r="C9">
        <v>3</v>
      </c>
      <c r="E9">
        <v>2</v>
      </c>
      <c r="J9">
        <v>1</v>
      </c>
    </row>
    <row r="10" spans="1:11" ht="36.75" thickBot="1" x14ac:dyDescent="0.3">
      <c r="A10" s="140" t="s">
        <v>85</v>
      </c>
      <c r="B10" s="140" t="s">
        <v>7</v>
      </c>
      <c r="C10" s="182" t="s">
        <v>141</v>
      </c>
      <c r="D10" s="183" t="s">
        <v>119</v>
      </c>
      <c r="E10" s="184" t="s">
        <v>117</v>
      </c>
      <c r="F10" s="185" t="s">
        <v>118</v>
      </c>
      <c r="G10" s="186"/>
      <c r="H10" s="187" t="s">
        <v>115</v>
      </c>
      <c r="I10" s="184" t="s">
        <v>113</v>
      </c>
      <c r="J10" s="182" t="s">
        <v>140</v>
      </c>
    </row>
    <row r="11" spans="1:11" ht="15.75" thickBot="1" x14ac:dyDescent="0.3">
      <c r="A11" s="141" t="s">
        <v>8</v>
      </c>
      <c r="B11" s="146" t="s">
        <v>67</v>
      </c>
      <c r="C11" s="143"/>
      <c r="D11" s="162"/>
      <c r="E11" s="142"/>
      <c r="F11" s="142"/>
      <c r="G11" s="180"/>
      <c r="H11" s="159"/>
      <c r="I11" s="142"/>
      <c r="J11" s="142"/>
    </row>
    <row r="12" spans="1:11" ht="15.75" thickBot="1" x14ac:dyDescent="0.3">
      <c r="A12" s="146"/>
      <c r="B12" s="146" t="s">
        <v>68</v>
      </c>
      <c r="C12" s="143"/>
      <c r="D12" s="162"/>
      <c r="E12" s="142"/>
      <c r="F12" s="142"/>
      <c r="G12" s="180"/>
      <c r="H12" s="159"/>
      <c r="I12" s="142"/>
      <c r="J12" s="142"/>
    </row>
    <row r="13" spans="1:11" ht="15.75" thickBot="1" x14ac:dyDescent="0.3">
      <c r="A13" s="146"/>
      <c r="B13" s="146" t="s">
        <v>70</v>
      </c>
      <c r="C13" s="208">
        <v>6.0000000000000001E-3</v>
      </c>
      <c r="D13" s="165">
        <v>0</v>
      </c>
      <c r="E13" s="166"/>
      <c r="F13" s="167">
        <v>3.9833332999999999E-2</v>
      </c>
      <c r="G13" s="181"/>
      <c r="H13" s="169">
        <v>15.3</v>
      </c>
      <c r="I13" s="167" t="e">
        <f ca="1">_xll.RiskPert(0.02,0.04,0.08)</f>
        <v>#NAME?</v>
      </c>
      <c r="J13" s="167">
        <v>0.66300000000000003</v>
      </c>
      <c r="K13" s="214">
        <v>6.0413888888888895E-3</v>
      </c>
    </row>
    <row r="14" spans="1:11" ht="15.75" thickBot="1" x14ac:dyDescent="0.3">
      <c r="A14" s="146"/>
      <c r="B14" s="146" t="s">
        <v>69</v>
      </c>
      <c r="C14" s="168"/>
      <c r="D14" s="163"/>
      <c r="E14" s="166"/>
      <c r="F14" s="167"/>
      <c r="G14" s="181"/>
      <c r="H14" s="169"/>
      <c r="I14" s="167"/>
      <c r="J14" s="167"/>
    </row>
    <row r="15" spans="1:11" ht="15.75" thickBot="1" x14ac:dyDescent="0.3">
      <c r="A15" s="146"/>
      <c r="B15" s="146" t="s">
        <v>34</v>
      </c>
      <c r="C15" s="170"/>
      <c r="D15" s="171"/>
      <c r="E15" s="166"/>
      <c r="F15" s="167"/>
      <c r="G15" s="181"/>
      <c r="H15" s="172"/>
      <c r="I15" s="167"/>
      <c r="J15" s="167"/>
    </row>
    <row r="16" spans="1:11" ht="15.75" thickBot="1" x14ac:dyDescent="0.3">
      <c r="A16" s="146"/>
      <c r="B16" s="146" t="s">
        <v>37</v>
      </c>
      <c r="C16" s="168"/>
      <c r="D16" s="163"/>
      <c r="E16" s="166"/>
      <c r="F16" s="167"/>
      <c r="G16" s="181"/>
      <c r="H16" s="169"/>
      <c r="I16" s="167"/>
      <c r="J16" s="167"/>
    </row>
    <row r="17" spans="1:11" ht="15.75" thickBot="1" x14ac:dyDescent="0.3">
      <c r="A17" s="146"/>
      <c r="B17" s="146" t="s">
        <v>40</v>
      </c>
      <c r="C17" s="218">
        <f>D17*(1-F17)+E17*F17</f>
        <v>48.241139610275887</v>
      </c>
      <c r="D17" s="163">
        <v>48.3</v>
      </c>
      <c r="E17" s="166">
        <f>D17-J17</f>
        <v>46.822333299999997</v>
      </c>
      <c r="F17" s="167">
        <v>3.9833332999999999E-2</v>
      </c>
      <c r="G17" s="181"/>
      <c r="H17" s="169">
        <v>34.1</v>
      </c>
      <c r="I17" s="167" t="e">
        <f ca="1">_xll.RiskPert(0.02,0.04,0.08)</f>
        <v>#NAME?</v>
      </c>
      <c r="J17" s="167">
        <v>1.4776667000000001</v>
      </c>
      <c r="K17" s="167">
        <v>48.241139611111102</v>
      </c>
    </row>
    <row r="18" spans="1:11" ht="15.75" thickBot="1" x14ac:dyDescent="0.3">
      <c r="A18" s="146"/>
      <c r="B18" s="146" t="s">
        <v>71</v>
      </c>
      <c r="C18" s="219">
        <f>D18*(1-F18)+E18*F18</f>
        <v>6.1133944999089991</v>
      </c>
      <c r="D18" s="178">
        <v>6.1025199999999993</v>
      </c>
      <c r="E18" s="166">
        <f>D18+J18</f>
        <v>6.375519999999999</v>
      </c>
      <c r="F18" s="167">
        <v>3.9833332999999999E-2</v>
      </c>
      <c r="G18" s="181"/>
      <c r="H18" s="173">
        <v>6.3</v>
      </c>
      <c r="I18" s="167" t="e">
        <f ca="1">_xll.RiskPert(0.02,0.04,0.08)</f>
        <v>#NAME?</v>
      </c>
      <c r="J18" s="167">
        <v>0.27300000000000002</v>
      </c>
      <c r="K18">
        <v>6.0891254999999989</v>
      </c>
    </row>
    <row r="19" spans="1:11" ht="15.75" thickBot="1" x14ac:dyDescent="0.3">
      <c r="A19" s="146"/>
      <c r="B19" s="146" t="s">
        <v>87</v>
      </c>
      <c r="C19" s="216"/>
      <c r="D19" s="174"/>
      <c r="E19" s="166"/>
      <c r="F19" s="167"/>
      <c r="G19" s="181"/>
      <c r="H19" s="175"/>
      <c r="I19" s="167"/>
      <c r="J19" s="167"/>
    </row>
    <row r="20" spans="1:11" ht="15.75" thickBot="1" x14ac:dyDescent="0.3">
      <c r="A20" s="147" t="s">
        <v>19</v>
      </c>
      <c r="B20" s="152" t="s">
        <v>66</v>
      </c>
      <c r="C20" s="217"/>
      <c r="D20" s="163"/>
      <c r="E20" s="166"/>
      <c r="F20" s="167"/>
      <c r="G20" s="181"/>
      <c r="H20" s="169"/>
      <c r="I20" s="167"/>
      <c r="J20" s="167"/>
    </row>
    <row r="21" spans="1:11" ht="15.75" thickBot="1" x14ac:dyDescent="0.3">
      <c r="A21" s="152"/>
      <c r="B21" s="152" t="s">
        <v>60</v>
      </c>
      <c r="C21" s="219">
        <f>D21*(1-F21)+E21*F21</f>
        <v>32.634941000442005</v>
      </c>
      <c r="D21" s="171">
        <v>32.687760000000004</v>
      </c>
      <c r="E21" s="166">
        <f>D21-J21</f>
        <v>31.361760000000004</v>
      </c>
      <c r="F21" s="167">
        <v>3.9833332999999999E-2</v>
      </c>
      <c r="G21" s="181"/>
      <c r="H21" s="169">
        <v>30.6</v>
      </c>
      <c r="I21" s="167" t="e">
        <f ca="1">_xll.RiskPert(0.02,0.04,0.08)</f>
        <v>#NAME?</v>
      </c>
      <c r="J21" s="167">
        <v>1.3260000000000001</v>
      </c>
      <c r="K21">
        <v>32.747180999999998</v>
      </c>
    </row>
    <row r="22" spans="1:11" ht="15.75" thickBot="1" x14ac:dyDescent="0.3">
      <c r="A22" s="152"/>
      <c r="B22" s="152" t="s">
        <v>72</v>
      </c>
      <c r="C22" s="218">
        <f>D22*(1-F22)+E22*F22</f>
        <v>48.254868901132902</v>
      </c>
      <c r="D22" s="227">
        <v>48.166231884057972</v>
      </c>
      <c r="E22" s="166">
        <f>D22+J22</f>
        <v>50.391428984057974</v>
      </c>
      <c r="F22" s="167">
        <v>3.9833332999999999E-2</v>
      </c>
      <c r="G22" s="181"/>
      <c r="H22" s="176">
        <v>52.043010752688176</v>
      </c>
      <c r="I22" s="167" t="e">
        <f ca="1">_xll.RiskPert(0.02,0.04,0.08)</f>
        <v>#NAME?</v>
      </c>
      <c r="J22" s="167">
        <v>2.2251970999999999</v>
      </c>
      <c r="K22">
        <v>46.910167980884104</v>
      </c>
    </row>
    <row r="23" spans="1:11" ht="15.75" thickBot="1" x14ac:dyDescent="0.3">
      <c r="A23" s="152"/>
      <c r="B23" s="152" t="s">
        <v>24</v>
      </c>
      <c r="C23" s="208">
        <v>6.0000000000000001E-3</v>
      </c>
      <c r="D23" s="165">
        <v>0</v>
      </c>
      <c r="E23" s="166"/>
      <c r="F23" s="167">
        <v>3.9833332999999999E-2</v>
      </c>
      <c r="G23" s="181"/>
      <c r="H23" s="177">
        <v>4.3</v>
      </c>
      <c r="I23" s="167" t="e">
        <f ca="1">_xll.RiskPert(0.02,0.04,0.08)</f>
        <v>#NAME?</v>
      </c>
      <c r="J23" s="167" t="e">
        <f t="shared" ref="J23" ca="1" si="0">H23*I23</f>
        <v>#NAME?</v>
      </c>
      <c r="K23" s="214">
        <v>6.0413888888888895E-3</v>
      </c>
    </row>
    <row r="24" spans="1:11" ht="15.75" thickBot="1" x14ac:dyDescent="0.3">
      <c r="A24" s="152"/>
      <c r="B24" s="152" t="s">
        <v>43</v>
      </c>
      <c r="C24" s="207"/>
      <c r="D24" s="171"/>
      <c r="E24" s="166"/>
      <c r="F24" s="167"/>
      <c r="G24" s="181"/>
      <c r="H24" s="172"/>
      <c r="I24" s="167"/>
      <c r="J24" s="167"/>
    </row>
    <row r="25" spans="1:11" ht="15.75" thickBot="1" x14ac:dyDescent="0.3">
      <c r="A25" s="152"/>
      <c r="B25" s="152" t="s">
        <v>46</v>
      </c>
      <c r="C25" s="218">
        <f>D25*(1-F25)+E25*F25</f>
        <v>0.55119735834005013</v>
      </c>
      <c r="D25" s="178">
        <v>0.55200000000000005</v>
      </c>
      <c r="E25" s="166">
        <f>D25-J25</f>
        <v>0.53185000000000004</v>
      </c>
      <c r="F25" s="167">
        <v>3.9833332999999999E-2</v>
      </c>
      <c r="G25" s="181"/>
      <c r="H25" s="179">
        <v>0.46500000000000002</v>
      </c>
      <c r="I25" s="167" t="e">
        <f ca="1">_xll.RiskPert(0.02,0.04,0.08)</f>
        <v>#NAME?</v>
      </c>
      <c r="J25" s="167">
        <v>2.0150000000000001E-2</v>
      </c>
      <c r="K25">
        <v>0.55119735833333339</v>
      </c>
    </row>
    <row r="26" spans="1:11" ht="15.75" thickBot="1" x14ac:dyDescent="0.3">
      <c r="A26" s="155" t="s">
        <v>25</v>
      </c>
      <c r="B26" s="157" t="s">
        <v>65</v>
      </c>
      <c r="C26" s="148"/>
      <c r="D26" s="163"/>
      <c r="E26" s="142"/>
      <c r="F26" s="142"/>
      <c r="G26" s="180"/>
      <c r="H26" s="156"/>
      <c r="I26" s="142"/>
      <c r="J26" s="142"/>
    </row>
    <row r="27" spans="1:11" ht="15.75" thickBot="1" x14ac:dyDescent="0.3">
      <c r="A27" s="157"/>
      <c r="B27" s="157" t="s">
        <v>51</v>
      </c>
      <c r="C27" s="143"/>
      <c r="D27" s="163"/>
      <c r="E27" s="142"/>
      <c r="F27" s="142"/>
      <c r="G27" s="180"/>
      <c r="H27" s="156"/>
      <c r="I27" s="142"/>
      <c r="J27" s="142"/>
    </row>
    <row r="28" spans="1:11" ht="15.75" thickBot="1" x14ac:dyDescent="0.3">
      <c r="A28" s="157"/>
      <c r="B28" s="157" t="s">
        <v>28</v>
      </c>
      <c r="C28" s="143"/>
      <c r="D28" s="153"/>
      <c r="E28" s="142"/>
      <c r="F28" s="142"/>
      <c r="G28" s="180"/>
      <c r="H28" s="158"/>
      <c r="I28" s="142"/>
      <c r="J28" s="145"/>
    </row>
    <row r="29" spans="1:11" ht="15.75" thickBot="1" x14ac:dyDescent="0.3">
      <c r="A29" s="157"/>
      <c r="B29" s="157" t="s">
        <v>31</v>
      </c>
      <c r="C29" s="143"/>
      <c r="D29" s="144"/>
      <c r="E29" s="142"/>
      <c r="F29" s="142"/>
      <c r="G29" s="180"/>
      <c r="H29" s="159"/>
      <c r="I29" s="142"/>
      <c r="J29" s="145"/>
    </row>
    <row r="30" spans="1:11" ht="15.75" thickBot="1" x14ac:dyDescent="0.3">
      <c r="A30" s="157"/>
      <c r="B30" s="157" t="s">
        <v>54</v>
      </c>
      <c r="C30" s="148"/>
      <c r="D30" s="150"/>
      <c r="E30" s="142"/>
      <c r="F30" s="142"/>
      <c r="G30" s="180"/>
      <c r="H30" s="160"/>
      <c r="I30" s="142"/>
      <c r="J30" s="145"/>
    </row>
    <row r="31" spans="1:11" ht="15.75" thickBot="1" x14ac:dyDescent="0.3">
      <c r="A31" s="157"/>
      <c r="B31" s="157" t="s">
        <v>57</v>
      </c>
      <c r="C31" s="149"/>
      <c r="D31" s="154"/>
      <c r="E31" s="142"/>
      <c r="F31" s="142"/>
      <c r="G31" s="180"/>
      <c r="H31" s="161"/>
      <c r="I31" s="142"/>
      <c r="J31" s="145"/>
    </row>
    <row r="33" spans="1:5" x14ac:dyDescent="0.25">
      <c r="A33" s="110" t="s">
        <v>151</v>
      </c>
      <c r="B33" s="193" t="e">
        <f>#REF!</f>
        <v>#REF!</v>
      </c>
    </row>
    <row r="34" spans="1:5" x14ac:dyDescent="0.25">
      <c r="E34" s="105" t="s">
        <v>121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8569B-9D56-4059-B26C-0D8801024413}">
  <dimension ref="A2:K34"/>
  <sheetViews>
    <sheetView zoomScale="120" zoomScaleNormal="120" workbookViewId="0">
      <selection activeCell="C4" sqref="C4"/>
    </sheetView>
  </sheetViews>
  <sheetFormatPr defaultRowHeight="15" x14ac:dyDescent="0.25"/>
  <cols>
    <col min="1" max="1" width="21.85546875" bestFit="1" customWidth="1"/>
    <col min="2" max="2" width="47.28515625" bestFit="1" customWidth="1"/>
    <col min="4" max="4" width="11.28515625" customWidth="1"/>
    <col min="5" max="5" width="11" customWidth="1"/>
    <col min="6" max="6" width="12.42578125" customWidth="1"/>
    <col min="8" max="8" width="10.140625" customWidth="1"/>
    <col min="9" max="9" width="11.140625" customWidth="1"/>
  </cols>
  <sheetData>
    <row r="2" spans="1:11" x14ac:dyDescent="0.25">
      <c r="A2" s="118" t="s">
        <v>123</v>
      </c>
      <c r="B2" s="1"/>
      <c r="C2" s="1" t="s">
        <v>134</v>
      </c>
      <c r="D2" s="1" t="s">
        <v>135</v>
      </c>
      <c r="E2" s="1" t="s">
        <v>137</v>
      </c>
    </row>
    <row r="3" spans="1:11" x14ac:dyDescent="0.25">
      <c r="A3" s="110" t="s">
        <v>120</v>
      </c>
      <c r="B3" s="110" t="s">
        <v>136</v>
      </c>
      <c r="C3" s="32">
        <v>3.35</v>
      </c>
      <c r="D3" s="32">
        <v>4.99</v>
      </c>
      <c r="E3" s="139">
        <v>3.89</v>
      </c>
      <c r="J3" s="1" t="s">
        <v>112</v>
      </c>
      <c r="K3" s="1"/>
    </row>
    <row r="4" spans="1:11" x14ac:dyDescent="0.25">
      <c r="A4" s="110" t="s">
        <v>138</v>
      </c>
      <c r="B4" s="137" t="s">
        <v>136</v>
      </c>
      <c r="C4" s="32">
        <v>7.0000000000000007E-2</v>
      </c>
      <c r="D4" s="32">
        <v>0.28000000000000003</v>
      </c>
      <c r="E4" s="139">
        <v>0.14000000000000001</v>
      </c>
      <c r="F4" s="194"/>
      <c r="J4" s="1" t="s">
        <v>113</v>
      </c>
      <c r="K4" s="1" t="s">
        <v>114</v>
      </c>
    </row>
    <row r="5" spans="1:11" x14ac:dyDescent="0.25">
      <c r="A5" s="110" t="s">
        <v>139</v>
      </c>
      <c r="B5" s="137" t="s">
        <v>136</v>
      </c>
      <c r="C5" s="32">
        <v>0.02</v>
      </c>
      <c r="D5" s="32">
        <v>0.08</v>
      </c>
      <c r="E5" s="139">
        <v>0.04</v>
      </c>
      <c r="J5" s="1" t="s">
        <v>115</v>
      </c>
      <c r="K5" s="1" t="s">
        <v>116</v>
      </c>
    </row>
    <row r="7" spans="1:11" x14ac:dyDescent="0.25">
      <c r="A7" s="123" t="s">
        <v>103</v>
      </c>
    </row>
    <row r="9" spans="1:11" ht="15.75" thickBot="1" x14ac:dyDescent="0.3">
      <c r="A9" s="110" t="s">
        <v>123</v>
      </c>
      <c r="C9">
        <v>3</v>
      </c>
      <c r="E9">
        <v>2</v>
      </c>
      <c r="J9">
        <v>1</v>
      </c>
    </row>
    <row r="10" spans="1:11" ht="36.75" thickBot="1" x14ac:dyDescent="0.3">
      <c r="A10" s="140" t="s">
        <v>85</v>
      </c>
      <c r="B10" s="140" t="s">
        <v>7</v>
      </c>
      <c r="C10" s="182" t="s">
        <v>141</v>
      </c>
      <c r="D10" s="183" t="s">
        <v>119</v>
      </c>
      <c r="E10" s="184" t="s">
        <v>117</v>
      </c>
      <c r="F10" s="185" t="s">
        <v>118</v>
      </c>
      <c r="G10" s="186"/>
      <c r="H10" s="187" t="s">
        <v>115</v>
      </c>
      <c r="I10" s="184" t="s">
        <v>113</v>
      </c>
      <c r="J10" s="182" t="s">
        <v>140</v>
      </c>
    </row>
    <row r="11" spans="1:11" ht="15.75" thickBot="1" x14ac:dyDescent="0.3">
      <c r="A11" s="141" t="s">
        <v>8</v>
      </c>
      <c r="B11" s="146" t="s">
        <v>67</v>
      </c>
      <c r="C11" s="143"/>
      <c r="D11" s="162"/>
      <c r="E11" s="142"/>
      <c r="F11" s="142"/>
      <c r="G11" s="180"/>
      <c r="H11" s="159"/>
      <c r="I11" s="142"/>
      <c r="J11" s="142"/>
    </row>
    <row r="12" spans="1:11" ht="15.75" thickBot="1" x14ac:dyDescent="0.3">
      <c r="A12" s="146"/>
      <c r="B12" s="146" t="s">
        <v>68</v>
      </c>
      <c r="C12" s="143"/>
      <c r="D12" s="162"/>
      <c r="E12" s="142"/>
      <c r="F12" s="142"/>
      <c r="G12" s="180"/>
      <c r="H12" s="159"/>
      <c r="I12" s="142"/>
      <c r="J12" s="142"/>
    </row>
    <row r="13" spans="1:11" ht="15.75" thickBot="1" x14ac:dyDescent="0.3">
      <c r="A13" s="146"/>
      <c r="B13" s="146" t="s">
        <v>70</v>
      </c>
      <c r="C13" s="208">
        <v>6.0000000000000001E-3</v>
      </c>
      <c r="D13" s="165">
        <v>0</v>
      </c>
      <c r="E13" s="166"/>
      <c r="F13" s="167">
        <v>3.9833332999999999E-2</v>
      </c>
      <c r="G13" s="181"/>
      <c r="H13" s="169">
        <v>15.3</v>
      </c>
      <c r="I13" s="167" t="e">
        <f ca="1">_xll.RiskPert(0.02,0.04,0.08)</f>
        <v>#NAME?</v>
      </c>
      <c r="J13" s="167">
        <v>0.66300000000000003</v>
      </c>
      <c r="K13" s="214">
        <v>6.0413888888888895E-3</v>
      </c>
    </row>
    <row r="14" spans="1:11" ht="15.75" thickBot="1" x14ac:dyDescent="0.3">
      <c r="A14" s="146"/>
      <c r="B14" s="146" t="s">
        <v>69</v>
      </c>
      <c r="C14" s="168"/>
      <c r="D14" s="163"/>
      <c r="E14" s="166"/>
      <c r="F14" s="167"/>
      <c r="G14" s="181"/>
      <c r="H14" s="169"/>
      <c r="I14" s="167"/>
      <c r="J14" s="167"/>
    </row>
    <row r="15" spans="1:11" ht="15.75" thickBot="1" x14ac:dyDescent="0.3">
      <c r="A15" s="146"/>
      <c r="B15" s="146" t="s">
        <v>34</v>
      </c>
      <c r="C15" s="170"/>
      <c r="D15" s="171"/>
      <c r="E15" s="166"/>
      <c r="F15" s="167"/>
      <c r="G15" s="181"/>
      <c r="H15" s="172"/>
      <c r="I15" s="167"/>
      <c r="J15" s="167"/>
    </row>
    <row r="16" spans="1:11" ht="15.75" thickBot="1" x14ac:dyDescent="0.3">
      <c r="A16" s="146"/>
      <c r="B16" s="146" t="s">
        <v>37</v>
      </c>
      <c r="C16" s="168"/>
      <c r="D16" s="163"/>
      <c r="E16" s="166"/>
      <c r="F16" s="167"/>
      <c r="G16" s="181"/>
      <c r="H16" s="169"/>
      <c r="I16" s="167"/>
      <c r="J16" s="167"/>
    </row>
    <row r="17" spans="1:11" ht="15.75" thickBot="1" x14ac:dyDescent="0.3">
      <c r="A17" s="146"/>
      <c r="B17" s="146" t="s">
        <v>40</v>
      </c>
      <c r="C17" s="218">
        <f>D17*(1-F17)+E17*F17</f>
        <v>48.241139610275887</v>
      </c>
      <c r="D17" s="163">
        <v>48.3</v>
      </c>
      <c r="E17" s="166">
        <f>D17-J17</f>
        <v>46.822333299999997</v>
      </c>
      <c r="F17" s="167">
        <v>3.9833332999999999E-2</v>
      </c>
      <c r="G17" s="181"/>
      <c r="H17" s="169">
        <v>34.1</v>
      </c>
      <c r="I17" s="167" t="e">
        <f ca="1">_xll.RiskPert(0.02,0.04,0.08)</f>
        <v>#NAME?</v>
      </c>
      <c r="J17" s="167">
        <v>1.4776667000000001</v>
      </c>
      <c r="K17" s="167">
        <v>48.241139611111102</v>
      </c>
    </row>
    <row r="18" spans="1:11" ht="15.75" thickBot="1" x14ac:dyDescent="0.3">
      <c r="A18" s="146"/>
      <c r="B18" s="146" t="s">
        <v>71</v>
      </c>
      <c r="C18" s="219">
        <f>D18*(1-F18)+E18*F18</f>
        <v>6.1133944999089991</v>
      </c>
      <c r="D18" s="178">
        <v>6.1025199999999993</v>
      </c>
      <c r="E18" s="166">
        <f>D18+J18</f>
        <v>6.375519999999999</v>
      </c>
      <c r="F18" s="167">
        <v>3.9833332999999999E-2</v>
      </c>
      <c r="G18" s="181"/>
      <c r="H18" s="173">
        <v>6.3</v>
      </c>
      <c r="I18" s="167" t="e">
        <f ca="1">_xll.RiskPert(0.02,0.04,0.08)</f>
        <v>#NAME?</v>
      </c>
      <c r="J18" s="167">
        <v>0.27300000000000002</v>
      </c>
      <c r="K18">
        <v>6.0891254999999989</v>
      </c>
    </row>
    <row r="19" spans="1:11" ht="15.75" thickBot="1" x14ac:dyDescent="0.3">
      <c r="A19" s="146"/>
      <c r="B19" s="146" t="s">
        <v>87</v>
      </c>
      <c r="C19" s="216"/>
      <c r="D19" s="174"/>
      <c r="E19" s="166"/>
      <c r="F19" s="167"/>
      <c r="G19" s="181"/>
      <c r="H19" s="175"/>
      <c r="I19" s="167"/>
      <c r="J19" s="167"/>
    </row>
    <row r="20" spans="1:11" ht="15.75" thickBot="1" x14ac:dyDescent="0.3">
      <c r="A20" s="147" t="s">
        <v>19</v>
      </c>
      <c r="B20" s="152" t="s">
        <v>66</v>
      </c>
      <c r="C20" s="217"/>
      <c r="D20" s="163"/>
      <c r="E20" s="166"/>
      <c r="F20" s="167"/>
      <c r="G20" s="181"/>
      <c r="H20" s="169"/>
      <c r="I20" s="167"/>
      <c r="J20" s="167"/>
    </row>
    <row r="21" spans="1:11" ht="15.75" thickBot="1" x14ac:dyDescent="0.3">
      <c r="A21" s="152"/>
      <c r="B21" s="152" t="s">
        <v>60</v>
      </c>
      <c r="C21" s="219">
        <f>D21*(1-F21)+E21*F21</f>
        <v>32.634941000442005</v>
      </c>
      <c r="D21" s="171">
        <v>32.687760000000004</v>
      </c>
      <c r="E21" s="166">
        <f>D21-J21</f>
        <v>31.361760000000004</v>
      </c>
      <c r="F21" s="167">
        <v>3.9833332999999999E-2</v>
      </c>
      <c r="G21" s="181"/>
      <c r="H21" s="169">
        <v>30.6</v>
      </c>
      <c r="I21" s="167" t="e">
        <f ca="1">_xll.RiskPert(0.02,0.04,0.08)</f>
        <v>#NAME?</v>
      </c>
      <c r="J21" s="167">
        <v>1.3260000000000001</v>
      </c>
      <c r="K21">
        <v>32.747180999999998</v>
      </c>
    </row>
    <row r="22" spans="1:11" ht="15.75" thickBot="1" x14ac:dyDescent="0.3">
      <c r="A22" s="152"/>
      <c r="B22" s="152" t="s">
        <v>72</v>
      </c>
      <c r="C22" s="218">
        <f>D22*(1-F22)+E22*F22</f>
        <v>48.254868901132902</v>
      </c>
      <c r="D22" s="227">
        <v>48.166231884057972</v>
      </c>
      <c r="E22" s="166">
        <f>D22+J22</f>
        <v>50.391428984057974</v>
      </c>
      <c r="F22" s="167">
        <v>3.9833332999999999E-2</v>
      </c>
      <c r="G22" s="181"/>
      <c r="H22" s="176">
        <v>52.043010752688176</v>
      </c>
      <c r="I22" s="167" t="e">
        <f ca="1">_xll.RiskPert(0.02,0.04,0.08)</f>
        <v>#NAME?</v>
      </c>
      <c r="J22" s="167">
        <v>2.2251970999999999</v>
      </c>
      <c r="K22">
        <v>46.910167980884104</v>
      </c>
    </row>
    <row r="23" spans="1:11" ht="15.75" thickBot="1" x14ac:dyDescent="0.3">
      <c r="A23" s="152"/>
      <c r="B23" s="152" t="s">
        <v>24</v>
      </c>
      <c r="C23" s="208">
        <v>6.0000000000000001E-3</v>
      </c>
      <c r="D23" s="165">
        <v>0</v>
      </c>
      <c r="E23" s="166"/>
      <c r="F23" s="167">
        <v>3.9833332999999999E-2</v>
      </c>
      <c r="G23" s="181"/>
      <c r="H23" s="177">
        <v>4.3</v>
      </c>
      <c r="I23" s="167" t="e">
        <f ca="1">_xll.RiskPert(0.02,0.04,0.08)</f>
        <v>#NAME?</v>
      </c>
      <c r="J23" s="167" t="e">
        <f t="shared" ref="J23" ca="1" si="0">H23*I23</f>
        <v>#NAME?</v>
      </c>
      <c r="K23" s="214">
        <v>6.0413888888888895E-3</v>
      </c>
    </row>
    <row r="24" spans="1:11" ht="15.75" thickBot="1" x14ac:dyDescent="0.3">
      <c r="A24" s="152"/>
      <c r="B24" s="152" t="s">
        <v>43</v>
      </c>
      <c r="C24" s="207"/>
      <c r="D24" s="171"/>
      <c r="E24" s="166"/>
      <c r="F24" s="167"/>
      <c r="G24" s="181"/>
      <c r="H24" s="172"/>
      <c r="I24" s="167"/>
      <c r="J24" s="167"/>
    </row>
    <row r="25" spans="1:11" ht="15.75" thickBot="1" x14ac:dyDescent="0.3">
      <c r="A25" s="152"/>
      <c r="B25" s="152" t="s">
        <v>46</v>
      </c>
      <c r="C25" s="218">
        <f>D25*(1-F25)+E25*F25</f>
        <v>0.55119735834005013</v>
      </c>
      <c r="D25" s="178">
        <v>0.55200000000000005</v>
      </c>
      <c r="E25" s="166">
        <f>D25-J25</f>
        <v>0.53185000000000004</v>
      </c>
      <c r="F25" s="167">
        <v>3.9833332999999999E-2</v>
      </c>
      <c r="G25" s="181"/>
      <c r="H25" s="179">
        <v>0.46500000000000002</v>
      </c>
      <c r="I25" s="167" t="e">
        <f ca="1">_xll.RiskPert(0.02,0.04,0.08)</f>
        <v>#NAME?</v>
      </c>
      <c r="J25" s="167">
        <v>2.0150000000000001E-2</v>
      </c>
      <c r="K25">
        <v>0.55119735833333339</v>
      </c>
    </row>
    <row r="26" spans="1:11" ht="15.75" thickBot="1" x14ac:dyDescent="0.3">
      <c r="A26" s="155" t="s">
        <v>25</v>
      </c>
      <c r="B26" s="157" t="s">
        <v>65</v>
      </c>
      <c r="C26" s="148"/>
      <c r="D26" s="163"/>
      <c r="E26" s="142"/>
      <c r="F26" s="142"/>
      <c r="G26" s="180"/>
      <c r="H26" s="156"/>
      <c r="I26" s="142"/>
      <c r="J26" s="142"/>
    </row>
    <row r="27" spans="1:11" ht="15.75" thickBot="1" x14ac:dyDescent="0.3">
      <c r="A27" s="157"/>
      <c r="B27" s="157" t="s">
        <v>51</v>
      </c>
      <c r="C27" s="143"/>
      <c r="D27" s="163"/>
      <c r="E27" s="142"/>
      <c r="F27" s="142"/>
      <c r="G27" s="180"/>
      <c r="H27" s="156"/>
      <c r="I27" s="142"/>
      <c r="J27" s="142"/>
    </row>
    <row r="28" spans="1:11" ht="15.75" thickBot="1" x14ac:dyDescent="0.3">
      <c r="A28" s="157"/>
      <c r="B28" s="157" t="s">
        <v>28</v>
      </c>
      <c r="C28" s="143"/>
      <c r="D28" s="153"/>
      <c r="E28" s="142"/>
      <c r="F28" s="142"/>
      <c r="G28" s="180"/>
      <c r="H28" s="158"/>
      <c r="I28" s="142"/>
      <c r="J28" s="145"/>
    </row>
    <row r="29" spans="1:11" ht="15.75" thickBot="1" x14ac:dyDescent="0.3">
      <c r="A29" s="157"/>
      <c r="B29" s="157" t="s">
        <v>31</v>
      </c>
      <c r="C29" s="143"/>
      <c r="D29" s="144"/>
      <c r="E29" s="142"/>
      <c r="F29" s="142"/>
      <c r="G29" s="180"/>
      <c r="H29" s="159"/>
      <c r="I29" s="142"/>
      <c r="J29" s="145"/>
    </row>
    <row r="30" spans="1:11" ht="15.75" thickBot="1" x14ac:dyDescent="0.3">
      <c r="A30" s="157"/>
      <c r="B30" s="157" t="s">
        <v>54</v>
      </c>
      <c r="C30" s="148"/>
      <c r="D30" s="150"/>
      <c r="E30" s="142"/>
      <c r="F30" s="142"/>
      <c r="G30" s="180"/>
      <c r="H30" s="160"/>
      <c r="I30" s="142"/>
      <c r="J30" s="145"/>
    </row>
    <row r="31" spans="1:11" ht="15.75" thickBot="1" x14ac:dyDescent="0.3">
      <c r="A31" s="157"/>
      <c r="B31" s="157" t="s">
        <v>57</v>
      </c>
      <c r="C31" s="149"/>
      <c r="D31" s="154"/>
      <c r="E31" s="142"/>
      <c r="F31" s="142"/>
      <c r="G31" s="180"/>
      <c r="H31" s="161"/>
      <c r="I31" s="142"/>
      <c r="J31" s="145"/>
    </row>
    <row r="33" spans="1:5" x14ac:dyDescent="0.25">
      <c r="A33" s="110" t="s">
        <v>151</v>
      </c>
      <c r="B33" s="193" t="e">
        <f>#REF!</f>
        <v>#REF!</v>
      </c>
    </row>
    <row r="34" spans="1:5" x14ac:dyDescent="0.25">
      <c r="E34" s="105" t="s">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0713-49BA-496D-8537-DE0F51BA05CB}">
  <dimension ref="A2:K34"/>
  <sheetViews>
    <sheetView zoomScale="120" zoomScaleNormal="120" workbookViewId="0">
      <selection activeCell="C4" sqref="C4"/>
    </sheetView>
  </sheetViews>
  <sheetFormatPr defaultRowHeight="15" x14ac:dyDescent="0.25"/>
  <cols>
    <col min="1" max="1" width="21.85546875" bestFit="1" customWidth="1"/>
    <col min="2" max="2" width="47.28515625" bestFit="1" customWidth="1"/>
    <col min="4" max="4" width="11.28515625" customWidth="1"/>
    <col min="5" max="5" width="11" customWidth="1"/>
    <col min="6" max="6" width="12.42578125" customWidth="1"/>
    <col min="8" max="8" width="10.140625" customWidth="1"/>
    <col min="9" max="9" width="11.140625" customWidth="1"/>
  </cols>
  <sheetData>
    <row r="2" spans="1:11" x14ac:dyDescent="0.25">
      <c r="A2" s="118" t="s">
        <v>123</v>
      </c>
      <c r="B2" s="1"/>
      <c r="C2" s="1" t="s">
        <v>134</v>
      </c>
      <c r="D2" s="1" t="s">
        <v>135</v>
      </c>
      <c r="E2" s="1" t="s">
        <v>137</v>
      </c>
    </row>
    <row r="3" spans="1:11" x14ac:dyDescent="0.25">
      <c r="A3" s="110" t="s">
        <v>120</v>
      </c>
      <c r="B3" s="110" t="s">
        <v>136</v>
      </c>
      <c r="C3" s="32">
        <v>3.35</v>
      </c>
      <c r="D3" s="32">
        <v>4.99</v>
      </c>
      <c r="E3" s="139">
        <v>3.89</v>
      </c>
      <c r="J3" s="1" t="s">
        <v>112</v>
      </c>
      <c r="K3" s="1"/>
    </row>
    <row r="4" spans="1:11" x14ac:dyDescent="0.25">
      <c r="A4" s="110" t="s">
        <v>138</v>
      </c>
      <c r="B4" s="137" t="s">
        <v>136</v>
      </c>
      <c r="C4" s="32">
        <v>7.0000000000000007E-2</v>
      </c>
      <c r="D4" s="32">
        <v>0.28000000000000003</v>
      </c>
      <c r="E4" s="139">
        <v>0.14000000000000001</v>
      </c>
      <c r="F4" s="194"/>
      <c r="J4" s="1" t="s">
        <v>113</v>
      </c>
      <c r="K4" s="1" t="s">
        <v>114</v>
      </c>
    </row>
    <row r="5" spans="1:11" x14ac:dyDescent="0.25">
      <c r="A5" s="110" t="s">
        <v>139</v>
      </c>
      <c r="B5" s="137" t="s">
        <v>136</v>
      </c>
      <c r="C5" s="32">
        <v>0.02</v>
      </c>
      <c r="D5" s="32">
        <v>0.08</v>
      </c>
      <c r="E5" s="139">
        <v>0.04</v>
      </c>
      <c r="J5" s="1" t="s">
        <v>115</v>
      </c>
      <c r="K5" s="1" t="s">
        <v>116</v>
      </c>
    </row>
    <row r="7" spans="1:11" x14ac:dyDescent="0.25">
      <c r="A7" s="123" t="s">
        <v>103</v>
      </c>
    </row>
    <row r="9" spans="1:11" ht="15.75" thickBot="1" x14ac:dyDescent="0.3">
      <c r="A9" s="110" t="s">
        <v>123</v>
      </c>
      <c r="C9">
        <v>3</v>
      </c>
      <c r="E9">
        <v>2</v>
      </c>
      <c r="J9">
        <v>1</v>
      </c>
    </row>
    <row r="10" spans="1:11" ht="36.75" thickBot="1" x14ac:dyDescent="0.3">
      <c r="A10" s="140" t="s">
        <v>85</v>
      </c>
      <c r="B10" s="140" t="s">
        <v>7</v>
      </c>
      <c r="C10" s="182" t="s">
        <v>141</v>
      </c>
      <c r="D10" s="183" t="s">
        <v>119</v>
      </c>
      <c r="E10" s="184" t="s">
        <v>117</v>
      </c>
      <c r="F10" s="185" t="s">
        <v>118</v>
      </c>
      <c r="G10" s="186"/>
      <c r="H10" s="187" t="s">
        <v>115</v>
      </c>
      <c r="I10" s="184" t="s">
        <v>113</v>
      </c>
      <c r="J10" s="182" t="s">
        <v>140</v>
      </c>
    </row>
    <row r="11" spans="1:11" ht="15.75" thickBot="1" x14ac:dyDescent="0.3">
      <c r="A11" s="141" t="s">
        <v>8</v>
      </c>
      <c r="B11" s="146" t="s">
        <v>67</v>
      </c>
      <c r="C11" s="143"/>
      <c r="D11" s="162"/>
      <c r="E11" s="142"/>
      <c r="F11" s="142"/>
      <c r="G11" s="180"/>
      <c r="H11" s="159"/>
      <c r="I11" s="142"/>
      <c r="J11" s="142"/>
    </row>
    <row r="12" spans="1:11" ht="15.75" thickBot="1" x14ac:dyDescent="0.3">
      <c r="A12" s="146"/>
      <c r="B12" s="146" t="s">
        <v>68</v>
      </c>
      <c r="C12" s="143"/>
      <c r="D12" s="162"/>
      <c r="E12" s="142"/>
      <c r="F12" s="142"/>
      <c r="G12" s="180"/>
      <c r="H12" s="159"/>
      <c r="I12" s="142"/>
      <c r="J12" s="142"/>
    </row>
    <row r="13" spans="1:11" ht="15.75" thickBot="1" x14ac:dyDescent="0.3">
      <c r="A13" s="146"/>
      <c r="B13" s="146" t="s">
        <v>70</v>
      </c>
      <c r="C13" s="208">
        <v>6.0000000000000001E-3</v>
      </c>
      <c r="D13" s="165">
        <v>0</v>
      </c>
      <c r="E13" s="166"/>
      <c r="F13" s="167">
        <v>3.9833332999999999E-2</v>
      </c>
      <c r="G13" s="181"/>
      <c r="H13" s="169">
        <v>15.3</v>
      </c>
      <c r="I13" s="167" t="e">
        <f ca="1">_xll.RiskPert(0.02,0.04,0.08)</f>
        <v>#NAME?</v>
      </c>
      <c r="J13" s="167">
        <v>0.66300000000000003</v>
      </c>
      <c r="K13" s="214">
        <v>6.0413888888888895E-3</v>
      </c>
    </row>
    <row r="14" spans="1:11" ht="15.75" thickBot="1" x14ac:dyDescent="0.3">
      <c r="A14" s="146"/>
      <c r="B14" s="146" t="s">
        <v>69</v>
      </c>
      <c r="C14" s="168"/>
      <c r="D14" s="163"/>
      <c r="E14" s="166"/>
      <c r="F14" s="167"/>
      <c r="G14" s="181"/>
      <c r="H14" s="169"/>
      <c r="I14" s="167"/>
      <c r="J14" s="167"/>
    </row>
    <row r="15" spans="1:11" ht="15.75" thickBot="1" x14ac:dyDescent="0.3">
      <c r="A15" s="146"/>
      <c r="B15" s="146" t="s">
        <v>34</v>
      </c>
      <c r="C15" s="170"/>
      <c r="D15" s="171"/>
      <c r="E15" s="166"/>
      <c r="F15" s="167"/>
      <c r="G15" s="181"/>
      <c r="H15" s="172"/>
      <c r="I15" s="167"/>
      <c r="J15" s="167"/>
    </row>
    <row r="16" spans="1:11" ht="15.75" thickBot="1" x14ac:dyDescent="0.3">
      <c r="A16" s="146"/>
      <c r="B16" s="146" t="s">
        <v>37</v>
      </c>
      <c r="C16" s="168"/>
      <c r="D16" s="163"/>
      <c r="E16" s="166"/>
      <c r="F16" s="167"/>
      <c r="G16" s="181"/>
      <c r="H16" s="169"/>
      <c r="I16" s="167"/>
      <c r="J16" s="167"/>
    </row>
    <row r="17" spans="1:11" ht="15.75" thickBot="1" x14ac:dyDescent="0.3">
      <c r="A17" s="146"/>
      <c r="B17" s="146" t="s">
        <v>40</v>
      </c>
      <c r="C17" s="218">
        <f>D17*(1-F17)+E17*F17</f>
        <v>48.241139610275887</v>
      </c>
      <c r="D17" s="163">
        <v>48.3</v>
      </c>
      <c r="E17" s="166">
        <f>D17-J17</f>
        <v>46.822333299999997</v>
      </c>
      <c r="F17" s="167">
        <v>3.9833332999999999E-2</v>
      </c>
      <c r="G17" s="181"/>
      <c r="H17" s="169">
        <v>34.1</v>
      </c>
      <c r="I17" s="167" t="e">
        <f ca="1">_xll.RiskPert(0.02,0.04,0.08)</f>
        <v>#NAME?</v>
      </c>
      <c r="J17" s="167">
        <v>1.4776667000000001</v>
      </c>
      <c r="K17" s="167">
        <v>48.241139611111102</v>
      </c>
    </row>
    <row r="18" spans="1:11" ht="15.75" thickBot="1" x14ac:dyDescent="0.3">
      <c r="A18" s="146"/>
      <c r="B18" s="146" t="s">
        <v>71</v>
      </c>
      <c r="C18" s="219">
        <f>D18*(1-F18)+E18*F18</f>
        <v>6.1133944999089991</v>
      </c>
      <c r="D18" s="178">
        <v>6.1025199999999993</v>
      </c>
      <c r="E18" s="166">
        <f>D18+J18</f>
        <v>6.375519999999999</v>
      </c>
      <c r="F18" s="167">
        <v>3.9833332999999999E-2</v>
      </c>
      <c r="G18" s="181"/>
      <c r="H18" s="173">
        <v>6.3</v>
      </c>
      <c r="I18" s="167" t="e">
        <f ca="1">_xll.RiskPert(0.02,0.04,0.08)</f>
        <v>#NAME?</v>
      </c>
      <c r="J18" s="167">
        <v>0.27300000000000002</v>
      </c>
      <c r="K18">
        <v>6.0891254999999989</v>
      </c>
    </row>
    <row r="19" spans="1:11" ht="15.75" thickBot="1" x14ac:dyDescent="0.3">
      <c r="A19" s="146"/>
      <c r="B19" s="146" t="s">
        <v>87</v>
      </c>
      <c r="C19" s="216"/>
      <c r="D19" s="174"/>
      <c r="E19" s="166"/>
      <c r="F19" s="167"/>
      <c r="G19" s="181"/>
      <c r="H19" s="175"/>
      <c r="I19" s="167"/>
      <c r="J19" s="167"/>
    </row>
    <row r="20" spans="1:11" ht="15.75" thickBot="1" x14ac:dyDescent="0.3">
      <c r="A20" s="147" t="s">
        <v>19</v>
      </c>
      <c r="B20" s="152" t="s">
        <v>66</v>
      </c>
      <c r="C20" s="217"/>
      <c r="D20" s="163"/>
      <c r="E20" s="166"/>
      <c r="F20" s="167"/>
      <c r="G20" s="181"/>
      <c r="H20" s="169"/>
      <c r="I20" s="167"/>
      <c r="J20" s="167"/>
    </row>
    <row r="21" spans="1:11" ht="15.75" thickBot="1" x14ac:dyDescent="0.3">
      <c r="A21" s="152"/>
      <c r="B21" s="152" t="s">
        <v>60</v>
      </c>
      <c r="C21" s="219">
        <f>D21*(1-F21)+E21*F21</f>
        <v>32.634941000442005</v>
      </c>
      <c r="D21" s="171">
        <v>32.687760000000004</v>
      </c>
      <c r="E21" s="166">
        <f>D21-J21</f>
        <v>31.361760000000004</v>
      </c>
      <c r="F21" s="167">
        <v>3.9833332999999999E-2</v>
      </c>
      <c r="G21" s="181"/>
      <c r="H21" s="169">
        <v>30.6</v>
      </c>
      <c r="I21" s="167" t="e">
        <f ca="1">_xll.RiskPert(0.02,0.04,0.08)</f>
        <v>#NAME?</v>
      </c>
      <c r="J21" s="167">
        <v>1.3260000000000001</v>
      </c>
      <c r="K21">
        <v>32.747180999999998</v>
      </c>
    </row>
    <row r="22" spans="1:11" ht="15.75" thickBot="1" x14ac:dyDescent="0.3">
      <c r="A22" s="152"/>
      <c r="B22" s="152" t="s">
        <v>72</v>
      </c>
      <c r="C22" s="218">
        <f>D22*(1-F22)+E22*F22</f>
        <v>48.254868901132902</v>
      </c>
      <c r="D22" s="227">
        <v>48.166231884057972</v>
      </c>
      <c r="E22" s="166">
        <f>D22+J22</f>
        <v>50.391428984057974</v>
      </c>
      <c r="F22" s="167">
        <v>3.9833332999999999E-2</v>
      </c>
      <c r="G22" s="181"/>
      <c r="H22" s="176">
        <v>52.043010752688176</v>
      </c>
      <c r="I22" s="167" t="e">
        <f ca="1">_xll.RiskPert(0.02,0.04,0.08)</f>
        <v>#NAME?</v>
      </c>
      <c r="J22" s="167">
        <v>2.2251970999999999</v>
      </c>
      <c r="K22">
        <v>46.910167980884104</v>
      </c>
    </row>
    <row r="23" spans="1:11" ht="15.75" thickBot="1" x14ac:dyDescent="0.3">
      <c r="A23" s="152"/>
      <c r="B23" s="152" t="s">
        <v>24</v>
      </c>
      <c r="C23" s="208">
        <v>6.0000000000000001E-3</v>
      </c>
      <c r="D23" s="165">
        <v>0</v>
      </c>
      <c r="E23" s="166"/>
      <c r="F23" s="167">
        <v>3.9833332999999999E-2</v>
      </c>
      <c r="G23" s="181"/>
      <c r="H23" s="177">
        <v>4.3</v>
      </c>
      <c r="I23" s="167" t="e">
        <f ca="1">_xll.RiskPert(0.02,0.04,0.08)</f>
        <v>#NAME?</v>
      </c>
      <c r="J23" s="167" t="e">
        <f t="shared" ref="J23" ca="1" si="0">H23*I23</f>
        <v>#NAME?</v>
      </c>
      <c r="K23" s="214">
        <v>6.0413888888888895E-3</v>
      </c>
    </row>
    <row r="24" spans="1:11" ht="15.75" thickBot="1" x14ac:dyDescent="0.3">
      <c r="A24" s="152"/>
      <c r="B24" s="152" t="s">
        <v>43</v>
      </c>
      <c r="C24" s="207"/>
      <c r="D24" s="171"/>
      <c r="E24" s="166"/>
      <c r="F24" s="167"/>
      <c r="G24" s="181"/>
      <c r="H24" s="172"/>
      <c r="I24" s="167"/>
      <c r="J24" s="167"/>
    </row>
    <row r="25" spans="1:11" ht="15.75" thickBot="1" x14ac:dyDescent="0.3">
      <c r="A25" s="152"/>
      <c r="B25" s="152" t="s">
        <v>46</v>
      </c>
      <c r="C25" s="218">
        <f>D25*(1-F25)+E25*F25</f>
        <v>0.55119735834005013</v>
      </c>
      <c r="D25" s="178">
        <v>0.55200000000000005</v>
      </c>
      <c r="E25" s="166">
        <f>D25-J25</f>
        <v>0.53185000000000004</v>
      </c>
      <c r="F25" s="167">
        <v>3.9833332999999999E-2</v>
      </c>
      <c r="G25" s="181"/>
      <c r="H25" s="179">
        <v>0.46500000000000002</v>
      </c>
      <c r="I25" s="167" t="e">
        <f ca="1">_xll.RiskPert(0.02,0.04,0.08)</f>
        <v>#NAME?</v>
      </c>
      <c r="J25" s="167">
        <v>2.0150000000000001E-2</v>
      </c>
      <c r="K25">
        <v>0.55119735833333339</v>
      </c>
    </row>
    <row r="26" spans="1:11" ht="15.75" thickBot="1" x14ac:dyDescent="0.3">
      <c r="A26" s="155" t="s">
        <v>25</v>
      </c>
      <c r="B26" s="157" t="s">
        <v>65</v>
      </c>
      <c r="C26" s="148"/>
      <c r="D26" s="163"/>
      <c r="E26" s="142"/>
      <c r="F26" s="142"/>
      <c r="G26" s="180"/>
      <c r="H26" s="156"/>
      <c r="I26" s="142"/>
      <c r="J26" s="142"/>
    </row>
    <row r="27" spans="1:11" ht="15.75" thickBot="1" x14ac:dyDescent="0.3">
      <c r="A27" s="157"/>
      <c r="B27" s="157" t="s">
        <v>51</v>
      </c>
      <c r="C27" s="143"/>
      <c r="D27" s="163"/>
      <c r="E27" s="142"/>
      <c r="F27" s="142"/>
      <c r="G27" s="180"/>
      <c r="H27" s="156"/>
      <c r="I27" s="142"/>
      <c r="J27" s="142"/>
    </row>
    <row r="28" spans="1:11" ht="15.75" thickBot="1" x14ac:dyDescent="0.3">
      <c r="A28" s="157"/>
      <c r="B28" s="157" t="s">
        <v>28</v>
      </c>
      <c r="C28" s="143"/>
      <c r="D28" s="153"/>
      <c r="E28" s="142"/>
      <c r="F28" s="142"/>
      <c r="G28" s="180"/>
      <c r="H28" s="158"/>
      <c r="I28" s="142"/>
      <c r="J28" s="145"/>
    </row>
    <row r="29" spans="1:11" ht="15.75" thickBot="1" x14ac:dyDescent="0.3">
      <c r="A29" s="157"/>
      <c r="B29" s="157" t="s">
        <v>31</v>
      </c>
      <c r="C29" s="143"/>
      <c r="D29" s="144"/>
      <c r="E29" s="142"/>
      <c r="F29" s="142"/>
      <c r="G29" s="180"/>
      <c r="H29" s="159"/>
      <c r="I29" s="142"/>
      <c r="J29" s="145"/>
    </row>
    <row r="30" spans="1:11" ht="15.75" thickBot="1" x14ac:dyDescent="0.3">
      <c r="A30" s="157"/>
      <c r="B30" s="157" t="s">
        <v>54</v>
      </c>
      <c r="C30" s="148"/>
      <c r="D30" s="150"/>
      <c r="E30" s="142"/>
      <c r="F30" s="142"/>
      <c r="G30" s="180"/>
      <c r="H30" s="160"/>
      <c r="I30" s="142"/>
      <c r="J30" s="145"/>
    </row>
    <row r="31" spans="1:11" ht="15.75" thickBot="1" x14ac:dyDescent="0.3">
      <c r="A31" s="157"/>
      <c r="B31" s="157" t="s">
        <v>57</v>
      </c>
      <c r="C31" s="149"/>
      <c r="D31" s="154"/>
      <c r="E31" s="142"/>
      <c r="F31" s="142"/>
      <c r="G31" s="180"/>
      <c r="H31" s="161"/>
      <c r="I31" s="142"/>
      <c r="J31" s="145"/>
    </row>
    <row r="33" spans="1:5" x14ac:dyDescent="0.25">
      <c r="A33" s="110" t="s">
        <v>151</v>
      </c>
      <c r="B33" s="193" t="e">
        <f>#REF!</f>
        <v>#REF!</v>
      </c>
    </row>
    <row r="34" spans="1:5" x14ac:dyDescent="0.25">
      <c r="E34" s="105" t="s">
        <v>121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8C9D-FFE0-4E46-823E-FDAC0F09EFC5}">
  <dimension ref="A2:K33"/>
  <sheetViews>
    <sheetView topLeftCell="B1" zoomScaleNormal="100" workbookViewId="0">
      <selection activeCell="C21" sqref="C21"/>
    </sheetView>
  </sheetViews>
  <sheetFormatPr defaultRowHeight="15" x14ac:dyDescent="0.25"/>
  <cols>
    <col min="1" max="1" width="21.85546875" bestFit="1" customWidth="1"/>
    <col min="2" max="2" width="32.42578125" customWidth="1"/>
    <col min="4" max="4" width="11.28515625" customWidth="1"/>
    <col min="5" max="5" width="11" customWidth="1"/>
    <col min="6" max="6" width="12.42578125" customWidth="1"/>
    <col min="8" max="8" width="10.140625" customWidth="1"/>
    <col min="9" max="9" width="11.140625" customWidth="1"/>
  </cols>
  <sheetData>
    <row r="2" spans="1:11" x14ac:dyDescent="0.25">
      <c r="A2" s="198" t="s">
        <v>154</v>
      </c>
      <c r="B2" s="199"/>
      <c r="C2" s="199"/>
      <c r="D2" s="1"/>
      <c r="E2" s="1"/>
    </row>
    <row r="3" spans="1:11" x14ac:dyDescent="0.25">
      <c r="A3" s="200" t="s">
        <v>120</v>
      </c>
      <c r="B3" s="200" t="s">
        <v>136</v>
      </c>
      <c r="C3" s="201">
        <v>62.6</v>
      </c>
      <c r="D3" s="32"/>
      <c r="E3" s="139"/>
      <c r="J3" s="1" t="s">
        <v>112</v>
      </c>
      <c r="K3" s="1"/>
    </row>
    <row r="4" spans="1:11" x14ac:dyDescent="0.25">
      <c r="A4" s="200" t="s">
        <v>138</v>
      </c>
      <c r="B4" s="202" t="s">
        <v>136</v>
      </c>
      <c r="C4" s="201">
        <v>0.14000000000000001</v>
      </c>
      <c r="D4" s="32"/>
      <c r="E4" s="139"/>
      <c r="J4" s="1" t="s">
        <v>113</v>
      </c>
      <c r="K4" s="1" t="s">
        <v>114</v>
      </c>
    </row>
    <row r="5" spans="1:11" x14ac:dyDescent="0.25">
      <c r="A5" s="200" t="s">
        <v>139</v>
      </c>
      <c r="B5" s="202" t="s">
        <v>136</v>
      </c>
      <c r="C5" s="201">
        <v>0.04</v>
      </c>
      <c r="D5" s="32"/>
      <c r="E5" s="139"/>
      <c r="J5" s="1" t="s">
        <v>115</v>
      </c>
      <c r="K5" s="1" t="s">
        <v>116</v>
      </c>
    </row>
    <row r="7" spans="1:11" x14ac:dyDescent="0.25">
      <c r="A7" s="123" t="s">
        <v>103</v>
      </c>
    </row>
    <row r="9" spans="1:11" ht="15.75" thickBot="1" x14ac:dyDescent="0.3">
      <c r="A9" s="110"/>
      <c r="C9" s="205">
        <v>3</v>
      </c>
      <c r="E9" s="205">
        <v>2</v>
      </c>
      <c r="J9" s="204">
        <v>1</v>
      </c>
    </row>
    <row r="10" spans="1:11" ht="36.75" thickBot="1" x14ac:dyDescent="0.3">
      <c r="A10" s="140" t="s">
        <v>85</v>
      </c>
      <c r="B10" s="140" t="s">
        <v>7</v>
      </c>
      <c r="C10" s="182" t="s">
        <v>141</v>
      </c>
      <c r="D10" s="183" t="s">
        <v>119</v>
      </c>
      <c r="E10" s="184" t="s">
        <v>117</v>
      </c>
      <c r="F10" s="185" t="s">
        <v>118</v>
      </c>
      <c r="G10" s="186"/>
      <c r="H10" s="187" t="s">
        <v>115</v>
      </c>
      <c r="I10" s="184" t="s">
        <v>113</v>
      </c>
      <c r="J10" s="182" t="s">
        <v>140</v>
      </c>
    </row>
    <row r="11" spans="1:11" ht="15.75" thickBot="1" x14ac:dyDescent="0.3">
      <c r="A11" s="141" t="s">
        <v>8</v>
      </c>
      <c r="B11" s="142" t="s">
        <v>67</v>
      </c>
      <c r="C11" s="143"/>
      <c r="D11" s="162"/>
      <c r="E11" s="142"/>
      <c r="F11" s="142"/>
      <c r="G11" s="180"/>
      <c r="H11" s="159"/>
      <c r="I11" s="142"/>
      <c r="J11" s="142"/>
    </row>
    <row r="12" spans="1:11" ht="15.75" thickBot="1" x14ac:dyDescent="0.3">
      <c r="A12" s="146"/>
      <c r="B12" s="142" t="s">
        <v>68</v>
      </c>
      <c r="C12" s="143"/>
      <c r="D12" s="162"/>
      <c r="E12" s="142"/>
      <c r="F12" s="142"/>
      <c r="G12" s="180"/>
      <c r="H12" s="159"/>
      <c r="I12" s="142"/>
      <c r="J12" s="142"/>
    </row>
    <row r="13" spans="1:11" ht="15.75" thickBot="1" x14ac:dyDescent="0.3">
      <c r="A13" s="146"/>
      <c r="B13" s="147" t="s">
        <v>70</v>
      </c>
      <c r="C13" s="164">
        <f>D13*(1-F13)+E13*F13</f>
        <v>8.764000000000001E-2</v>
      </c>
      <c r="D13" s="165">
        <v>0</v>
      </c>
      <c r="E13" s="166">
        <v>0.14000000000000001</v>
      </c>
      <c r="F13" s="167">
        <v>0.626</v>
      </c>
      <c r="G13" s="181"/>
      <c r="H13" s="169">
        <v>15.3</v>
      </c>
      <c r="I13" s="167"/>
      <c r="J13" s="167"/>
    </row>
    <row r="14" spans="1:11" ht="15.75" thickBot="1" x14ac:dyDescent="0.3">
      <c r="A14" s="146"/>
      <c r="B14" s="142" t="s">
        <v>69</v>
      </c>
      <c r="C14" s="168"/>
      <c r="D14" s="163"/>
      <c r="E14" s="166"/>
      <c r="F14" s="167"/>
      <c r="G14" s="181"/>
      <c r="H14" s="169"/>
      <c r="I14" s="167"/>
      <c r="J14" s="167"/>
    </row>
    <row r="15" spans="1:11" ht="15.75" thickBot="1" x14ac:dyDescent="0.3">
      <c r="A15" s="146"/>
      <c r="B15" s="142" t="s">
        <v>34</v>
      </c>
      <c r="C15" s="170"/>
      <c r="D15" s="171"/>
      <c r="E15" s="166"/>
      <c r="F15" s="167"/>
      <c r="G15" s="181"/>
      <c r="H15" s="172"/>
      <c r="I15" s="167"/>
      <c r="J15" s="167"/>
    </row>
    <row r="16" spans="1:11" ht="15.75" thickBot="1" x14ac:dyDescent="0.3">
      <c r="A16" s="146"/>
      <c r="B16" s="142" t="s">
        <v>37</v>
      </c>
      <c r="C16" s="168"/>
      <c r="D16" s="163"/>
      <c r="E16" s="166"/>
      <c r="F16" s="167"/>
      <c r="G16" s="181"/>
      <c r="H16" s="169"/>
      <c r="I16" s="167"/>
      <c r="J16" s="167"/>
    </row>
    <row r="17" spans="1:10" ht="15.75" thickBot="1" x14ac:dyDescent="0.3">
      <c r="A17" s="146"/>
      <c r="B17" s="147" t="s">
        <v>40</v>
      </c>
      <c r="C17" s="206">
        <f>D17*(1-F17)+E17*F17</f>
        <v>47.446135999999996</v>
      </c>
      <c r="D17" s="163">
        <v>48.3</v>
      </c>
      <c r="E17" s="166">
        <f>D17-J17</f>
        <v>46.936</v>
      </c>
      <c r="F17" s="167">
        <v>0.626</v>
      </c>
      <c r="G17" s="181"/>
      <c r="H17" s="169">
        <v>34.1</v>
      </c>
      <c r="I17" s="167">
        <v>0.04</v>
      </c>
      <c r="J17" s="167">
        <f>H17*I17</f>
        <v>1.3640000000000001</v>
      </c>
    </row>
    <row r="18" spans="1:10" ht="15.75" thickBot="1" x14ac:dyDescent="0.3">
      <c r="A18" s="146"/>
      <c r="B18" s="147" t="s">
        <v>71</v>
      </c>
      <c r="C18" s="206">
        <f>D18*(1-F18)+E18*F18</f>
        <v>6.2602719999999987</v>
      </c>
      <c r="D18" s="178">
        <v>6.1025199999999993</v>
      </c>
      <c r="E18" s="166">
        <f>D18+J18</f>
        <v>6.3545199999999991</v>
      </c>
      <c r="F18" s="167">
        <v>0.626</v>
      </c>
      <c r="G18" s="181"/>
      <c r="H18" s="173">
        <v>6.3</v>
      </c>
      <c r="I18" s="167">
        <v>0.04</v>
      </c>
      <c r="J18" s="167">
        <f t="shared" ref="J18:J25" si="0">H18*I18</f>
        <v>0.252</v>
      </c>
    </row>
    <row r="19" spans="1:10" ht="15.75" thickBot="1" x14ac:dyDescent="0.3">
      <c r="A19" s="146"/>
      <c r="B19" s="151" t="s">
        <v>87</v>
      </c>
      <c r="C19" s="168"/>
      <c r="D19" s="174"/>
      <c r="E19" s="166"/>
      <c r="F19" s="167"/>
      <c r="G19" s="181"/>
      <c r="H19" s="175"/>
      <c r="I19" s="167"/>
      <c r="J19" s="167"/>
    </row>
    <row r="20" spans="1:10" ht="15.75" thickBot="1" x14ac:dyDescent="0.3">
      <c r="A20" s="147" t="s">
        <v>19</v>
      </c>
      <c r="B20" s="142" t="s">
        <v>66</v>
      </c>
      <c r="C20" s="168"/>
      <c r="D20" s="163"/>
      <c r="E20" s="166"/>
      <c r="F20" s="167"/>
      <c r="G20" s="181"/>
      <c r="H20" s="169"/>
      <c r="I20" s="167"/>
      <c r="J20" s="167"/>
    </row>
    <row r="21" spans="1:10" ht="15.75" thickBot="1" x14ac:dyDescent="0.3">
      <c r="A21" s="152"/>
      <c r="B21" s="152" t="s">
        <v>60</v>
      </c>
      <c r="C21" s="168">
        <f>D21*(1-F21)+E21*F21</f>
        <v>31.921536000000003</v>
      </c>
      <c r="D21" s="171">
        <v>32.687760000000004</v>
      </c>
      <c r="E21" s="166">
        <f>D21-J21</f>
        <v>31.463760000000004</v>
      </c>
      <c r="F21" s="167">
        <v>0.626</v>
      </c>
      <c r="G21" s="181"/>
      <c r="H21" s="169">
        <v>30.6</v>
      </c>
      <c r="I21" s="167">
        <v>0.04</v>
      </c>
      <c r="J21" s="167">
        <f t="shared" si="0"/>
        <v>1.224</v>
      </c>
    </row>
    <row r="22" spans="1:10" ht="15.75" thickBot="1" x14ac:dyDescent="0.3">
      <c r="A22" s="152"/>
      <c r="B22" s="152" t="s">
        <v>72</v>
      </c>
      <c r="C22" s="168">
        <f>D22*(1-F22)+E22*F22</f>
        <v>49.469388873305284</v>
      </c>
      <c r="D22" s="163">
        <v>48.166231884057972</v>
      </c>
      <c r="E22" s="166">
        <f>D22+J22</f>
        <v>50.247952314165502</v>
      </c>
      <c r="F22" s="167">
        <v>0.626</v>
      </c>
      <c r="G22" s="181"/>
      <c r="H22" s="176">
        <v>52.043010752688176</v>
      </c>
      <c r="I22" s="167">
        <v>0.04</v>
      </c>
      <c r="J22" s="167">
        <f t="shared" si="0"/>
        <v>2.0817204301075272</v>
      </c>
    </row>
    <row r="23" spans="1:10" ht="15.75" thickBot="1" x14ac:dyDescent="0.3">
      <c r="A23" s="152"/>
      <c r="B23" s="147" t="s">
        <v>24</v>
      </c>
      <c r="C23" s="164">
        <f>D23*(1-F23)+E23*F23</f>
        <v>8.764000000000001E-2</v>
      </c>
      <c r="D23" s="165">
        <v>0</v>
      </c>
      <c r="E23" s="166">
        <v>0.14000000000000001</v>
      </c>
      <c r="F23" s="167">
        <v>0.626</v>
      </c>
      <c r="G23" s="181"/>
      <c r="H23" s="177">
        <v>4.3</v>
      </c>
      <c r="I23" s="167">
        <v>0.04</v>
      </c>
      <c r="J23" s="167">
        <f t="shared" si="0"/>
        <v>0.17199999999999999</v>
      </c>
    </row>
    <row r="24" spans="1:10" ht="15.75" thickBot="1" x14ac:dyDescent="0.3">
      <c r="A24" s="152"/>
      <c r="B24" s="142" t="s">
        <v>43</v>
      </c>
      <c r="C24" s="168"/>
      <c r="D24" s="171"/>
      <c r="E24" s="166"/>
      <c r="F24" s="167"/>
      <c r="G24" s="181"/>
      <c r="H24" s="172"/>
      <c r="I24" s="167"/>
      <c r="J24" s="167"/>
    </row>
    <row r="25" spans="1:10" ht="15.75" thickBot="1" x14ac:dyDescent="0.3">
      <c r="A25" s="152"/>
      <c r="B25" s="147" t="s">
        <v>46</v>
      </c>
      <c r="C25" s="206">
        <f>D25*(1-F25)+E25*F25</f>
        <v>0.54035640000000007</v>
      </c>
      <c r="D25" s="178">
        <v>0.55200000000000005</v>
      </c>
      <c r="E25" s="166">
        <f>D25-J25</f>
        <v>0.5334000000000001</v>
      </c>
      <c r="F25" s="167">
        <f>F23</f>
        <v>0.626</v>
      </c>
      <c r="G25" s="181"/>
      <c r="H25" s="179">
        <v>0.46500000000000002</v>
      </c>
      <c r="I25" s="167">
        <v>0.04</v>
      </c>
      <c r="J25" s="167">
        <f t="shared" si="0"/>
        <v>1.8600000000000002E-2</v>
      </c>
    </row>
    <row r="26" spans="1:10" ht="15.75" thickBot="1" x14ac:dyDescent="0.3">
      <c r="A26" s="155" t="s">
        <v>25</v>
      </c>
      <c r="B26" s="151" t="s">
        <v>65</v>
      </c>
      <c r="C26" s="148"/>
      <c r="D26" s="163"/>
      <c r="E26" s="142"/>
      <c r="F26" s="142"/>
      <c r="G26" s="180"/>
      <c r="H26" s="156"/>
      <c r="I26" s="142"/>
      <c r="J26" s="142"/>
    </row>
    <row r="27" spans="1:10" ht="15.75" thickBot="1" x14ac:dyDescent="0.3">
      <c r="A27" s="157"/>
      <c r="B27" s="151" t="s">
        <v>51</v>
      </c>
      <c r="C27" s="143"/>
      <c r="D27" s="163"/>
      <c r="E27" s="142"/>
      <c r="F27" s="142"/>
      <c r="G27" s="180"/>
      <c r="H27" s="156"/>
      <c r="I27" s="142"/>
      <c r="J27" s="142"/>
    </row>
    <row r="28" spans="1:10" ht="15.75" thickBot="1" x14ac:dyDescent="0.3">
      <c r="A28" s="157"/>
      <c r="B28" s="151" t="s">
        <v>28</v>
      </c>
      <c r="C28" s="143"/>
      <c r="D28" s="153"/>
      <c r="E28" s="142"/>
      <c r="F28" s="142"/>
      <c r="G28" s="180"/>
      <c r="H28" s="158"/>
      <c r="I28" s="142"/>
      <c r="J28" s="145"/>
    </row>
    <row r="29" spans="1:10" ht="15.75" thickBot="1" x14ac:dyDescent="0.3">
      <c r="A29" s="157"/>
      <c r="B29" s="151" t="s">
        <v>31</v>
      </c>
      <c r="C29" s="143"/>
      <c r="D29" s="144"/>
      <c r="E29" s="142"/>
      <c r="F29" s="142"/>
      <c r="G29" s="180"/>
      <c r="H29" s="159"/>
      <c r="I29" s="142"/>
      <c r="J29" s="145"/>
    </row>
    <row r="30" spans="1:10" ht="15.75" thickBot="1" x14ac:dyDescent="0.3">
      <c r="A30" s="157"/>
      <c r="B30" s="151" t="s">
        <v>54</v>
      </c>
      <c r="C30" s="148"/>
      <c r="D30" s="150"/>
      <c r="E30" s="142"/>
      <c r="F30" s="142"/>
      <c r="G30" s="180"/>
      <c r="H30" s="160"/>
      <c r="I30" s="142"/>
      <c r="J30" s="145"/>
    </row>
    <row r="31" spans="1:10" ht="15.75" thickBot="1" x14ac:dyDescent="0.3">
      <c r="A31" s="157"/>
      <c r="B31" s="151" t="s">
        <v>57</v>
      </c>
      <c r="C31" s="149"/>
      <c r="D31" s="154"/>
      <c r="E31" s="142"/>
      <c r="F31" s="142"/>
      <c r="G31" s="180"/>
      <c r="H31" s="161"/>
      <c r="I31" s="142"/>
      <c r="J31" s="145"/>
    </row>
    <row r="33" spans="1:2" x14ac:dyDescent="0.25">
      <c r="A33" s="110" t="s">
        <v>151</v>
      </c>
      <c r="B33" s="193" t="s">
        <v>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8BD1-EA71-40E0-B356-795549738F11}">
  <dimension ref="A2:K33"/>
  <sheetViews>
    <sheetView zoomScale="90" zoomScaleNormal="90" workbookViewId="0">
      <selection activeCell="C21" sqref="C21"/>
    </sheetView>
  </sheetViews>
  <sheetFormatPr defaultRowHeight="15" x14ac:dyDescent="0.25"/>
  <cols>
    <col min="1" max="1" width="22.140625" customWidth="1"/>
    <col min="2" max="2" width="30.42578125" customWidth="1"/>
  </cols>
  <sheetData>
    <row r="2" spans="1:11" x14ac:dyDescent="0.25">
      <c r="A2" s="198" t="s">
        <v>155</v>
      </c>
      <c r="B2" s="199"/>
      <c r="C2" s="199" t="s">
        <v>137</v>
      </c>
      <c r="D2" s="1"/>
      <c r="E2" s="1"/>
    </row>
    <row r="3" spans="1:11" x14ac:dyDescent="0.25">
      <c r="A3" s="200" t="s">
        <v>120</v>
      </c>
      <c r="B3" s="200" t="s">
        <v>136</v>
      </c>
      <c r="C3" s="203">
        <v>0.01</v>
      </c>
      <c r="D3" s="32"/>
      <c r="E3" s="139"/>
      <c r="J3" s="1" t="s">
        <v>112</v>
      </c>
      <c r="K3" s="1"/>
    </row>
    <row r="4" spans="1:11" x14ac:dyDescent="0.25">
      <c r="A4" s="200" t="s">
        <v>138</v>
      </c>
      <c r="B4" s="202" t="s">
        <v>136</v>
      </c>
      <c r="C4" s="203">
        <v>0.14000000000000001</v>
      </c>
      <c r="D4" s="32"/>
      <c r="E4" s="139"/>
      <c r="J4" s="1" t="s">
        <v>113</v>
      </c>
      <c r="K4" s="1" t="s">
        <v>114</v>
      </c>
    </row>
    <row r="5" spans="1:11" x14ac:dyDescent="0.25">
      <c r="A5" s="200" t="s">
        <v>139</v>
      </c>
      <c r="B5" s="202" t="s">
        <v>136</v>
      </c>
      <c r="C5" s="203">
        <v>0.04</v>
      </c>
      <c r="D5" s="32"/>
      <c r="E5" s="139"/>
      <c r="J5" s="1" t="s">
        <v>115</v>
      </c>
      <c r="K5" s="1" t="s">
        <v>116</v>
      </c>
    </row>
    <row r="7" spans="1:11" x14ac:dyDescent="0.25">
      <c r="A7" s="123" t="s">
        <v>103</v>
      </c>
      <c r="E7">
        <v>32.687760000000004</v>
      </c>
    </row>
    <row r="9" spans="1:11" ht="15.75" thickBot="1" x14ac:dyDescent="0.3">
      <c r="A9" s="110"/>
      <c r="C9">
        <v>3</v>
      </c>
      <c r="E9">
        <v>2</v>
      </c>
      <c r="J9">
        <v>1</v>
      </c>
    </row>
    <row r="10" spans="1:11" ht="36.75" thickBot="1" x14ac:dyDescent="0.3">
      <c r="A10" s="140" t="s">
        <v>85</v>
      </c>
      <c r="B10" s="140" t="s">
        <v>7</v>
      </c>
      <c r="C10" s="182" t="s">
        <v>141</v>
      </c>
      <c r="D10" s="183" t="s">
        <v>119</v>
      </c>
      <c r="E10" s="184" t="s">
        <v>117</v>
      </c>
      <c r="F10" s="185" t="s">
        <v>118</v>
      </c>
      <c r="G10" s="186"/>
      <c r="H10" s="187" t="s">
        <v>115</v>
      </c>
      <c r="I10" s="184" t="s">
        <v>113</v>
      </c>
      <c r="J10" s="182" t="s">
        <v>140</v>
      </c>
    </row>
    <row r="11" spans="1:11" ht="15.75" thickBot="1" x14ac:dyDescent="0.3">
      <c r="A11" s="141" t="s">
        <v>8</v>
      </c>
      <c r="B11" s="142" t="s">
        <v>67</v>
      </c>
      <c r="C11" s="143"/>
      <c r="D11" s="162"/>
      <c r="E11" s="142"/>
      <c r="F11" s="142"/>
      <c r="G11" s="180"/>
      <c r="H11" s="159"/>
      <c r="I11" s="142"/>
      <c r="J11" s="142"/>
    </row>
    <row r="12" spans="1:11" ht="15.75" thickBot="1" x14ac:dyDescent="0.3">
      <c r="A12" s="146"/>
      <c r="B12" s="142" t="s">
        <v>68</v>
      </c>
      <c r="C12" s="143"/>
      <c r="D12" s="162"/>
      <c r="E12" s="142"/>
      <c r="F12" s="142"/>
      <c r="G12" s="180"/>
      <c r="H12" s="159"/>
      <c r="I12" s="142"/>
      <c r="J12" s="142"/>
    </row>
    <row r="13" spans="1:11" ht="15.75" thickBot="1" x14ac:dyDescent="0.3">
      <c r="A13" s="146"/>
      <c r="B13" s="147" t="s">
        <v>70</v>
      </c>
      <c r="C13" s="164">
        <f>D13*(1-F13)+E13*F13</f>
        <v>1.4000000000000002E-3</v>
      </c>
      <c r="D13" s="165">
        <v>0</v>
      </c>
      <c r="E13" s="166">
        <v>0.14000000000000001</v>
      </c>
      <c r="F13" s="166">
        <f>C3</f>
        <v>0.01</v>
      </c>
      <c r="G13" s="181"/>
      <c r="H13" s="169">
        <v>15.3</v>
      </c>
      <c r="I13" s="167"/>
      <c r="J13" s="167"/>
    </row>
    <row r="14" spans="1:11" ht="15.75" thickBot="1" x14ac:dyDescent="0.3">
      <c r="A14" s="146"/>
      <c r="B14" s="142" t="s">
        <v>69</v>
      </c>
      <c r="C14" s="168"/>
      <c r="D14" s="163"/>
      <c r="E14" s="166"/>
      <c r="F14" s="166"/>
      <c r="G14" s="181"/>
      <c r="H14" s="169"/>
      <c r="I14" s="167"/>
      <c r="J14" s="167"/>
    </row>
    <row r="15" spans="1:11" ht="15.75" thickBot="1" x14ac:dyDescent="0.3">
      <c r="A15" s="146"/>
      <c r="B15" s="142" t="s">
        <v>34</v>
      </c>
      <c r="C15" s="170"/>
      <c r="D15" s="171"/>
      <c r="E15" s="166"/>
      <c r="F15" s="166"/>
      <c r="G15" s="181"/>
      <c r="H15" s="172"/>
      <c r="I15" s="167"/>
      <c r="J15" s="167"/>
    </row>
    <row r="16" spans="1:11" ht="15.75" thickBot="1" x14ac:dyDescent="0.3">
      <c r="A16" s="146"/>
      <c r="B16" s="142" t="s">
        <v>37</v>
      </c>
      <c r="C16" s="168"/>
      <c r="D16" s="163"/>
      <c r="E16" s="166"/>
      <c r="F16" s="166"/>
      <c r="G16" s="181"/>
      <c r="H16" s="169"/>
      <c r="I16" s="167"/>
      <c r="J16" s="167"/>
    </row>
    <row r="17" spans="1:10" ht="15.75" thickBot="1" x14ac:dyDescent="0.3">
      <c r="A17" s="146"/>
      <c r="B17" s="147" t="s">
        <v>40</v>
      </c>
      <c r="C17" s="220">
        <f>D17*(1-F17)+E17*F17</f>
        <v>48.286360000000002</v>
      </c>
      <c r="D17" s="221">
        <v>48.3</v>
      </c>
      <c r="E17" s="222">
        <f>D17-J17</f>
        <v>46.936</v>
      </c>
      <c r="F17" s="222">
        <v>0.01</v>
      </c>
      <c r="G17" s="223"/>
      <c r="H17" s="224">
        <v>34.1</v>
      </c>
      <c r="I17" s="167">
        <v>0.04</v>
      </c>
      <c r="J17" s="167">
        <f>H17*I17</f>
        <v>1.3640000000000001</v>
      </c>
    </row>
    <row r="18" spans="1:10" ht="15.75" thickBot="1" x14ac:dyDescent="0.3">
      <c r="A18" s="146"/>
      <c r="B18" s="147" t="s">
        <v>71</v>
      </c>
      <c r="C18" s="220">
        <f>D18*(1-F18)+E18*F18</f>
        <v>6.1050399999999989</v>
      </c>
      <c r="D18" s="221">
        <v>6.1025199999999993</v>
      </c>
      <c r="E18" s="222">
        <f>D18+J18</f>
        <v>6.3545199999999991</v>
      </c>
      <c r="F18" s="222">
        <v>0.01</v>
      </c>
      <c r="G18" s="223"/>
      <c r="H18" s="224">
        <v>6.3</v>
      </c>
      <c r="I18" s="167">
        <v>0.04</v>
      </c>
      <c r="J18" s="167">
        <f t="shared" ref="J18:J25" si="0">H18*I18</f>
        <v>0.252</v>
      </c>
    </row>
    <row r="19" spans="1:10" ht="15.75" thickBot="1" x14ac:dyDescent="0.3">
      <c r="A19" s="146"/>
      <c r="B19" s="151" t="s">
        <v>87</v>
      </c>
      <c r="C19" s="220"/>
      <c r="D19" s="225"/>
      <c r="E19" s="222"/>
      <c r="F19" s="222"/>
      <c r="G19" s="223"/>
      <c r="H19" s="226"/>
      <c r="I19" s="167"/>
      <c r="J19" s="167"/>
    </row>
    <row r="20" spans="1:10" ht="15.75" thickBot="1" x14ac:dyDescent="0.3">
      <c r="A20" s="147" t="s">
        <v>19</v>
      </c>
      <c r="B20" s="142" t="s">
        <v>66</v>
      </c>
      <c r="C20" s="220"/>
      <c r="D20" s="221"/>
      <c r="E20" s="222"/>
      <c r="F20" s="222"/>
      <c r="G20" s="223"/>
      <c r="H20" s="224"/>
      <c r="I20" s="167"/>
      <c r="J20" s="167"/>
    </row>
    <row r="21" spans="1:10" ht="15.75" thickBot="1" x14ac:dyDescent="0.3">
      <c r="A21" s="152"/>
      <c r="B21" s="152" t="s">
        <v>60</v>
      </c>
      <c r="C21" s="220">
        <f>D21*(1-F21)+E21*F21</f>
        <v>32.675519999999999</v>
      </c>
      <c r="D21" s="221">
        <v>32.687760000000004</v>
      </c>
      <c r="E21" s="222">
        <f>D21-J21</f>
        <v>31.463760000000004</v>
      </c>
      <c r="F21" s="222">
        <v>0.01</v>
      </c>
      <c r="G21" s="223"/>
      <c r="H21" s="224">
        <v>30.6</v>
      </c>
      <c r="I21" s="167">
        <v>0.04</v>
      </c>
      <c r="J21" s="167">
        <f t="shared" si="0"/>
        <v>1.224</v>
      </c>
    </row>
    <row r="22" spans="1:10" ht="15.75" thickBot="1" x14ac:dyDescent="0.3">
      <c r="A22" s="152"/>
      <c r="B22" s="152" t="s">
        <v>72</v>
      </c>
      <c r="C22" s="220">
        <f>D22*(1-F22)+E22*F22</f>
        <v>48.187049088359046</v>
      </c>
      <c r="D22" s="221">
        <v>48.166231884057972</v>
      </c>
      <c r="E22" s="222">
        <f>D22+J22</f>
        <v>50.247952314165502</v>
      </c>
      <c r="F22" s="222">
        <v>0.01</v>
      </c>
      <c r="G22" s="223"/>
      <c r="H22" s="224">
        <v>52.043010752688176</v>
      </c>
      <c r="I22" s="167">
        <v>0.04</v>
      </c>
      <c r="J22" s="167">
        <f t="shared" si="0"/>
        <v>2.0817204301075272</v>
      </c>
    </row>
    <row r="23" spans="1:10" ht="15.75" thickBot="1" x14ac:dyDescent="0.3">
      <c r="A23" s="152"/>
      <c r="B23" s="147" t="s">
        <v>24</v>
      </c>
      <c r="C23" s="164">
        <f>D23*(1-F23)+E23*F23</f>
        <v>1.4000000000000002E-3</v>
      </c>
      <c r="D23" s="165">
        <v>0</v>
      </c>
      <c r="E23" s="166">
        <v>0.14000000000000001</v>
      </c>
      <c r="F23" s="166">
        <v>0.01</v>
      </c>
      <c r="G23" s="181"/>
      <c r="H23" s="177">
        <v>4.3</v>
      </c>
      <c r="I23" s="167">
        <v>0.04</v>
      </c>
      <c r="J23" s="167">
        <f t="shared" si="0"/>
        <v>0.17199999999999999</v>
      </c>
    </row>
    <row r="24" spans="1:10" ht="15.75" thickBot="1" x14ac:dyDescent="0.3">
      <c r="A24" s="152"/>
      <c r="B24" s="142" t="s">
        <v>43</v>
      </c>
      <c r="C24" s="168"/>
      <c r="D24" s="171"/>
      <c r="E24" s="166"/>
      <c r="F24" s="166"/>
      <c r="G24" s="181"/>
      <c r="H24" s="172"/>
      <c r="I24" s="167"/>
      <c r="J24" s="167"/>
    </row>
    <row r="25" spans="1:10" ht="15.75" thickBot="1" x14ac:dyDescent="0.3">
      <c r="A25" s="152"/>
      <c r="B25" s="147" t="s">
        <v>46</v>
      </c>
      <c r="C25" s="220">
        <f>D25*(1-F25)+E25*F25</f>
        <v>0.55181400000000003</v>
      </c>
      <c r="D25" s="221">
        <v>0.55200000000000005</v>
      </c>
      <c r="E25" s="222">
        <f>D25-J25</f>
        <v>0.5334000000000001</v>
      </c>
      <c r="F25" s="222">
        <v>0.01</v>
      </c>
      <c r="G25" s="223"/>
      <c r="H25" s="224">
        <v>0.46500000000000002</v>
      </c>
      <c r="I25" s="167">
        <v>0.04</v>
      </c>
      <c r="J25" s="167">
        <f t="shared" si="0"/>
        <v>1.8600000000000002E-2</v>
      </c>
    </row>
    <row r="26" spans="1:10" ht="15.75" thickBot="1" x14ac:dyDescent="0.3">
      <c r="A26" s="155" t="s">
        <v>25</v>
      </c>
      <c r="B26" s="151" t="s">
        <v>65</v>
      </c>
      <c r="C26" s="148"/>
      <c r="D26" s="163"/>
      <c r="E26" s="142"/>
      <c r="F26" s="142"/>
      <c r="G26" s="180"/>
      <c r="H26" s="156"/>
      <c r="I26" s="142"/>
      <c r="J26" s="142"/>
    </row>
    <row r="27" spans="1:10" ht="15.75" thickBot="1" x14ac:dyDescent="0.3">
      <c r="A27" s="157"/>
      <c r="B27" s="151" t="s">
        <v>51</v>
      </c>
      <c r="C27" s="143"/>
      <c r="D27" s="163"/>
      <c r="E27" s="142"/>
      <c r="F27" s="142"/>
      <c r="G27" s="180"/>
      <c r="H27" s="156"/>
      <c r="I27" s="142"/>
      <c r="J27" s="142"/>
    </row>
    <row r="28" spans="1:10" ht="15.75" thickBot="1" x14ac:dyDescent="0.3">
      <c r="A28" s="157"/>
      <c r="B28" s="151" t="s">
        <v>28</v>
      </c>
      <c r="C28" s="143"/>
      <c r="D28" s="153"/>
      <c r="E28" s="142"/>
      <c r="F28" s="142"/>
      <c r="G28" s="180"/>
      <c r="H28" s="158"/>
      <c r="I28" s="142"/>
      <c r="J28" s="145"/>
    </row>
    <row r="29" spans="1:10" ht="15.75" thickBot="1" x14ac:dyDescent="0.3">
      <c r="A29" s="157"/>
      <c r="B29" s="151" t="s">
        <v>31</v>
      </c>
      <c r="C29" s="143"/>
      <c r="D29" s="144"/>
      <c r="E29" s="142"/>
      <c r="F29" s="142"/>
      <c r="G29" s="180"/>
      <c r="H29" s="159"/>
      <c r="I29" s="142"/>
      <c r="J29" s="145"/>
    </row>
    <row r="30" spans="1:10" ht="15.75" thickBot="1" x14ac:dyDescent="0.3">
      <c r="A30" s="157"/>
      <c r="B30" s="151" t="s">
        <v>54</v>
      </c>
      <c r="C30" s="148"/>
      <c r="D30" s="150"/>
      <c r="E30" s="142"/>
      <c r="F30" s="142"/>
      <c r="G30" s="180"/>
      <c r="H30" s="160"/>
      <c r="I30" s="142"/>
      <c r="J30" s="145"/>
    </row>
    <row r="31" spans="1:10" ht="15.75" thickBot="1" x14ac:dyDescent="0.3">
      <c r="A31" s="157"/>
      <c r="B31" s="151" t="s">
        <v>57</v>
      </c>
      <c r="C31" s="149"/>
      <c r="D31" s="154"/>
      <c r="E31" s="142"/>
      <c r="F31" s="142"/>
      <c r="G31" s="180"/>
      <c r="H31" s="161"/>
      <c r="I31" s="142"/>
      <c r="J31" s="145"/>
    </row>
    <row r="33" spans="1:2" x14ac:dyDescent="0.25">
      <c r="A33" s="110" t="s">
        <v>151</v>
      </c>
      <c r="B33" s="19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AHLE parameters</vt:lpstr>
      <vt:lpstr>AMR</vt:lpstr>
      <vt:lpstr>Expenditure - 5% expert</vt:lpstr>
      <vt:lpstr>RiskSerializationData8</vt:lpstr>
      <vt:lpstr>Expert opinion - Stoch</vt:lpstr>
      <vt:lpstr>Expenditure - our method</vt:lpstr>
      <vt:lpstr>Our method - Stoch</vt:lpstr>
      <vt:lpstr>Expert opinion</vt:lpstr>
      <vt:lpstr>Our median</vt:lpstr>
      <vt:lpstr>lower 95% CI</vt:lpstr>
      <vt:lpstr>upper 95% CI</vt:lpstr>
      <vt:lpstr>Worst case scenario</vt:lpstr>
      <vt:lpstr>Best case scenario</vt:lpstr>
      <vt:lpstr>RiskSerializationData8!BrowseRecords</vt:lpstr>
      <vt:lpstr>RiskSerializationData8!SerializationHeader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Thomann, Beat Stefan (VETSUISSE)</dc:creator>
  <cp:lastModifiedBy>Justin Replogle</cp:lastModifiedBy>
  <dcterms:created xsi:type="dcterms:W3CDTF">2024-09-20T15:01:27Z</dcterms:created>
  <dcterms:modified xsi:type="dcterms:W3CDTF">2025-03-10T17:25:49Z</dcterms:modified>
</cp:coreProperties>
</file>