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8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repl\Desktop\"/>
    </mc:Choice>
  </mc:AlternateContent>
  <xr:revisionPtr revIDLastSave="0" documentId="13_ncr:1_{3EF4F407-4231-4801-AC34-04C902AC4E98}" xr6:coauthVersionLast="47" xr6:coauthVersionMax="47" xr10:uidLastSave="{00000000-0000-0000-0000-000000000000}"/>
  <bookViews>
    <workbookView xWindow="-120" yWindow="-120" windowWidth="29040" windowHeight="17520" activeTab="4" xr2:uid="{4314BCB3-4369-4A2E-AADA-016213C36FDD}"/>
  </bookViews>
  <sheets>
    <sheet name="No of farms" sheetId="4" r:id="rId1"/>
    <sheet name="Deterministic" sheetId="2" state="hidden" r:id="rId2"/>
    <sheet name="Deterministic - myfarms" sheetId="5" r:id="rId3"/>
    <sheet name="Expenditure" sheetId="3" state="hidden" r:id="rId4"/>
    <sheet name="Expenditure - myfarms" sheetId="6" r:id="rId5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chart.v1.0" hidden="1">'Expenditure - myfarms'!$BF$73:$BF$76</definedName>
    <definedName name="_xlchart.v1.1" hidden="1">'Expenditure - myfarms'!$BG$73:$BG$76</definedName>
    <definedName name="_xlchart.v1.10" hidden="1">'Expenditure - myfarms'!$AA$47:$AA$49</definedName>
    <definedName name="_xlchart.v1.11" hidden="1">'Expenditure - myfarms'!$AB$47:$AB$49</definedName>
    <definedName name="_xlchart.v1.12" hidden="1">'Expenditure - myfarms'!$AV$47:$AV$49</definedName>
    <definedName name="_xlchart.v1.13" hidden="1">'Expenditure - myfarms'!$AW$47:$AW$49</definedName>
    <definedName name="_xlchart.v1.14" hidden="1">'Expenditure - myfarms'!$AK$46:$AK$49</definedName>
    <definedName name="_xlchart.v1.15" hidden="1">'Expenditure - myfarms'!$AL$46:$AL$49</definedName>
    <definedName name="_xlchart.v1.2" hidden="1">'Expenditure - myfarms'!$AA$74:$AA$75</definedName>
    <definedName name="_xlchart.v1.3" hidden="1">'Expenditure - myfarms'!$AB$74:$AB$75</definedName>
    <definedName name="_xlchart.v1.4" hidden="1">'Expenditure - myfarms'!$AK$46:$AK$49</definedName>
    <definedName name="_xlchart.v1.5" hidden="1">'Expenditure - myfarms'!$AL$46:$AL$49</definedName>
    <definedName name="_xlchart.v1.6" hidden="1">'Expenditure - myfarms'!$AV$74:$AV$75</definedName>
    <definedName name="_xlchart.v1.7" hidden="1">'Expenditure - myfarms'!$AW$74:$AW$75</definedName>
    <definedName name="_xlchart.v1.8" hidden="1">'Expenditure - myfarms'!$BF$46:$BF$49</definedName>
    <definedName name="_xlchart.v1.9" hidden="1">'Expenditure - myfarms'!$BG$46:$BG$49</definedName>
    <definedName name="Pal_Workbook_GUID" hidden="1">"BH7S222KCFMV5VB7DU9SCB4C"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6" l="1"/>
  <c r="I26" i="6"/>
  <c r="H26" i="6"/>
  <c r="I25" i="6"/>
  <c r="H25" i="6"/>
  <c r="I24" i="6"/>
  <c r="H24" i="6"/>
  <c r="BH108" i="6"/>
  <c r="BH107" i="6"/>
  <c r="BG108" i="6"/>
  <c r="BG107" i="6"/>
  <c r="BH109" i="6"/>
  <c r="BG109" i="6"/>
  <c r="AO107" i="6"/>
  <c r="AM46" i="6"/>
  <c r="AP109" i="6"/>
  <c r="AP108" i="6"/>
  <c r="AP107" i="6"/>
  <c r="AO109" i="6"/>
  <c r="AO108" i="6"/>
  <c r="AM109" i="6"/>
  <c r="AM108" i="6"/>
  <c r="AM107" i="6"/>
  <c r="AL109" i="6"/>
  <c r="AL108" i="6"/>
  <c r="AL107" i="6"/>
  <c r="AK109" i="6"/>
  <c r="AK108" i="6"/>
  <c r="AK107" i="6"/>
  <c r="E73" i="6"/>
  <c r="E71" i="6"/>
  <c r="AX75" i="6"/>
  <c r="AX74" i="6"/>
  <c r="AW74" i="6"/>
  <c r="AC75" i="6"/>
  <c r="AB74" i="6"/>
  <c r="AC47" i="6"/>
  <c r="BG47" i="6"/>
  <c r="AW48" i="6"/>
  <c r="AL47" i="6"/>
  <c r="E29" i="6"/>
  <c r="AB47" i="6"/>
  <c r="J4" i="6"/>
  <c r="E41" i="5"/>
  <c r="E44" i="5" s="1"/>
  <c r="D50" i="5" s="1"/>
  <c r="I22" i="2"/>
  <c r="I21" i="2"/>
  <c r="I23" i="2" s="1"/>
  <c r="F6" i="6"/>
  <c r="F5" i="6"/>
  <c r="F7" i="6" s="1"/>
  <c r="F4" i="6"/>
  <c r="G43" i="5"/>
  <c r="F43" i="5"/>
  <c r="E43" i="5"/>
  <c r="G42" i="5"/>
  <c r="G44" i="5" s="1"/>
  <c r="F50" i="5" s="1"/>
  <c r="F42" i="5"/>
  <c r="F44" i="5" s="1"/>
  <c r="E50" i="5" s="1"/>
  <c r="E42" i="5"/>
  <c r="G41" i="5"/>
  <c r="F41" i="5"/>
  <c r="G28" i="5"/>
  <c r="F28" i="5"/>
  <c r="E28" i="5"/>
  <c r="G27" i="5"/>
  <c r="F27" i="5"/>
  <c r="E27" i="5"/>
  <c r="G26" i="5"/>
  <c r="G29" i="5" s="1"/>
  <c r="F53" i="5" s="1"/>
  <c r="F56" i="5" s="1"/>
  <c r="F26" i="5"/>
  <c r="F29" i="5"/>
  <c r="E53" i="5" s="1"/>
  <c r="E26" i="5"/>
  <c r="E29" i="5" s="1"/>
  <c r="D53" i="5" s="1"/>
  <c r="G24" i="5"/>
  <c r="F24" i="5"/>
  <c r="E24" i="5"/>
  <c r="G23" i="5"/>
  <c r="F23" i="5"/>
  <c r="E23" i="5"/>
  <c r="G22" i="5"/>
  <c r="G25" i="5" s="1"/>
  <c r="F52" i="5" s="1"/>
  <c r="F55" i="5" s="1"/>
  <c r="F22" i="5"/>
  <c r="F25" i="5" s="1"/>
  <c r="E52" i="5" s="1"/>
  <c r="E55" i="5" s="1"/>
  <c r="E22" i="5"/>
  <c r="E25" i="5"/>
  <c r="D52" i="5" s="1"/>
  <c r="D55" i="5" s="1"/>
  <c r="G20" i="5"/>
  <c r="F20" i="5"/>
  <c r="E20" i="5"/>
  <c r="G19" i="5"/>
  <c r="F19" i="5"/>
  <c r="F21" i="5" s="1"/>
  <c r="E51" i="5" s="1"/>
  <c r="E54" i="5" s="1"/>
  <c r="E19" i="5"/>
  <c r="E21" i="5" s="1"/>
  <c r="D51" i="5" s="1"/>
  <c r="G18" i="5"/>
  <c r="F18" i="5"/>
  <c r="E18" i="5"/>
  <c r="B9" i="4"/>
  <c r="F43" i="2"/>
  <c r="G43" i="2"/>
  <c r="E43" i="2"/>
  <c r="F42" i="2"/>
  <c r="G42" i="2"/>
  <c r="E42" i="2"/>
  <c r="F41" i="2"/>
  <c r="F44" i="2" s="1"/>
  <c r="G41" i="2"/>
  <c r="G44" i="2" s="1"/>
  <c r="E41" i="2"/>
  <c r="E44" i="2"/>
  <c r="F5" i="3"/>
  <c r="F6" i="3"/>
  <c r="F4" i="3"/>
  <c r="F7" i="3" s="1"/>
  <c r="E20" i="2"/>
  <c r="F20" i="2"/>
  <c r="G20" i="2"/>
  <c r="G21" i="2" s="1"/>
  <c r="F51" i="2" s="1"/>
  <c r="F54" i="2" s="1"/>
  <c r="E22" i="2"/>
  <c r="F22" i="2"/>
  <c r="G22" i="2"/>
  <c r="G25" i="2" s="1"/>
  <c r="F52" i="2" s="1"/>
  <c r="F55" i="2" s="1"/>
  <c r="E23" i="2"/>
  <c r="F23" i="2"/>
  <c r="F25" i="2" s="1"/>
  <c r="E52" i="2" s="1"/>
  <c r="E55" i="2" s="1"/>
  <c r="G23" i="2"/>
  <c r="E24" i="2"/>
  <c r="F24" i="2"/>
  <c r="G24" i="2"/>
  <c r="E26" i="2"/>
  <c r="E29" i="2" s="1"/>
  <c r="D53" i="2" s="1"/>
  <c r="D56" i="2" s="1"/>
  <c r="F26" i="2"/>
  <c r="F29" i="2" s="1"/>
  <c r="E53" i="2" s="1"/>
  <c r="E56" i="2" s="1"/>
  <c r="G26" i="2"/>
  <c r="E27" i="2"/>
  <c r="F27" i="2"/>
  <c r="G27" i="2"/>
  <c r="G29" i="2" s="1"/>
  <c r="F53" i="2" s="1"/>
  <c r="F56" i="2" s="1"/>
  <c r="E28" i="2"/>
  <c r="F28" i="2"/>
  <c r="G28" i="2"/>
  <c r="G19" i="2"/>
  <c r="F19" i="2"/>
  <c r="G18" i="2"/>
  <c r="F18" i="2"/>
  <c r="F21" i="2"/>
  <c r="E51" i="2" s="1"/>
  <c r="E54" i="2" s="1"/>
  <c r="E19" i="2"/>
  <c r="E18" i="2"/>
  <c r="E21" i="2" s="1"/>
  <c r="D51" i="2" s="1"/>
  <c r="D54" i="2" s="1"/>
  <c r="E25" i="2"/>
  <c r="D52" i="2" s="1"/>
  <c r="D55" i="2" s="1"/>
  <c r="G21" i="5"/>
  <c r="F51" i="5"/>
  <c r="F54" i="5" s="1"/>
  <c r="AC74" i="6" l="1"/>
  <c r="C15" i="3"/>
  <c r="D15" i="3"/>
  <c r="C48" i="6"/>
  <c r="D54" i="5"/>
  <c r="D27" i="6"/>
  <c r="D56" i="5"/>
  <c r="E27" i="6"/>
  <c r="E56" i="5"/>
  <c r="BG49" i="6"/>
  <c r="C15" i="6"/>
  <c r="L7" i="6"/>
  <c r="AL48" i="6" s="1"/>
  <c r="D15" i="6"/>
  <c r="L8" i="6"/>
  <c r="AL49" i="6" s="1"/>
  <c r="AM49" i="6" s="1"/>
  <c r="C49" i="6"/>
  <c r="AL46" i="6"/>
  <c r="BH47" i="6" s="1"/>
  <c r="AB49" i="6"/>
  <c r="C50" i="6" l="1"/>
  <c r="D48" i="6"/>
  <c r="D28" i="6"/>
  <c r="L48" i="6" s="1"/>
  <c r="AC49" i="6"/>
  <c r="AC48" i="6"/>
  <c r="E28" i="6"/>
  <c r="M48" i="6" s="1"/>
  <c r="AW47" i="6"/>
  <c r="BG46" i="6"/>
  <c r="BH46" i="6" s="1"/>
  <c r="AM47" i="6"/>
  <c r="BH49" i="6"/>
  <c r="D49" i="6"/>
  <c r="AM48" i="6"/>
  <c r="M49" i="6" l="1"/>
  <c r="L49" i="6"/>
  <c r="AW49" i="6"/>
  <c r="AX49" i="6" s="1"/>
  <c r="BG48" i="6"/>
  <c r="BH48" i="6" s="1"/>
  <c r="AX48" i="6" l="1"/>
  <c r="AX47" i="6"/>
</calcChain>
</file>

<file path=xl/sharedStrings.xml><?xml version="1.0" encoding="utf-8"?>
<sst xmlns="http://schemas.openxmlformats.org/spreadsheetml/2006/main" count="301" uniqueCount="68">
  <si>
    <t>MEDIAN</t>
  </si>
  <si>
    <t>5%ile</t>
  </si>
  <si>
    <t>95%ile</t>
  </si>
  <si>
    <t>Breed</t>
  </si>
  <si>
    <t>Nurse</t>
  </si>
  <si>
    <t>Fat</t>
  </si>
  <si>
    <t>No farms</t>
  </si>
  <si>
    <t>Total</t>
  </si>
  <si>
    <t>Average</t>
  </si>
  <si>
    <t>Best</t>
  </si>
  <si>
    <t>Worst</t>
  </si>
  <si>
    <t>AHLE</t>
  </si>
  <si>
    <t>Burden AMR</t>
  </si>
  <si>
    <t>Average SEGES</t>
  </si>
  <si>
    <t>SEGES average</t>
  </si>
  <si>
    <t xml:space="preserve">As per file </t>
  </si>
  <si>
    <t>DK Scenarios AMR 05Nov_update4</t>
  </si>
  <si>
    <t xml:space="preserve">Burden of AMR @farm level accoding to farm type </t>
  </si>
  <si>
    <t xml:space="preserve">Burden of AMR @pop level accoding to farm type </t>
  </si>
  <si>
    <t>Worse</t>
  </si>
  <si>
    <t>Farm type</t>
  </si>
  <si>
    <t>Scenario</t>
  </si>
  <si>
    <t xml:space="preserve">Burden of AMR </t>
  </si>
  <si>
    <t>Burden of AMR</t>
  </si>
  <si>
    <t>AHLE @farm level per farm type</t>
  </si>
  <si>
    <t>AHLE @pop level per farm type</t>
  </si>
  <si>
    <t>Summary of findings and the burden of AMR in the context of the AHLE</t>
  </si>
  <si>
    <t>Item</t>
  </si>
  <si>
    <t>Results</t>
  </si>
  <si>
    <t>% Burden of AMR within the AHLE</t>
  </si>
  <si>
    <t>Expenditure @pop level</t>
  </si>
  <si>
    <t>Ependiture @farm level</t>
  </si>
  <si>
    <t>Health expenditure in the AHLE</t>
  </si>
  <si>
    <t>Health expenditure due to AMR</t>
  </si>
  <si>
    <t>AMU</t>
  </si>
  <si>
    <t>% of total health expenditure in AHLE</t>
  </si>
  <si>
    <t>Parameter</t>
  </si>
  <si>
    <t>Feed corrections</t>
  </si>
  <si>
    <t>https://www.landbrugsinfo.dk/-/media/landbrugsinfo/public/5/e/2/notat_2315_average_productivity_danish_pig_farms_2022.pdf</t>
  </si>
  <si>
    <t>average of  sows per farm</t>
  </si>
  <si>
    <t>average of  weaned piglets per sow per year</t>
  </si>
  <si>
    <t xml:space="preserve"> farms with sows producing piglets </t>
  </si>
  <si>
    <t xml:space="preserve"> farms for weaned pigs</t>
  </si>
  <si>
    <t>average pigs produced per year</t>
  </si>
  <si>
    <t>farm for finishers</t>
  </si>
  <si>
    <t>total farms</t>
  </si>
  <si>
    <t xml:space="preserve">Health expenditure due to AMR diahorrea </t>
  </si>
  <si>
    <t>Unattributed</t>
  </si>
  <si>
    <t>Production losses AMR</t>
  </si>
  <si>
    <t>Expendutire AMR</t>
  </si>
  <si>
    <t>Production losses</t>
  </si>
  <si>
    <t>Production  losses</t>
  </si>
  <si>
    <t>Expenditure</t>
  </si>
  <si>
    <t>Health expenditure</t>
  </si>
  <si>
    <t>AHLE pig sector 2022  (average SEGES vs Utopia)</t>
  </si>
  <si>
    <t>Burden attributable to AMR diahorrea (Average)</t>
  </si>
  <si>
    <t>Burden attributable to AMR diahorrea (Worse)</t>
  </si>
  <si>
    <t>Unattributed production losses</t>
  </si>
  <si>
    <t>Unnattributed expenditure</t>
  </si>
  <si>
    <t>Expenditure AMR</t>
  </si>
  <si>
    <t>AMR</t>
  </si>
  <si>
    <t>No of cases</t>
  </si>
  <si>
    <t>Baseline</t>
  </si>
  <si>
    <t>Expenditure per case</t>
  </si>
  <si>
    <t>Due to AMR</t>
  </si>
  <si>
    <t>Unnattributed</t>
  </si>
  <si>
    <t>AHLE unattributed</t>
  </si>
  <si>
    <t>AHLE attributed to AMR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</si>
</sst>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DKK]\ * #,##0.00_-;\-[$DKK]\ * #,##0.00_-;_-[$DKK]\ * &quot;-&quot;??_-;_-@_-"/>
    <numFmt numFmtId="165" formatCode="0_ ;\-0\ "/>
    <numFmt numFmtId="166" formatCode="0.0%"/>
    <numFmt numFmtId="167" formatCode="_-[$DKK]\ * #,##0.0_-;\-[$DKK]\ * #,##0.0_-;_-[$DKK]\ * &quot;-&quot;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164" fontId="0" fillId="0" borderId="0" xfId="0" applyNumberFormat="1"/>
    <xf numFmtId="166" fontId="0" fillId="0" borderId="0" xfId="1" applyNumberFormat="1" applyFont="1"/>
    <xf numFmtId="3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164" fontId="0" fillId="0" borderId="10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3" xfId="0" applyNumberFormat="1" applyBorder="1"/>
    <xf numFmtId="0" fontId="0" fillId="0" borderId="9" xfId="0" applyBorder="1"/>
    <xf numFmtId="165" fontId="0" fillId="0" borderId="13" xfId="0" applyNumberFormat="1" applyBorder="1"/>
    <xf numFmtId="3" fontId="2" fillId="0" borderId="3" xfId="0" quotePrefix="1" applyNumberFormat="1" applyFont="1" applyBorder="1"/>
    <xf numFmtId="3" fontId="2" fillId="0" borderId="4" xfId="0" quotePrefix="1" applyNumberFormat="1" applyFont="1" applyBorder="1"/>
    <xf numFmtId="3" fontId="2" fillId="0" borderId="5" xfId="0" quotePrefix="1" applyNumberFormat="1" applyFont="1" applyBorder="1"/>
    <xf numFmtId="164" fontId="0" fillId="0" borderId="12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5" fontId="0" fillId="0" borderId="14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6" xfId="0" applyNumberFormat="1" applyBorder="1"/>
    <xf numFmtId="165" fontId="0" fillId="0" borderId="3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3" fontId="2" fillId="0" borderId="0" xfId="0" quotePrefix="1" applyNumberFormat="1" applyFont="1"/>
    <xf numFmtId="3" fontId="2" fillId="0" borderId="0" xfId="0" applyNumberFormat="1" applyFont="1"/>
    <xf numFmtId="165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4" borderId="17" xfId="0" applyFill="1" applyBorder="1"/>
    <xf numFmtId="0" fontId="0" fillId="4" borderId="18" xfId="0" applyFill="1" applyBorder="1"/>
    <xf numFmtId="0" fontId="4" fillId="2" borderId="16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4" fillId="3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3" fontId="2" fillId="0" borderId="16" xfId="0" quotePrefix="1" applyNumberFormat="1" applyFont="1" applyBorder="1"/>
    <xf numFmtId="3" fontId="2" fillId="0" borderId="17" xfId="0" quotePrefix="1" applyNumberFormat="1" applyFont="1" applyBorder="1"/>
    <xf numFmtId="3" fontId="2" fillId="0" borderId="18" xfId="0" quotePrefix="1" applyNumberFormat="1" applyFont="1" applyBorder="1"/>
    <xf numFmtId="0" fontId="3" fillId="5" borderId="16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4" fillId="4" borderId="16" xfId="0" applyFont="1" applyFill="1" applyBorder="1"/>
    <xf numFmtId="166" fontId="0" fillId="0" borderId="0" xfId="1" applyNumberFormat="1" applyFont="1" applyBorder="1"/>
    <xf numFmtId="166" fontId="0" fillId="0" borderId="7" xfId="1" applyNumberFormat="1" applyFont="1" applyBorder="1"/>
    <xf numFmtId="166" fontId="0" fillId="0" borderId="9" xfId="1" applyNumberFormat="1" applyFont="1" applyBorder="1"/>
    <xf numFmtId="166" fontId="0" fillId="0" borderId="10" xfId="1" applyNumberFormat="1" applyFont="1" applyBorder="1"/>
    <xf numFmtId="0" fontId="4" fillId="6" borderId="16" xfId="0" applyFont="1" applyFill="1" applyBorder="1"/>
    <xf numFmtId="0" fontId="4" fillId="6" borderId="17" xfId="0" applyFont="1" applyFill="1" applyBorder="1"/>
    <xf numFmtId="0" fontId="4" fillId="6" borderId="18" xfId="0" applyFont="1" applyFill="1" applyBorder="1"/>
    <xf numFmtId="164" fontId="0" fillId="0" borderId="17" xfId="0" applyNumberFormat="1" applyBorder="1"/>
    <xf numFmtId="164" fontId="0" fillId="0" borderId="18" xfId="0" applyNumberFormat="1" applyBorder="1"/>
    <xf numFmtId="166" fontId="0" fillId="0" borderId="4" xfId="1" applyNumberFormat="1" applyFont="1" applyBorder="1"/>
    <xf numFmtId="166" fontId="0" fillId="0" borderId="5" xfId="1" applyNumberFormat="1" applyFont="1" applyBorder="1"/>
    <xf numFmtId="0" fontId="0" fillId="0" borderId="5" xfId="0" applyBorder="1"/>
    <xf numFmtId="0" fontId="0" fillId="0" borderId="16" xfId="0" applyBorder="1"/>
    <xf numFmtId="164" fontId="0" fillId="0" borderId="14" xfId="0" applyNumberFormat="1" applyBorder="1"/>
    <xf numFmtId="164" fontId="0" fillId="0" borderId="13" xfId="0" applyNumberFormat="1" applyBorder="1"/>
    <xf numFmtId="3" fontId="4" fillId="7" borderId="17" xfId="0" applyNumberFormat="1" applyFont="1" applyFill="1" applyBorder="1"/>
    <xf numFmtId="0" fontId="4" fillId="7" borderId="17" xfId="0" applyFont="1" applyFill="1" applyBorder="1"/>
    <xf numFmtId="0" fontId="4" fillId="7" borderId="18" xfId="0" applyFont="1" applyFill="1" applyBorder="1"/>
    <xf numFmtId="0" fontId="3" fillId="7" borderId="16" xfId="0" applyFont="1" applyFill="1" applyBorder="1"/>
    <xf numFmtId="164" fontId="0" fillId="0" borderId="2" xfId="0" applyNumberFormat="1" applyBorder="1"/>
    <xf numFmtId="0" fontId="0" fillId="8" borderId="4" xfId="0" applyFill="1" applyBorder="1"/>
    <xf numFmtId="0" fontId="0" fillId="8" borderId="5" xfId="0" applyFill="1" applyBorder="1"/>
    <xf numFmtId="0" fontId="4" fillId="8" borderId="3" xfId="0" applyFont="1" applyFill="1" applyBorder="1"/>
    <xf numFmtId="166" fontId="0" fillId="0" borderId="2" xfId="1" applyNumberFormat="1" applyFont="1" applyBorder="1"/>
    <xf numFmtId="9" fontId="0" fillId="0" borderId="18" xfId="1" applyFont="1" applyBorder="1"/>
    <xf numFmtId="0" fontId="0" fillId="9" borderId="6" xfId="0" applyFill="1" applyBorder="1"/>
    <xf numFmtId="0" fontId="0" fillId="9" borderId="14" xfId="0" applyFill="1" applyBorder="1"/>
    <xf numFmtId="164" fontId="0" fillId="9" borderId="6" xfId="0" applyNumberFormat="1" applyFill="1" applyBorder="1"/>
    <xf numFmtId="164" fontId="0" fillId="9" borderId="0" xfId="0" applyNumberFormat="1" applyFill="1"/>
    <xf numFmtId="164" fontId="0" fillId="9" borderId="7" xfId="0" applyNumberFormat="1" applyFill="1" applyBorder="1"/>
    <xf numFmtId="0" fontId="0" fillId="9" borderId="0" xfId="0" applyFill="1"/>
    <xf numFmtId="165" fontId="0" fillId="9" borderId="6" xfId="0" applyNumberFormat="1" applyFill="1" applyBorder="1"/>
    <xf numFmtId="166" fontId="0" fillId="9" borderId="0" xfId="1" applyNumberFormat="1" applyFont="1" applyFill="1" applyBorder="1"/>
    <xf numFmtId="166" fontId="0" fillId="9" borderId="7" xfId="1" applyNumberFormat="1" applyFont="1" applyFill="1" applyBorder="1"/>
    <xf numFmtId="0" fontId="0" fillId="0" borderId="2" xfId="1" applyNumberFormat="1" applyFont="1" applyBorder="1"/>
    <xf numFmtId="0" fontId="0" fillId="0" borderId="18" xfId="0" applyBorder="1"/>
    <xf numFmtId="167" fontId="0" fillId="0" borderId="0" xfId="0" applyNumberFormat="1"/>
    <xf numFmtId="167" fontId="0" fillId="0" borderId="9" xfId="0" applyNumberFormat="1" applyBorder="1"/>
    <xf numFmtId="167" fontId="0" fillId="0" borderId="4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167" fontId="0" fillId="0" borderId="13" xfId="0" applyNumberFormat="1" applyBorder="1"/>
    <xf numFmtId="167" fontId="0" fillId="0" borderId="15" xfId="0" applyNumberFormat="1" applyBorder="1"/>
    <xf numFmtId="10" fontId="0" fillId="0" borderId="0" xfId="1" applyNumberFormat="1" applyFont="1"/>
    <xf numFmtId="0" fontId="0" fillId="0" borderId="10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" fontId="2" fillId="0" borderId="16" xfId="0" quotePrefix="1" applyNumberFormat="1" applyFont="1" applyBorder="1" applyAlignment="1">
      <alignment horizontal="center"/>
    </xf>
    <xf numFmtId="3" fontId="2" fillId="0" borderId="17" xfId="0" quotePrefix="1" applyNumberFormat="1" applyFont="1" applyBorder="1" applyAlignment="1">
      <alignment horizontal="center"/>
    </xf>
    <xf numFmtId="3" fontId="2" fillId="0" borderId="18" xfId="0" quotePrefix="1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AHLE pig sector 2022  (average SEGES vs Utopia)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BE-4157-B453-EFEF485E9A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BBE-4157-B453-EFEF485E9A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'Expenditure - myfarms'!$B$48:$B$49</c:f>
              <c:strCache>
                <c:ptCount val="2"/>
                <c:pt idx="0">
                  <c:v>Production losses</c:v>
                </c:pt>
                <c:pt idx="1">
                  <c:v>Health expenditure</c:v>
                </c:pt>
              </c:strCache>
            </c:strRef>
          </c:cat>
          <c:val>
            <c:numRef>
              <c:f>'Expenditure - myfarms'!$D$48:$D$49</c:f>
              <c:numCache>
                <c:formatCode>0.0%</c:formatCode>
                <c:ptCount val="2"/>
                <c:pt idx="0">
                  <c:v>0.88096867859766781</c:v>
                </c:pt>
                <c:pt idx="1">
                  <c:v>0.11903132140233223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E-4157-B453-EFEF485E9A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Burden attributable to AMR diarrhoea</a:t>
            </a:r>
            <a:r>
              <a:rPr lang="en-GB" baseline="0"/>
              <a:t> (baseline)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15-4C79-8FC4-8716243E19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15-4C79-8FC4-8716243E19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'Expenditure - myfarms'!$K$48:$K$49</c:f>
              <c:strCache>
                <c:ptCount val="2"/>
                <c:pt idx="0">
                  <c:v>Expenditure</c:v>
                </c:pt>
                <c:pt idx="1">
                  <c:v>Production losses</c:v>
                </c:pt>
              </c:strCache>
            </c:strRef>
          </c:cat>
          <c:val>
            <c:numRef>
              <c:f>'Expenditure - myfarms'!$L$48:$L$49</c:f>
              <c:numCache>
                <c:formatCode>0.0%</c:formatCode>
                <c:ptCount val="2"/>
                <c:pt idx="0">
                  <c:v>0.5009994748367268</c:v>
                </c:pt>
                <c:pt idx="1">
                  <c:v>0.49900052516327326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A-49FA-8CA7-F9F20B57C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Burden attributable to AMR diahorrea (Worse)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70-4E76-ADD9-6C948EBB60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70-4E76-ADD9-6C948EBB60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70-4E76-ADD9-6C948EBB60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'Expenditure - myfarms'!$K$48:$K$50</c:f>
              <c:strCache>
                <c:ptCount val="2"/>
                <c:pt idx="0">
                  <c:v>Expenditure</c:v>
                </c:pt>
                <c:pt idx="1">
                  <c:v>Production losses</c:v>
                </c:pt>
              </c:strCache>
            </c:strRef>
          </c:cat>
          <c:val>
            <c:numRef>
              <c:f>'Expenditure - myfarms'!$M$48:$M$50</c:f>
              <c:numCache>
                <c:formatCode>0.0%</c:formatCode>
                <c:ptCount val="3"/>
                <c:pt idx="0">
                  <c:v>0.50440963480768208</c:v>
                </c:pt>
                <c:pt idx="1">
                  <c:v>0.49559036519231797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70-4E76-ADD9-6C948EBB60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Attribution to AMR per AHLE component (Baseline)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'Expenditure - myfarms'!$AN$107</c:f>
              <c:strCache>
                <c:ptCount val="1"/>
                <c:pt idx="0">
                  <c:v>AHLE attributed to AMR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'Expenditure - myfarms'!$AO$106:$AP$106</c:f>
              <c:strCache>
                <c:ptCount val="2"/>
                <c:pt idx="0">
                  <c:v>Expenditure</c:v>
                </c:pt>
                <c:pt idx="1">
                  <c:v>Production losses</c:v>
                </c:pt>
              </c:strCache>
            </c:strRef>
          </c:cat>
          <c:val>
            <c:numRef>
              <c:f>'Expenditure - myfarms'!$AO$107:$AP$107</c:f>
              <c:numCache>
                <c:formatCode>0.0%</c:formatCode>
                <c:ptCount val="2"/>
                <c:pt idx="0">
                  <c:v>4.8034470469502252E-2</c:v>
                </c:pt>
                <c:pt idx="1">
                  <c:v>6.4642408040134214E-3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8-41B8-9D05-64C1B4FA109C}"/>
            </c:ext>
          </c:extLst>
        </c:ser>
        <c:ser>
          <c:idx val="1"/>
          <c:order val="1"/>
          <c:tx>
            <c:strRef>
              <c:f>'Expenditure - myfarms'!$AN$108</c:f>
              <c:strCache>
                <c:ptCount val="1"/>
                <c:pt idx="0">
                  <c:v>AHLE unattributed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'Expenditure - myfarms'!$AO$106:$AP$106</c:f>
              <c:strCache>
                <c:ptCount val="2"/>
                <c:pt idx="0">
                  <c:v>Expenditure</c:v>
                </c:pt>
                <c:pt idx="1">
                  <c:v>Production losses</c:v>
                </c:pt>
              </c:strCache>
            </c:strRef>
          </c:cat>
          <c:val>
            <c:numRef>
              <c:f>'Expenditure - myfarms'!$AO$108:$AP$108</c:f>
              <c:numCache>
                <c:formatCode>0.0%</c:formatCode>
                <c:ptCount val="2"/>
                <c:pt idx="0">
                  <c:v>0.95196552953049773</c:v>
                </c:pt>
                <c:pt idx="1">
                  <c:v>0.99353575919598658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8-41B8-9D05-64C1B4FA1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614832"/>
        <c:axId val="524613872"/>
      </c:barChart>
      <c:catAx>
        <c:axId val="5246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13872"/>
        <c:crosses val="autoZero"/>
        <c:auto val="1"/>
        <c:lblAlgn val="ctr"/>
        <c:lblOffset val="100"/>
        <c:noMultiLvlLbl val="0"/>
      </c:catAx>
      <c:valAx>
        <c:axId val="524613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Attribution to AMR per AHLE component (Worst)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'Expenditure - myfarms'!$BF$107</c:f>
              <c:strCache>
                <c:ptCount val="1"/>
                <c:pt idx="0">
                  <c:v>AHLE attributed to AMR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'Expenditure - myfarms'!$BG$106:$BH$106</c:f>
              <c:strCache>
                <c:ptCount val="2"/>
                <c:pt idx="0">
                  <c:v>Expenditure</c:v>
                </c:pt>
                <c:pt idx="1">
                  <c:v>Production losses</c:v>
                </c:pt>
              </c:strCache>
            </c:strRef>
          </c:cat>
          <c:val>
            <c:numRef>
              <c:f>'Expenditure - myfarms'!$BG$107:$BH$107</c:f>
              <c:numCache>
                <c:formatCode>0.0%</c:formatCode>
                <c:ptCount val="2"/>
                <c:pt idx="0">
                  <c:v>0.77299687684423379</c:v>
                </c:pt>
                <c:pt idx="1">
                  <c:v>0.10261669122966277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4-416D-B9D3-59CEC9443B86}"/>
            </c:ext>
          </c:extLst>
        </c:ser>
        <c:ser>
          <c:idx val="1"/>
          <c:order val="1"/>
          <c:tx>
            <c:strRef>
              <c:f>'Expenditure - myfarms'!$BF$108</c:f>
              <c:strCache>
                <c:ptCount val="1"/>
                <c:pt idx="0">
                  <c:v>AHLE unattributed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'Expenditure - myfarms'!$BG$106:$BH$106</c:f>
              <c:strCache>
                <c:ptCount val="2"/>
                <c:pt idx="0">
                  <c:v>Expenditure</c:v>
                </c:pt>
                <c:pt idx="1">
                  <c:v>Production losses</c:v>
                </c:pt>
              </c:strCache>
            </c:strRef>
          </c:cat>
          <c:val>
            <c:numRef>
              <c:f>'Expenditure - myfarms'!$BG$108:$BH$108</c:f>
              <c:numCache>
                <c:formatCode>0.0%</c:formatCode>
                <c:ptCount val="2"/>
                <c:pt idx="0">
                  <c:v>0.22700312315576626</c:v>
                </c:pt>
                <c:pt idx="1">
                  <c:v>0.89738330877033723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4-416D-B9D3-59CEC9443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7742912"/>
        <c:axId val="627753952"/>
      </c:barChart>
      <c:catAx>
        <c:axId val="6277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53952"/>
        <c:crosses val="autoZero"/>
        <c:auto val="1"/>
        <c:lblAlgn val="ctr"/>
        <c:lblOffset val="100"/>
        <c:noMultiLvlLbl val="0"/>
      </c:catAx>
      <c:valAx>
        <c:axId val="627753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'Expenditure - myfarms'!$G$24</c:f>
              <c:strCache>
                <c:ptCount val="1"/>
                <c:pt idx="0">
                  <c:v>Expenditure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'Expenditure - myfarms'!$H$23:$I$23</c:f>
              <c:strCache>
                <c:ptCount val="2"/>
                <c:pt idx="0">
                  <c:v>Baseline</c:v>
                </c:pt>
                <c:pt idx="1">
                  <c:v>Worse</c:v>
                </c:pt>
              </c:strCache>
            </c:strRef>
          </c:cat>
          <c:val>
            <c:numRef>
              <c:f>'Expenditure - myfarms'!$H$24:$I$24</c:f>
              <c:numCache>
                <c:formatCode>_-[$DKK]\ * #,##0.00_-;\-[$DKK]\ * #,##0.00_-;_-[$DKK]\ * "-"??_-;_-@_-</c:formatCode>
                <c:ptCount val="2"/>
                <c:pt idx="0">
                  <c:v>27072880.409666739</c:v>
                </c:pt>
                <c:pt idx="1">
                  <c:v>435671545.85657042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C-4435-8300-03F433E07463}"/>
            </c:ext>
          </c:extLst>
        </c:ser>
        <c:ser>
          <c:idx val="1"/>
          <c:order val="1"/>
          <c:tx>
            <c:strRef>
              <c:f>'Expenditure - myfarms'!$G$25</c:f>
              <c:strCache>
                <c:ptCount val="1"/>
                <c:pt idx="0">
                  <c:v>Production losses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'Expenditure - myfarms'!$H$23:$I$23</c:f>
              <c:strCache>
                <c:ptCount val="2"/>
                <c:pt idx="0">
                  <c:v>Baseline</c:v>
                </c:pt>
                <c:pt idx="1">
                  <c:v>Worse</c:v>
                </c:pt>
              </c:strCache>
            </c:strRef>
          </c:cat>
          <c:val>
            <c:numRef>
              <c:f>'Expenditure - myfarms'!$H$25:$I$25</c:f>
              <c:numCache>
                <c:formatCode>_-[$DKK]\ * #,##0.00_-;\-[$DKK]\ * #,##0.00_-;_-[$DKK]\ * "-"??_-;_-@_-</c:formatCode>
                <c:ptCount val="2"/>
                <c:pt idx="0">
                  <c:v>26964861.682756923</c:v>
                </c:pt>
                <c:pt idx="1">
                  <c:v>428054116.36770564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C-4435-8300-03F433E074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10789216"/>
        <c:axId val="1210778176"/>
      </c:barChart>
      <c:catAx>
        <c:axId val="12107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78176"/>
        <c:crosses val="autoZero"/>
        <c:auto val="1"/>
        <c:lblAlgn val="ctr"/>
        <c:lblOffset val="100"/>
        <c:noMultiLvlLbl val="0"/>
      </c:catAx>
      <c:valAx>
        <c:axId val="12107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DKK]\ * #,##0_-;\-[$DKK]\ * #,##0_-;_-[$DKK]\ * &quot;-&quot;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89216"/>
        <c:crosses val="autoZero"/>
        <c:crossBetween val="between"/>
        <c:majorUnit val="20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_xlchart.v1.11</cx:f>
      </cx:numDim>
    </cx:data>
  </cx:chartData>
  <cx:chart>
    <cx:title pos="t" align="ctr" overlay="0">
      <cx:tx>
        <cx:txData>
          <cx:v>AHLE 2022  (AMR average)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AHLE 2022  (AMR average)</a:t>
          </a:r>
        </a:p>
      </cx:txPr>
    </cx:title>
    <cx:plotArea>
      <cx:plotAreaRegion>
        <cx:series layoutId="treemap" uniqueId="{C46B147F-A9DA-4CEE-984B-38568189283E}">
          <cx:dataId val="0"/>
          <cx:layoutPr/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_xlchart.v1.15</cx:f>
      </cx:numDim>
    </cx:data>
  </cx:chartData>
  <cx:chart>
    <cx:title pos="t" align="ctr" overlay="0">
      <cx:tx>
        <cx:txData>
          <cx:v>AHLE 2022 (AMR average)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AHLE 2022 (AMR average)</a:t>
          </a:r>
        </a:p>
      </cx:txPr>
    </cx:title>
    <cx:plotArea>
      <cx:plotAreaRegion>
        <cx:series layoutId="treemap" uniqueId="{B5639E90-A75A-4B4D-BFEC-AF6D6032F1ED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/>
    <cx:plotArea>
      <cx:plotAreaRegion>
        <cx:series layoutId="treemap" uniqueId="{682398DA-10DF-46B6-92A1-5EAAD9E6EB1E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_xlchart.v1.9</cx:f>
      </cx:numDim>
    </cx:data>
  </cx:chartData>
  <cx:chart>
    <cx:title pos="t" align="ctr" overlay="0"/>
    <cx:plotArea>
      <cx:plotAreaRegion>
        <cx:series layoutId="treemap" uniqueId="{204D6A79-6DDE-48C1-A9DB-2B879B1D8445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AHLE 2022  (AMR average)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AHLE 2022  (AMR average)</a:t>
          </a:r>
        </a:p>
      </cx:txPr>
    </cx:title>
    <cx:plotArea>
      <cx:plotAreaRegion>
        <cx:series layoutId="treemap" uniqueId="{C46B147F-A9DA-4CEE-984B-38568189283E}">
          <cx:dataId val="0"/>
          <cx:layoutPr/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AHLE 2022 (Baseline)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AHLE 2022 (Baseline)</a:t>
          </a:r>
        </a:p>
      </cx:txPr>
    </cx:title>
    <cx:plotArea>
      <cx:plotAreaRegion>
        <cx:series layoutId="treemap" uniqueId="{B5639E90-A75A-4B4D-BFEC-AF6D6032F1ED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AHLE 2022 (Worse)</a:t>
            </a:r>
            <a:endParaRPr lang="en-GB" sz="1400">
              <a:effectLst/>
            </a:endParaRPr>
          </a:p>
        </cx:rich>
      </cx:tx>
    </cx:title>
    <cx:plotArea>
      <cx:plotAreaRegion>
        <cx:series layoutId="treemap" uniqueId="{682398DA-10DF-46B6-92A1-5EAAD9E6EB1E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AHLE 2022 (Worse)</a:t>
            </a:r>
            <a:endParaRPr lang="en-GB" sz="1400">
              <a:effectLst/>
            </a:endParaRPr>
          </a:p>
        </cx:rich>
      </cx:tx>
    </cx:title>
    <cx:plotArea>
      <cx:plotAreaRegion>
        <cx:series layoutId="treemap" uniqueId="{204D6A79-6DDE-48C1-A9DB-2B879B1D8445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5.xml"/><Relationship Id="rId13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microsoft.com/office/2014/relationships/chartEx" Target="../charts/chartEx4.xml"/><Relationship Id="rId12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11" Type="http://schemas.microsoft.com/office/2014/relationships/chartEx" Target="../charts/chartEx8.xml"/><Relationship Id="rId5" Type="http://schemas.microsoft.com/office/2014/relationships/chartEx" Target="../charts/chartEx2.xml"/><Relationship Id="rId10" Type="http://schemas.microsoft.com/office/2014/relationships/chartEx" Target="../charts/chartEx7.xml"/><Relationship Id="rId4" Type="http://schemas.microsoft.com/office/2014/relationships/chartEx" Target="../charts/chartEx1.xml"/><Relationship Id="rId9" Type="http://schemas.microsoft.com/office/2014/relationships/chartEx" Target="../charts/chartEx6.xml"/><Relationship Id="rId1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432593</xdr:colOff>
      <xdr:row>50</xdr:row>
      <xdr:rowOff>21430</xdr:rowOff>
    </xdr:from>
    <xdr:to>
      <xdr:col>4</xdr:col>
      <xdr:colOff>646906</xdr:colOff>
      <xdr:row>65</xdr:row>
      <xdr:rowOff>26193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0C6158-CEC4-28B8-08A1-62902B353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678656</xdr:colOff>
      <xdr:row>50</xdr:row>
      <xdr:rowOff>148431</xdr:rowOff>
    </xdr:from>
    <xdr:to>
      <xdr:col>11</xdr:col>
      <xdr:colOff>329406</xdr:colOff>
      <xdr:row>65</xdr:row>
      <xdr:rowOff>153193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01DEB7-D196-1C71-3230-7F68CFB24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51</xdr:row>
      <xdr:rowOff>0</xdr:rowOff>
    </xdr:from>
    <xdr:to>
      <xdr:col>20</xdr:col>
      <xdr:colOff>293687</xdr:colOff>
      <xdr:row>66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1A68BD-58EA-44AC-9DF7-78947286D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51</xdr:row>
      <xdr:rowOff>-1</xdr:rowOff>
    </xdr:from>
    <xdr:to>
      <xdr:col>33</xdr:col>
      <xdr:colOff>64188</xdr:colOff>
      <xdr:row>70</xdr:row>
      <xdr:rowOff>131312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EAEF579-7519-4DC8-AFD4-B7618ED244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012150" y="10020299"/>
              <a:ext cx="7084113" cy="3769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464343</xdr:colOff>
      <xdr:row>51</xdr:row>
      <xdr:rowOff>37306</xdr:rowOff>
    </xdr:from>
    <xdr:to>
      <xdr:col>44</xdr:col>
      <xdr:colOff>99905</xdr:colOff>
      <xdr:row>70</xdr:row>
      <xdr:rowOff>168619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A86B9D9-287D-F782-ED23-5DE5470892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96418" y="10057606"/>
              <a:ext cx="8579537" cy="3769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44</xdr:col>
      <xdr:colOff>416719</xdr:colOff>
      <xdr:row>51</xdr:row>
      <xdr:rowOff>37305</xdr:rowOff>
    </xdr:from>
    <xdr:to>
      <xdr:col>55</xdr:col>
      <xdr:colOff>52282</xdr:colOff>
      <xdr:row>70</xdr:row>
      <xdr:rowOff>168618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AECE0D55-53EE-E051-6EBC-781FBF71E5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2769" y="10057605"/>
              <a:ext cx="7922313" cy="3769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56</xdr:col>
      <xdr:colOff>488156</xdr:colOff>
      <xdr:row>50</xdr:row>
      <xdr:rowOff>148432</xdr:rowOff>
    </xdr:from>
    <xdr:to>
      <xdr:col>63</xdr:col>
      <xdr:colOff>488844</xdr:colOff>
      <xdr:row>70</xdr:row>
      <xdr:rowOff>97182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76FB0477-05BD-F6EF-3285-97D0080CA3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60556" y="9978232"/>
              <a:ext cx="7125388" cy="377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0</xdr:colOff>
      <xdr:row>76</xdr:row>
      <xdr:rowOff>0</xdr:rowOff>
    </xdr:from>
    <xdr:to>
      <xdr:col>33</xdr:col>
      <xdr:colOff>64188</xdr:colOff>
      <xdr:row>95</xdr:row>
      <xdr:rowOff>131312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7A8185-041B-4C8D-9F62-0EF5346783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012150" y="14811375"/>
              <a:ext cx="7084113" cy="3750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0</xdr:colOff>
      <xdr:row>76</xdr:row>
      <xdr:rowOff>0</xdr:rowOff>
    </xdr:from>
    <xdr:to>
      <xdr:col>44</xdr:col>
      <xdr:colOff>246749</xdr:colOff>
      <xdr:row>95</xdr:row>
      <xdr:rowOff>131312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145308D-DEA2-42BC-973A-89A1000E68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641675" y="14811375"/>
              <a:ext cx="8581124" cy="3750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76</xdr:row>
      <xdr:rowOff>0</xdr:rowOff>
    </xdr:from>
    <xdr:to>
      <xdr:col>55</xdr:col>
      <xdr:colOff>246750</xdr:colOff>
      <xdr:row>95</xdr:row>
      <xdr:rowOff>131312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BD1C5ED-09E4-409A-99CB-6395A3D0AB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85650" y="14811375"/>
              <a:ext cx="7923900" cy="3750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57</xdr:col>
      <xdr:colOff>0</xdr:colOff>
      <xdr:row>76</xdr:row>
      <xdr:rowOff>0</xdr:rowOff>
    </xdr:from>
    <xdr:to>
      <xdr:col>64</xdr:col>
      <xdr:colOff>687</xdr:colOff>
      <xdr:row>95</xdr:row>
      <xdr:rowOff>131312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555F0701-24A4-470A-B377-7D38CA3D67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82000" y="14811375"/>
              <a:ext cx="7125387" cy="3750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1416843</xdr:colOff>
      <xdr:row>110</xdr:row>
      <xdr:rowOff>41275</xdr:rowOff>
    </xdr:from>
    <xdr:to>
      <xdr:col>45</xdr:col>
      <xdr:colOff>83343</xdr:colOff>
      <xdr:row>125</xdr:row>
      <xdr:rowOff>46038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FEA96F9-B6AB-3D22-69D6-87AD05356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408781</xdr:colOff>
      <xdr:row>110</xdr:row>
      <xdr:rowOff>33337</xdr:rowOff>
    </xdr:from>
    <xdr:to>
      <xdr:col>60</xdr:col>
      <xdr:colOff>281781</xdr:colOff>
      <xdr:row>125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D753B0-04A5-CF78-1092-80999F393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1377156</xdr:colOff>
      <xdr:row>26</xdr:row>
      <xdr:rowOff>223837</xdr:rowOff>
    </xdr:from>
    <xdr:to>
      <xdr:col>9</xdr:col>
      <xdr:colOff>773906</xdr:colOff>
      <xdr:row>41</xdr:row>
      <xdr:rowOff>125412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BAA3E1A-6DCB-B661-F2C0-6FE9C2503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FFD9-D610-486E-B6F4-1034A9C3464A}">
  <dimension ref="A1:B9"/>
  <sheetViews>
    <sheetView workbookViewId="0"/>
  </sheetViews>
  <sheetFormatPr defaultRowHeight="15" x14ac:dyDescent="0.25"/>
  <cols>
    <col min="1" max="1" width="45.7109375" customWidth="1"/>
    <col min="2" max="2" width="10.7109375" bestFit="1" customWidth="1"/>
    <col min="3" max="3" width="27.5703125" bestFit="1" customWidth="1"/>
  </cols>
  <sheetData>
    <row r="1" spans="1:2" x14ac:dyDescent="0.25">
      <c r="A1" t="s">
        <v>38</v>
      </c>
    </row>
    <row r="2" spans="1:2" x14ac:dyDescent="0.25">
      <c r="A2" t="s">
        <v>41</v>
      </c>
      <c r="B2">
        <v>760</v>
      </c>
    </row>
    <row r="3" spans="1:2" x14ac:dyDescent="0.25">
      <c r="A3" t="s">
        <v>39</v>
      </c>
      <c r="B3">
        <v>824</v>
      </c>
    </row>
    <row r="4" spans="1:2" x14ac:dyDescent="0.25">
      <c r="A4" t="s">
        <v>40</v>
      </c>
      <c r="B4">
        <v>34.1</v>
      </c>
    </row>
    <row r="5" spans="1:2" x14ac:dyDescent="0.25">
      <c r="A5" t="s">
        <v>42</v>
      </c>
      <c r="B5">
        <v>483</v>
      </c>
    </row>
    <row r="6" spans="1:2" x14ac:dyDescent="0.25">
      <c r="A6" t="s">
        <v>43</v>
      </c>
      <c r="B6">
        <v>27105</v>
      </c>
    </row>
    <row r="7" spans="1:2" x14ac:dyDescent="0.25">
      <c r="A7" t="s">
        <v>44</v>
      </c>
      <c r="B7">
        <v>1116</v>
      </c>
    </row>
    <row r="8" spans="1:2" x14ac:dyDescent="0.25">
      <c r="A8" t="s">
        <v>43</v>
      </c>
      <c r="B8">
        <v>8595</v>
      </c>
    </row>
    <row r="9" spans="1:2" x14ac:dyDescent="0.25">
      <c r="A9" t="s">
        <v>45</v>
      </c>
      <c r="B9">
        <f>B7+B5+B2</f>
        <v>2359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CCFD-A1B8-41E9-B5F5-C35139FCC610}">
  <dimension ref="B1:M56"/>
  <sheetViews>
    <sheetView showGridLines="0" topLeftCell="A18" zoomScale="80" zoomScaleNormal="80" workbookViewId="0">
      <selection activeCell="I24" sqref="I24"/>
    </sheetView>
  </sheetViews>
  <sheetFormatPr defaultRowHeight="15" x14ac:dyDescent="0.25"/>
  <cols>
    <col min="2" max="2" width="58.85546875" bestFit="1" customWidth="1"/>
    <col min="3" max="3" width="13.5703125" bestFit="1" customWidth="1"/>
    <col min="4" max="4" width="21" bestFit="1" customWidth="1"/>
    <col min="5" max="5" width="22.140625" bestFit="1" customWidth="1"/>
    <col min="6" max="9" width="22.140625" customWidth="1"/>
    <col min="10" max="10" width="13.5703125" bestFit="1" customWidth="1"/>
    <col min="11" max="11" width="34.85546875" bestFit="1" customWidth="1"/>
    <col min="12" max="12" width="22.140625" bestFit="1" customWidth="1"/>
    <col min="13" max="13" width="21" bestFit="1" customWidth="1"/>
  </cols>
  <sheetData>
    <row r="1" spans="2:13" ht="15.75" thickBot="1" x14ac:dyDescent="0.3"/>
    <row r="2" spans="2:13" ht="15.75" thickBot="1" x14ac:dyDescent="0.3">
      <c r="B2" s="40" t="s">
        <v>17</v>
      </c>
      <c r="C2" s="41"/>
      <c r="D2" s="41"/>
      <c r="E2" s="41"/>
      <c r="F2" s="42"/>
    </row>
    <row r="3" spans="2:13" ht="15.75" thickBot="1" x14ac:dyDescent="0.3">
      <c r="B3" s="99" t="s">
        <v>21</v>
      </c>
      <c r="C3" s="101" t="s">
        <v>20</v>
      </c>
      <c r="D3" s="96" t="s">
        <v>22</v>
      </c>
      <c r="E3" s="97"/>
      <c r="F3" s="98"/>
    </row>
    <row r="4" spans="2:13" ht="15.75" thickBot="1" x14ac:dyDescent="0.3">
      <c r="B4" s="100"/>
      <c r="C4" s="102"/>
      <c r="D4" s="15" t="s">
        <v>0</v>
      </c>
      <c r="E4" s="16" t="s">
        <v>1</v>
      </c>
      <c r="F4" s="17" t="s">
        <v>2</v>
      </c>
    </row>
    <row r="5" spans="2:13" x14ac:dyDescent="0.25">
      <c r="B5" s="4" t="s">
        <v>8</v>
      </c>
      <c r="C5" s="31" t="s">
        <v>3</v>
      </c>
      <c r="D5" s="12">
        <v>-8548.6801390308301</v>
      </c>
      <c r="E5" s="10">
        <v>-8993.5832567502948</v>
      </c>
      <c r="F5" s="11">
        <v>-8308.2539107726425</v>
      </c>
    </row>
    <row r="6" spans="2:13" x14ac:dyDescent="0.25">
      <c r="B6" s="6"/>
      <c r="C6" s="32" t="s">
        <v>4</v>
      </c>
      <c r="D6" s="18">
        <v>-42376.531629593155</v>
      </c>
      <c r="E6" s="19">
        <v>-42376.531629593155</v>
      </c>
      <c r="F6" s="20">
        <v>-42376.531629593155</v>
      </c>
    </row>
    <row r="7" spans="2:13" ht="15.75" thickBot="1" x14ac:dyDescent="0.3">
      <c r="B7" s="8"/>
      <c r="C7" s="33" t="s">
        <v>5</v>
      </c>
      <c r="D7" s="22">
        <v>0</v>
      </c>
      <c r="E7" s="23">
        <v>0</v>
      </c>
      <c r="F7" s="9">
        <v>0</v>
      </c>
    </row>
    <row r="8" spans="2:13" x14ac:dyDescent="0.25">
      <c r="B8" s="6" t="s">
        <v>9</v>
      </c>
      <c r="C8" s="32" t="s">
        <v>3</v>
      </c>
      <c r="D8" s="24"/>
      <c r="E8" s="1"/>
      <c r="F8" s="7"/>
    </row>
    <row r="9" spans="2:13" x14ac:dyDescent="0.25">
      <c r="B9" s="6"/>
      <c r="C9" s="32" t="s">
        <v>4</v>
      </c>
      <c r="D9" s="24"/>
      <c r="E9" s="1"/>
      <c r="F9" s="7"/>
    </row>
    <row r="10" spans="2:13" ht="15.75" thickBot="1" x14ac:dyDescent="0.3">
      <c r="B10" s="6"/>
      <c r="C10" s="32" t="s">
        <v>5</v>
      </c>
      <c r="D10" s="24"/>
      <c r="E10" s="1"/>
      <c r="F10" s="7"/>
    </row>
    <row r="11" spans="2:13" x14ac:dyDescent="0.25">
      <c r="B11" s="4" t="s">
        <v>19</v>
      </c>
      <c r="C11" s="31" t="s">
        <v>3</v>
      </c>
      <c r="D11" s="12">
        <v>-192320.20092740544</v>
      </c>
      <c r="E11" s="10">
        <v>-198802.86667517913</v>
      </c>
      <c r="F11" s="11">
        <v>-188817.9891622712</v>
      </c>
    </row>
    <row r="12" spans="2:13" x14ac:dyDescent="0.25">
      <c r="B12" s="6"/>
      <c r="C12" s="32" t="s">
        <v>4</v>
      </c>
      <c r="D12" s="24">
        <v>-583624.76948835922</v>
      </c>
      <c r="E12" s="1">
        <v>-583624.76948835922</v>
      </c>
      <c r="F12" s="7">
        <v>-583624.76948835922</v>
      </c>
    </row>
    <row r="13" spans="2:13" ht="15.75" thickBot="1" x14ac:dyDescent="0.3">
      <c r="B13" s="8"/>
      <c r="C13" s="33" t="s">
        <v>5</v>
      </c>
      <c r="D13" s="22">
        <v>0</v>
      </c>
      <c r="E13" s="23">
        <v>0</v>
      </c>
      <c r="F13" s="9">
        <v>0</v>
      </c>
    </row>
    <row r="14" spans="2:13" ht="15.75" thickBot="1" x14ac:dyDescent="0.3">
      <c r="K14" s="1"/>
      <c r="L14" s="1"/>
      <c r="M14" s="1"/>
    </row>
    <row r="15" spans="2:13" ht="15.75" thickBot="1" x14ac:dyDescent="0.3">
      <c r="B15" s="37" t="s">
        <v>18</v>
      </c>
      <c r="C15" s="38"/>
      <c r="D15" s="38"/>
      <c r="E15" s="38"/>
      <c r="F15" s="38"/>
      <c r="G15" s="39"/>
      <c r="K15" s="1"/>
      <c r="L15" s="1"/>
      <c r="M15" s="1"/>
    </row>
    <row r="16" spans="2:13" ht="15.75" thickBot="1" x14ac:dyDescent="0.3">
      <c r="B16" s="99" t="s">
        <v>21</v>
      </c>
      <c r="C16" s="101" t="s">
        <v>20</v>
      </c>
      <c r="D16" s="106" t="s">
        <v>6</v>
      </c>
      <c r="E16" s="103" t="s">
        <v>23</v>
      </c>
      <c r="F16" s="104"/>
      <c r="G16" s="105"/>
      <c r="K16" s="1"/>
      <c r="L16" s="1"/>
      <c r="M16" s="1"/>
    </row>
    <row r="17" spans="2:13" ht="15.75" thickBot="1" x14ac:dyDescent="0.3">
      <c r="B17" s="100"/>
      <c r="C17" s="102"/>
      <c r="D17" s="107"/>
      <c r="E17" s="15" t="s">
        <v>0</v>
      </c>
      <c r="F17" s="16" t="s">
        <v>1</v>
      </c>
      <c r="G17" s="17" t="s">
        <v>2</v>
      </c>
      <c r="K17" s="1"/>
      <c r="L17" s="1"/>
      <c r="M17" s="1"/>
    </row>
    <row r="18" spans="2:13" x14ac:dyDescent="0.25">
      <c r="B18" s="4" t="s">
        <v>8</v>
      </c>
      <c r="C18" s="31" t="s">
        <v>3</v>
      </c>
      <c r="D18" s="25">
        <v>986</v>
      </c>
      <c r="E18" s="12">
        <f t="shared" ref="E18:G20" si="0">D5*$D18</f>
        <v>-8428998.6170843989</v>
      </c>
      <c r="F18" s="10">
        <f t="shared" si="0"/>
        <v>-8867673.0911557898</v>
      </c>
      <c r="G18" s="11">
        <f t="shared" si="0"/>
        <v>-8191938.3560218252</v>
      </c>
      <c r="K18" s="1"/>
      <c r="L18" s="1"/>
      <c r="M18" s="1"/>
    </row>
    <row r="19" spans="2:13" x14ac:dyDescent="0.25">
      <c r="B19" s="6"/>
      <c r="C19" s="32" t="s">
        <v>4</v>
      </c>
      <c r="D19" s="26">
        <v>1992</v>
      </c>
      <c r="E19" s="24">
        <f t="shared" si="0"/>
        <v>-84414051.00614956</v>
      </c>
      <c r="F19" s="1">
        <f t="shared" si="0"/>
        <v>-84414051.00614956</v>
      </c>
      <c r="G19" s="7">
        <f t="shared" si="0"/>
        <v>-84414051.00614956</v>
      </c>
      <c r="K19" s="1"/>
      <c r="L19" s="1"/>
      <c r="M19" s="1"/>
    </row>
    <row r="20" spans="2:13" x14ac:dyDescent="0.25">
      <c r="B20" s="6"/>
      <c r="C20" s="32" t="s">
        <v>5</v>
      </c>
      <c r="D20" s="26">
        <v>3772</v>
      </c>
      <c r="E20" s="24">
        <f t="shared" si="0"/>
        <v>0</v>
      </c>
      <c r="F20" s="1">
        <f t="shared" si="0"/>
        <v>0</v>
      </c>
      <c r="G20" s="7">
        <f t="shared" si="0"/>
        <v>0</v>
      </c>
      <c r="K20" s="1"/>
      <c r="L20" s="1"/>
      <c r="M20" s="1"/>
    </row>
    <row r="21" spans="2:13" ht="15.75" thickBot="1" x14ac:dyDescent="0.3">
      <c r="B21" s="8"/>
      <c r="C21" s="33" t="s">
        <v>7</v>
      </c>
      <c r="D21" s="27"/>
      <c r="E21" s="22">
        <f>SUM(E18:E20)</f>
        <v>-92843049.623233959</v>
      </c>
      <c r="F21" s="23">
        <f t="shared" ref="F21:G21" si="1">SUM(F18:F20)</f>
        <v>-93281724.097305357</v>
      </c>
      <c r="G21" s="9">
        <f t="shared" si="1"/>
        <v>-92605989.362171382</v>
      </c>
      <c r="I21" s="30">
        <f>D18+D19+D20</f>
        <v>6750</v>
      </c>
      <c r="K21" s="1"/>
      <c r="L21" s="1"/>
      <c r="M21" s="1"/>
    </row>
    <row r="22" spans="2:13" x14ac:dyDescent="0.25">
      <c r="B22" s="6" t="s">
        <v>9</v>
      </c>
      <c r="C22" s="32" t="s">
        <v>3</v>
      </c>
      <c r="D22" s="26">
        <v>986</v>
      </c>
      <c r="E22" s="24">
        <f t="shared" ref="E22:G24" si="2">D8*$D22</f>
        <v>0</v>
      </c>
      <c r="F22" s="1">
        <f t="shared" si="2"/>
        <v>0</v>
      </c>
      <c r="G22" s="7">
        <f t="shared" si="2"/>
        <v>0</v>
      </c>
      <c r="I22">
        <f>2399</f>
        <v>2399</v>
      </c>
      <c r="K22" s="1"/>
      <c r="L22" s="1"/>
      <c r="M22" s="1"/>
    </row>
    <row r="23" spans="2:13" x14ac:dyDescent="0.25">
      <c r="B23" s="6"/>
      <c r="C23" s="32" t="s">
        <v>4</v>
      </c>
      <c r="D23" s="26">
        <v>1992</v>
      </c>
      <c r="E23" s="24">
        <f t="shared" si="2"/>
        <v>0</v>
      </c>
      <c r="F23" s="1">
        <f t="shared" si="2"/>
        <v>0</v>
      </c>
      <c r="G23" s="7">
        <f t="shared" si="2"/>
        <v>0</v>
      </c>
      <c r="I23" s="30">
        <f>I21-I22</f>
        <v>4351</v>
      </c>
      <c r="K23" s="1"/>
      <c r="L23" s="1"/>
      <c r="M23" s="1"/>
    </row>
    <row r="24" spans="2:13" x14ac:dyDescent="0.25">
      <c r="B24" s="6"/>
      <c r="C24" s="32" t="s">
        <v>5</v>
      </c>
      <c r="D24" s="26">
        <v>3772</v>
      </c>
      <c r="E24" s="24">
        <f t="shared" si="2"/>
        <v>0</v>
      </c>
      <c r="F24" s="1">
        <f t="shared" si="2"/>
        <v>0</v>
      </c>
      <c r="G24" s="7">
        <f t="shared" si="2"/>
        <v>0</v>
      </c>
      <c r="K24" s="1"/>
      <c r="L24" s="1"/>
      <c r="M24" s="1"/>
    </row>
    <row r="25" spans="2:13" ht="15.75" thickBot="1" x14ac:dyDescent="0.3">
      <c r="B25" s="6"/>
      <c r="C25" s="32" t="s">
        <v>7</v>
      </c>
      <c r="D25" s="26"/>
      <c r="E25" s="24">
        <f>SUM(E22:E24)</f>
        <v>0</v>
      </c>
      <c r="F25" s="1">
        <f t="shared" ref="F25" si="3">SUM(F22:F24)</f>
        <v>0</v>
      </c>
      <c r="G25" s="7">
        <f t="shared" ref="G25" si="4">SUM(G22:G24)</f>
        <v>0</v>
      </c>
      <c r="K25" s="1"/>
      <c r="L25" s="1"/>
      <c r="M25" s="1"/>
    </row>
    <row r="26" spans="2:13" x14ac:dyDescent="0.25">
      <c r="B26" s="4" t="s">
        <v>19</v>
      </c>
      <c r="C26" s="31" t="s">
        <v>3</v>
      </c>
      <c r="D26" s="25">
        <v>986</v>
      </c>
      <c r="E26" s="12">
        <f t="shared" ref="E26:G28" si="5">D11*$D26</f>
        <v>-189627718.11442176</v>
      </c>
      <c r="F26" s="10">
        <f t="shared" si="5"/>
        <v>-196019626.54172662</v>
      </c>
      <c r="G26" s="11">
        <f t="shared" si="5"/>
        <v>-186174537.31399941</v>
      </c>
      <c r="K26" s="1"/>
      <c r="L26" s="1"/>
      <c r="M26" s="1"/>
    </row>
    <row r="27" spans="2:13" x14ac:dyDescent="0.25">
      <c r="B27" s="6"/>
      <c r="C27" s="32" t="s">
        <v>4</v>
      </c>
      <c r="D27" s="26">
        <v>1992</v>
      </c>
      <c r="E27" s="24">
        <f t="shared" si="5"/>
        <v>-1162580540.8208115</v>
      </c>
      <c r="F27" s="1">
        <f t="shared" si="5"/>
        <v>-1162580540.8208115</v>
      </c>
      <c r="G27" s="7">
        <f t="shared" si="5"/>
        <v>-1162580540.8208115</v>
      </c>
      <c r="K27" s="1"/>
      <c r="L27" s="1"/>
      <c r="M27" s="1"/>
    </row>
    <row r="28" spans="2:13" x14ac:dyDescent="0.25">
      <c r="B28" s="6"/>
      <c r="C28" s="32" t="s">
        <v>5</v>
      </c>
      <c r="D28" s="26">
        <v>3772</v>
      </c>
      <c r="E28" s="24">
        <f t="shared" si="5"/>
        <v>0</v>
      </c>
      <c r="F28" s="1">
        <f t="shared" si="5"/>
        <v>0</v>
      </c>
      <c r="G28" s="7">
        <f t="shared" si="5"/>
        <v>0</v>
      </c>
      <c r="K28" s="1"/>
      <c r="L28" s="1"/>
      <c r="M28" s="1"/>
    </row>
    <row r="29" spans="2:13" ht="15.75" thickBot="1" x14ac:dyDescent="0.3">
      <c r="B29" s="8"/>
      <c r="C29" s="33" t="s">
        <v>7</v>
      </c>
      <c r="D29" s="8"/>
      <c r="E29" s="22">
        <f>SUM(E26:E28)</f>
        <v>-1352208258.9352334</v>
      </c>
      <c r="F29" s="23">
        <f t="shared" ref="F29" si="6">SUM(F26:F28)</f>
        <v>-1358600167.3625381</v>
      </c>
      <c r="G29" s="9">
        <f t="shared" ref="G29" si="7">SUM(G26:G28)</f>
        <v>-1348755078.1348109</v>
      </c>
      <c r="K29" s="1"/>
      <c r="L29" s="1"/>
      <c r="M29" s="1"/>
    </row>
    <row r="30" spans="2:13" ht="15.75" thickBot="1" x14ac:dyDescent="0.3">
      <c r="K30" s="1"/>
      <c r="L30" s="1"/>
      <c r="M30" s="1"/>
    </row>
    <row r="31" spans="2:13" ht="15.75" thickBot="1" x14ac:dyDescent="0.3">
      <c r="B31" s="49" t="s">
        <v>24</v>
      </c>
      <c r="C31" s="35"/>
      <c r="D31" s="35"/>
      <c r="E31" s="35"/>
      <c r="F31" s="36"/>
      <c r="K31" s="1"/>
      <c r="L31" s="1"/>
      <c r="M31" s="1"/>
    </row>
    <row r="32" spans="2:13" ht="15.75" thickBot="1" x14ac:dyDescent="0.3">
      <c r="B32" s="99" t="s">
        <v>21</v>
      </c>
      <c r="C32" s="101" t="s">
        <v>20</v>
      </c>
      <c r="D32" s="108" t="s">
        <v>11</v>
      </c>
      <c r="E32" s="109"/>
      <c r="F32" s="110"/>
      <c r="K32" s="1"/>
      <c r="L32" s="1"/>
      <c r="M32" s="1"/>
    </row>
    <row r="33" spans="2:13" ht="15.75" thickBot="1" x14ac:dyDescent="0.3">
      <c r="B33" s="100"/>
      <c r="C33" s="102"/>
      <c r="D33" s="43" t="s">
        <v>0</v>
      </c>
      <c r="E33" s="44" t="s">
        <v>1</v>
      </c>
      <c r="F33" s="45" t="s">
        <v>2</v>
      </c>
      <c r="G33" s="28"/>
      <c r="H33" s="28"/>
      <c r="I33" s="28"/>
      <c r="J33" s="29"/>
    </row>
    <row r="34" spans="2:13" x14ac:dyDescent="0.25">
      <c r="B34" s="32" t="s">
        <v>14</v>
      </c>
      <c r="C34" s="32" t="s">
        <v>3</v>
      </c>
      <c r="D34" s="24">
        <v>-4208686.2942300672</v>
      </c>
      <c r="E34" s="1">
        <v>-4555438.3785672523</v>
      </c>
      <c r="F34" s="7">
        <v>-3851860.3610761287</v>
      </c>
      <c r="G34" s="1"/>
      <c r="H34" s="1"/>
      <c r="I34" s="1"/>
      <c r="J34" s="30"/>
      <c r="K34" s="1"/>
      <c r="L34" s="1"/>
      <c r="M34" s="1"/>
    </row>
    <row r="35" spans="2:13" x14ac:dyDescent="0.25">
      <c r="B35" s="32"/>
      <c r="C35" s="32" t="s">
        <v>4</v>
      </c>
      <c r="D35" s="24">
        <v>-693423.40522238275</v>
      </c>
      <c r="E35" s="1">
        <v>-726209.57383970707</v>
      </c>
      <c r="F35" s="7">
        <v>-660206.61618077452</v>
      </c>
      <c r="G35" s="1"/>
      <c r="H35" s="1"/>
      <c r="I35" s="1"/>
      <c r="J35" s="30"/>
      <c r="K35" s="1"/>
      <c r="L35" s="1"/>
      <c r="M35" s="1"/>
    </row>
    <row r="36" spans="2:13" ht="15.75" thickBot="1" x14ac:dyDescent="0.3">
      <c r="B36" s="33"/>
      <c r="C36" s="33" t="s">
        <v>5</v>
      </c>
      <c r="D36" s="22">
        <v>-1076592.5643644766</v>
      </c>
      <c r="E36" s="23">
        <v>-1158450.4740427942</v>
      </c>
      <c r="F36" s="9">
        <v>-996180.47789121419</v>
      </c>
      <c r="G36" s="1"/>
      <c r="H36" s="1"/>
      <c r="I36" s="1"/>
      <c r="J36" s="30"/>
      <c r="K36" s="1"/>
      <c r="L36" s="1"/>
      <c r="M36" s="1"/>
    </row>
    <row r="37" spans="2:13" ht="15.75" thickBot="1" x14ac:dyDescent="0.3">
      <c r="J37" s="30"/>
      <c r="K37" s="1"/>
      <c r="L37" s="1"/>
      <c r="M37" s="1"/>
    </row>
    <row r="38" spans="2:13" ht="15.75" thickBot="1" x14ac:dyDescent="0.3">
      <c r="B38" s="46" t="s">
        <v>25</v>
      </c>
      <c r="C38" s="47"/>
      <c r="D38" s="47"/>
      <c r="E38" s="47"/>
      <c r="F38" s="47"/>
      <c r="G38" s="48"/>
      <c r="J38" s="30"/>
      <c r="K38" s="1"/>
      <c r="L38" s="1"/>
      <c r="M38" s="1"/>
    </row>
    <row r="39" spans="2:13" ht="15.75" thickBot="1" x14ac:dyDescent="0.3">
      <c r="B39" s="111" t="s">
        <v>21</v>
      </c>
      <c r="C39" s="112" t="s">
        <v>20</v>
      </c>
      <c r="D39" s="106" t="s">
        <v>6</v>
      </c>
      <c r="E39" s="114" t="s">
        <v>11</v>
      </c>
      <c r="F39" s="115"/>
      <c r="G39" s="116"/>
      <c r="J39" s="30"/>
      <c r="K39" s="1"/>
      <c r="L39" s="1"/>
      <c r="M39" s="1"/>
    </row>
    <row r="40" spans="2:13" ht="15.75" thickBot="1" x14ac:dyDescent="0.3">
      <c r="B40" s="111"/>
      <c r="C40" s="112"/>
      <c r="D40" s="113"/>
      <c r="E40" s="15" t="s">
        <v>0</v>
      </c>
      <c r="F40" s="16" t="s">
        <v>1</v>
      </c>
      <c r="G40" s="17" t="s">
        <v>2</v>
      </c>
      <c r="J40" s="30"/>
      <c r="K40" s="1"/>
      <c r="L40" s="1"/>
      <c r="M40" s="1"/>
    </row>
    <row r="41" spans="2:13" x14ac:dyDescent="0.25">
      <c r="B41" s="31" t="s">
        <v>14</v>
      </c>
      <c r="C41" s="5" t="s">
        <v>3</v>
      </c>
      <c r="D41" s="14">
        <v>986</v>
      </c>
      <c r="E41" s="10">
        <f>$D$41*D34</f>
        <v>-4149764686.110846</v>
      </c>
      <c r="F41" s="10">
        <f t="shared" ref="F41:G41" si="8">$D$41*E34</f>
        <v>-4491662241.2673111</v>
      </c>
      <c r="G41" s="11">
        <f t="shared" si="8"/>
        <v>-3797934316.0210629</v>
      </c>
      <c r="J41" s="30"/>
      <c r="K41" s="1"/>
      <c r="L41" s="1"/>
      <c r="M41" s="1"/>
    </row>
    <row r="42" spans="2:13" x14ac:dyDescent="0.25">
      <c r="B42" s="32"/>
      <c r="C42" t="s">
        <v>4</v>
      </c>
      <c r="D42" s="21">
        <v>1992</v>
      </c>
      <c r="E42" s="1">
        <f>$D$42*D35</f>
        <v>-1381299423.2029865</v>
      </c>
      <c r="F42" s="1">
        <f t="shared" ref="F42:G42" si="9">$D$42*E35</f>
        <v>-1446609471.0886965</v>
      </c>
      <c r="G42" s="7">
        <f t="shared" si="9"/>
        <v>-1315131579.4321029</v>
      </c>
      <c r="J42" s="30"/>
      <c r="K42" s="1"/>
      <c r="L42" s="1"/>
      <c r="M42" s="1"/>
    </row>
    <row r="43" spans="2:13" x14ac:dyDescent="0.25">
      <c r="B43" s="32"/>
      <c r="C43" t="s">
        <v>5</v>
      </c>
      <c r="D43" s="21">
        <v>3772</v>
      </c>
      <c r="E43" s="1">
        <f>$D$43*D36</f>
        <v>-4060907152.7828059</v>
      </c>
      <c r="F43" s="1">
        <f t="shared" ref="F43:G43" si="10">$D$43*E36</f>
        <v>-4369675188.0894194</v>
      </c>
      <c r="G43" s="7">
        <f t="shared" si="10"/>
        <v>-3757592762.60566</v>
      </c>
      <c r="J43" s="30"/>
      <c r="K43" s="1"/>
      <c r="L43" s="1"/>
      <c r="M43" s="1"/>
    </row>
    <row r="44" spans="2:13" ht="15.75" thickBot="1" x14ac:dyDescent="0.3">
      <c r="B44" s="33"/>
      <c r="C44" s="13" t="s">
        <v>7</v>
      </c>
      <c r="D44" s="33"/>
      <c r="E44" s="23">
        <f>SUM(E41:E43)</f>
        <v>-9591971262.0966377</v>
      </c>
      <c r="F44" s="23">
        <f>SUM(F41:F43)</f>
        <v>-10307946900.445427</v>
      </c>
      <c r="G44" s="9">
        <f>SUM(G41:G43)</f>
        <v>-8870658658.0588264</v>
      </c>
      <c r="J44" s="30"/>
      <c r="K44" s="1"/>
      <c r="L44" s="1"/>
      <c r="M44" s="1"/>
    </row>
    <row r="45" spans="2:13" x14ac:dyDescent="0.25">
      <c r="J45" s="30"/>
      <c r="K45" s="1"/>
      <c r="L45" s="1"/>
      <c r="M45" s="1"/>
    </row>
    <row r="46" spans="2:13" ht="15.75" thickBot="1" x14ac:dyDescent="0.3">
      <c r="J46" s="30"/>
      <c r="K46" s="1"/>
      <c r="L46" s="1"/>
      <c r="M46" s="1"/>
    </row>
    <row r="47" spans="2:13" ht="15.75" thickBot="1" x14ac:dyDescent="0.3">
      <c r="B47" s="54" t="s">
        <v>26</v>
      </c>
      <c r="C47" s="55"/>
      <c r="D47" s="55"/>
      <c r="E47" s="55"/>
      <c r="F47" s="56"/>
    </row>
    <row r="48" spans="2:13" ht="15.75" thickBot="1" x14ac:dyDescent="0.3">
      <c r="B48" s="101" t="s">
        <v>27</v>
      </c>
      <c r="C48" s="101" t="s">
        <v>21</v>
      </c>
      <c r="D48" s="96" t="s">
        <v>28</v>
      </c>
      <c r="E48" s="97"/>
      <c r="F48" s="98"/>
    </row>
    <row r="49" spans="2:9" ht="15.75" thickBot="1" x14ac:dyDescent="0.3">
      <c r="B49" s="102"/>
      <c r="C49" s="102"/>
      <c r="D49" s="15" t="s">
        <v>0</v>
      </c>
      <c r="E49" s="16" t="s">
        <v>1</v>
      </c>
      <c r="F49" s="17" t="s">
        <v>2</v>
      </c>
    </row>
    <row r="50" spans="2:9" ht="15.75" thickBot="1" x14ac:dyDescent="0.3">
      <c r="B50" s="34" t="s">
        <v>11</v>
      </c>
      <c r="C50" s="34" t="s">
        <v>13</v>
      </c>
      <c r="D50" s="57">
        <v>-9591971262.0966377</v>
      </c>
      <c r="E50" s="57">
        <v>-10307946900.445427</v>
      </c>
      <c r="F50" s="58">
        <v>-8870658658.0588264</v>
      </c>
      <c r="G50" s="1"/>
      <c r="H50" s="1"/>
      <c r="I50" s="1"/>
    </row>
    <row r="51" spans="2:9" x14ac:dyDescent="0.25">
      <c r="B51" s="32" t="s">
        <v>12</v>
      </c>
      <c r="C51" s="32" t="s">
        <v>8</v>
      </c>
      <c r="D51" s="1">
        <f>E21</f>
        <v>-92843049.623233959</v>
      </c>
      <c r="E51" s="1">
        <f>F21</f>
        <v>-93281724.097305357</v>
      </c>
      <c r="F51" s="7">
        <f>G21</f>
        <v>-92605989.362171382</v>
      </c>
      <c r="G51" s="1"/>
      <c r="H51" s="1"/>
      <c r="I51" s="1"/>
    </row>
    <row r="52" spans="2:9" x14ac:dyDescent="0.25">
      <c r="B52" s="32"/>
      <c r="C52" s="32" t="s">
        <v>9</v>
      </c>
      <c r="D52" s="1">
        <f>E25</f>
        <v>0</v>
      </c>
      <c r="E52" s="1">
        <f>F25</f>
        <v>0</v>
      </c>
      <c r="F52" s="7">
        <f>G25</f>
        <v>0</v>
      </c>
      <c r="G52" s="1"/>
      <c r="H52" s="1"/>
      <c r="I52" s="1"/>
    </row>
    <row r="53" spans="2:9" ht="15.75" thickBot="1" x14ac:dyDescent="0.3">
      <c r="B53" s="32"/>
      <c r="C53" s="32" t="s">
        <v>10</v>
      </c>
      <c r="D53" s="1">
        <f>E29</f>
        <v>-1352208258.9352334</v>
      </c>
      <c r="E53" s="1">
        <f>F29</f>
        <v>-1358600167.3625381</v>
      </c>
      <c r="F53" s="7">
        <f>G29</f>
        <v>-1348755078.1348109</v>
      </c>
      <c r="G53" s="1"/>
      <c r="H53" s="1"/>
      <c r="I53" s="1"/>
    </row>
    <row r="54" spans="2:9" x14ac:dyDescent="0.25">
      <c r="B54" s="31" t="s">
        <v>29</v>
      </c>
      <c r="C54" s="31" t="s">
        <v>8</v>
      </c>
      <c r="D54" s="59">
        <f>D51/$D$50</f>
        <v>9.6792460158955981E-3</v>
      </c>
      <c r="E54" s="59">
        <f>E51/$E$50</f>
        <v>9.0494959857888354E-3</v>
      </c>
      <c r="F54" s="60">
        <f>F51/$F$50</f>
        <v>1.0439584356911375E-2</v>
      </c>
      <c r="G54" s="2"/>
      <c r="H54" s="2"/>
      <c r="I54" s="2"/>
    </row>
    <row r="55" spans="2:9" x14ac:dyDescent="0.25">
      <c r="B55" s="32"/>
      <c r="C55" s="32" t="s">
        <v>9</v>
      </c>
      <c r="D55" s="50">
        <f t="shared" ref="D55:D56" si="11">D52/$D$50</f>
        <v>0</v>
      </c>
      <c r="E55" s="50">
        <f t="shared" ref="E55:E56" si="12">E52/$E$50</f>
        <v>0</v>
      </c>
      <c r="F55" s="51">
        <f t="shared" ref="F55:F56" si="13">F52/$F$50</f>
        <v>0</v>
      </c>
      <c r="G55" s="2"/>
      <c r="H55" s="2"/>
      <c r="I55" s="2"/>
    </row>
    <row r="56" spans="2:9" ht="15.75" thickBot="1" x14ac:dyDescent="0.3">
      <c r="B56" s="33"/>
      <c r="C56" s="33" t="s">
        <v>10</v>
      </c>
      <c r="D56" s="52">
        <f t="shared" si="11"/>
        <v>0.14097292641801182</v>
      </c>
      <c r="E56" s="52">
        <f t="shared" si="12"/>
        <v>0.13180123845067832</v>
      </c>
      <c r="F56" s="53">
        <f t="shared" si="13"/>
        <v>0.15204677917681933</v>
      </c>
      <c r="G56" s="2"/>
      <c r="H56" s="2"/>
      <c r="I56" s="2"/>
    </row>
  </sheetData>
  <mergeCells count="17">
    <mergeCell ref="C48:C49"/>
    <mergeCell ref="B48:B49"/>
    <mergeCell ref="D48:F48"/>
    <mergeCell ref="D32:F32"/>
    <mergeCell ref="B32:B33"/>
    <mergeCell ref="C32:C33"/>
    <mergeCell ref="B39:B40"/>
    <mergeCell ref="C39:C40"/>
    <mergeCell ref="D39:D40"/>
    <mergeCell ref="E39:G39"/>
    <mergeCell ref="D3:F3"/>
    <mergeCell ref="B3:B4"/>
    <mergeCell ref="C3:C4"/>
    <mergeCell ref="E16:G16"/>
    <mergeCell ref="D16:D17"/>
    <mergeCell ref="B16:B17"/>
    <mergeCell ref="C16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928C9-5E72-4EFB-B1F8-4E6F9BF9EAFC}">
  <dimension ref="B1:M56"/>
  <sheetViews>
    <sheetView showGridLines="0" zoomScaleNormal="100" workbookViewId="0">
      <selection activeCell="A50" sqref="A50:XFD50"/>
    </sheetView>
  </sheetViews>
  <sheetFormatPr defaultRowHeight="15" x14ac:dyDescent="0.25"/>
  <cols>
    <col min="2" max="2" width="58.85546875" bestFit="1" customWidth="1"/>
    <col min="3" max="3" width="13.5703125" bestFit="1" customWidth="1"/>
    <col min="4" max="4" width="27.85546875" customWidth="1"/>
    <col min="5" max="5" width="22.140625" bestFit="1" customWidth="1"/>
    <col min="6" max="9" width="22.140625" customWidth="1"/>
    <col min="10" max="10" width="13.5703125" bestFit="1" customWidth="1"/>
    <col min="11" max="11" width="34.85546875" bestFit="1" customWidth="1"/>
    <col min="12" max="12" width="22.140625" bestFit="1" customWidth="1"/>
    <col min="13" max="13" width="21" bestFit="1" customWidth="1"/>
  </cols>
  <sheetData>
    <row r="1" spans="2:13" ht="15.75" thickBot="1" x14ac:dyDescent="0.3"/>
    <row r="2" spans="2:13" ht="15.75" thickBot="1" x14ac:dyDescent="0.3">
      <c r="B2" s="40" t="s">
        <v>17</v>
      </c>
      <c r="C2" s="41"/>
      <c r="D2" s="41"/>
      <c r="E2" s="41"/>
      <c r="F2" s="42"/>
    </row>
    <row r="3" spans="2:13" ht="15.75" thickBot="1" x14ac:dyDescent="0.3">
      <c r="B3" s="99" t="s">
        <v>21</v>
      </c>
      <c r="C3" s="101" t="s">
        <v>20</v>
      </c>
      <c r="D3" s="96" t="s">
        <v>22</v>
      </c>
      <c r="E3" s="97"/>
      <c r="F3" s="98"/>
    </row>
    <row r="4" spans="2:13" ht="15.75" thickBot="1" x14ac:dyDescent="0.3">
      <c r="B4" s="100"/>
      <c r="C4" s="102"/>
      <c r="D4" s="15" t="s">
        <v>0</v>
      </c>
      <c r="E4" s="16" t="s">
        <v>1</v>
      </c>
      <c r="F4" s="17" t="s">
        <v>2</v>
      </c>
    </row>
    <row r="5" spans="2:13" x14ac:dyDescent="0.25">
      <c r="B5" s="4" t="s">
        <v>8</v>
      </c>
      <c r="C5" s="31" t="s">
        <v>3</v>
      </c>
      <c r="D5" s="12">
        <v>-8548.6801390308301</v>
      </c>
      <c r="E5" s="10">
        <v>-8993.5832567502948</v>
      </c>
      <c r="F5" s="11">
        <v>-8308.2539107726425</v>
      </c>
    </row>
    <row r="6" spans="2:13" x14ac:dyDescent="0.25">
      <c r="B6" s="6"/>
      <c r="C6" s="32" t="s">
        <v>4</v>
      </c>
      <c r="D6" s="18">
        <v>-42376.531629593155</v>
      </c>
      <c r="E6" s="19">
        <v>-42376.531629593155</v>
      </c>
      <c r="F6" s="20">
        <v>-42376.531629593155</v>
      </c>
    </row>
    <row r="7" spans="2:13" ht="15.75" thickBot="1" x14ac:dyDescent="0.3">
      <c r="B7" s="8"/>
      <c r="C7" s="33" t="s">
        <v>5</v>
      </c>
      <c r="D7" s="22">
        <v>0</v>
      </c>
      <c r="E7" s="23">
        <v>0</v>
      </c>
      <c r="F7" s="9">
        <v>0</v>
      </c>
    </row>
    <row r="8" spans="2:13" x14ac:dyDescent="0.25">
      <c r="B8" s="75" t="s">
        <v>9</v>
      </c>
      <c r="C8" s="76" t="s">
        <v>3</v>
      </c>
      <c r="D8" s="77"/>
      <c r="E8" s="78"/>
      <c r="F8" s="79"/>
    </row>
    <row r="9" spans="2:13" x14ac:dyDescent="0.25">
      <c r="B9" s="75"/>
      <c r="C9" s="76" t="s">
        <v>4</v>
      </c>
      <c r="D9" s="77"/>
      <c r="E9" s="78"/>
      <c r="F9" s="79"/>
    </row>
    <row r="10" spans="2:13" ht="15.75" thickBot="1" x14ac:dyDescent="0.3">
      <c r="B10" s="75"/>
      <c r="C10" s="76" t="s">
        <v>5</v>
      </c>
      <c r="D10" s="77"/>
      <c r="E10" s="78"/>
      <c r="F10" s="79"/>
    </row>
    <row r="11" spans="2:13" x14ac:dyDescent="0.25">
      <c r="B11" s="4" t="s">
        <v>19</v>
      </c>
      <c r="C11" s="31" t="s">
        <v>3</v>
      </c>
      <c r="D11" s="12">
        <v>-192320.20092740544</v>
      </c>
      <c r="E11" s="10">
        <v>-198802.86667517913</v>
      </c>
      <c r="F11" s="11">
        <v>-188817.9891622712</v>
      </c>
    </row>
    <row r="12" spans="2:13" x14ac:dyDescent="0.25">
      <c r="B12" s="6"/>
      <c r="C12" s="32" t="s">
        <v>4</v>
      </c>
      <c r="D12" s="24">
        <v>-583624.76948835922</v>
      </c>
      <c r="E12" s="1">
        <v>-583624.76948835922</v>
      </c>
      <c r="F12" s="7">
        <v>-583624.76948835922</v>
      </c>
    </row>
    <row r="13" spans="2:13" ht="15.75" thickBot="1" x14ac:dyDescent="0.3">
      <c r="B13" s="8"/>
      <c r="C13" s="33" t="s">
        <v>5</v>
      </c>
      <c r="D13" s="22">
        <v>0</v>
      </c>
      <c r="E13" s="23">
        <v>0</v>
      </c>
      <c r="F13" s="9">
        <v>0</v>
      </c>
    </row>
    <row r="14" spans="2:13" ht="15.75" thickBot="1" x14ac:dyDescent="0.3">
      <c r="K14" s="1"/>
      <c r="L14" s="1"/>
      <c r="M14" s="1"/>
    </row>
    <row r="15" spans="2:13" ht="15.75" thickBot="1" x14ac:dyDescent="0.3">
      <c r="B15" s="37" t="s">
        <v>18</v>
      </c>
      <c r="C15" s="38"/>
      <c r="D15" s="38"/>
      <c r="E15" s="38"/>
      <c r="F15" s="38"/>
      <c r="G15" s="39"/>
      <c r="K15" s="1"/>
      <c r="L15" s="1"/>
      <c r="M15" s="1"/>
    </row>
    <row r="16" spans="2:13" ht="15.75" thickBot="1" x14ac:dyDescent="0.3">
      <c r="B16" s="99" t="s">
        <v>21</v>
      </c>
      <c r="C16" s="101" t="s">
        <v>20</v>
      </c>
      <c r="D16" s="106" t="s">
        <v>6</v>
      </c>
      <c r="E16" s="103" t="s">
        <v>23</v>
      </c>
      <c r="F16" s="104"/>
      <c r="G16" s="105"/>
      <c r="K16" s="1"/>
      <c r="L16" s="1"/>
      <c r="M16" s="1"/>
    </row>
    <row r="17" spans="2:13" ht="15.75" thickBot="1" x14ac:dyDescent="0.3">
      <c r="B17" s="100"/>
      <c r="C17" s="102"/>
      <c r="D17" s="107"/>
      <c r="E17" s="15" t="s">
        <v>0</v>
      </c>
      <c r="F17" s="16" t="s">
        <v>1</v>
      </c>
      <c r="G17" s="17" t="s">
        <v>2</v>
      </c>
      <c r="K17" s="1"/>
      <c r="L17" s="1"/>
      <c r="M17" s="1"/>
    </row>
    <row r="18" spans="2:13" x14ac:dyDescent="0.25">
      <c r="B18" s="4" t="s">
        <v>8</v>
      </c>
      <c r="C18" s="31" t="s">
        <v>3</v>
      </c>
      <c r="D18">
        <v>760</v>
      </c>
      <c r="E18" s="12">
        <f t="shared" ref="E18:G20" si="0">D5*$D18</f>
        <v>-6496996.9056634307</v>
      </c>
      <c r="F18" s="10">
        <f t="shared" si="0"/>
        <v>-6835123.2751302244</v>
      </c>
      <c r="G18" s="11">
        <f t="shared" si="0"/>
        <v>-6314272.972187208</v>
      </c>
      <c r="K18" s="1"/>
      <c r="L18" s="1"/>
      <c r="M18" s="1"/>
    </row>
    <row r="19" spans="2:13" x14ac:dyDescent="0.25">
      <c r="B19" s="6"/>
      <c r="C19" s="32" t="s">
        <v>4</v>
      </c>
      <c r="D19">
        <v>483</v>
      </c>
      <c r="E19" s="24">
        <f t="shared" si="0"/>
        <v>-20467864.777093492</v>
      </c>
      <c r="F19" s="1">
        <f t="shared" si="0"/>
        <v>-20467864.777093492</v>
      </c>
      <c r="G19" s="7">
        <f t="shared" si="0"/>
        <v>-20467864.777093492</v>
      </c>
      <c r="K19" s="1"/>
      <c r="L19" s="1"/>
      <c r="M19" s="1"/>
    </row>
    <row r="20" spans="2:13" x14ac:dyDescent="0.25">
      <c r="B20" s="6"/>
      <c r="C20" s="32" t="s">
        <v>5</v>
      </c>
      <c r="D20">
        <v>1116</v>
      </c>
      <c r="E20" s="24">
        <f t="shared" si="0"/>
        <v>0</v>
      </c>
      <c r="F20" s="1">
        <f t="shared" si="0"/>
        <v>0</v>
      </c>
      <c r="G20" s="7">
        <f t="shared" si="0"/>
        <v>0</v>
      </c>
      <c r="K20" s="1"/>
      <c r="L20" s="1"/>
      <c r="M20" s="1"/>
    </row>
    <row r="21" spans="2:13" ht="15.75" thickBot="1" x14ac:dyDescent="0.3">
      <c r="B21" s="8"/>
      <c r="C21" s="33" t="s">
        <v>7</v>
      </c>
      <c r="D21" s="27"/>
      <c r="E21" s="22">
        <f>SUM(E18:E20)</f>
        <v>-26964861.682756923</v>
      </c>
      <c r="F21" s="23">
        <f t="shared" ref="F21:G21" si="1">SUM(F18:F20)</f>
        <v>-27302988.052223716</v>
      </c>
      <c r="G21" s="9">
        <f t="shared" si="1"/>
        <v>-26782137.749280699</v>
      </c>
      <c r="K21" s="1"/>
      <c r="L21" s="1"/>
      <c r="M21" s="1"/>
    </row>
    <row r="22" spans="2:13" x14ac:dyDescent="0.25">
      <c r="B22" s="75" t="s">
        <v>9</v>
      </c>
      <c r="C22" s="76" t="s">
        <v>3</v>
      </c>
      <c r="D22" s="80">
        <v>760</v>
      </c>
      <c r="E22" s="77">
        <f t="shared" ref="E22:G24" si="2">D8*$D22</f>
        <v>0</v>
      </c>
      <c r="F22" s="78">
        <f t="shared" si="2"/>
        <v>0</v>
      </c>
      <c r="G22" s="79">
        <f t="shared" si="2"/>
        <v>0</v>
      </c>
      <c r="K22" s="1"/>
      <c r="L22" s="1"/>
      <c r="M22" s="1"/>
    </row>
    <row r="23" spans="2:13" x14ac:dyDescent="0.25">
      <c r="B23" s="75"/>
      <c r="C23" s="76" t="s">
        <v>4</v>
      </c>
      <c r="D23" s="80">
        <v>483</v>
      </c>
      <c r="E23" s="77">
        <f t="shared" si="2"/>
        <v>0</v>
      </c>
      <c r="F23" s="78">
        <f t="shared" si="2"/>
        <v>0</v>
      </c>
      <c r="G23" s="79">
        <f t="shared" si="2"/>
        <v>0</v>
      </c>
      <c r="K23" s="1"/>
      <c r="L23" s="1"/>
      <c r="M23" s="1"/>
    </row>
    <row r="24" spans="2:13" x14ac:dyDescent="0.25">
      <c r="B24" s="75"/>
      <c r="C24" s="76" t="s">
        <v>5</v>
      </c>
      <c r="D24" s="80">
        <v>1116</v>
      </c>
      <c r="E24" s="77">
        <f t="shared" si="2"/>
        <v>0</v>
      </c>
      <c r="F24" s="78">
        <f t="shared" si="2"/>
        <v>0</v>
      </c>
      <c r="G24" s="79">
        <f t="shared" si="2"/>
        <v>0</v>
      </c>
      <c r="K24" s="1"/>
      <c r="L24" s="1"/>
      <c r="M24" s="1"/>
    </row>
    <row r="25" spans="2:13" ht="15.75" thickBot="1" x14ac:dyDescent="0.3">
      <c r="B25" s="75"/>
      <c r="C25" s="76" t="s">
        <v>7</v>
      </c>
      <c r="D25" s="81"/>
      <c r="E25" s="77">
        <f>SUM(E22:E24)</f>
        <v>0</v>
      </c>
      <c r="F25" s="78">
        <f t="shared" ref="F25:G25" si="3">SUM(F22:F24)</f>
        <v>0</v>
      </c>
      <c r="G25" s="79">
        <f t="shared" si="3"/>
        <v>0</v>
      </c>
      <c r="K25" s="1"/>
      <c r="L25" s="1"/>
      <c r="M25" s="1"/>
    </row>
    <row r="26" spans="2:13" x14ac:dyDescent="0.25">
      <c r="B26" s="4" t="s">
        <v>19</v>
      </c>
      <c r="C26" s="31" t="s">
        <v>3</v>
      </c>
      <c r="D26" s="31">
        <v>760</v>
      </c>
      <c r="E26" s="12">
        <f t="shared" ref="E26:G28" si="4">D11*$D26</f>
        <v>-146163352.70482814</v>
      </c>
      <c r="F26" s="10">
        <f t="shared" si="4"/>
        <v>-151090178.67313614</v>
      </c>
      <c r="G26" s="11">
        <f t="shared" si="4"/>
        <v>-143501671.76332611</v>
      </c>
      <c r="K26" s="1"/>
      <c r="L26" s="1"/>
      <c r="M26" s="1"/>
    </row>
    <row r="27" spans="2:13" x14ac:dyDescent="0.25">
      <c r="B27" s="6"/>
      <c r="C27" s="32" t="s">
        <v>4</v>
      </c>
      <c r="D27" s="32">
        <v>483</v>
      </c>
      <c r="E27" s="24">
        <f t="shared" si="4"/>
        <v>-281890763.6628775</v>
      </c>
      <c r="F27" s="1">
        <f t="shared" si="4"/>
        <v>-281890763.6628775</v>
      </c>
      <c r="G27" s="7">
        <f t="shared" si="4"/>
        <v>-281890763.6628775</v>
      </c>
      <c r="K27" s="1"/>
      <c r="L27" s="1"/>
      <c r="M27" s="1"/>
    </row>
    <row r="28" spans="2:13" x14ac:dyDescent="0.25">
      <c r="B28" s="6"/>
      <c r="C28" s="32" t="s">
        <v>5</v>
      </c>
      <c r="D28" s="32">
        <v>1116</v>
      </c>
      <c r="E28" s="24">
        <f t="shared" si="4"/>
        <v>0</v>
      </c>
      <c r="F28" s="1">
        <f t="shared" si="4"/>
        <v>0</v>
      </c>
      <c r="G28" s="7">
        <f t="shared" si="4"/>
        <v>0</v>
      </c>
      <c r="K28" s="1"/>
      <c r="L28" s="1"/>
      <c r="M28" s="1"/>
    </row>
    <row r="29" spans="2:13" ht="15.75" thickBot="1" x14ac:dyDescent="0.3">
      <c r="B29" s="8"/>
      <c r="C29" s="33" t="s">
        <v>7</v>
      </c>
      <c r="D29" s="33"/>
      <c r="E29" s="22">
        <f>SUM(E26:E28)</f>
        <v>-428054116.36770564</v>
      </c>
      <c r="F29" s="23">
        <f t="shared" ref="F29:G29" si="5">SUM(F26:F28)</f>
        <v>-432980942.33601367</v>
      </c>
      <c r="G29" s="9">
        <f t="shared" si="5"/>
        <v>-425392435.42620361</v>
      </c>
      <c r="K29" s="1"/>
      <c r="L29" s="1"/>
      <c r="M29" s="1"/>
    </row>
    <row r="30" spans="2:13" ht="15.75" thickBot="1" x14ac:dyDescent="0.3">
      <c r="K30" s="1"/>
      <c r="L30" s="1"/>
      <c r="M30" s="1"/>
    </row>
    <row r="31" spans="2:13" ht="15.75" thickBot="1" x14ac:dyDescent="0.3">
      <c r="B31" s="49" t="s">
        <v>24</v>
      </c>
      <c r="C31" s="35"/>
      <c r="D31" s="35"/>
      <c r="E31" s="35"/>
      <c r="F31" s="36"/>
      <c r="K31" s="1"/>
      <c r="L31" s="1"/>
      <c r="M31" s="1"/>
    </row>
    <row r="32" spans="2:13" ht="15.75" thickBot="1" x14ac:dyDescent="0.3">
      <c r="B32" s="99" t="s">
        <v>21</v>
      </c>
      <c r="C32" s="101" t="s">
        <v>20</v>
      </c>
      <c r="D32" s="108" t="s">
        <v>11</v>
      </c>
      <c r="E32" s="109"/>
      <c r="F32" s="110"/>
      <c r="K32" s="1"/>
      <c r="L32" s="1"/>
      <c r="M32" s="1"/>
    </row>
    <row r="33" spans="2:13" ht="15.75" thickBot="1" x14ac:dyDescent="0.3">
      <c r="B33" s="100"/>
      <c r="C33" s="102"/>
      <c r="D33" s="43" t="s">
        <v>0</v>
      </c>
      <c r="E33" s="44" t="s">
        <v>1</v>
      </c>
      <c r="F33" s="45" t="s">
        <v>2</v>
      </c>
      <c r="G33" s="28"/>
      <c r="H33" s="28"/>
      <c r="I33" s="28"/>
      <c r="J33" s="29"/>
    </row>
    <row r="34" spans="2:13" x14ac:dyDescent="0.25">
      <c r="B34" s="32" t="s">
        <v>14</v>
      </c>
      <c r="C34" s="32" t="s">
        <v>3</v>
      </c>
      <c r="D34" s="24">
        <v>-4208686.2942300672</v>
      </c>
      <c r="E34" s="1">
        <v>-4555438.3785672523</v>
      </c>
      <c r="F34" s="7">
        <v>-3851860.3610761287</v>
      </c>
      <c r="G34" s="1"/>
      <c r="H34" s="1"/>
      <c r="I34" s="1"/>
      <c r="J34" s="30"/>
      <c r="K34" s="1"/>
      <c r="L34" s="1"/>
      <c r="M34" s="1"/>
    </row>
    <row r="35" spans="2:13" x14ac:dyDescent="0.25">
      <c r="B35" s="32"/>
      <c r="C35" s="32" t="s">
        <v>4</v>
      </c>
      <c r="D35" s="24">
        <v>-693423.40522238275</v>
      </c>
      <c r="E35" s="1">
        <v>-726209.57383970707</v>
      </c>
      <c r="F35" s="7">
        <v>-660206.61618077452</v>
      </c>
      <c r="G35" s="1"/>
      <c r="H35" s="1"/>
      <c r="I35" s="1"/>
      <c r="J35" s="30"/>
      <c r="K35" s="1"/>
      <c r="L35" s="1"/>
      <c r="M35" s="1"/>
    </row>
    <row r="36" spans="2:13" ht="15.75" thickBot="1" x14ac:dyDescent="0.3">
      <c r="B36" s="33"/>
      <c r="C36" s="33" t="s">
        <v>5</v>
      </c>
      <c r="D36" s="22">
        <v>-1076592.5643644766</v>
      </c>
      <c r="E36" s="23">
        <v>-1158450.4740427942</v>
      </c>
      <c r="F36" s="9">
        <v>-996180.47789121419</v>
      </c>
      <c r="G36" s="1"/>
      <c r="H36" s="1"/>
      <c r="I36" s="1"/>
      <c r="J36" s="30"/>
      <c r="K36" s="1"/>
      <c r="L36" s="1"/>
      <c r="M36" s="1"/>
    </row>
    <row r="37" spans="2:13" ht="15.75" thickBot="1" x14ac:dyDescent="0.3">
      <c r="J37" s="30"/>
      <c r="K37" s="1"/>
      <c r="L37" s="1"/>
      <c r="M37" s="1"/>
    </row>
    <row r="38" spans="2:13" ht="15.75" thickBot="1" x14ac:dyDescent="0.3">
      <c r="B38" s="46" t="s">
        <v>25</v>
      </c>
      <c r="C38" s="47"/>
      <c r="D38" s="47"/>
      <c r="E38" s="47"/>
      <c r="F38" s="47"/>
      <c r="G38" s="48"/>
      <c r="J38" s="30"/>
      <c r="K38" s="1"/>
      <c r="L38" s="1"/>
      <c r="M38" s="1"/>
    </row>
    <row r="39" spans="2:13" ht="15.75" thickBot="1" x14ac:dyDescent="0.3">
      <c r="B39" s="111" t="s">
        <v>21</v>
      </c>
      <c r="C39" s="112" t="s">
        <v>20</v>
      </c>
      <c r="D39" s="106" t="s">
        <v>6</v>
      </c>
      <c r="E39" s="114" t="s">
        <v>11</v>
      </c>
      <c r="F39" s="115"/>
      <c r="G39" s="116"/>
      <c r="J39" s="30"/>
      <c r="K39" s="1"/>
      <c r="L39" s="1"/>
      <c r="M39" s="1"/>
    </row>
    <row r="40" spans="2:13" ht="15.75" thickBot="1" x14ac:dyDescent="0.3">
      <c r="B40" s="111"/>
      <c r="C40" s="112"/>
      <c r="D40" s="113"/>
      <c r="E40" s="15" t="s">
        <v>0</v>
      </c>
      <c r="F40" s="16" t="s">
        <v>1</v>
      </c>
      <c r="G40" s="17" t="s">
        <v>2</v>
      </c>
      <c r="J40" s="30"/>
      <c r="K40" s="1"/>
      <c r="L40" s="1"/>
      <c r="M40" s="1"/>
    </row>
    <row r="41" spans="2:13" x14ac:dyDescent="0.25">
      <c r="B41" s="31" t="s">
        <v>14</v>
      </c>
      <c r="C41" s="5" t="s">
        <v>3</v>
      </c>
      <c r="D41" s="31">
        <v>760</v>
      </c>
      <c r="E41" s="10">
        <f>$D$41*D34</f>
        <v>-3198601583.614851</v>
      </c>
      <c r="F41" s="10">
        <f t="shared" ref="F41:G41" si="6">$D$41*E34</f>
        <v>-3462133167.7111115</v>
      </c>
      <c r="G41" s="11">
        <f t="shared" si="6"/>
        <v>-2927413874.4178576</v>
      </c>
      <c r="J41" s="30"/>
      <c r="K41" s="1"/>
      <c r="L41" s="1"/>
      <c r="M41" s="1"/>
    </row>
    <row r="42" spans="2:13" x14ac:dyDescent="0.25">
      <c r="B42" s="32"/>
      <c r="C42" t="s">
        <v>4</v>
      </c>
      <c r="D42" s="32">
        <v>483</v>
      </c>
      <c r="E42" s="1">
        <f>$D$42*D35</f>
        <v>-334923504.72241086</v>
      </c>
      <c r="F42" s="1">
        <f t="shared" ref="F42:G42" si="7">$D$42*E35</f>
        <v>-350759224.1645785</v>
      </c>
      <c r="G42" s="7">
        <f t="shared" si="7"/>
        <v>-318879795.61531407</v>
      </c>
      <c r="J42" s="30"/>
      <c r="K42" s="1"/>
      <c r="L42" s="1"/>
      <c r="M42" s="1"/>
    </row>
    <row r="43" spans="2:13" x14ac:dyDescent="0.25">
      <c r="B43" s="32"/>
      <c r="C43" t="s">
        <v>5</v>
      </c>
      <c r="D43" s="32">
        <v>1116</v>
      </c>
      <c r="E43" s="1">
        <f>$D$43*D36</f>
        <v>-1201477301.8307559</v>
      </c>
      <c r="F43" s="1">
        <f t="shared" ref="F43:G43" si="8">$D$43*E36</f>
        <v>-1292830729.0317583</v>
      </c>
      <c r="G43" s="7">
        <f t="shared" si="8"/>
        <v>-1111737413.3265951</v>
      </c>
      <c r="J43" s="30"/>
      <c r="K43" s="1"/>
      <c r="L43" s="1"/>
      <c r="M43" s="1"/>
    </row>
    <row r="44" spans="2:13" ht="15.75" thickBot="1" x14ac:dyDescent="0.3">
      <c r="B44" s="33"/>
      <c r="C44" s="13" t="s">
        <v>7</v>
      </c>
      <c r="D44" s="33"/>
      <c r="E44" s="23">
        <f>SUM(E41:E43)</f>
        <v>-4735002390.1680174</v>
      </c>
      <c r="F44" s="23">
        <f>SUM(F41:F43)</f>
        <v>-5105723120.9074478</v>
      </c>
      <c r="G44" s="9">
        <f>SUM(G41:G43)</f>
        <v>-4358031083.359767</v>
      </c>
      <c r="J44" s="30"/>
      <c r="K44" s="1"/>
      <c r="L44" s="1"/>
      <c r="M44" s="1"/>
    </row>
    <row r="45" spans="2:13" x14ac:dyDescent="0.25">
      <c r="J45" s="30"/>
      <c r="K45" s="1"/>
      <c r="L45" s="1"/>
      <c r="M45" s="1"/>
    </row>
    <row r="46" spans="2:13" ht="15.75" thickBot="1" x14ac:dyDescent="0.3">
      <c r="J46" s="30"/>
      <c r="K46" s="1"/>
      <c r="L46" s="1"/>
      <c r="M46" s="1"/>
    </row>
    <row r="47" spans="2:13" ht="15.75" thickBot="1" x14ac:dyDescent="0.3">
      <c r="B47" s="54" t="s">
        <v>26</v>
      </c>
      <c r="C47" s="55"/>
      <c r="D47" s="55"/>
      <c r="E47" s="55"/>
      <c r="F47" s="56"/>
    </row>
    <row r="48" spans="2:13" ht="15.75" thickBot="1" x14ac:dyDescent="0.3">
      <c r="B48" s="101" t="s">
        <v>27</v>
      </c>
      <c r="C48" s="101" t="s">
        <v>21</v>
      </c>
      <c r="D48" s="96" t="s">
        <v>28</v>
      </c>
      <c r="E48" s="97"/>
      <c r="F48" s="98"/>
    </row>
    <row r="49" spans="2:9" ht="15.75" thickBot="1" x14ac:dyDescent="0.3">
      <c r="B49" s="102"/>
      <c r="C49" s="102"/>
      <c r="D49" s="15" t="s">
        <v>0</v>
      </c>
      <c r="E49" s="16" t="s">
        <v>1</v>
      </c>
      <c r="F49" s="17" t="s">
        <v>2</v>
      </c>
    </row>
    <row r="50" spans="2:9" ht="15.75" thickBot="1" x14ac:dyDescent="0.3">
      <c r="B50" s="34" t="s">
        <v>11</v>
      </c>
      <c r="C50" s="34" t="s">
        <v>13</v>
      </c>
      <c r="D50" s="57">
        <f>E44</f>
        <v>-4735002390.1680174</v>
      </c>
      <c r="E50" s="57">
        <f>F44</f>
        <v>-5105723120.9074478</v>
      </c>
      <c r="F50" s="58">
        <f>G44</f>
        <v>-4358031083.359767</v>
      </c>
      <c r="G50" s="1"/>
      <c r="H50" s="1"/>
      <c r="I50" s="1"/>
    </row>
    <row r="51" spans="2:9" x14ac:dyDescent="0.25">
      <c r="B51" s="32" t="s">
        <v>12</v>
      </c>
      <c r="C51" s="32" t="s">
        <v>8</v>
      </c>
      <c r="D51" s="1">
        <f>E21</f>
        <v>-26964861.682756923</v>
      </c>
      <c r="E51" s="1">
        <f>F21</f>
        <v>-27302988.052223716</v>
      </c>
      <c r="F51" s="7">
        <f>G21</f>
        <v>-26782137.749280699</v>
      </c>
      <c r="G51" s="1"/>
      <c r="H51" s="1"/>
      <c r="I51" s="1"/>
    </row>
    <row r="52" spans="2:9" x14ac:dyDescent="0.25">
      <c r="B52" s="32"/>
      <c r="C52" s="76" t="s">
        <v>9</v>
      </c>
      <c r="D52" s="78">
        <f>E25</f>
        <v>0</v>
      </c>
      <c r="E52" s="78">
        <f>F25</f>
        <v>0</v>
      </c>
      <c r="F52" s="79">
        <f>G25</f>
        <v>0</v>
      </c>
      <c r="G52" s="1"/>
      <c r="H52" s="1"/>
      <c r="I52" s="1"/>
    </row>
    <row r="53" spans="2:9" ht="15.75" thickBot="1" x14ac:dyDescent="0.3">
      <c r="B53" s="32"/>
      <c r="C53" s="32" t="s">
        <v>10</v>
      </c>
      <c r="D53" s="1">
        <f>E29</f>
        <v>-428054116.36770564</v>
      </c>
      <c r="E53" s="1">
        <f>F29</f>
        <v>-432980942.33601367</v>
      </c>
      <c r="F53" s="7">
        <f>G29</f>
        <v>-425392435.42620361</v>
      </c>
      <c r="G53" s="1"/>
      <c r="H53" s="1"/>
      <c r="I53" s="1"/>
    </row>
    <row r="54" spans="2:9" x14ac:dyDescent="0.25">
      <c r="B54" s="31" t="s">
        <v>29</v>
      </c>
      <c r="C54" s="31" t="s">
        <v>8</v>
      </c>
      <c r="D54" s="59">
        <f>D51/$D$50</f>
        <v>5.6947936792488291E-3</v>
      </c>
      <c r="E54" s="59">
        <f>E51/$E$50</f>
        <v>5.3475261790872659E-3</v>
      </c>
      <c r="F54" s="60">
        <f>F51/$F$50</f>
        <v>6.145467353719139E-3</v>
      </c>
      <c r="G54" s="2"/>
      <c r="H54" s="2"/>
      <c r="I54" s="2"/>
    </row>
    <row r="55" spans="2:9" x14ac:dyDescent="0.25">
      <c r="B55" s="32"/>
      <c r="C55" s="76" t="s">
        <v>9</v>
      </c>
      <c r="D55" s="82">
        <f t="shared" ref="D55:D56" si="9">D52/$D$50</f>
        <v>0</v>
      </c>
      <c r="E55" s="82">
        <f t="shared" ref="E55:E56" si="10">E52/$E$50</f>
        <v>0</v>
      </c>
      <c r="F55" s="83">
        <f t="shared" ref="F55:F56" si="11">F52/$F$50</f>
        <v>0</v>
      </c>
      <c r="G55" s="2"/>
      <c r="H55" s="2"/>
      <c r="I55" s="2"/>
    </row>
    <row r="56" spans="2:9" ht="15.75" thickBot="1" x14ac:dyDescent="0.3">
      <c r="B56" s="33"/>
      <c r="C56" s="33" t="s">
        <v>10</v>
      </c>
      <c r="D56" s="52">
        <f t="shared" si="9"/>
        <v>9.040209087466089E-2</v>
      </c>
      <c r="E56" s="52">
        <f t="shared" si="10"/>
        <v>8.4803059641639811E-2</v>
      </c>
      <c r="F56" s="53">
        <f t="shared" si="11"/>
        <v>9.7611152212859598E-2</v>
      </c>
      <c r="G56" s="2"/>
      <c r="H56" s="2"/>
      <c r="I56" s="2"/>
    </row>
  </sheetData>
  <mergeCells count="17">
    <mergeCell ref="B3:B4"/>
    <mergeCell ref="C3:C4"/>
    <mergeCell ref="D3:F3"/>
    <mergeCell ref="B16:B17"/>
    <mergeCell ref="C16:C17"/>
    <mergeCell ref="D16:D17"/>
    <mergeCell ref="E16:G16"/>
    <mergeCell ref="B48:B49"/>
    <mergeCell ref="C48:C49"/>
    <mergeCell ref="D48:F48"/>
    <mergeCell ref="B32:B33"/>
    <mergeCell ref="C32:C33"/>
    <mergeCell ref="D32:F32"/>
    <mergeCell ref="B39:B40"/>
    <mergeCell ref="C39:C40"/>
    <mergeCell ref="D39:D40"/>
    <mergeCell ref="E39:G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6957-A421-4CC4-A5D3-BDE11680C361}">
  <dimension ref="B1:F17"/>
  <sheetViews>
    <sheetView showGridLines="0" zoomScale="80" zoomScaleNormal="80" workbookViewId="0">
      <selection activeCell="I4" sqref="I4"/>
    </sheetView>
  </sheetViews>
  <sheetFormatPr defaultRowHeight="15" x14ac:dyDescent="0.25"/>
  <cols>
    <col min="2" max="2" width="21" bestFit="1" customWidth="1"/>
    <col min="3" max="3" width="18.42578125" bestFit="1" customWidth="1"/>
    <col min="4" max="4" width="20.5703125" bestFit="1" customWidth="1"/>
    <col min="5" max="5" width="13.5703125" bestFit="1" customWidth="1"/>
    <col min="6" max="6" width="21" bestFit="1" customWidth="1"/>
  </cols>
  <sheetData>
    <row r="1" spans="2:6" ht="15.75" thickBot="1" x14ac:dyDescent="0.3">
      <c r="C1" s="3"/>
    </row>
    <row r="2" spans="2:6" ht="15.75" thickBot="1" x14ac:dyDescent="0.3">
      <c r="B2" s="68" t="s">
        <v>32</v>
      </c>
      <c r="C2" s="65"/>
      <c r="D2" s="66"/>
      <c r="E2" s="66"/>
      <c r="F2" s="67"/>
    </row>
    <row r="3" spans="2:6" ht="15.75" thickBot="1" x14ac:dyDescent="0.3">
      <c r="B3" s="62" t="s">
        <v>21</v>
      </c>
      <c r="C3" s="31" t="s">
        <v>20</v>
      </c>
      <c r="D3" s="31" t="s">
        <v>31</v>
      </c>
      <c r="E3" s="31" t="s">
        <v>6</v>
      </c>
      <c r="F3" s="61" t="s">
        <v>30</v>
      </c>
    </row>
    <row r="4" spans="2:6" x14ac:dyDescent="0.25">
      <c r="B4" s="6" t="s">
        <v>14</v>
      </c>
      <c r="C4" s="31" t="s">
        <v>3</v>
      </c>
      <c r="D4" s="64">
        <v>575000</v>
      </c>
      <c r="E4" s="14">
        <v>986</v>
      </c>
      <c r="F4" s="11">
        <f>D4*E4</f>
        <v>566950000</v>
      </c>
    </row>
    <row r="5" spans="2:6" x14ac:dyDescent="0.25">
      <c r="B5" s="6"/>
      <c r="C5" s="32" t="s">
        <v>4</v>
      </c>
      <c r="D5" s="63">
        <v>147043.78307799439</v>
      </c>
      <c r="E5" s="21">
        <v>1992</v>
      </c>
      <c r="F5" s="7">
        <f t="shared" ref="F5:F6" si="0">D5*E5</f>
        <v>292911215.89136481</v>
      </c>
    </row>
    <row r="6" spans="2:6" ht="15.75" thickBot="1" x14ac:dyDescent="0.3">
      <c r="B6" s="6"/>
      <c r="C6" s="32" t="s">
        <v>5</v>
      </c>
      <c r="D6" s="63">
        <v>49813.121969739572</v>
      </c>
      <c r="E6" s="21">
        <v>3772</v>
      </c>
      <c r="F6" s="7">
        <f t="shared" si="0"/>
        <v>187895096.06985766</v>
      </c>
    </row>
    <row r="7" spans="2:6" ht="15.75" thickBot="1" x14ac:dyDescent="0.3">
      <c r="B7" s="8"/>
      <c r="C7" s="117" t="s">
        <v>7</v>
      </c>
      <c r="D7" s="118"/>
      <c r="E7" s="119"/>
      <c r="F7" s="9">
        <f>SUM(F4:F6)</f>
        <v>1047756311.9612224</v>
      </c>
    </row>
    <row r="8" spans="2:6" ht="15.75" thickBot="1" x14ac:dyDescent="0.3"/>
    <row r="9" spans="2:6" ht="15.75" thickBot="1" x14ac:dyDescent="0.3">
      <c r="B9" s="72" t="s">
        <v>33</v>
      </c>
      <c r="C9" s="70"/>
      <c r="D9" s="71"/>
    </row>
    <row r="10" spans="2:6" ht="15.75" thickBot="1" x14ac:dyDescent="0.3">
      <c r="B10" s="108" t="s">
        <v>36</v>
      </c>
      <c r="C10" s="96" t="s">
        <v>21</v>
      </c>
      <c r="D10" s="98"/>
    </row>
    <row r="11" spans="2:6" ht="15.75" thickBot="1" x14ac:dyDescent="0.3">
      <c r="B11" s="120"/>
      <c r="C11" s="31" t="s">
        <v>8</v>
      </c>
      <c r="D11" s="61" t="s">
        <v>19</v>
      </c>
    </row>
    <row r="12" spans="2:6" ht="15.75" thickBot="1" x14ac:dyDescent="0.3">
      <c r="B12" s="4" t="s">
        <v>34</v>
      </c>
      <c r="C12" s="64">
        <v>11908618.53420254</v>
      </c>
      <c r="D12" s="11">
        <v>191639979.42879176</v>
      </c>
    </row>
    <row r="13" spans="2:6" ht="15.75" thickBot="1" x14ac:dyDescent="0.3">
      <c r="B13" s="62" t="s">
        <v>37</v>
      </c>
      <c r="C13" s="69">
        <v>15164261.875464201</v>
      </c>
      <c r="D13" s="58">
        <v>244031566.42777866</v>
      </c>
    </row>
    <row r="14" spans="2:6" ht="15.75" thickBot="1" x14ac:dyDescent="0.3">
      <c r="B14" s="6" t="s">
        <v>7</v>
      </c>
      <c r="C14" s="63">
        <v>27072880.409666739</v>
      </c>
      <c r="D14" s="7">
        <v>435671545.85657042</v>
      </c>
    </row>
    <row r="15" spans="2:6" ht="15.75" thickBot="1" x14ac:dyDescent="0.3">
      <c r="B15" s="62" t="s">
        <v>35</v>
      </c>
      <c r="C15" s="73">
        <f>C14/F7</f>
        <v>2.5838909392004415E-2</v>
      </c>
      <c r="D15" s="74">
        <f>D14/F7</f>
        <v>0.41581381174508703</v>
      </c>
    </row>
    <row r="16" spans="2:6" x14ac:dyDescent="0.25">
      <c r="B16" t="s">
        <v>15</v>
      </c>
    </row>
    <row r="17" spans="2:2" x14ac:dyDescent="0.25">
      <c r="B17" t="s">
        <v>16</v>
      </c>
    </row>
  </sheetData>
  <mergeCells count="3">
    <mergeCell ref="C7:E7"/>
    <mergeCell ref="B10:B11"/>
    <mergeCell ref="C10:D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EFF2-F67A-4156-B8CC-0EA8AEF5EF6E}">
  <dimension ref="B1:BI109"/>
  <sheetViews>
    <sheetView showGridLines="0" tabSelected="1" zoomScaleNormal="100" workbookViewId="0">
      <selection activeCell="E29" sqref="E29"/>
    </sheetView>
  </sheetViews>
  <sheetFormatPr defaultRowHeight="15" x14ac:dyDescent="0.25"/>
  <cols>
    <col min="2" max="2" width="42.5703125" customWidth="1"/>
    <col min="3" max="3" width="26.7109375" customWidth="1"/>
    <col min="4" max="4" width="23.85546875" customWidth="1"/>
    <col min="5" max="5" width="24.28515625" customWidth="1"/>
    <col min="6" max="6" width="21" bestFit="1" customWidth="1"/>
    <col min="7" max="7" width="24.85546875" customWidth="1"/>
    <col min="8" max="9" width="22.28515625" customWidth="1"/>
    <col min="10" max="10" width="11.28515625" bestFit="1" customWidth="1"/>
    <col min="11" max="11" width="17.85546875" customWidth="1"/>
    <col min="12" max="13" width="24" customWidth="1"/>
    <col min="27" max="27" width="19.85546875" bestFit="1" customWidth="1"/>
    <col min="28" max="28" width="12.28515625" bestFit="1" customWidth="1"/>
    <col min="37" max="37" width="28.85546875" customWidth="1"/>
    <col min="38" max="38" width="25.28515625" customWidth="1"/>
    <col min="39" max="39" width="11.28515625" bestFit="1" customWidth="1"/>
    <col min="48" max="48" width="21.140625" customWidth="1"/>
    <col min="49" max="49" width="31.5703125" customWidth="1"/>
    <col min="58" max="58" width="26.42578125" bestFit="1" customWidth="1"/>
    <col min="59" max="59" width="30.28515625" customWidth="1"/>
    <col min="60" max="60" width="11.28515625" bestFit="1" customWidth="1"/>
    <col min="61" max="61" width="20.85546875" bestFit="1" customWidth="1"/>
  </cols>
  <sheetData>
    <row r="1" spans="2:12" ht="15.75" thickBot="1" x14ac:dyDescent="0.3">
      <c r="C1" s="3"/>
    </row>
    <row r="2" spans="2:12" ht="15.75" thickBot="1" x14ac:dyDescent="0.3">
      <c r="B2" s="68" t="s">
        <v>32</v>
      </c>
      <c r="C2" s="65"/>
      <c r="D2" s="66"/>
      <c r="E2" s="66"/>
      <c r="F2" s="67"/>
    </row>
    <row r="3" spans="2:12" ht="15.75" thickBot="1" x14ac:dyDescent="0.3">
      <c r="B3" s="62" t="s">
        <v>21</v>
      </c>
      <c r="C3" s="31" t="s">
        <v>20</v>
      </c>
      <c r="D3" s="31" t="s">
        <v>31</v>
      </c>
      <c r="E3" s="31" t="s">
        <v>6</v>
      </c>
      <c r="F3" s="61" t="s">
        <v>30</v>
      </c>
    </row>
    <row r="4" spans="2:12" x14ac:dyDescent="0.25">
      <c r="B4" s="6" t="s">
        <v>14</v>
      </c>
      <c r="C4" s="31" t="s">
        <v>3</v>
      </c>
      <c r="D4" s="64">
        <v>575000</v>
      </c>
      <c r="E4" s="31">
        <v>760</v>
      </c>
      <c r="F4" s="11">
        <f>D4*E4</f>
        <v>437000000</v>
      </c>
      <c r="I4">
        <v>-4735002390.1680174</v>
      </c>
      <c r="J4">
        <f>I4*-1</f>
        <v>4735002390.1680174</v>
      </c>
    </row>
    <row r="5" spans="2:12" x14ac:dyDescent="0.25">
      <c r="B5" s="6"/>
      <c r="C5" s="32" t="s">
        <v>4</v>
      </c>
      <c r="D5" s="63">
        <v>147043.78307799439</v>
      </c>
      <c r="E5" s="32">
        <v>483</v>
      </c>
      <c r="F5" s="7">
        <f t="shared" ref="F5:F6" si="0">D5*E5</f>
        <v>71022147.226671293</v>
      </c>
      <c r="I5">
        <v>-26964861.682756923</v>
      </c>
    </row>
    <row r="6" spans="2:12" ht="15.75" thickBot="1" x14ac:dyDescent="0.3">
      <c r="B6" s="6"/>
      <c r="C6" s="32" t="s">
        <v>5</v>
      </c>
      <c r="D6" s="63">
        <v>49813.121969739572</v>
      </c>
      <c r="E6" s="33">
        <v>1116</v>
      </c>
      <c r="F6" s="7">
        <f t="shared" si="0"/>
        <v>55591444.118229359</v>
      </c>
      <c r="I6">
        <v>27072880.409666739</v>
      </c>
    </row>
    <row r="7" spans="2:12" ht="15.75" thickBot="1" x14ac:dyDescent="0.3">
      <c r="B7" s="8"/>
      <c r="C7" s="117" t="s">
        <v>7</v>
      </c>
      <c r="D7" s="118"/>
      <c r="E7" s="119"/>
      <c r="F7" s="9">
        <f>SUM(F4:F6)</f>
        <v>563613591.34490061</v>
      </c>
      <c r="K7" t="s">
        <v>57</v>
      </c>
      <c r="L7" s="1">
        <f>J4-F7-AB47</f>
        <v>4144423937.1403599</v>
      </c>
    </row>
    <row r="8" spans="2:12" ht="15.75" thickBot="1" x14ac:dyDescent="0.3">
      <c r="K8" t="s">
        <v>58</v>
      </c>
      <c r="L8" s="1">
        <f>F7-AB48</f>
        <v>536540710.93523389</v>
      </c>
    </row>
    <row r="9" spans="2:12" ht="15.75" thickBot="1" x14ac:dyDescent="0.3">
      <c r="B9" s="72" t="s">
        <v>46</v>
      </c>
      <c r="C9" s="70"/>
      <c r="D9" s="71"/>
      <c r="L9" s="1"/>
    </row>
    <row r="10" spans="2:12" ht="15.75" thickBot="1" x14ac:dyDescent="0.3">
      <c r="B10" s="108" t="s">
        <v>36</v>
      </c>
      <c r="C10" s="96" t="s">
        <v>21</v>
      </c>
      <c r="D10" s="98"/>
    </row>
    <row r="11" spans="2:12" ht="15.75" thickBot="1" x14ac:dyDescent="0.3">
      <c r="B11" s="120"/>
      <c r="C11" s="31" t="s">
        <v>8</v>
      </c>
      <c r="D11" s="61" t="s">
        <v>19</v>
      </c>
    </row>
    <row r="12" spans="2:12" ht="15.75" thickBot="1" x14ac:dyDescent="0.3">
      <c r="B12" s="4" t="s">
        <v>34</v>
      </c>
      <c r="C12" s="64">
        <v>11908618.53420254</v>
      </c>
      <c r="D12" s="11">
        <v>191639979.42879176</v>
      </c>
    </row>
    <row r="13" spans="2:12" ht="15.75" thickBot="1" x14ac:dyDescent="0.3">
      <c r="B13" s="62" t="s">
        <v>37</v>
      </c>
      <c r="C13" s="69">
        <v>15164261.875464201</v>
      </c>
      <c r="D13" s="58">
        <v>244031566.42777866</v>
      </c>
    </row>
    <row r="14" spans="2:12" ht="15.75" thickBot="1" x14ac:dyDescent="0.3">
      <c r="B14" s="6" t="s">
        <v>7</v>
      </c>
      <c r="C14" s="63">
        <v>27072880.409666739</v>
      </c>
      <c r="D14" s="7">
        <v>435671545.85657042</v>
      </c>
    </row>
    <row r="15" spans="2:12" ht="15.75" thickBot="1" x14ac:dyDescent="0.3">
      <c r="B15" s="62" t="s">
        <v>35</v>
      </c>
      <c r="C15" s="73">
        <f>C14/F7</f>
        <v>4.8034470469502252E-2</v>
      </c>
      <c r="D15" s="74">
        <f>D14/F7</f>
        <v>0.77299687684423379</v>
      </c>
    </row>
    <row r="16" spans="2:12" x14ac:dyDescent="0.25">
      <c r="B16" t="s">
        <v>15</v>
      </c>
    </row>
    <row r="17" spans="2:9" x14ac:dyDescent="0.25">
      <c r="B17" t="s">
        <v>16</v>
      </c>
    </row>
    <row r="20" spans="2:9" ht="15.75" thickBot="1" x14ac:dyDescent="0.3"/>
    <row r="21" spans="2:9" ht="15.75" thickBot="1" x14ac:dyDescent="0.3">
      <c r="B21" s="72" t="s">
        <v>46</v>
      </c>
      <c r="C21" s="70"/>
      <c r="D21" s="70"/>
      <c r="E21" s="71"/>
    </row>
    <row r="22" spans="2:9" ht="15.75" thickBot="1" x14ac:dyDescent="0.3">
      <c r="B22" s="108" t="s">
        <v>36</v>
      </c>
      <c r="C22" s="61"/>
      <c r="D22" s="62" t="s">
        <v>21</v>
      </c>
      <c r="E22" s="85"/>
    </row>
    <row r="23" spans="2:9" ht="15.75" thickBot="1" x14ac:dyDescent="0.3">
      <c r="B23" s="121"/>
      <c r="C23" s="95"/>
      <c r="D23" s="31" t="s">
        <v>8</v>
      </c>
      <c r="E23" s="61" t="s">
        <v>19</v>
      </c>
      <c r="H23" t="s">
        <v>62</v>
      </c>
      <c r="I23" t="s">
        <v>19</v>
      </c>
    </row>
    <row r="24" spans="2:9" ht="15.75" thickBot="1" x14ac:dyDescent="0.3">
      <c r="B24" s="6" t="s">
        <v>52</v>
      </c>
      <c r="C24" s="6" t="s">
        <v>34</v>
      </c>
      <c r="D24" s="64">
        <v>11908618.53420254</v>
      </c>
      <c r="E24" s="11">
        <v>191639979.42879176</v>
      </c>
      <c r="F24" s="94"/>
      <c r="G24" t="s">
        <v>52</v>
      </c>
      <c r="H24" s="1">
        <f t="shared" ref="H24:I26" si="1">D26</f>
        <v>27072880.409666739</v>
      </c>
      <c r="I24" s="1">
        <f t="shared" si="1"/>
        <v>435671545.85657042</v>
      </c>
    </row>
    <row r="25" spans="2:9" ht="15.75" thickBot="1" x14ac:dyDescent="0.3">
      <c r="B25" s="6"/>
      <c r="C25" s="62" t="s">
        <v>37</v>
      </c>
      <c r="D25" s="69">
        <v>15164261.875464201</v>
      </c>
      <c r="E25" s="58">
        <v>244031566.42777866</v>
      </c>
      <c r="G25" t="s">
        <v>50</v>
      </c>
      <c r="H25" s="1">
        <f t="shared" si="1"/>
        <v>26964861.682756923</v>
      </c>
      <c r="I25" s="1">
        <f t="shared" si="1"/>
        <v>428054116.36770564</v>
      </c>
    </row>
    <row r="26" spans="2:9" ht="18" customHeight="1" thickBot="1" x14ac:dyDescent="0.3">
      <c r="B26" s="6"/>
      <c r="C26" s="6" t="s">
        <v>7</v>
      </c>
      <c r="D26" s="63">
        <v>27072880.409666739</v>
      </c>
      <c r="E26" s="7">
        <v>435671545.85657042</v>
      </c>
      <c r="G26" t="s">
        <v>7</v>
      </c>
      <c r="H26" s="1">
        <f t="shared" si="1"/>
        <v>54037742.092423663</v>
      </c>
      <c r="I26" s="1">
        <f t="shared" si="1"/>
        <v>863725662.22427607</v>
      </c>
    </row>
    <row r="27" spans="2:9" ht="18" customHeight="1" thickBot="1" x14ac:dyDescent="0.3">
      <c r="B27" s="62" t="s">
        <v>51</v>
      </c>
      <c r="C27" s="85"/>
      <c r="D27" s="63">
        <f>'Deterministic - myfarms'!D51*-1</f>
        <v>26964861.682756923</v>
      </c>
      <c r="E27" s="7">
        <f>-1*'Deterministic - myfarms'!D53</f>
        <v>428054116.36770564</v>
      </c>
    </row>
    <row r="28" spans="2:9" ht="18" customHeight="1" thickBot="1" x14ac:dyDescent="0.3">
      <c r="B28" s="62" t="s">
        <v>7</v>
      </c>
      <c r="C28" s="85"/>
      <c r="D28" s="63">
        <f>D27+D26</f>
        <v>54037742.092423663</v>
      </c>
      <c r="E28" s="63">
        <f>E27+E26</f>
        <v>863725662.22427607</v>
      </c>
    </row>
    <row r="29" spans="2:9" ht="15.75" thickBot="1" x14ac:dyDescent="0.3">
      <c r="B29" s="8" t="s">
        <v>35</v>
      </c>
      <c r="C29" s="13"/>
      <c r="D29" s="84" t="e">
        <f>D26/F19</f>
        <v>#DIV/0!</v>
      </c>
      <c r="E29" s="74" t="e">
        <f>E26/F19</f>
        <v>#DIV/0!</v>
      </c>
    </row>
    <row r="46" spans="2:61" x14ac:dyDescent="0.25">
      <c r="AK46" t="s">
        <v>48</v>
      </c>
      <c r="AL46" s="1">
        <f>AB47</f>
        <v>26964861.682756923</v>
      </c>
      <c r="AM46" s="2">
        <f>AL46/SUM($AL$46:$AL$49)</f>
        <v>5.6947936792488291E-3</v>
      </c>
      <c r="BF46" t="s">
        <v>48</v>
      </c>
      <c r="BG46" s="1">
        <f>E27</f>
        <v>428054116.36770564</v>
      </c>
      <c r="BH46" s="2">
        <f>BG46/SUM($AL$46:$AL$49)</f>
        <v>9.040209087466089E-2</v>
      </c>
    </row>
    <row r="47" spans="2:61" ht="105" x14ac:dyDescent="0.25">
      <c r="B47" t="s">
        <v>11</v>
      </c>
      <c r="D47" s="122" t="s">
        <v>54</v>
      </c>
      <c r="L47" s="122" t="s">
        <v>55</v>
      </c>
      <c r="M47" s="122" t="s">
        <v>56</v>
      </c>
      <c r="AA47" t="s">
        <v>48</v>
      </c>
      <c r="AB47">
        <f>I5*-1</f>
        <v>26964861.682756923</v>
      </c>
      <c r="AC47" s="2">
        <f>AB47/(SUM(AB47:AB49))</f>
        <v>5.69479367924883E-3</v>
      </c>
      <c r="AK47" t="s">
        <v>59</v>
      </c>
      <c r="AL47" s="1">
        <f>AB48</f>
        <v>27072880.409666739</v>
      </c>
      <c r="AM47" s="2">
        <f t="shared" ref="AM47:AM49" si="2">AL47/SUM($AL$46:$AL$49)</f>
        <v>5.7176064928461589E-3</v>
      </c>
      <c r="AV47" t="s">
        <v>48</v>
      </c>
      <c r="AW47" s="1">
        <f>E27</f>
        <v>428054116.36770564</v>
      </c>
      <c r="AX47" s="2">
        <f>AW47/(SUM(AW47:AW49))</f>
        <v>9.0402090874660876E-2</v>
      </c>
      <c r="BF47" t="s">
        <v>49</v>
      </c>
      <c r="BG47" s="1">
        <f>E26</f>
        <v>435671545.85657042</v>
      </c>
      <c r="BH47" s="2">
        <f t="shared" ref="BH47:BH49" si="3">BG47/SUM($AL$46:$AL$49)</f>
        <v>9.201083969064501E-2</v>
      </c>
      <c r="BI47" s="1"/>
    </row>
    <row r="48" spans="2:61" x14ac:dyDescent="0.25">
      <c r="B48" t="s">
        <v>50</v>
      </c>
      <c r="C48" s="1">
        <f>'Deterministic - myfarms'!D50*-1-F7</f>
        <v>4171388798.8231168</v>
      </c>
      <c r="D48" s="2">
        <f>C48/$C$50</f>
        <v>0.88096867859766781</v>
      </c>
      <c r="K48" t="s">
        <v>52</v>
      </c>
      <c r="L48" s="2">
        <f>D26/$D$28</f>
        <v>0.5009994748367268</v>
      </c>
      <c r="M48" s="2">
        <f>E26/$E$28</f>
        <v>0.50440963480768208</v>
      </c>
      <c r="AA48" t="s">
        <v>49</v>
      </c>
      <c r="AB48">
        <v>27072880.409666739</v>
      </c>
      <c r="AC48" s="2">
        <f>AB48/(SUM(AB47:AB49))</f>
        <v>5.7176064928461607E-3</v>
      </c>
      <c r="AK48" t="s">
        <v>57</v>
      </c>
      <c r="AL48" s="1">
        <f>L7</f>
        <v>4144423937.1403599</v>
      </c>
      <c r="AM48" s="2">
        <f t="shared" si="2"/>
        <v>0.87527388491841895</v>
      </c>
      <c r="AV48" t="s">
        <v>49</v>
      </c>
      <c r="AW48" s="1">
        <f>E26</f>
        <v>435671545.85657042</v>
      </c>
      <c r="AX48" s="2">
        <f>AW48/(SUM(AW47:AW49))</f>
        <v>9.2010839690644997E-2</v>
      </c>
      <c r="BF48" t="s">
        <v>57</v>
      </c>
      <c r="BG48" s="1">
        <f>C50-BG47-BG46-BG49</f>
        <v>3743334682.455411</v>
      </c>
      <c r="BH48" s="2">
        <f t="shared" si="3"/>
        <v>0.79056658772300681</v>
      </c>
      <c r="BI48" s="1"/>
    </row>
    <row r="49" spans="2:61" x14ac:dyDescent="0.25">
      <c r="B49" t="s">
        <v>53</v>
      </c>
      <c r="C49" s="1">
        <f>F7</f>
        <v>563613591.34490061</v>
      </c>
      <c r="D49" s="2">
        <f>C49/$C$50</f>
        <v>0.11903132140233223</v>
      </c>
      <c r="K49" t="s">
        <v>50</v>
      </c>
      <c r="L49" s="2">
        <f>D27/$D$28</f>
        <v>0.49900052516327326</v>
      </c>
      <c r="M49" s="2">
        <f>E27/$E$28</f>
        <v>0.49559036519231797</v>
      </c>
      <c r="AA49" t="s">
        <v>47</v>
      </c>
      <c r="AB49">
        <f>J4-AB47-AB48</f>
        <v>4680964648.075593</v>
      </c>
      <c r="AC49" s="2">
        <f>AB49/(SUM(AB47:AB49))</f>
        <v>0.98858759982790501</v>
      </c>
      <c r="AK49" t="s">
        <v>58</v>
      </c>
      <c r="AL49" s="1">
        <f>L8</f>
        <v>536540710.93523389</v>
      </c>
      <c r="AM49" s="2">
        <f t="shared" si="2"/>
        <v>0.11331371490948608</v>
      </c>
      <c r="AV49" t="s">
        <v>47</v>
      </c>
      <c r="AW49" s="1">
        <f>J4-AW47-AW48</f>
        <v>3871276727.9437418</v>
      </c>
      <c r="AX49" s="2">
        <f>AW49/(SUM(AW47:AW49))</f>
        <v>0.81758706943469406</v>
      </c>
      <c r="BF49" t="s">
        <v>58</v>
      </c>
      <c r="BG49" s="1">
        <f>F7-BG47</f>
        <v>127942045.48833019</v>
      </c>
      <c r="BH49" s="2">
        <f t="shared" si="3"/>
        <v>2.7020481711687219E-2</v>
      </c>
      <c r="BI49" s="1"/>
    </row>
    <row r="50" spans="2:61" x14ac:dyDescent="0.25">
      <c r="B50" t="s">
        <v>7</v>
      </c>
      <c r="C50" s="1">
        <f>SUM(C48+C49)</f>
        <v>4735002390.1680174</v>
      </c>
      <c r="L50" s="2"/>
      <c r="M50" s="2"/>
      <c r="BI50" s="1"/>
    </row>
    <row r="69" spans="2:59" ht="15.75" thickBot="1" x14ac:dyDescent="0.3"/>
    <row r="70" spans="2:59" ht="15.75" thickBot="1" x14ac:dyDescent="0.3">
      <c r="B70" s="4"/>
      <c r="C70" s="31" t="s">
        <v>61</v>
      </c>
      <c r="D70" s="5" t="s">
        <v>52</v>
      </c>
      <c r="E70" s="31" t="s">
        <v>63</v>
      </c>
    </row>
    <row r="71" spans="2:59" x14ac:dyDescent="0.25">
      <c r="B71" s="4" t="s">
        <v>62</v>
      </c>
      <c r="C71" s="89">
        <v>1389006.4405006827</v>
      </c>
      <c r="D71" s="88">
        <v>27072880.409666739</v>
      </c>
      <c r="E71" s="92">
        <f>D71/C71</f>
        <v>19.490824246940154</v>
      </c>
    </row>
    <row r="72" spans="2:59" x14ac:dyDescent="0.25">
      <c r="B72" s="6" t="s">
        <v>9</v>
      </c>
      <c r="C72" s="90">
        <v>1185927.4375556679</v>
      </c>
      <c r="D72" s="86"/>
      <c r="E72" s="32"/>
      <c r="AK72" t="s">
        <v>48</v>
      </c>
      <c r="AL72">
        <v>26964861.682756923</v>
      </c>
    </row>
    <row r="73" spans="2:59" ht="15.75" thickBot="1" x14ac:dyDescent="0.3">
      <c r="B73" s="8" t="s">
        <v>10</v>
      </c>
      <c r="C73" s="91">
        <v>1810374.969346815</v>
      </c>
      <c r="D73" s="87">
        <v>435671545.85657042</v>
      </c>
      <c r="E73" s="93">
        <f>D73/C73</f>
        <v>240.65265662271122</v>
      </c>
      <c r="AC73" s="2"/>
      <c r="AK73" t="s">
        <v>59</v>
      </c>
      <c r="AL73">
        <v>27072880.409666739</v>
      </c>
      <c r="BF73" t="s">
        <v>48</v>
      </c>
      <c r="BG73">
        <v>428054116.36770564</v>
      </c>
    </row>
    <row r="74" spans="2:59" x14ac:dyDescent="0.25">
      <c r="AA74" t="s">
        <v>60</v>
      </c>
      <c r="AB74">
        <f>AB47+AB48</f>
        <v>54037742.092423663</v>
      </c>
      <c r="AC74" s="2">
        <f>AB74/(SUM(AB73:AB75))</f>
        <v>1.1412400172094991E-2</v>
      </c>
      <c r="AK74" t="s">
        <v>57</v>
      </c>
      <c r="AL74">
        <v>4144423937.1403599</v>
      </c>
      <c r="AV74" t="s">
        <v>60</v>
      </c>
      <c r="AW74" s="1">
        <f>AW48+AW47</f>
        <v>863725662.22427607</v>
      </c>
      <c r="AX74" s="2">
        <f>AW74/(SUM(AW73:AW75))</f>
        <v>0.18241293056530586</v>
      </c>
      <c r="BF74" t="s">
        <v>49</v>
      </c>
      <c r="BG74">
        <v>435671545.85657042</v>
      </c>
    </row>
    <row r="75" spans="2:59" x14ac:dyDescent="0.25">
      <c r="AA75" t="s">
        <v>47</v>
      </c>
      <c r="AB75">
        <v>4680964648.075593</v>
      </c>
      <c r="AC75" s="2">
        <f>AB75/(SUM(AB73:AB75))</f>
        <v>0.98858759982790501</v>
      </c>
      <c r="AK75" t="s">
        <v>58</v>
      </c>
      <c r="AL75">
        <v>536540710.93523389</v>
      </c>
      <c r="AV75" t="s">
        <v>47</v>
      </c>
      <c r="AW75">
        <v>3871276727.9437418</v>
      </c>
      <c r="AX75" s="2">
        <f>AW75/(SUM(AW73:AW75))</f>
        <v>0.81758706943469406</v>
      </c>
      <c r="BF75" t="s">
        <v>57</v>
      </c>
      <c r="BG75">
        <v>3743334682.455411</v>
      </c>
    </row>
    <row r="76" spans="2:59" x14ac:dyDescent="0.25">
      <c r="BF76" t="s">
        <v>58</v>
      </c>
      <c r="BG76">
        <v>127942045.48833019</v>
      </c>
    </row>
    <row r="99" spans="36:60" x14ac:dyDescent="0.25">
      <c r="BF99" t="s">
        <v>48</v>
      </c>
      <c r="BG99">
        <v>428054116.36770564</v>
      </c>
    </row>
    <row r="100" spans="36:60" x14ac:dyDescent="0.25">
      <c r="BF100" t="s">
        <v>49</v>
      </c>
      <c r="BG100">
        <v>435671545.85657042</v>
      </c>
    </row>
    <row r="101" spans="36:60" x14ac:dyDescent="0.25">
      <c r="AK101" t="s">
        <v>48</v>
      </c>
      <c r="AL101">
        <v>26964861.682756923</v>
      </c>
      <c r="BF101" t="s">
        <v>57</v>
      </c>
      <c r="BG101">
        <v>3743334682.455411</v>
      </c>
    </row>
    <row r="102" spans="36:60" x14ac:dyDescent="0.25">
      <c r="AK102" t="s">
        <v>59</v>
      </c>
      <c r="AL102">
        <v>27072880.409666739</v>
      </c>
      <c r="BF102" t="s">
        <v>58</v>
      </c>
      <c r="BG102">
        <v>127942045.48833019</v>
      </c>
    </row>
    <row r="103" spans="36:60" x14ac:dyDescent="0.25">
      <c r="AK103" t="s">
        <v>57</v>
      </c>
      <c r="AL103">
        <v>4144423937.1403599</v>
      </c>
    </row>
    <row r="104" spans="36:60" x14ac:dyDescent="0.25">
      <c r="AK104" t="s">
        <v>58</v>
      </c>
      <c r="AL104">
        <v>536540710.93523389</v>
      </c>
    </row>
    <row r="106" spans="36:60" x14ac:dyDescent="0.25">
      <c r="AK106" t="s">
        <v>52</v>
      </c>
      <c r="AL106" t="s">
        <v>50</v>
      </c>
      <c r="AM106" t="s">
        <v>11</v>
      </c>
      <c r="AO106" t="s">
        <v>52</v>
      </c>
      <c r="AP106" t="s">
        <v>50</v>
      </c>
      <c r="BG106" t="s">
        <v>52</v>
      </c>
      <c r="BH106" t="s">
        <v>50</v>
      </c>
    </row>
    <row r="107" spans="36:60" x14ac:dyDescent="0.25">
      <c r="AJ107" t="s">
        <v>64</v>
      </c>
      <c r="AK107">
        <f>AL102</f>
        <v>27072880.409666739</v>
      </c>
      <c r="AL107">
        <f>AL101</f>
        <v>26964861.682756923</v>
      </c>
      <c r="AM107">
        <f>AL107+AK107</f>
        <v>54037742.092423663</v>
      </c>
      <c r="AN107" t="s">
        <v>67</v>
      </c>
      <c r="AO107" s="2">
        <f>AK107/$AK$109</f>
        <v>4.8034470469502252E-2</v>
      </c>
      <c r="AP107" s="2">
        <f>AL107/$AL$109</f>
        <v>6.4642408040134214E-3</v>
      </c>
      <c r="BF107" t="s">
        <v>67</v>
      </c>
      <c r="BG107" s="2">
        <f>BG100/(BG100+BG102)</f>
        <v>0.77299687684423379</v>
      </c>
      <c r="BH107" s="2">
        <f>BG99/(BG99+BG101)</f>
        <v>0.10261669122966277</v>
      </c>
    </row>
    <row r="108" spans="36:60" x14ac:dyDescent="0.25">
      <c r="AJ108" t="s">
        <v>65</v>
      </c>
      <c r="AK108">
        <f>AL104</f>
        <v>536540710.93523389</v>
      </c>
      <c r="AL108">
        <f>AL103</f>
        <v>4144423937.1403599</v>
      </c>
      <c r="AM108">
        <f>AL108+AK108</f>
        <v>4680964648.0755939</v>
      </c>
      <c r="AN108" t="s">
        <v>66</v>
      </c>
      <c r="AO108" s="2">
        <f>AK108/$AK$109</f>
        <v>0.95196552953049773</v>
      </c>
      <c r="AP108" s="2">
        <f>AL108/$AL$109</f>
        <v>0.99353575919598658</v>
      </c>
      <c r="BF108" t="s">
        <v>66</v>
      </c>
      <c r="BG108" s="2">
        <f>BG102/(BG100+BG102)</f>
        <v>0.22700312315576626</v>
      </c>
      <c r="BH108" s="2">
        <f>BG101/(BG101+BG99)</f>
        <v>0.89738330877033723</v>
      </c>
    </row>
    <row r="109" spans="36:60" x14ac:dyDescent="0.25">
      <c r="AJ109" t="s">
        <v>7</v>
      </c>
      <c r="AK109">
        <f>SUM(AK108,AK107)</f>
        <v>563613591.34490061</v>
      </c>
      <c r="AL109">
        <f>SUM(AL108,AL107)</f>
        <v>4171388798.8231168</v>
      </c>
      <c r="AM109">
        <f>SUM(AM108,AM107)</f>
        <v>4735002390.1680174</v>
      </c>
      <c r="AO109">
        <f>AK109/$AK$109</f>
        <v>1</v>
      </c>
      <c r="AP109">
        <f>AL109/$AL$109</f>
        <v>1</v>
      </c>
      <c r="BG109">
        <f>BC109/$AK$109</f>
        <v>0</v>
      </c>
      <c r="BH109">
        <f>BD109/$AL$109</f>
        <v>0</v>
      </c>
    </row>
  </sheetData>
  <mergeCells count="4">
    <mergeCell ref="C7:E7"/>
    <mergeCell ref="B10:B11"/>
    <mergeCell ref="C10:D10"/>
    <mergeCell ref="B22:B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 of farms</vt:lpstr>
      <vt:lpstr>Deterministic</vt:lpstr>
      <vt:lpstr>Deterministic - myfarms</vt:lpstr>
      <vt:lpstr>Expenditure</vt:lpstr>
      <vt:lpstr>Expenditure - myfarms</vt:lpstr>
    </vt:vector>
  </TitlesOfParts>
  <Company>The University of Liverpool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Sucena Afonso, Joao</dc:creator>
  <cp:lastModifiedBy>Justin Replogle</cp:lastModifiedBy>
  <dcterms:created xsi:type="dcterms:W3CDTF">2024-11-25T16:55:52Z</dcterms:created>
  <dcterms:modified xsi:type="dcterms:W3CDTF">2024-12-18T19:54:48Z</dcterms:modified>
</cp:coreProperties>
</file>