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17596E4-BDA1-4B28-A064-E6435B2E8253}" xr6:coauthVersionLast="47" xr6:coauthVersionMax="47" xr10:uidLastSave="{00000000-0000-0000-0000-000000000000}"/>
  <bookViews>
    <workbookView xWindow="-110" yWindow="-110" windowWidth="19420" windowHeight="1042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55" l="1"/>
  <c r="AC12" i="157"/>
  <c r="AC11" i="157"/>
  <c r="AC9" i="157"/>
  <c r="I97" i="155" l="1"/>
  <c r="I49" i="155"/>
  <c r="I109" i="155"/>
  <c r="I115" i="155"/>
  <c r="I103" i="155"/>
  <c r="I91" i="155"/>
  <c r="I67" i="155"/>
  <c r="I61" i="155"/>
  <c r="I55" i="155"/>
  <c r="I43" i="155"/>
  <c r="I37" i="155"/>
  <c r="I31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F9" i="157"/>
  <c r="R6" i="157"/>
  <c r="AC10" i="157"/>
  <c r="K20" i="157"/>
  <c r="E7" i="157"/>
  <c r="G5" i="157"/>
  <c r="H5" i="157" s="1"/>
  <c r="K6" i="157"/>
  <c r="K18" i="157"/>
  <c r="K17" i="157"/>
  <c r="K15" i="157"/>
  <c r="K14" i="157"/>
  <c r="K16" i="157"/>
  <c r="K13" i="157"/>
  <c r="K12" i="157"/>
  <c r="K11" i="157"/>
  <c r="K10" i="157"/>
  <c r="AF26" i="155" l="1"/>
  <c r="AA126" i="155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F32" i="155" l="1"/>
  <c r="AH26" i="155"/>
  <c r="AF28" i="155"/>
  <c r="AH28" i="155" s="1"/>
  <c r="AF30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7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26" i="157"/>
  <c r="D26" i="157"/>
  <c r="C26" i="157"/>
  <c r="B26" i="157"/>
  <c r="D6" i="157"/>
  <c r="E37" i="155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11" i="157"/>
  <c r="D12" i="157"/>
  <c r="D13" i="157"/>
  <c r="D14" i="157"/>
  <c r="D15" i="157"/>
  <c r="D16" i="157"/>
  <c r="D17" i="157"/>
  <c r="D18" i="157"/>
  <c r="D10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H5" authorId="1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<sst xmlns="http://schemas.openxmlformats.org/spreadsheetml/2006/main" count="1858" uniqueCount="739">
  <si>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</si>
  <si>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</si>
  <si>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</si>
  <si>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</si>
  <si>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</si>
  <si>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</si>
  <si>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</si>
  <si>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</si>
  <si>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</si>
  <si>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</si>
  <si>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</si>
  <si>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</si>
  <si>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</si>
  <si>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</si>
  <si>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</si>
  <si>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</si>
  <si>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</si>
  <si>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</si>
  <si>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</si>
  <si>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</si>
  <si>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</si>
  <si>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</si>
  <si>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</si>
  <si>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</si>
  <si>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</si>
  <si>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</si>
  <si>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</si>
  <si>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</si>
  <si>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</si>
  <si>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</si>
  <si>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</si>
  <si>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</si>
  <si>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</si>
  <si>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</si>
  <si>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</si>
  <si>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</si>
  <si>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</si>
  <si>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</si>
  <si>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</si>
  <si>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</si>
  <si>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</si>
  <si>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</si>
  <si>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</si>
  <si>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</si>
  <si>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</si>
  <si>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</si>
  <si>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</si>
  <si>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</si>
  <si>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</si>
  <si>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</si>
  <si>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</si>
  <si>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</si>
  <si>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</si>
  <si>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</si>
  <si>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</si>
  <si>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</si>
  <si>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</si>
  <si>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</si>
  <si>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</si>
  <si>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</si>
  <si>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</si>
  <si>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</si>
  <si>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</si>
  <si>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</si>
  <si>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</si>
  <si>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</si>
  <si>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</si>
  <si>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</si>
  <si>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</si>
  <si>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</si>
  <si>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</si>
  <si>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</si>
  <si>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</si>
  <si>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</si>
  <si>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</si>
  <si>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</si>
  <si>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</si>
  <si>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</si>
  <si>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</si>
  <si>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</si>
  <si>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</si>
  <si>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</si>
  <si>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</si>
  <si>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</si>
  <si>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</si>
  <si>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</si>
  <si>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</si>
  <si>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</si>
  <si>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</si>
  <si>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</si>
  <si>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</si>
  <si>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</si>
  <si>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</si>
  <si>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</si>
  <si>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</si>
  <si>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</si>
  <si>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</si>
  <si>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</si>
  <si>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</si>
  <si>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</si>
  <si>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</si>
  <si>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</si>
  <si>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</si>
  <si>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</si>
  <si>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</si>
  <si>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</si>
  <si>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</si>
  <si>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</si>
  <si>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</si>
  <si>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</si>
  <si>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</si>
  <si>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</si>
  <si>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</si>
  <si>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</si>
  <si>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</si>
  <si>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</si>
  <si>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</si>
  <si>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</si>
  <si>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</si>
  <si>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</si>
  <si>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</si>
  <si>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</si>
  <si>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</si>
  <si>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</si>
  <si>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</si>
  <si>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</si>
  <si>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</si>
  <si>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</si>
  <si>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</si>
  <si>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</si>
  <si>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</si>
  <si>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</si>
  <si>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</si>
  <si>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</si>
  <si>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</si>
  <si>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</si>
  <si>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</si>
  <si>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</si>
  <si>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</si>
  <si>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</si>
  <si>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</si>
  <si>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</si>
  <si>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</si>
  <si>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</si>
  <si>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</si>
  <si>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</si>
  <si>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</si>
  <si>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</si>
  <si>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</si>
  <si>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</si>
  <si>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</si>
  <si>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</si>
  <si>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</si>
  <si>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</si>
  <si>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</si>
  <si>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</si>
  <si>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</si>
  <si>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</si>
  <si>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</si>
  <si>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</si>
  <si>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</si>
  <si>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</si>
  <si>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</si>
  <si>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</si>
  <si>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</si>
  <si>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</si>
  <si>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</si>
  <si>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</si>
  <si>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</si>
  <si>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</si>
  <si>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</si>
  <si>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</si>
  <si>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</si>
  <si>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</si>
  <si>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</si>
  <si>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</si>
  <si>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</si>
  <si>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</si>
  <si>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</si>
  <si>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</si>
  <si>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</si>
  <si>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</si>
  <si>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</si>
  <si>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</si>
  <si>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</si>
  <si>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</si>
  <si>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</si>
  <si>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</si>
  <si>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</si>
  <si>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</si>
  <si>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</si>
  <si>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</si>
  <si>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</si>
  <si>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</si>
  <si>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</si>
  <si>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</si>
  <si>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</si>
  <si>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</si>
  <si>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</si>
  <si>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</si>
  <si>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</si>
  <si>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</si>
  <si>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</si>
  <si>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</si>
  <si>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</si>
  <si>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</si>
  <si>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</si>
  <si>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</si>
  <si>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</si>
  <si>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</si>
  <si>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</si>
  <si>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</si>
  <si>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</si>
  <si>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</si>
  <si>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</si>
  <si>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</si>
  <si>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</si>
  <si>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</si>
  <si>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</si>
  <si>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</si>
  <si>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</si>
  <si>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</si>
  <si>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</si>
  <si>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</si>
  <si>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</si>
  <si>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</si>
  <si>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</si>
  <si>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</si>
  <si>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</si>
  <si>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</si>
  <si>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</si>
  <si>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</si>
  <si>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</si>
  <si>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</si>
  <si>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</si>
  <si>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</si>
  <si>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</si>
  <si>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</si>
  <si>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</si>
  <si>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</si>
  <si>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</si>
  <si>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</si>
  <si>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</si>
  <si>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</si>
  <si>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</si>
  <si>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</si>
  <si>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</si>
  <si>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</si>
  <si>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</si>
  <si>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</si>
  <si>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</si>
  <si>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</si>
  <si>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</si>
  <si>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</si>
  <si>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</si>
  <si>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</si>
  <si>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</si>
  <si>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</si>
  <si>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</si>
  <si>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</si>
  <si>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</si>
  <si>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</si>
  <si>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</si>
  <si>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</si>
  <si>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</si>
  <si>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</si>
  <si>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</si>
  <si>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</si>
  <si>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</si>
  <si>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</si>
  <si>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</si>
  <si>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</si>
  <si>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</si>
  <si>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</si>
  <si>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</si>
  <si>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</si>
  <si>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</si>
  <si>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</si>
  <si>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</si>
  <si>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</si>
  <si>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</si>
  <si>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</si>
  <si>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</si>
  <si>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</si>
  <si>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</si>
  <si>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</si>
  <si>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</si>
  <si>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</si>
  <si>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</si>
  <si>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</si>
  <si>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</si>
  <si>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</si>
  <si>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</si>
  <si>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</si>
  <si>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</si>
  <si>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</si>
  <si>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</si>
  <si>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</si>
  <si>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</si>
  <si>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</si>
  <si>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</si>
  <si>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</si>
  <si>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</si>
  <si>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</si>
  <si>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</si>
  <si>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</si>
  <si>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</si>
  <si>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</si>
  <si>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</si>
  <si>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</si>
  <si>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</si>
  <si>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</si>
  <si>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</si>
  <si>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</si>
  <si>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</si>
  <si>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</si>
  <si>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</si>
  <si>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</si>
  <si>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</si>
  <si>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</si>
  <si>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</si>
  <si>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</si>
  <si>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</si>
  <si>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</si>
  <si>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</si>
  <si>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</si>
  <si>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</si>
  <si>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</si>
  <si>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</si>
  <si>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</si>
  <si>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</si>
  <si>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</si>
  <si>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</si>
  <si>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</si>
  <si>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</si>
  <si>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</si>
  <si>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</si>
  <si>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</si>
  <si>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</si>
  <si>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</si>
  <si>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</si>
  <si>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</si>
  <si>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</si>
  <si>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</si>
  <si>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</si>
  <si>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</si>
  <si>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</si>
  <si>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</si>
  <si>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</si>
  <si>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</si>
  <si>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</si>
  <si>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</si>
  <si>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</si>
  <si>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</si>
  <si>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</si>
  <si>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</si>
  <si>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</si>
  <si>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</si>
  <si>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</si>
  <si>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</si>
  <si>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</si>
  <si>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</si>
  <si>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</si>
  <si>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</si>
  <si>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</si>
  <si>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</si>
  <si>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</si>
  <si>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</si>
  <si>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</si>
  <si>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</si>
  <si>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</si>
  <si>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</si>
  <si>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</si>
  <si>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</si>
  <si>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</si>
  <si>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</si>
  <si>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</si>
  <si>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</si>
  <si>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</si>
  <si>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</si>
  <si>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</si>
  <si>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</si>
  <si>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</si>
  <si>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</si>
  <si>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</si>
  <si>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</si>
  <si>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</si>
  <si>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</si>
  <si>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</si>
  <si>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</si>
  <si>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</si>
  <si>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</si>
  <si>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</si>
  <si>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</si>
  <si>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</si>
  <si>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</si>
  <si>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</si>
  <si>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</si>
  <si>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</si>
  <si>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</si>
  <si>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</si>
  <si>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</si>
  <si>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</si>
  <si>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</si>
  <si>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</si>
  <si>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</si>
  <si>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</si>
  <si>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</si>
  <si>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</si>
  <si>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</si>
  <si>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</si>
  <si>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</si>
  <si>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</si>
  <si>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</si>
  <si>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</si>
  <si>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</si>
  <si>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</si>
  <si>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</si>
  <si>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</si>
  <si>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</si>
  <si>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</si>
  <si>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</si>
  <si>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</si>
  <si>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</si>
  <si>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</si>
  <si>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</si>
  <si>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</si>
  <si>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</si>
  <si>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</si>
  <si>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</si>
  <si>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</si>
  <si>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</si>
  <si>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</si>
  <si>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</si>
  <si>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</si>
  <si>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</si>
  <si>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</si>
  <si>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</si>
  <si>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</si>
  <si>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</si>
  <si>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</si>
  <si>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</si>
  <si>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</si>
  <si>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</si>
  <si>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</si>
  <si>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</si>
  <si>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</si>
  <si>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</si>
  <si>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</si>
  <si>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</si>
  <si>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</si>
  <si>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</si>
  <si>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</si>
  <si>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</si>
  <si>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</si>
  <si>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</si>
  <si>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</si>
  <si>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</si>
  <si>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</si>
  <si>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</si>
  <si>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</si>
  <si>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</si>
  <si>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</si>
  <si>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</si>
  <si>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</si>
  <si>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</si>
  <si>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</si>
  <si>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</si>
  <si>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</si>
  <si>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</si>
  <si>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</si>
  <si>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</si>
  <si>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</si>
  <si>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</si>
  <si>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</si>
  <si>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</si>
  <si>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</si>
  <si>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</si>
  <si>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</si>
  <si>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</si>
  <si>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</si>
  <si>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</si>
  <si>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</si>
  <si>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</si>
  <si>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</si>
  <si>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</si>
  <si>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</si>
  <si>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</si>
  <si>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</si>
  <si>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</si>
  <si>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</si>
  <si>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</si>
  <si>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</si>
  <si>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</si>
  <si>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</si>
  <si>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</si>
  <si>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</si>
  <si>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</si>
  <si>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</si>
  <si>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</si>
  <si>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</si>
  <si>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</si>
  <si>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</si>
  <si>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</si>
  <si>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</si>
  <si>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</si>
  <si>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</si>
  <si>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</si>
  <si>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</si>
  <si>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</si>
  <si>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</si>
  <si>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</si>
  <si>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</si>
  <si>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</si>
  <si>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</si>
  <si>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</si>
  <si>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</si>
  <si>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</si>
  <si>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</si>
  <si>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</si>
  <si>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</si>
  <si>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</si>
  <si>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</si>
  <si>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</si>
  <si>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</si>
  <si>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</si>
  <si>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</si>
  <si>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</si>
  <si>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</si>
  <si>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</si>
  <si>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</si>
  <si>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</si>
  <si>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</si>
  <si>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</si>
  <si>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</si>
  <si>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</si>
  <si>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</si>
  <si>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</si>
  <si>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</si>
  <si>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</si>
  <si>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</si>
  <si>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</si>
  <si>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</si>
  <si>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</si>
  <si>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</si>
  <si>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</si>
  <si>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</si>
  <si>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</si>
  <si>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</si>
  <si>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</si>
  <si>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</si>
  <si>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</si>
  <si>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</si>
  <si>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</si>
  <si>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</si>
  <si>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</si>
  <si>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</si>
  <si>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</si>
  <si>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</si>
  <si>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</si>
  <si>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</si>
  <si>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</si>
  <si>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</si>
  <si>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</si>
  <si>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</si>
  <si>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</si>
  <si>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</si>
  <si>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</si>
  <si>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</si>
  <si>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</si>
  <si>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</si>
  <si>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</si>
  <si>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</si>
  <si>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</si>
  <si>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</si>
  <si>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</si>
  <si>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</si>
  <si>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</si>
  <si>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</si>
  <si>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</si>
  <si>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</si>
  <si>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</si>
  <si>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</si>
  <si>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</si>
  <si>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</si>
  <si>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</si>
  <si>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</si>
  <si>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</si>
  <si>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</si>
  <si>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</si>
  <si>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</si>
  <si>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</si>
  <si>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</si>
  <si>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</si>
  <si>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</si>
  <si>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</si>
  <si>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</si>
  <si>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</si>
  <si>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</si>
  <si>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</si>
  <si>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</si>
  <si>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</si>
  <si>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</si>
  <si>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</si>
  <si>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</si>
  <si>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</si>
  <si>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</si>
  <si>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</si>
  <si>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</si>
  <si>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</si>
  <si>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</si>
  <si>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</si>
  <si>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</si>
  <si>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</si>
  <si>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</si>
  <si>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</si>
  <si>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</si>
  <si>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</si>
  <si>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</si>
  <si>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</si>
  <si>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</si>
  <si>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</si>
  <si>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</si>
  <si>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</si>
  <si>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</si>
  <si>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</si>
  <si>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</si>
  <si>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</si>
  <si>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</si>
  <si>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</si>
  <si>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</si>
  <si>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</si>
  <si>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</si>
  <si>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</si>
  <si>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</si>
  <si>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</si>
  <si>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</si>
  <si>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</si>
  <si>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</si>
  <si>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</si>
  <si>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</si>
  <si>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</si>
  <si>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</si>
  <si>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</si>
  <si>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</si>
  <si>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</si>
  <si>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</si>
  <si>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</si>
  <si>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</si>
  <si>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</si>
  <si>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</si>
  <si>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</si>
  <si>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</si>
  <si>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</si>
  <si>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</si>
  <si>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</si>
  <si>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</si>
  <si>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</si>
  <si>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</si>
  <si>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</si>
  <si>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</si>
  <si>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</si>
  <si>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</si>
  <si>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</si>
  <si>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</si>
  <si>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</si>
  <si>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</si>
  <si>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</si>
  <si>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</si>
  <si>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</si>
  <si>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</si>
  <si>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</si>
  <si>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</si>
  <si>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</si>
  <si>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</si>
  <si>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</si>
  <si>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</si>
  <si>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</si>
  <si>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</si>
  <si>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</si>
  <si>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</si>
  <si>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</si>
  <si>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</si>
  <si>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</si>
  <si>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</si>
  <si>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</si>
  <si>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</si>
  <si>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</si>
  <si>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</si>
  <si>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</si>
  <si>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</si>
  <si>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</si>
  <si>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</si>
  <si>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</si>
  <si>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</si>
  <si>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</si>
  <si>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</si>
  <si>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</si>
  <si>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</si>
  <si>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</si>
  <si>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</si>
  <si>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</si>
  <si>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</si>
  <si>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</si>
  <si>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</si>
  <si>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</si>
  <si>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</si>
  <si>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</si>
  <si>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</si>
  <si>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</si>
  <si>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</si>
  <si>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</si>
  <si>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</si>
  <si>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</si>
  <si>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</si>
  <si>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</si>
  <si>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</si>
  <si>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</si>
  <si>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</si>
  <si>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</si>
  <si>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</si>
  <si>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</si>
  <si>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tylko tyle jest wykorzystane potencjału na chwilę obecna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</si>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</sst>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4" xfId="0" applyFont="1" applyFill="1" applyBorder="1"/>
    <xf numFmtId="0" fontId="15" fillId="26" borderId="15" xfId="0" applyFont="1" applyFill="1" applyBorder="1"/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298257</xdr:colOff>
      <xdr:row>3</xdr:row>
      <xdr:rowOff>442579</xdr:rowOff>
    </xdr:from>
    <xdr:to>
      <xdr:col>28</xdr:col>
      <xdr:colOff>48106</xdr:colOff>
      <xdr:row>12</xdr:row>
      <xdr:rowOff>162021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9393" y="1260382"/>
          <a:ext cx="5205077" cy="1816866"/>
        </a:xfrm>
        <a:prstGeom prst="rect">
          <a:avLst/>
        </a:prstGeom>
      </xdr:spPr>
    </xdr:pic>
    <xdr:clientData/>
  </xdr:twoCellAnchor>
  <xdr:twoCellAnchor editAs="oneCell">
    <xdr:from>
      <xdr:col>20</xdr:col>
      <xdr:colOff>529165</xdr:colOff>
      <xdr:row>14</xdr:row>
      <xdr:rowOff>105832</xdr:rowOff>
    </xdr:from>
    <xdr:to>
      <xdr:col>28</xdr:col>
      <xdr:colOff>14204</xdr:colOff>
      <xdr:row>25</xdr:row>
      <xdr:rowOff>24897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1518A9C-33D0-D70E-1151-4B711605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56438" y="3425150"/>
          <a:ext cx="4334130" cy="18721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/../../Downloads/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8" zoomScale="60" zoomScaleNormal="100" workbookViewId="0">
      <selection activeCell="B17" sqref="B17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8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abSelected="1" topLeftCell="C19" zoomScale="69" zoomScaleNormal="70" zoomScaleSheetLayoutView="50" workbookViewId="0">
      <selection activeCell="G29" sqref="G29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723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5.9/1000</f>
        <v>5.9000000000000007E-3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13.487287900000004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4/1000</f>
        <v>4.0000000000000001E-3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731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8.9/1000</f>
        <v>8.8999999999999999E-3</v>
      </c>
      <c r="J43" s="38"/>
      <c r="K43" s="38"/>
      <c r="L43" s="38"/>
      <c r="M43" s="38"/>
      <c r="N43" s="38"/>
      <c r="O43" s="292" t="s">
        <v>356</v>
      </c>
      <c r="P43" s="247"/>
      <c r="X43" t="s">
        <v>732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5.4666666666666674E-3</v>
      </c>
      <c r="J49" s="38"/>
      <c r="K49" s="38"/>
      <c r="L49" s="38"/>
      <c r="M49" s="38"/>
      <c r="N49" s="38"/>
      <c r="P49" s="247"/>
      <c r="R49" t="s">
        <v>738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5.2/1000</f>
        <v>5.1999999999999998E-3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4.1/1000</f>
        <v>4.0999999999999995E-3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4.7/1000</f>
        <v>4.7000000000000002E-3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733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735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1.56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2.2/1000</f>
        <v>2.2000000000000001E-3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730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5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6"/>
      <c r="S98" s="29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3"/>
      <c r="S101" s="294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3.8/1000</f>
        <v>3.8E-3</v>
      </c>
      <c r="J103" s="38"/>
      <c r="K103" s="38"/>
      <c r="L103" s="38"/>
      <c r="M103" s="38"/>
      <c r="N103" s="38"/>
      <c r="P103" s="247"/>
      <c r="R103" t="s">
        <v>734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736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737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0.2*O108</f>
        <v>2.4654005643222909</v>
      </c>
      <c r="J109" s="38"/>
      <c r="K109" s="38"/>
      <c r="L109" s="38"/>
      <c r="M109" s="38"/>
      <c r="N109" s="38"/>
      <c r="P109" s="247"/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0.23*O114</f>
        <v>7.5509152493513989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91" t="s">
        <v>728</v>
      </c>
      <c r="T124">
        <f>75.2*1000</f>
        <v>75200</v>
      </c>
      <c r="U124" s="290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91" t="s">
        <v>727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725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724</v>
      </c>
      <c r="Y131" s="301" t="s">
        <v>726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729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AF27"/>
  <sheetViews>
    <sheetView topLeftCell="J1" zoomScale="81" workbookViewId="0">
      <selection activeCell="K20" sqref="K20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3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3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3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3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F5</f>
        <v>17</v>
      </c>
      <c r="H5" s="286">
        <f>G5</f>
        <v>17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32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256">
        <f>125/1000</f>
        <v>0.125</v>
      </c>
      <c r="L6" s="78"/>
      <c r="M6" s="78"/>
      <c r="N6" s="78"/>
      <c r="O6" s="78"/>
      <c r="R6">
        <f>12500*0.125</f>
        <v>1562.5</v>
      </c>
    </row>
    <row r="7" spans="2:32" ht="16" customHeight="1" thickBot="1">
      <c r="B7" s="212"/>
      <c r="C7" s="212"/>
      <c r="D7" s="212"/>
      <c r="E7" s="212" t="str">
        <f>SEC_Comm!D16</f>
        <v>AGR_BIOG</v>
      </c>
      <c r="F7" s="212"/>
      <c r="G7" s="212"/>
      <c r="H7" s="212"/>
      <c r="I7" s="212">
        <v>23</v>
      </c>
      <c r="J7" s="212">
        <f>I7/1000</f>
        <v>2.3E-2</v>
      </c>
      <c r="K7" s="288"/>
      <c r="L7" s="212"/>
      <c r="M7" s="212"/>
      <c r="N7" s="212"/>
      <c r="O7" s="212"/>
    </row>
    <row r="8" spans="2:32" ht="16" customHeight="1">
      <c r="B8" s="80"/>
      <c r="C8" s="80"/>
      <c r="E8" s="80"/>
      <c r="F8" s="80"/>
      <c r="G8" s="80"/>
      <c r="H8" s="38"/>
      <c r="I8" s="80"/>
      <c r="J8" s="80"/>
      <c r="K8" s="248"/>
      <c r="L8" s="80"/>
      <c r="M8" s="80"/>
      <c r="N8" s="80"/>
      <c r="O8" s="80"/>
      <c r="AF8" t="s">
        <v>722</v>
      </c>
    </row>
    <row r="9" spans="2:32" ht="16" customHeight="1" thickBot="1">
      <c r="B9" s="80"/>
      <c r="C9" s="80"/>
      <c r="E9" s="80"/>
      <c r="F9" s="80"/>
      <c r="G9" s="80"/>
      <c r="H9" s="38"/>
      <c r="I9" s="80"/>
      <c r="J9" s="80"/>
      <c r="K9" s="248"/>
      <c r="L9" s="80"/>
      <c r="M9" s="80"/>
      <c r="N9" s="80"/>
      <c r="O9" s="80"/>
      <c r="AC9">
        <f>F5*O5*P5</f>
        <v>17</v>
      </c>
      <c r="AD9" t="s">
        <v>621</v>
      </c>
      <c r="AF9">
        <f>AC9/R6</f>
        <v>1.0880000000000001E-2</v>
      </c>
    </row>
    <row r="10" spans="2:32" ht="16" customHeight="1">
      <c r="B10" s="80"/>
      <c r="C10" s="80"/>
      <c r="D10" s="86" t="str">
        <f>SEC_Comm!D39</f>
        <v>AGR_LIV_MANURE_CAT_DAIRY</v>
      </c>
      <c r="E10" s="80"/>
      <c r="F10" s="80"/>
      <c r="G10" s="80"/>
      <c r="H10" s="38"/>
      <c r="I10" s="80"/>
      <c r="J10" s="80"/>
      <c r="K10" s="289">
        <f>225.5/1000</f>
        <v>0.22550000000000001</v>
      </c>
      <c r="L10" s="80"/>
      <c r="M10" s="80"/>
      <c r="N10" s="80"/>
      <c r="O10" s="80"/>
      <c r="AC10">
        <f>F5</f>
        <v>17</v>
      </c>
    </row>
    <row r="11" spans="2:32" ht="16" customHeight="1">
      <c r="B11" s="78"/>
      <c r="C11" s="78"/>
      <c r="D11" s="78" t="str">
        <f>SEC_Comm!D40</f>
        <v>AGR_LIV_MANURE_CAT_NON-DAIRY</v>
      </c>
      <c r="E11" s="78"/>
      <c r="F11" s="78"/>
      <c r="G11" s="78"/>
      <c r="H11" s="78"/>
      <c r="I11" s="78"/>
      <c r="J11" s="78"/>
      <c r="K11" s="256">
        <f>225.5/1000</f>
        <v>0.22550000000000001</v>
      </c>
      <c r="L11" s="78"/>
      <c r="M11" s="78"/>
      <c r="N11" s="78"/>
      <c r="O11" s="78"/>
      <c r="AC11">
        <f>AC9/K6</f>
        <v>136</v>
      </c>
      <c r="AD11" t="s">
        <v>718</v>
      </c>
    </row>
    <row r="12" spans="2:32" ht="16" customHeight="1">
      <c r="B12" s="80"/>
      <c r="C12" s="80"/>
      <c r="D12" s="80" t="str">
        <f>SEC_Comm!D41</f>
        <v>AGR_LIV_MANURE_SHEEP</v>
      </c>
      <c r="E12" s="80"/>
      <c r="F12" s="80"/>
      <c r="G12" s="80"/>
      <c r="H12" s="80"/>
      <c r="I12" s="80"/>
      <c r="J12" s="80"/>
      <c r="K12" s="256">
        <f>200/1000</f>
        <v>0.2</v>
      </c>
      <c r="L12" s="80"/>
      <c r="M12" s="80"/>
      <c r="N12" s="80"/>
      <c r="O12" s="80"/>
      <c r="AC12">
        <f>AC9*J7</f>
        <v>0.39100000000000001</v>
      </c>
    </row>
    <row r="13" spans="2:32" ht="16" customHeight="1">
      <c r="B13" s="78"/>
      <c r="C13" s="78"/>
      <c r="D13" s="78" t="str">
        <f>SEC_Comm!D42</f>
        <v>AGR_LIV_MANURE_SWINE</v>
      </c>
      <c r="E13" s="78"/>
      <c r="F13" s="78"/>
      <c r="G13" s="78"/>
      <c r="H13" s="78"/>
      <c r="I13" s="78"/>
      <c r="J13" s="78"/>
      <c r="K13" s="256">
        <f>301/1000</f>
        <v>0.30099999999999999</v>
      </c>
      <c r="L13" s="78"/>
      <c r="M13" s="78"/>
      <c r="N13" s="78"/>
      <c r="O13" s="78"/>
    </row>
    <row r="14" spans="2:32" ht="16" customHeight="1">
      <c r="B14" s="80"/>
      <c r="C14" s="80"/>
      <c r="D14" s="80" t="str">
        <f>SEC_Comm!D43</f>
        <v>AGR_LIV_MANURE_GOAT</v>
      </c>
      <c r="E14" s="80"/>
      <c r="F14" s="80"/>
      <c r="G14" s="80"/>
      <c r="H14" s="80"/>
      <c r="I14" s="80"/>
      <c r="J14" s="80"/>
      <c r="K14" s="256">
        <f>200/1000</f>
        <v>0.2</v>
      </c>
      <c r="L14" s="80"/>
      <c r="M14" s="80"/>
      <c r="N14" s="80"/>
      <c r="O14" s="80"/>
    </row>
    <row r="15" spans="2:32" ht="16" customHeight="1">
      <c r="B15" s="78"/>
      <c r="C15" s="78"/>
      <c r="D15" s="78" t="str">
        <f>SEC_Comm!D44</f>
        <v>AGR_LIV_MANURE_HORSE</v>
      </c>
      <c r="E15" s="78"/>
      <c r="F15" s="78"/>
      <c r="G15" s="78"/>
      <c r="H15" s="78"/>
      <c r="I15" s="78"/>
      <c r="J15" s="78"/>
      <c r="K15" s="256">
        <f>220/1000</f>
        <v>0.22</v>
      </c>
      <c r="L15" s="78"/>
      <c r="M15" s="78"/>
      <c r="N15" s="78"/>
      <c r="O15" s="78"/>
    </row>
    <row r="16" spans="2:32" ht="16" customHeight="1">
      <c r="B16" s="80"/>
      <c r="C16" s="80"/>
      <c r="D16" s="80" t="str">
        <f>SEC_Comm!D45</f>
        <v>AGR_LIV_MANURE_POULTRY</v>
      </c>
      <c r="E16" s="80"/>
      <c r="F16" s="80"/>
      <c r="G16" s="80"/>
      <c r="H16" s="80"/>
      <c r="I16" s="80"/>
      <c r="J16" s="80"/>
      <c r="K16" s="256">
        <f>320/1000</f>
        <v>0.32</v>
      </c>
      <c r="L16" s="80"/>
      <c r="M16" s="80"/>
      <c r="N16" s="80"/>
      <c r="O16" s="80"/>
    </row>
    <row r="17" spans="2:15" ht="16" customHeight="1">
      <c r="B17" s="78"/>
      <c r="C17" s="78"/>
      <c r="D17" s="78" t="str">
        <f>SEC_Comm!D46</f>
        <v>AGR_LIV_MANURE_RABBIT</v>
      </c>
      <c r="E17" s="78"/>
      <c r="F17" s="78"/>
      <c r="G17" s="78"/>
      <c r="H17" s="78"/>
      <c r="I17" s="78"/>
      <c r="J17" s="78"/>
      <c r="K17" s="256">
        <f>300/1000</f>
        <v>0.3</v>
      </c>
      <c r="L17" s="78"/>
      <c r="M17" s="78"/>
      <c r="N17" s="78"/>
      <c r="O17" s="78"/>
    </row>
    <row r="18" spans="2:15" ht="16" customHeight="1">
      <c r="B18" s="80"/>
      <c r="C18" s="80"/>
      <c r="D18" s="80" t="str">
        <f>SEC_Comm!D47</f>
        <v>AGR_LIV_MANURE_FUR</v>
      </c>
      <c r="E18" s="80"/>
      <c r="F18" s="80"/>
      <c r="G18" s="80"/>
      <c r="H18" s="80"/>
      <c r="I18" s="80"/>
      <c r="J18" s="80"/>
      <c r="K18" s="256">
        <f>275/1000</f>
        <v>0.27500000000000002</v>
      </c>
      <c r="L18" s="80"/>
      <c r="M18" s="80"/>
      <c r="N18" s="80"/>
      <c r="O18" s="80"/>
    </row>
    <row r="20" spans="2:15">
      <c r="K20">
        <f>17*0.023</f>
        <v>0.39100000000000001</v>
      </c>
    </row>
    <row r="22" spans="2:15" ht="13">
      <c r="F22" s="225" t="s">
        <v>645</v>
      </c>
    </row>
    <row r="23" spans="2:15" ht="13">
      <c r="B23" s="164"/>
      <c r="C23" s="164"/>
      <c r="D23" s="164"/>
      <c r="G23" s="225"/>
      <c r="H23" s="225"/>
      <c r="I23" s="225"/>
      <c r="J23" s="225"/>
      <c r="K23" s="225"/>
      <c r="L23" s="225"/>
      <c r="M23" s="226"/>
      <c r="N23" s="226"/>
      <c r="O23" s="226"/>
    </row>
    <row r="24" spans="2:15" ht="13">
      <c r="B24" s="71" t="s">
        <v>77</v>
      </c>
      <c r="C24" s="72" t="s">
        <v>152</v>
      </c>
      <c r="D24" s="71" t="s">
        <v>133</v>
      </c>
      <c r="E24" s="71" t="s">
        <v>134</v>
      </c>
      <c r="F24" s="71" t="s">
        <v>135</v>
      </c>
      <c r="G24" s="71" t="s">
        <v>641</v>
      </c>
      <c r="H24" s="71" t="s">
        <v>175</v>
      </c>
      <c r="I24" s="73" t="s">
        <v>176</v>
      </c>
    </row>
    <row r="25" spans="2:15" ht="13" thickBot="1">
      <c r="B25" s="74" t="s">
        <v>456</v>
      </c>
      <c r="C25" s="74" t="s">
        <v>457</v>
      </c>
      <c r="D25" s="74" t="s">
        <v>458</v>
      </c>
      <c r="E25" s="74" t="s">
        <v>459</v>
      </c>
      <c r="F25" s="74" t="s">
        <v>643</v>
      </c>
      <c r="G25" s="74" t="s">
        <v>643</v>
      </c>
      <c r="H25" s="74"/>
      <c r="I25" s="74" t="s">
        <v>642</v>
      </c>
    </row>
    <row r="26" spans="2:15" ht="16" customHeight="1">
      <c r="B26" s="80" t="str">
        <f>SEC_Processes!D27</f>
        <v>AGR_EX_BIOG_CLEAN</v>
      </c>
      <c r="C26" s="80" t="str">
        <f>SEC_Processes!E27</f>
        <v>Agriculture Biogaz Cleaning</v>
      </c>
      <c r="D26" s="80" t="str">
        <f>SEC_Comm!D16</f>
        <v>AGR_BIOG</v>
      </c>
      <c r="E26" s="80" t="str">
        <f>SEC_Comm!D34</f>
        <v>AGR_BIO_CH4</v>
      </c>
      <c r="F26" s="80">
        <v>1</v>
      </c>
      <c r="G26" s="80">
        <v>1</v>
      </c>
      <c r="H26" s="80"/>
      <c r="I26" s="80">
        <v>0.45</v>
      </c>
    </row>
    <row r="27" spans="2:15" ht="16" customHeight="1" thickBot="1">
      <c r="B27" s="213"/>
      <c r="C27" s="213"/>
      <c r="D27" s="213"/>
      <c r="E27" s="213"/>
      <c r="F27" s="213"/>
      <c r="G27" s="213"/>
      <c r="H27" s="213"/>
      <c r="I27" s="21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2024-10-04T12:39:14Z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