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D630C2DB-D801-4ABA-838B-D723CCBDA763}" xr6:coauthVersionLast="47" xr6:coauthVersionMax="47" xr10:uidLastSave="{00000000-0000-0000-0000-000000000000}"/>
  <bookViews>
    <workbookView xWindow="-110" yWindow="-110" windowWidth="19420" windowHeight="10420" tabRatio="901" firstSheet="1" activeTab="5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EMI" sheetId="146" r:id="rId10"/>
    <sheet name="ESTAT_2020" sheetId="148" r:id="rId11"/>
    <sheet name="GUS_2020_HT_ELC" sheetId="1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54" l="1"/>
  <c r="J10" i="154"/>
  <c r="I31" i="155" l="1"/>
  <c r="AF32" i="155" s="1"/>
  <c r="J9" i="154"/>
  <c r="J44" i="154"/>
  <c r="K22" i="157"/>
  <c r="AF7" i="157"/>
  <c r="AF4" i="157"/>
  <c r="AF10" i="157"/>
  <c r="H51" i="154"/>
  <c r="H46" i="154"/>
  <c r="H41" i="154"/>
  <c r="H35" i="154"/>
  <c r="H29" i="154"/>
  <c r="H23" i="154"/>
  <c r="H17" i="154"/>
  <c r="H11" i="154"/>
  <c r="H5" i="154"/>
  <c r="K14" i="157"/>
  <c r="K29" i="157"/>
  <c r="K28" i="157"/>
  <c r="K27" i="157"/>
  <c r="K26" i="157"/>
  <c r="K25" i="157"/>
  <c r="K24" i="157"/>
  <c r="K23" i="157"/>
  <c r="K21" i="157"/>
  <c r="K20" i="157"/>
  <c r="K19" i="157"/>
  <c r="K18" i="157"/>
  <c r="K17" i="157"/>
  <c r="K16" i="157"/>
  <c r="K15" i="157"/>
  <c r="K13" i="157"/>
  <c r="K12" i="157"/>
  <c r="K11" i="157"/>
  <c r="K10" i="157"/>
  <c r="K9" i="157"/>
  <c r="K8" i="157"/>
  <c r="K7" i="157"/>
  <c r="K6" i="157"/>
  <c r="D21" i="157"/>
  <c r="BJ9" i="157"/>
  <c r="BJ10" i="157"/>
  <c r="BJ11" i="157"/>
  <c r="BJ8" i="157"/>
  <c r="AC23" i="157"/>
  <c r="AF30" i="155"/>
  <c r="R109" i="155"/>
  <c r="AF28" i="155"/>
  <c r="AF26" i="155"/>
  <c r="G5" i="157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H5" i="157"/>
  <c r="D7" i="157"/>
  <c r="E37" i="155"/>
  <c r="E30" i="157"/>
  <c r="G28" i="155"/>
  <c r="AC19" i="157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C21" i="157"/>
  <c r="AC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J30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9" i="149" l="1"/>
  <c r="E8" i="149"/>
  <c r="C7" i="149"/>
  <c r="B7" i="149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K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H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<sst xmlns="http://schemas.openxmlformats.org/spreadsheetml/2006/main" count="1858" uniqueCount="739">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</sst>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15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3" fillId="13" borderId="42" xfId="14" applyFont="1" applyFill="1" applyBorder="1" applyAlignment="1">
      <alignment horizontal="left" vertical="top"/>
    </xf>
    <xf numFmtId="0" fontId="33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3" fillId="13" borderId="42" xfId="14" applyFont="1" applyFill="1" applyBorder="1" applyAlignment="1">
      <alignment horizontal="center" vertical="center"/>
    </xf>
    <xf numFmtId="0" fontId="33" fillId="13" borderId="42" xfId="14" applyFont="1" applyFill="1" applyBorder="1" applyAlignment="1">
      <alignment horizontal="left" vertical="center"/>
    </xf>
    <xf numFmtId="0" fontId="33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4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3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 wrapText="1"/>
    </xf>
    <xf numFmtId="0" fontId="18" fillId="18" borderId="7" xfId="6" applyFont="1" applyFill="1" applyBorder="1" applyAlignment="1">
      <alignment horizontal="center" vertical="center" wrapText="1"/>
    </xf>
    <xf numFmtId="0" fontId="15" fillId="8" borderId="8" xfId="7" applyFont="1" applyFill="1" applyBorder="1" applyAlignment="1">
      <alignment horizontal="center" vertical="center" wrapText="1"/>
    </xf>
    <xf numFmtId="0" fontId="32" fillId="19" borderId="0" xfId="0" applyFont="1" applyFill="1"/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20" borderId="0" xfId="11" applyFill="1"/>
    <xf numFmtId="0" fontId="0" fillId="20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21" borderId="3" xfId="0" applyFont="1" applyFill="1" applyBorder="1"/>
    <xf numFmtId="0" fontId="0" fillId="21" borderId="3" xfId="0" applyFill="1" applyBorder="1"/>
    <xf numFmtId="0" fontId="35" fillId="0" borderId="0" xfId="3" applyFont="1" applyAlignment="1">
      <alignment horizontal="left"/>
    </xf>
    <xf numFmtId="0" fontId="18" fillId="22" borderId="47" xfId="3" applyFont="1" applyFill="1" applyBorder="1" applyAlignment="1">
      <alignment horizontal="center" vertical="center"/>
    </xf>
    <xf numFmtId="0" fontId="18" fillId="22" borderId="47" xfId="1" applyFont="1" applyFill="1" applyBorder="1" applyAlignment="1">
      <alignment horizontal="center" vertical="center"/>
    </xf>
    <xf numFmtId="0" fontId="18" fillId="22" borderId="47" xfId="10" applyFont="1" applyFill="1" applyBorder="1" applyAlignment="1">
      <alignment horizontal="center" vertical="center" wrapText="1"/>
    </xf>
    <xf numFmtId="0" fontId="15" fillId="23" borderId="48" xfId="1" applyFont="1" applyFill="1" applyBorder="1" applyAlignment="1">
      <alignment horizontal="center" vertical="center" wrapText="1"/>
    </xf>
    <xf numFmtId="0" fontId="15" fillId="24" borderId="49" xfId="0" applyFont="1" applyFill="1" applyBorder="1"/>
    <xf numFmtId="0" fontId="15" fillId="25" borderId="50" xfId="0" applyFont="1" applyFill="1" applyBorder="1"/>
    <xf numFmtId="0" fontId="15" fillId="5" borderId="2" xfId="0" applyFont="1" applyFill="1" applyBorder="1"/>
    <xf numFmtId="0" fontId="15" fillId="26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8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6" borderId="0" xfId="0" applyFont="1" applyFill="1"/>
    <xf numFmtId="0" fontId="15" fillId="27" borderId="0" xfId="0" applyFont="1" applyFill="1"/>
    <xf numFmtId="0" fontId="0" fillId="0" borderId="40" xfId="0" applyBorder="1"/>
    <xf numFmtId="0" fontId="15" fillId="21" borderId="0" xfId="0" applyFont="1" applyFill="1"/>
    <xf numFmtId="0" fontId="15" fillId="5" borderId="35" xfId="0" applyFont="1" applyFill="1" applyBorder="1"/>
    <xf numFmtId="0" fontId="0" fillId="21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40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40" fillId="0" borderId="53" xfId="0" applyNumberFormat="1" applyFont="1" applyBorder="1" applyAlignment="1">
      <alignment horizontal="right"/>
    </xf>
    <xf numFmtId="166" fontId="40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6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6" borderId="0" xfId="25" applyFill="1"/>
    <xf numFmtId="0" fontId="0" fillId="29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2" fillId="0" borderId="37" xfId="0" applyNumberFormat="1" applyFont="1" applyBorder="1"/>
    <xf numFmtId="170" fontId="42" fillId="0" borderId="54" xfId="0" applyNumberFormat="1" applyFont="1" applyBorder="1"/>
    <xf numFmtId="0" fontId="0" fillId="28" borderId="0" xfId="0" applyFill="1"/>
    <xf numFmtId="0" fontId="0" fillId="26" borderId="46" xfId="0" applyFill="1" applyBorder="1"/>
    <xf numFmtId="0" fontId="33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3" fillId="13" borderId="0" xfId="14" applyFont="1" applyFill="1" applyAlignment="1">
      <alignment horizontal="center"/>
    </xf>
    <xf numFmtId="0" fontId="15" fillId="29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227701</xdr:colOff>
      <xdr:row>14</xdr:row>
      <xdr:rowOff>79722</xdr:rowOff>
    </xdr:from>
    <xdr:to>
      <xdr:col>27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56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19</xdr:col>
      <xdr:colOff>531091</xdr:colOff>
      <xdr:row>1</xdr:row>
      <xdr:rowOff>115455</xdr:rowOff>
    </xdr:from>
    <xdr:to>
      <xdr:col>28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K4" dT="2024-10-04T14:49:36.53" personId="{517B1E64-C065-4D50-BE60-96C0BD4D6C19}" id="{1D922F7B-B62D-46E3-8E23-919CF5AA2E57}">
    <text>Albo dry albo wet, wybrać jedno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477</v>
      </c>
      <c r="E14" s="298"/>
      <c r="F14" s="299" t="s">
        <v>478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479</v>
      </c>
      <c r="E18" s="298"/>
      <c r="F18" s="299" t="s">
        <v>487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480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481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482</v>
      </c>
      <c r="E28" s="298"/>
      <c r="F28" s="35" t="s">
        <v>652</v>
      </c>
      <c r="J28" s="25"/>
      <c r="K28" s="27"/>
      <c r="L28" s="36"/>
    </row>
    <row r="29" spans="1:12">
      <c r="A29" s="36"/>
      <c r="B29" s="31"/>
      <c r="C29" s="26"/>
      <c r="F29" s="35" t="s">
        <v>483</v>
      </c>
      <c r="J29" s="25"/>
      <c r="K29" s="27"/>
      <c r="L29" s="36"/>
    </row>
    <row r="30" spans="1:12">
      <c r="A30" s="36"/>
      <c r="B30" s="31"/>
      <c r="C30" s="26"/>
      <c r="F30" s="35" t="s">
        <v>484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485</v>
      </c>
      <c r="E32" s="298"/>
      <c r="F32" s="35" t="s">
        <v>483</v>
      </c>
      <c r="J32" s="25"/>
      <c r="K32" s="27"/>
      <c r="L32" s="36"/>
    </row>
    <row r="33" spans="1:12">
      <c r="A33" s="36"/>
      <c r="B33" s="31"/>
      <c r="C33" s="26"/>
      <c r="F33" s="20" t="s">
        <v>649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489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82" t="s">
        <v>177</v>
      </c>
      <c r="C4" s="182"/>
      <c r="D4" s="302" t="s">
        <v>182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7">
        <v>4.7595900000000003E-5</v>
      </c>
      <c r="I6" s="78">
        <v>3.2759599999999999E-4</v>
      </c>
      <c r="J6" s="188">
        <v>4.7595900000000003E-5</v>
      </c>
      <c r="K6" s="187">
        <v>4.7595900000000003E-6</v>
      </c>
      <c r="L6" s="186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5" t="e">
        <f>SEC_Processes!#REF!</f>
        <v>#REF!</v>
      </c>
      <c r="C10" s="185" t="str">
        <f>SEC_Comm!D28</f>
        <v>AGR_PM2.5</v>
      </c>
      <c r="D10" s="185">
        <v>0.35625308300000003</v>
      </c>
      <c r="E10" s="185">
        <v>0.35625308300000003</v>
      </c>
      <c r="F10" s="185">
        <v>2.2034333E-2</v>
      </c>
      <c r="G10" s="185">
        <v>2.8183083000000001E-2</v>
      </c>
      <c r="H10" s="185">
        <v>2.1561725E-2</v>
      </c>
      <c r="I10" s="185">
        <v>2.3653082999999998E-2</v>
      </c>
      <c r="J10" s="185">
        <v>2.2453082999999999E-2</v>
      </c>
      <c r="K10" s="185">
        <v>2.2453082999999999E-2</v>
      </c>
      <c r="L10" s="185">
        <v>0.65625308299999996</v>
      </c>
      <c r="M10" s="185">
        <v>0.65625308299999996</v>
      </c>
      <c r="N10" s="185">
        <v>0.65625308299999996</v>
      </c>
    </row>
    <row r="11" spans="2:14" ht="13">
      <c r="B11" s="184" t="s">
        <v>177</v>
      </c>
      <c r="C11" s="184"/>
      <c r="D11" s="303" t="s">
        <v>183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7" t="e">
        <f>SEC_Processes!#REF!</f>
        <v>#REF!</v>
      </c>
      <c r="C12" s="177" t="str">
        <f>SEC_Comm!D29</f>
        <v>AGR_HG</v>
      </c>
      <c r="D12" s="177" t="s">
        <v>184</v>
      </c>
      <c r="E12" s="177" t="s">
        <v>185</v>
      </c>
      <c r="F12" s="177" t="s">
        <v>186</v>
      </c>
      <c r="G12" s="177" t="s">
        <v>452</v>
      </c>
      <c r="H12" s="177"/>
      <c r="I12" s="177"/>
      <c r="J12" s="177"/>
      <c r="K12" s="177"/>
      <c r="L12" s="177"/>
      <c r="M12" s="177"/>
      <c r="N12" s="177"/>
    </row>
  </sheetData>
  <mergeCells count="2">
    <mergeCell ref="D4:N4"/>
    <mergeCell ref="D11:N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L11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187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188</v>
      </c>
      <c r="J4" s="104" t="s">
        <v>189</v>
      </c>
      <c r="K4" s="103" t="s">
        <v>190</v>
      </c>
      <c r="L4" s="103" t="s">
        <v>191</v>
      </c>
      <c r="M4" s="103" t="s">
        <v>192</v>
      </c>
      <c r="N4" s="103" t="s">
        <v>193</v>
      </c>
      <c r="O4" s="103" t="s">
        <v>194</v>
      </c>
      <c r="P4" s="103" t="s">
        <v>195</v>
      </c>
      <c r="Q4" s="103" t="s">
        <v>196</v>
      </c>
      <c r="R4" s="103" t="s">
        <v>197</v>
      </c>
      <c r="S4" s="103" t="s">
        <v>198</v>
      </c>
      <c r="T4" s="103" t="s">
        <v>199</v>
      </c>
      <c r="U4" s="105" t="s">
        <v>200</v>
      </c>
      <c r="V4" s="103" t="s">
        <v>201</v>
      </c>
      <c r="W4" s="103" t="s">
        <v>202</v>
      </c>
      <c r="X4" s="103" t="s">
        <v>203</v>
      </c>
      <c r="Y4" s="103" t="s">
        <v>204</v>
      </c>
      <c r="Z4" s="105" t="s">
        <v>205</v>
      </c>
      <c r="AA4" s="103" t="s">
        <v>206</v>
      </c>
      <c r="AB4" s="103" t="s">
        <v>207</v>
      </c>
      <c r="AC4" s="106" t="s">
        <v>208</v>
      </c>
      <c r="AD4" s="107" t="s">
        <v>209</v>
      </c>
      <c r="AE4" s="108" t="s">
        <v>210</v>
      </c>
      <c r="AF4" s="103" t="s">
        <v>211</v>
      </c>
      <c r="AG4" s="103" t="s">
        <v>212</v>
      </c>
      <c r="AH4" s="103" t="s">
        <v>213</v>
      </c>
      <c r="AI4" s="103" t="s">
        <v>214</v>
      </c>
      <c r="AJ4" s="103" t="s">
        <v>215</v>
      </c>
      <c r="AK4" s="103" t="s">
        <v>216</v>
      </c>
      <c r="AL4" s="103" t="s">
        <v>217</v>
      </c>
      <c r="AM4" s="103" t="s">
        <v>218</v>
      </c>
      <c r="AN4" s="103" t="s">
        <v>219</v>
      </c>
      <c r="AO4" s="103" t="s">
        <v>220</v>
      </c>
      <c r="AP4" s="103" t="s">
        <v>221</v>
      </c>
      <c r="AQ4" s="103" t="s">
        <v>222</v>
      </c>
      <c r="AR4" s="103" t="s">
        <v>223</v>
      </c>
      <c r="AS4" s="103" t="s">
        <v>224</v>
      </c>
      <c r="AT4" s="103" t="s">
        <v>225</v>
      </c>
      <c r="AU4" s="103" t="s">
        <v>226</v>
      </c>
      <c r="AV4" s="103" t="s">
        <v>227</v>
      </c>
      <c r="AW4" s="103" t="s">
        <v>228</v>
      </c>
      <c r="AX4" s="103" t="s">
        <v>229</v>
      </c>
      <c r="AY4" s="103" t="s">
        <v>230</v>
      </c>
      <c r="AZ4" s="103" t="s">
        <v>231</v>
      </c>
      <c r="BA4" s="103" t="s">
        <v>232</v>
      </c>
      <c r="BB4" s="105" t="s">
        <v>233</v>
      </c>
      <c r="BC4" s="103" t="s">
        <v>234</v>
      </c>
      <c r="BD4" s="103" t="s">
        <v>235</v>
      </c>
      <c r="BE4" s="103" t="s">
        <v>236</v>
      </c>
      <c r="BF4" s="103" t="s">
        <v>237</v>
      </c>
      <c r="BG4" s="103" t="s">
        <v>238</v>
      </c>
      <c r="BH4" s="103" t="s">
        <v>239</v>
      </c>
      <c r="BI4" s="109" t="s">
        <v>240</v>
      </c>
      <c r="BJ4" s="103" t="s">
        <v>241</v>
      </c>
      <c r="BK4" s="103" t="s">
        <v>242</v>
      </c>
      <c r="BL4" s="103" t="s">
        <v>243</v>
      </c>
      <c r="BM4" s="103" t="s">
        <v>244</v>
      </c>
      <c r="BN4" s="103" t="s">
        <v>245</v>
      </c>
      <c r="BO4" s="103" t="s">
        <v>246</v>
      </c>
      <c r="BP4" s="103" t="s">
        <v>247</v>
      </c>
      <c r="BQ4" s="103" t="s">
        <v>248</v>
      </c>
      <c r="BR4" s="103" t="s">
        <v>249</v>
      </c>
      <c r="BS4" s="103" t="s">
        <v>250</v>
      </c>
      <c r="BT4" s="103" t="s">
        <v>251</v>
      </c>
      <c r="BU4" s="105" t="s">
        <v>252</v>
      </c>
      <c r="BV4" s="103" t="s">
        <v>253</v>
      </c>
      <c r="BW4" s="103" t="s">
        <v>254</v>
      </c>
      <c r="BX4" s="106" t="s">
        <v>255</v>
      </c>
      <c r="BY4" s="107" t="s">
        <v>256</v>
      </c>
      <c r="BZ4" s="105" t="s">
        <v>257</v>
      </c>
      <c r="CA4" s="110" t="s">
        <v>258</v>
      </c>
      <c r="CB4" s="105" t="s">
        <v>259</v>
      </c>
    </row>
    <row r="5" spans="1:84" s="121" customFormat="1" ht="46">
      <c r="A5" s="112"/>
      <c r="B5" s="112"/>
      <c r="C5" s="112"/>
      <c r="D5" s="113" t="s">
        <v>260</v>
      </c>
      <c r="E5" s="113"/>
      <c r="F5" s="114">
        <v>2020</v>
      </c>
      <c r="G5" s="115"/>
      <c r="H5" s="116"/>
      <c r="I5" s="117" t="s">
        <v>261</v>
      </c>
      <c r="J5" s="117" t="s">
        <v>262</v>
      </c>
      <c r="K5" s="118" t="s">
        <v>263</v>
      </c>
      <c r="L5" s="118" t="s">
        <v>264</v>
      </c>
      <c r="M5" s="118" t="s">
        <v>265</v>
      </c>
      <c r="N5" s="118" t="s">
        <v>266</v>
      </c>
      <c r="O5" s="118" t="s">
        <v>267</v>
      </c>
      <c r="P5" s="118" t="s">
        <v>268</v>
      </c>
      <c r="Q5" s="118" t="s">
        <v>269</v>
      </c>
      <c r="R5" s="118" t="s">
        <v>270</v>
      </c>
      <c r="S5" s="118" t="s">
        <v>271</v>
      </c>
      <c r="T5" s="118" t="s">
        <v>272</v>
      </c>
      <c r="U5" s="117" t="s">
        <v>273</v>
      </c>
      <c r="V5" s="118" t="s">
        <v>274</v>
      </c>
      <c r="W5" s="118" t="s">
        <v>275</v>
      </c>
      <c r="X5" s="118" t="s">
        <v>276</v>
      </c>
      <c r="Y5" s="118" t="s">
        <v>277</v>
      </c>
      <c r="Z5" s="117" t="s">
        <v>278</v>
      </c>
      <c r="AA5" s="118" t="s">
        <v>279</v>
      </c>
      <c r="AB5" s="118" t="s">
        <v>280</v>
      </c>
      <c r="AC5" s="117" t="s">
        <v>281</v>
      </c>
      <c r="AD5" s="117" t="s">
        <v>282</v>
      </c>
      <c r="AE5" s="118" t="s">
        <v>283</v>
      </c>
      <c r="AF5" s="118" t="s">
        <v>284</v>
      </c>
      <c r="AG5" s="118" t="s">
        <v>285</v>
      </c>
      <c r="AH5" s="118" t="s">
        <v>286</v>
      </c>
      <c r="AI5" s="118" t="s">
        <v>287</v>
      </c>
      <c r="AJ5" s="118" t="s">
        <v>288</v>
      </c>
      <c r="AK5" s="118" t="s">
        <v>289</v>
      </c>
      <c r="AL5" s="118" t="s">
        <v>290</v>
      </c>
      <c r="AM5" s="119" t="s">
        <v>291</v>
      </c>
      <c r="AN5" s="118" t="s">
        <v>292</v>
      </c>
      <c r="AO5" s="118" t="s">
        <v>293</v>
      </c>
      <c r="AP5" s="119" t="s">
        <v>294</v>
      </c>
      <c r="AQ5" s="118" t="s">
        <v>295</v>
      </c>
      <c r="AR5" s="118" t="s">
        <v>296</v>
      </c>
      <c r="AS5" s="119" t="s">
        <v>297</v>
      </c>
      <c r="AT5" s="118" t="s">
        <v>298</v>
      </c>
      <c r="AU5" s="119" t="s">
        <v>299</v>
      </c>
      <c r="AV5" s="118" t="s">
        <v>300</v>
      </c>
      <c r="AW5" s="118" t="s">
        <v>301</v>
      </c>
      <c r="AX5" s="118" t="s">
        <v>302</v>
      </c>
      <c r="AY5" s="118" t="s">
        <v>303</v>
      </c>
      <c r="AZ5" s="118" t="s">
        <v>304</v>
      </c>
      <c r="BA5" s="117" t="s">
        <v>305</v>
      </c>
      <c r="BB5" s="117" t="s">
        <v>306</v>
      </c>
      <c r="BC5" s="118" t="s">
        <v>307</v>
      </c>
      <c r="BD5" s="118" t="s">
        <v>308</v>
      </c>
      <c r="BE5" s="118" t="s">
        <v>309</v>
      </c>
      <c r="BF5" s="118" t="s">
        <v>310</v>
      </c>
      <c r="BG5" s="118" t="s">
        <v>311</v>
      </c>
      <c r="BH5" s="118" t="s">
        <v>312</v>
      </c>
      <c r="BI5" s="118" t="s">
        <v>313</v>
      </c>
      <c r="BJ5" s="118" t="s">
        <v>314</v>
      </c>
      <c r="BK5" s="118" t="s">
        <v>315</v>
      </c>
      <c r="BL5" s="118" t="s">
        <v>316</v>
      </c>
      <c r="BM5" s="118" t="s">
        <v>317</v>
      </c>
      <c r="BN5" s="118" t="s">
        <v>318</v>
      </c>
      <c r="BO5" s="118" t="s">
        <v>319</v>
      </c>
      <c r="BP5" s="118" t="s">
        <v>320</v>
      </c>
      <c r="BQ5" s="118" t="s">
        <v>321</v>
      </c>
      <c r="BR5" s="118" t="s">
        <v>322</v>
      </c>
      <c r="BS5" s="118" t="s">
        <v>323</v>
      </c>
      <c r="BT5" s="118" t="s">
        <v>324</v>
      </c>
      <c r="BU5" s="117" t="s">
        <v>325</v>
      </c>
      <c r="BV5" s="118" t="s">
        <v>326</v>
      </c>
      <c r="BW5" s="118" t="s">
        <v>327</v>
      </c>
      <c r="BX5" s="117" t="s">
        <v>328</v>
      </c>
      <c r="BY5" s="117" t="s">
        <v>329</v>
      </c>
      <c r="BZ5" s="117" t="s">
        <v>42</v>
      </c>
      <c r="CA5" s="120" t="s">
        <v>330</v>
      </c>
      <c r="CB5" s="117" t="s">
        <v>331</v>
      </c>
      <c r="CE5" s="37"/>
      <c r="CF5" s="122"/>
    </row>
    <row r="6" spans="1:84" ht="11.25" customHeight="1">
      <c r="A6" s="123" t="s">
        <v>332</v>
      </c>
      <c r="B6" s="124" t="s">
        <v>333</v>
      </c>
      <c r="C6" s="124"/>
      <c r="D6" s="124"/>
      <c r="E6" s="124"/>
      <c r="F6" s="124"/>
      <c r="G6" s="125"/>
      <c r="H6" s="126" t="s">
        <v>334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335</v>
      </c>
      <c r="AH6" s="128" t="s">
        <v>335</v>
      </c>
      <c r="AI6" s="128" t="s">
        <v>335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335</v>
      </c>
      <c r="BD6" s="128" t="s">
        <v>335</v>
      </c>
      <c r="BE6" s="128" t="s">
        <v>335</v>
      </c>
      <c r="BF6" s="128" t="s">
        <v>335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335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332</v>
      </c>
      <c r="C7" s="124" t="s">
        <v>336</v>
      </c>
      <c r="D7" s="124"/>
      <c r="E7" s="124"/>
      <c r="F7" s="124"/>
      <c r="G7" s="125"/>
      <c r="H7" s="126" t="s">
        <v>337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335</v>
      </c>
      <c r="AH7" s="128" t="s">
        <v>335</v>
      </c>
      <c r="AI7" s="128" t="s">
        <v>335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335</v>
      </c>
      <c r="BD7" s="128" t="s">
        <v>335</v>
      </c>
      <c r="BE7" s="128" t="s">
        <v>335</v>
      </c>
      <c r="BF7" s="128" t="s">
        <v>335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335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332</v>
      </c>
      <c r="C8" s="124" t="s">
        <v>338</v>
      </c>
      <c r="D8" s="124"/>
      <c r="E8" s="124"/>
      <c r="F8" s="124"/>
      <c r="G8" s="125"/>
      <c r="H8" s="126" t="s">
        <v>339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335</v>
      </c>
      <c r="AH8" s="128" t="s">
        <v>335</v>
      </c>
      <c r="AI8" s="128" t="s">
        <v>335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335</v>
      </c>
      <c r="BD8" s="128" t="s">
        <v>335</v>
      </c>
      <c r="BE8" s="128" t="s">
        <v>335</v>
      </c>
      <c r="BF8" s="128" t="s">
        <v>335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335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332</v>
      </c>
      <c r="C9" s="124" t="s">
        <v>340</v>
      </c>
      <c r="D9" s="124"/>
      <c r="E9" s="124"/>
      <c r="F9" s="124"/>
      <c r="G9" s="125"/>
      <c r="H9" s="126" t="s">
        <v>341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335</v>
      </c>
      <c r="AH9" s="128" t="s">
        <v>335</v>
      </c>
      <c r="AI9" s="128" t="s">
        <v>335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335</v>
      </c>
      <c r="BD9" s="128" t="s">
        <v>335</v>
      </c>
      <c r="BE9" s="128" t="s">
        <v>335</v>
      </c>
      <c r="BF9" s="128" t="s">
        <v>335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335</v>
      </c>
      <c r="BU9" s="127">
        <v>0</v>
      </c>
      <c r="BV9" s="128">
        <v>0</v>
      </c>
      <c r="BW9" s="128">
        <v>0</v>
      </c>
      <c r="BX9" s="129" t="s">
        <v>335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332</v>
      </c>
      <c r="C10" s="124" t="s">
        <v>342</v>
      </c>
      <c r="D10" s="124"/>
      <c r="E10" s="124"/>
      <c r="F10" s="124"/>
      <c r="G10" s="125"/>
      <c r="H10" s="126" t="s">
        <v>343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335</v>
      </c>
      <c r="AH10" s="128" t="s">
        <v>335</v>
      </c>
      <c r="AI10" s="128" t="s">
        <v>335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335</v>
      </c>
      <c r="BD10" s="128" t="s">
        <v>335</v>
      </c>
      <c r="BE10" s="128" t="s">
        <v>335</v>
      </c>
      <c r="BF10" s="128" t="s">
        <v>335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335</v>
      </c>
      <c r="BU10" s="127">
        <v>0</v>
      </c>
      <c r="BV10" s="128">
        <v>0</v>
      </c>
      <c r="BW10" s="128">
        <v>0</v>
      </c>
      <c r="BX10" s="129" t="s">
        <v>335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332</v>
      </c>
      <c r="C11" s="124" t="s">
        <v>344</v>
      </c>
      <c r="D11" s="136"/>
      <c r="E11" s="136"/>
      <c r="F11" s="136"/>
      <c r="G11" s="137"/>
      <c r="H11" s="138" t="s">
        <v>345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335</v>
      </c>
      <c r="AH11" s="140" t="s">
        <v>335</v>
      </c>
      <c r="AI11" s="140" t="s">
        <v>335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335</v>
      </c>
      <c r="BD11" s="140" t="s">
        <v>335</v>
      </c>
      <c r="BE11" s="140" t="s">
        <v>335</v>
      </c>
      <c r="BF11" s="140" t="s">
        <v>335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335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260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346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347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348</v>
      </c>
    </row>
    <row r="2" spans="1:6" ht="23.25" customHeight="1">
      <c r="A2" s="54" t="s">
        <v>349</v>
      </c>
    </row>
    <row r="3" spans="1:6" ht="23.25" customHeight="1">
      <c r="A3" s="55" t="s">
        <v>350</v>
      </c>
      <c r="B3" s="56" t="s">
        <v>351</v>
      </c>
      <c r="C3" s="56" t="s">
        <v>352</v>
      </c>
      <c r="D3" s="56" t="s">
        <v>351</v>
      </c>
      <c r="E3" s="56" t="s">
        <v>352</v>
      </c>
    </row>
    <row r="4" spans="1:6" ht="23.25" customHeight="1">
      <c r="A4" s="305" t="s">
        <v>353</v>
      </c>
      <c r="B4" s="57" t="s">
        <v>329</v>
      </c>
      <c r="C4" s="57" t="s">
        <v>42</v>
      </c>
      <c r="D4" s="57" t="s">
        <v>329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354</v>
      </c>
      <c r="E5" s="308"/>
    </row>
    <row r="6" spans="1:6" ht="9" customHeight="1">
      <c r="A6" s="58" t="s">
        <v>355</v>
      </c>
      <c r="B6" s="59">
        <v>1.1304360000000002</v>
      </c>
      <c r="C6" s="59" t="s">
        <v>356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357</v>
      </c>
      <c r="B7" s="59" t="s">
        <v>356</v>
      </c>
      <c r="C7" s="59" t="s">
        <v>356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358</v>
      </c>
      <c r="B8" s="59" t="s">
        <v>356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359</v>
      </c>
      <c r="B9" s="59" t="s">
        <v>356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360</v>
      </c>
      <c r="B10" s="59" t="s">
        <v>356</v>
      </c>
      <c r="C10" s="59" t="s">
        <v>356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361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362</v>
      </c>
      <c r="B12" s="59" t="s">
        <v>356</v>
      </c>
      <c r="C12" s="59" t="s">
        <v>356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363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364</v>
      </c>
      <c r="B14" s="59" t="s">
        <v>356</v>
      </c>
      <c r="C14" s="59" t="s">
        <v>356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365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366</v>
      </c>
      <c r="B16" s="59" t="s">
        <v>356</v>
      </c>
      <c r="C16" s="59" t="s">
        <v>356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367</v>
      </c>
      <c r="B17" s="59" t="s">
        <v>356</v>
      </c>
      <c r="C17" s="59" t="s">
        <v>356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368</v>
      </c>
      <c r="B18" s="59" t="s">
        <v>356</v>
      </c>
      <c r="C18" s="59" t="s">
        <v>356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369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370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371</v>
      </c>
      <c r="B21" s="59" t="s">
        <v>356</v>
      </c>
      <c r="C21" s="59" t="s">
        <v>356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372</v>
      </c>
      <c r="B22" s="59" t="s">
        <v>356</v>
      </c>
      <c r="C22" s="59" t="s">
        <v>356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373</v>
      </c>
      <c r="B23" s="59" t="s">
        <v>356</v>
      </c>
      <c r="C23" s="59" t="s">
        <v>356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374</v>
      </c>
      <c r="B24" s="59" t="s">
        <v>356</v>
      </c>
      <c r="C24" s="59" t="s">
        <v>356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375</v>
      </c>
      <c r="B25" s="59">
        <v>1.1304360000000002</v>
      </c>
      <c r="C25" s="59" t="s">
        <v>356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376</v>
      </c>
      <c r="B26" s="59" t="s">
        <v>356</v>
      </c>
      <c r="C26" s="59" t="s">
        <v>356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377</v>
      </c>
      <c r="B27" s="59" t="s">
        <v>356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378</v>
      </c>
      <c r="B28" s="59" t="s">
        <v>356</v>
      </c>
      <c r="C28" s="59" t="s">
        <v>356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379</v>
      </c>
      <c r="B29" s="59" t="s">
        <v>356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380</v>
      </c>
      <c r="B30" s="59">
        <v>0.62802000000000002</v>
      </c>
      <c r="C30" s="59" t="s">
        <v>356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381</v>
      </c>
      <c r="B31" s="59" t="s">
        <v>356</v>
      </c>
      <c r="C31" s="59" t="s">
        <v>356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382</v>
      </c>
      <c r="B32" s="59" t="s">
        <v>356</v>
      </c>
      <c r="C32" s="59" t="s">
        <v>356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383</v>
      </c>
      <c r="B33" s="59" t="s">
        <v>356</v>
      </c>
      <c r="C33" s="59" t="s">
        <v>356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384</v>
      </c>
      <c r="B34" s="59" t="s">
        <v>356</v>
      </c>
      <c r="C34" s="59" t="s">
        <v>356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385</v>
      </c>
      <c r="B35" s="61" t="s">
        <v>356</v>
      </c>
      <c r="C35" s="61" t="s">
        <v>356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386</v>
      </c>
      <c r="B36" s="59" t="s">
        <v>356</v>
      </c>
      <c r="C36" s="59" t="s">
        <v>356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387</v>
      </c>
      <c r="B37" s="59" t="s">
        <v>356</v>
      </c>
      <c r="C37" s="59" t="s">
        <v>356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388</v>
      </c>
      <c r="B38" s="59" t="s">
        <v>356</v>
      </c>
      <c r="C38" s="59" t="s">
        <v>356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389</v>
      </c>
      <c r="B39" s="59" t="s">
        <v>356</v>
      </c>
      <c r="C39" s="59" t="s">
        <v>356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390</v>
      </c>
      <c r="B40" s="59" t="s">
        <v>356</v>
      </c>
      <c r="C40" s="59" t="s">
        <v>356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391</v>
      </c>
      <c r="B41" s="59" t="s">
        <v>356</v>
      </c>
      <c r="C41" s="59" t="s">
        <v>356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392</v>
      </c>
      <c r="B42" s="59" t="s">
        <v>356</v>
      </c>
      <c r="C42" s="59" t="s">
        <v>356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393</v>
      </c>
      <c r="B43" s="59" t="s">
        <v>356</v>
      </c>
      <c r="C43" s="59" t="s">
        <v>356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394</v>
      </c>
      <c r="B44" s="59" t="s">
        <v>356</v>
      </c>
      <c r="C44" s="59" t="s">
        <v>356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395</v>
      </c>
      <c r="B45" s="59" t="s">
        <v>356</v>
      </c>
      <c r="C45" s="59" t="s">
        <v>356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396</v>
      </c>
      <c r="B46" s="59" t="s">
        <v>356</v>
      </c>
      <c r="C46" s="59" t="s">
        <v>356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397</v>
      </c>
      <c r="B47" s="59" t="s">
        <v>356</v>
      </c>
      <c r="C47" s="59" t="s">
        <v>356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398</v>
      </c>
      <c r="B48" s="59" t="s">
        <v>356</v>
      </c>
      <c r="C48" s="59" t="s">
        <v>356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399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370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371</v>
      </c>
      <c r="B51" s="59" t="s">
        <v>356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372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373</v>
      </c>
      <c r="B53" s="59">
        <v>93.909924000000004</v>
      </c>
      <c r="C53" s="59" t="s">
        <v>356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374</v>
      </c>
      <c r="B54" s="59" t="s">
        <v>356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375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376</v>
      </c>
      <c r="B56" s="59">
        <v>4.8985560000000001</v>
      </c>
      <c r="C56" s="59" t="s">
        <v>356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377</v>
      </c>
      <c r="B57" s="59">
        <v>0</v>
      </c>
      <c r="C57" s="59" t="s">
        <v>356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378</v>
      </c>
      <c r="B58" s="59" t="s">
        <v>356</v>
      </c>
      <c r="C58" s="59" t="s">
        <v>356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379</v>
      </c>
      <c r="B59" s="59" t="s">
        <v>356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380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381</v>
      </c>
      <c r="B61" s="59" t="s">
        <v>356</v>
      </c>
      <c r="C61" s="59" t="s">
        <v>356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382</v>
      </c>
      <c r="B62" s="59" t="s">
        <v>356</v>
      </c>
      <c r="C62" s="59" t="s">
        <v>356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383</v>
      </c>
      <c r="B63" s="59" t="s">
        <v>356</v>
      </c>
      <c r="C63" s="59" t="s">
        <v>356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384</v>
      </c>
      <c r="B64" s="59" t="s">
        <v>356</v>
      </c>
      <c r="C64" s="59" t="s">
        <v>356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400</v>
      </c>
      <c r="B65" s="61" t="s">
        <v>356</v>
      </c>
      <c r="C65" s="61" t="s">
        <v>356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401</v>
      </c>
      <c r="B66" s="59" t="s">
        <v>356</v>
      </c>
      <c r="C66" s="59" t="s">
        <v>356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387</v>
      </c>
      <c r="B67" s="59" t="s">
        <v>356</v>
      </c>
      <c r="C67" s="59" t="s">
        <v>356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388</v>
      </c>
      <c r="B68" s="59" t="s">
        <v>356</v>
      </c>
      <c r="C68" s="59" t="s">
        <v>356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402</v>
      </c>
      <c r="B69" s="59" t="s">
        <v>356</v>
      </c>
      <c r="C69" s="59" t="s">
        <v>356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403</v>
      </c>
      <c r="B70" s="59" t="s">
        <v>356</v>
      </c>
      <c r="C70" s="59" t="s">
        <v>356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391</v>
      </c>
      <c r="B71" s="59" t="s">
        <v>356</v>
      </c>
      <c r="C71" s="59" t="s">
        <v>356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392</v>
      </c>
      <c r="B72" s="59" t="s">
        <v>356</v>
      </c>
      <c r="C72" s="59" t="s">
        <v>356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393</v>
      </c>
      <c r="B73" s="59" t="s">
        <v>356</v>
      </c>
      <c r="C73" s="59" t="s">
        <v>356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394</v>
      </c>
      <c r="B74" s="59" t="s">
        <v>356</v>
      </c>
      <c r="C74" s="59" t="s">
        <v>356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395</v>
      </c>
      <c r="B75" s="59" t="s">
        <v>356</v>
      </c>
      <c r="C75" s="59" t="s">
        <v>356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396</v>
      </c>
      <c r="B76" s="59" t="s">
        <v>356</v>
      </c>
      <c r="C76" s="59" t="s">
        <v>356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397</v>
      </c>
      <c r="B77" s="59" t="s">
        <v>356</v>
      </c>
      <c r="C77" s="59" t="s">
        <v>356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398</v>
      </c>
      <c r="B78" s="59" t="s">
        <v>356</v>
      </c>
      <c r="C78" s="59" t="s">
        <v>356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404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405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406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407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391</v>
      </c>
      <c r="B83" s="59" t="s">
        <v>356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381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392</v>
      </c>
      <c r="B85" s="59" t="s">
        <v>356</v>
      </c>
      <c r="C85" s="59" t="s">
        <v>356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383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382</v>
      </c>
      <c r="B87" s="59" t="s">
        <v>356</v>
      </c>
      <c r="C87" s="59" t="s">
        <v>356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408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409</v>
      </c>
      <c r="B89" s="59" t="s">
        <v>356</v>
      </c>
      <c r="C89" s="59" t="s">
        <v>356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393</v>
      </c>
      <c r="B90" s="59" t="s">
        <v>356</v>
      </c>
      <c r="C90" s="59" t="s">
        <v>356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410</v>
      </c>
      <c r="B91" s="59" t="s">
        <v>356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411</v>
      </c>
      <c r="B92" s="59" t="s">
        <v>356</v>
      </c>
      <c r="C92" s="59" t="s">
        <v>356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412</v>
      </c>
      <c r="B93" s="59" t="s">
        <v>356</v>
      </c>
      <c r="C93" s="59" t="s">
        <v>356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396</v>
      </c>
      <c r="B94" s="59" t="s">
        <v>356</v>
      </c>
      <c r="C94" s="59" t="s">
        <v>356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413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414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415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416</v>
      </c>
      <c r="B98" s="59" t="s">
        <v>356</v>
      </c>
      <c r="C98" s="59" t="s">
        <v>356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417</v>
      </c>
      <c r="B99" s="59" t="s">
        <v>356</v>
      </c>
      <c r="C99" s="59" t="s">
        <v>356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418</v>
      </c>
      <c r="B100" s="59" t="s">
        <v>356</v>
      </c>
      <c r="C100" s="59" t="s">
        <v>356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419</v>
      </c>
      <c r="B101" s="59" t="s">
        <v>356</v>
      </c>
      <c r="C101" s="59" t="s">
        <v>356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420</v>
      </c>
      <c r="B102" s="59" t="s">
        <v>356</v>
      </c>
      <c r="C102" s="59" t="s">
        <v>356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421</v>
      </c>
      <c r="B103" s="59" t="s">
        <v>356</v>
      </c>
      <c r="C103" s="59" t="s">
        <v>356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422</v>
      </c>
      <c r="B104" s="59" t="s">
        <v>356</v>
      </c>
      <c r="C104" s="59" t="s">
        <v>356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423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424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425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426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427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428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429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430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431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432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433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434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435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436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437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438</v>
      </c>
      <c r="B120" s="59" t="s">
        <v>356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439</v>
      </c>
      <c r="B121" s="59" t="s">
        <v>356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440</v>
      </c>
      <c r="B122" s="59" t="s">
        <v>356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441</v>
      </c>
      <c r="B123" s="59" t="s">
        <v>356</v>
      </c>
      <c r="C123" s="59" t="s">
        <v>356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442</v>
      </c>
      <c r="B124" s="59" t="s">
        <v>356</v>
      </c>
      <c r="C124" s="59" t="s">
        <v>356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443</v>
      </c>
      <c r="B125" s="59" t="s">
        <v>356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444</v>
      </c>
      <c r="B126" s="59" t="s">
        <v>356</v>
      </c>
      <c r="C126" s="59" t="s">
        <v>356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445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446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447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448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449</v>
      </c>
      <c r="B131" s="59" t="s">
        <v>356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450</v>
      </c>
      <c r="B132" s="59" t="s">
        <v>356</v>
      </c>
      <c r="C132" s="59" t="s">
        <v>356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451</v>
      </c>
      <c r="B133" s="59">
        <v>0</v>
      </c>
      <c r="C133" s="59" t="s">
        <v>356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11" customWidth="1"/>
    <col min="4" max="4" width="17.1796875" style="211" customWidth="1"/>
    <col min="5" max="5" width="24.26953125" style="211" customWidth="1"/>
    <col min="6" max="6" width="44.26953125" style="211" customWidth="1"/>
    <col min="7" max="9" width="4" style="211" customWidth="1"/>
    <col min="10" max="16384" width="9.1796875" style="211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486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650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22" zoomScale="60" zoomScaleNormal="100" workbookViewId="0">
      <selection activeCell="D39" sqref="D39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454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83" t="s">
        <v>19</v>
      </c>
      <c r="C32" s="183" t="s">
        <v>94</v>
      </c>
      <c r="D32" s="183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4" t="s">
        <v>490</v>
      </c>
      <c r="C33" s="215"/>
      <c r="D33" s="215"/>
      <c r="E33" s="215"/>
      <c r="F33" s="215"/>
      <c r="G33" s="215"/>
      <c r="H33" s="215"/>
      <c r="I33" s="215"/>
      <c r="J33" s="215"/>
    </row>
    <row r="34" spans="2:10" ht="16" customHeight="1">
      <c r="B34" s="80" t="s">
        <v>19</v>
      </c>
      <c r="C34" s="80" t="s">
        <v>94</v>
      </c>
      <c r="D34" s="80" t="s">
        <v>639</v>
      </c>
      <c r="E34" s="80" t="s">
        <v>640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515</v>
      </c>
      <c r="E35" s="78" t="s">
        <v>516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491</v>
      </c>
      <c r="E36" s="80" t="s">
        <v>492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493</v>
      </c>
      <c r="E37" s="78" t="s">
        <v>494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495</v>
      </c>
      <c r="E38" s="80" t="s">
        <v>496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497</v>
      </c>
      <c r="E39" s="78" t="s">
        <v>498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499</v>
      </c>
      <c r="E40" s="80" t="s">
        <v>500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501</v>
      </c>
      <c r="E41" s="78" t="s">
        <v>502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503</v>
      </c>
      <c r="E42" s="80" t="s">
        <v>504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505</v>
      </c>
      <c r="E43" s="78" t="s">
        <v>506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507</v>
      </c>
      <c r="E44" s="80" t="s">
        <v>508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509</v>
      </c>
      <c r="E45" s="78" t="s">
        <v>510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511</v>
      </c>
      <c r="E46" s="80" t="s">
        <v>512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513</v>
      </c>
      <c r="E47" s="78" t="s">
        <v>514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622</v>
      </c>
      <c r="E48" s="80" t="s">
        <v>637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623</v>
      </c>
      <c r="E49" s="78" t="s">
        <v>637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624</v>
      </c>
      <c r="E50" s="80" t="s">
        <v>637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625</v>
      </c>
      <c r="E51" s="78" t="s">
        <v>637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626</v>
      </c>
      <c r="E52" s="80" t="s">
        <v>637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627</v>
      </c>
      <c r="E53" s="78" t="s">
        <v>637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628</v>
      </c>
      <c r="E54" s="80" t="s">
        <v>637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629</v>
      </c>
      <c r="E55" s="78" t="s">
        <v>637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630</v>
      </c>
      <c r="E56" s="80" t="s">
        <v>637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631</v>
      </c>
      <c r="E57" s="78" t="s">
        <v>637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632</v>
      </c>
      <c r="E58" s="80" t="s">
        <v>637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633</v>
      </c>
      <c r="E59" s="78" t="s">
        <v>637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634</v>
      </c>
      <c r="E60" s="80" t="s">
        <v>637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635</v>
      </c>
      <c r="E61" s="78" t="s">
        <v>637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636</v>
      </c>
      <c r="E62" s="80" t="s">
        <v>637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653</v>
      </c>
      <c r="E63" s="78" t="s">
        <v>517</v>
      </c>
      <c r="F63" s="78" t="s">
        <v>518</v>
      </c>
      <c r="G63" s="78"/>
      <c r="H63" s="78" t="s">
        <v>23</v>
      </c>
      <c r="I63" s="78"/>
      <c r="J63" s="78"/>
    </row>
    <row r="64" spans="2:10" ht="16" customHeight="1">
      <c r="B64" s="80" t="s">
        <v>670</v>
      </c>
      <c r="C64" s="80" t="s">
        <v>94</v>
      </c>
      <c r="D64" s="80" t="s">
        <v>669</v>
      </c>
      <c r="E64" s="80" t="s">
        <v>517</v>
      </c>
      <c r="F64" s="80" t="s">
        <v>671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519</v>
      </c>
      <c r="E65" s="78" t="s">
        <v>520</v>
      </c>
      <c r="F65" s="78" t="s">
        <v>518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521</v>
      </c>
      <c r="E66" s="80" t="s">
        <v>522</v>
      </c>
      <c r="F66" s="80" t="s">
        <v>518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523</v>
      </c>
      <c r="E67" s="78" t="s">
        <v>523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524</v>
      </c>
      <c r="E68" s="80" t="s">
        <v>524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525</v>
      </c>
      <c r="E69" s="78" t="s">
        <v>525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526</v>
      </c>
      <c r="E70" s="80" t="s">
        <v>526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527</v>
      </c>
      <c r="E71" s="78" t="s">
        <v>527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528</v>
      </c>
      <c r="E72" s="80" t="s">
        <v>528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529</v>
      </c>
      <c r="E73" s="78" t="s">
        <v>529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530</v>
      </c>
      <c r="E74" s="80" t="s">
        <v>530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531</v>
      </c>
      <c r="E75" s="78" t="s">
        <v>531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12" t="s">
        <v>47</v>
      </c>
      <c r="C76" s="212" t="s">
        <v>94</v>
      </c>
      <c r="D76" s="212" t="s">
        <v>532</v>
      </c>
      <c r="E76" s="212" t="s">
        <v>532</v>
      </c>
      <c r="F76" s="212" t="s">
        <v>50</v>
      </c>
      <c r="G76" s="212"/>
      <c r="H76" s="212" t="s">
        <v>23</v>
      </c>
      <c r="I76" s="212"/>
      <c r="J76" s="212"/>
    </row>
    <row r="77" spans="2:10" ht="13" thickBot="1">
      <c r="B77" s="212" t="s">
        <v>47</v>
      </c>
      <c r="C77" s="80" t="s">
        <v>94</v>
      </c>
      <c r="D77" s="80" t="s">
        <v>654</v>
      </c>
      <c r="E77" s="80" t="s">
        <v>637</v>
      </c>
      <c r="F77" s="80" t="s">
        <v>54</v>
      </c>
    </row>
    <row r="78" spans="2:10" ht="13" thickBot="1">
      <c r="B78" s="212" t="s">
        <v>47</v>
      </c>
      <c r="C78" s="78" t="s">
        <v>94</v>
      </c>
      <c r="D78" s="78" t="s">
        <v>655</v>
      </c>
      <c r="E78" s="78" t="s">
        <v>637</v>
      </c>
      <c r="F78" s="78" t="s">
        <v>54</v>
      </c>
    </row>
    <row r="79" spans="2:10" ht="13" thickBot="1">
      <c r="B79" s="212" t="s">
        <v>47</v>
      </c>
      <c r="C79" s="80" t="s">
        <v>94</v>
      </c>
      <c r="D79" s="80" t="s">
        <v>656</v>
      </c>
      <c r="E79" s="80" t="s">
        <v>637</v>
      </c>
      <c r="F79" s="80" t="s">
        <v>54</v>
      </c>
    </row>
    <row r="80" spans="2:10" ht="13" thickBot="1">
      <c r="B80" s="212" t="s">
        <v>47</v>
      </c>
      <c r="C80" s="78" t="s">
        <v>94</v>
      </c>
      <c r="D80" s="78" t="s">
        <v>657</v>
      </c>
      <c r="E80" s="78" t="s">
        <v>637</v>
      </c>
      <c r="F80" s="78" t="s">
        <v>54</v>
      </c>
    </row>
    <row r="81" spans="2:6" ht="13" thickBot="1">
      <c r="B81" s="212" t="s">
        <v>47</v>
      </c>
      <c r="C81" s="80" t="s">
        <v>94</v>
      </c>
      <c r="D81" s="80" t="s">
        <v>658</v>
      </c>
      <c r="E81" s="80" t="s">
        <v>637</v>
      </c>
      <c r="F81" s="80" t="s">
        <v>54</v>
      </c>
    </row>
    <row r="82" spans="2:6" ht="13" thickBot="1">
      <c r="B82" s="212" t="s">
        <v>47</v>
      </c>
      <c r="C82" s="78" t="s">
        <v>94</v>
      </c>
      <c r="D82" s="78" t="s">
        <v>659</v>
      </c>
      <c r="E82" s="78" t="s">
        <v>637</v>
      </c>
      <c r="F82" s="78" t="s">
        <v>54</v>
      </c>
    </row>
    <row r="83" spans="2:6" ht="13" thickBot="1">
      <c r="B83" s="212" t="s">
        <v>47</v>
      </c>
      <c r="C83" s="80" t="s">
        <v>94</v>
      </c>
      <c r="D83" s="80" t="s">
        <v>660</v>
      </c>
      <c r="E83" s="80" t="s">
        <v>637</v>
      </c>
      <c r="F83" s="80" t="s">
        <v>54</v>
      </c>
    </row>
    <row r="84" spans="2:6" ht="13" thickBot="1">
      <c r="B84" s="212" t="s">
        <v>47</v>
      </c>
      <c r="C84" s="78" t="s">
        <v>94</v>
      </c>
      <c r="D84" s="78" t="s">
        <v>661</v>
      </c>
      <c r="E84" s="78" t="s">
        <v>637</v>
      </c>
      <c r="F84" s="78" t="s">
        <v>54</v>
      </c>
    </row>
    <row r="85" spans="2:6" ht="13" thickBot="1">
      <c r="B85" s="212" t="s">
        <v>47</v>
      </c>
      <c r="C85" s="80" t="s">
        <v>94</v>
      </c>
      <c r="D85" s="80" t="s">
        <v>662</v>
      </c>
      <c r="E85" s="80" t="s">
        <v>637</v>
      </c>
      <c r="F85" s="80" t="s">
        <v>54</v>
      </c>
    </row>
    <row r="86" spans="2:6" ht="13" thickBot="1">
      <c r="B86" s="212" t="s">
        <v>47</v>
      </c>
      <c r="C86" s="78" t="s">
        <v>94</v>
      </c>
      <c r="D86" s="78" t="s">
        <v>663</v>
      </c>
      <c r="E86" s="78" t="s">
        <v>637</v>
      </c>
      <c r="F86" s="78" t="s">
        <v>54</v>
      </c>
    </row>
    <row r="87" spans="2:6" ht="13" thickBot="1">
      <c r="B87" s="212" t="s">
        <v>47</v>
      </c>
      <c r="C87" s="80" t="s">
        <v>94</v>
      </c>
      <c r="D87" s="80" t="s">
        <v>664</v>
      </c>
      <c r="E87" s="80" t="s">
        <v>637</v>
      </c>
      <c r="F87" s="80" t="s">
        <v>54</v>
      </c>
    </row>
    <row r="88" spans="2:6" ht="13" thickBot="1">
      <c r="B88" s="212" t="s">
        <v>47</v>
      </c>
      <c r="C88" s="78" t="s">
        <v>94</v>
      </c>
      <c r="D88" s="78" t="s">
        <v>665</v>
      </c>
      <c r="E88" s="78" t="s">
        <v>637</v>
      </c>
      <c r="F88" s="78" t="s">
        <v>54</v>
      </c>
    </row>
    <row r="89" spans="2:6" ht="13" thickBot="1">
      <c r="B89" s="212" t="s">
        <v>47</v>
      </c>
      <c r="C89" s="80" t="s">
        <v>94</v>
      </c>
      <c r="D89" s="80" t="s">
        <v>666</v>
      </c>
      <c r="E89" s="80" t="s">
        <v>637</v>
      </c>
      <c r="F89" s="80" t="s">
        <v>54</v>
      </c>
    </row>
    <row r="90" spans="2:6" ht="13" thickBot="1">
      <c r="B90" s="212" t="s">
        <v>47</v>
      </c>
      <c r="C90" s="78" t="s">
        <v>94</v>
      </c>
      <c r="D90" s="78" t="s">
        <v>667</v>
      </c>
      <c r="E90" s="78" t="s">
        <v>637</v>
      </c>
      <c r="F90" s="78" t="s">
        <v>54</v>
      </c>
    </row>
    <row r="91" spans="2:6" ht="13" thickBot="1">
      <c r="B91" s="212" t="s">
        <v>47</v>
      </c>
      <c r="C91" s="80" t="s">
        <v>94</v>
      </c>
      <c r="D91" s="80" t="s">
        <v>668</v>
      </c>
      <c r="E91" s="80" t="s">
        <v>637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B1" zoomScale="77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646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5" t="s">
        <v>94</v>
      </c>
      <c r="D22" s="174" t="s">
        <v>124</v>
      </c>
      <c r="E22" s="174" t="s">
        <v>453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6" t="s">
        <v>93</v>
      </c>
      <c r="C23" s="176" t="s">
        <v>94</v>
      </c>
      <c r="D23" s="176" t="s">
        <v>127</v>
      </c>
      <c r="E23" s="176" t="s">
        <v>128</v>
      </c>
      <c r="F23" s="176" t="s">
        <v>22</v>
      </c>
      <c r="G23" s="176" t="s">
        <v>129</v>
      </c>
      <c r="H23" s="176" t="s">
        <v>68</v>
      </c>
      <c r="I23" s="168"/>
      <c r="J23" s="168"/>
    </row>
    <row r="24" spans="2:14">
      <c r="B24" s="178" t="s">
        <v>93</v>
      </c>
      <c r="C24" s="178" t="s">
        <v>94</v>
      </c>
      <c r="D24" s="178" t="s">
        <v>130</v>
      </c>
      <c r="E24" s="178" t="s">
        <v>131</v>
      </c>
      <c r="F24" s="178" t="s">
        <v>22</v>
      </c>
      <c r="G24" s="178" t="s">
        <v>129</v>
      </c>
      <c r="H24" s="178" t="s">
        <v>68</v>
      </c>
      <c r="I24" s="179"/>
      <c r="J24" s="179"/>
    </row>
    <row r="25" spans="2:14">
      <c r="B25" s="228" t="s">
        <v>533</v>
      </c>
      <c r="C25" s="229"/>
      <c r="D25" s="229"/>
      <c r="E25" s="229"/>
      <c r="F25" s="229"/>
      <c r="G25" s="229"/>
      <c r="H25" s="229"/>
      <c r="I25" s="229"/>
      <c r="J25" s="229"/>
    </row>
    <row r="26" spans="2:14" ht="18.75" customHeight="1">
      <c r="B26" s="237" t="s">
        <v>122</v>
      </c>
      <c r="C26" s="237" t="s">
        <v>94</v>
      </c>
      <c r="D26" s="237" t="s">
        <v>619</v>
      </c>
      <c r="E26" s="237" t="s">
        <v>620</v>
      </c>
      <c r="F26" s="237" t="s">
        <v>22</v>
      </c>
      <c r="G26" s="237" t="s">
        <v>621</v>
      </c>
      <c r="H26" s="237" t="s">
        <v>23</v>
      </c>
      <c r="I26" s="237"/>
      <c r="J26" s="237"/>
    </row>
    <row r="27" spans="2:14" ht="18.75" customHeight="1">
      <c r="B27" s="78" t="s">
        <v>93</v>
      </c>
      <c r="C27" s="78" t="s">
        <v>94</v>
      </c>
      <c r="D27" s="78" t="s">
        <v>638</v>
      </c>
      <c r="E27" s="78" t="s">
        <v>644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534</v>
      </c>
      <c r="C28" s="80" t="s">
        <v>94</v>
      </c>
      <c r="D28" s="80" t="s">
        <v>535</v>
      </c>
      <c r="E28" s="80" t="s">
        <v>536</v>
      </c>
      <c r="F28" s="80" t="s">
        <v>518</v>
      </c>
      <c r="G28" s="80" t="s">
        <v>518</v>
      </c>
      <c r="H28" s="80" t="s">
        <v>23</v>
      </c>
      <c r="I28" s="80"/>
      <c r="J28" s="80"/>
    </row>
    <row r="29" spans="2:14" ht="18.75" customHeight="1">
      <c r="B29" s="78" t="s">
        <v>534</v>
      </c>
      <c r="C29" s="78" t="s">
        <v>94</v>
      </c>
      <c r="D29" s="78" t="s">
        <v>587</v>
      </c>
      <c r="E29" s="78" t="s">
        <v>588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534</v>
      </c>
      <c r="C30" s="80" t="s">
        <v>94</v>
      </c>
      <c r="D30" s="80" t="s">
        <v>537</v>
      </c>
      <c r="E30" s="80" t="s">
        <v>538</v>
      </c>
      <c r="F30" s="80" t="s">
        <v>518</v>
      </c>
      <c r="G30" s="80" t="s">
        <v>518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539</v>
      </c>
      <c r="E31" s="78" t="s">
        <v>540</v>
      </c>
      <c r="F31" s="78" t="s">
        <v>50</v>
      </c>
      <c r="G31" s="78" t="s">
        <v>541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542</v>
      </c>
      <c r="E32" s="80" t="s">
        <v>543</v>
      </c>
      <c r="F32" s="80" t="s">
        <v>50</v>
      </c>
      <c r="G32" s="80" t="s">
        <v>541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544</v>
      </c>
      <c r="E33" s="78" t="s">
        <v>545</v>
      </c>
      <c r="F33" s="78" t="s">
        <v>50</v>
      </c>
      <c r="G33" s="78" t="s">
        <v>541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546</v>
      </c>
      <c r="E34" s="80" t="s">
        <v>547</v>
      </c>
      <c r="F34" s="80" t="s">
        <v>50</v>
      </c>
      <c r="G34" s="80" t="s">
        <v>541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548</v>
      </c>
      <c r="E35" s="78" t="s">
        <v>549</v>
      </c>
      <c r="F35" s="78" t="s">
        <v>50</v>
      </c>
      <c r="G35" s="78" t="s">
        <v>541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550</v>
      </c>
      <c r="E36" s="80" t="s">
        <v>551</v>
      </c>
      <c r="F36" s="80" t="s">
        <v>50</v>
      </c>
      <c r="G36" s="80" t="s">
        <v>541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552</v>
      </c>
      <c r="E37" s="78" t="s">
        <v>553</v>
      </c>
      <c r="F37" s="78" t="s">
        <v>50</v>
      </c>
      <c r="G37" s="78" t="s">
        <v>541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554</v>
      </c>
      <c r="E38" s="80" t="s">
        <v>555</v>
      </c>
      <c r="F38" s="80" t="s">
        <v>50</v>
      </c>
      <c r="G38" s="80" t="s">
        <v>541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556</v>
      </c>
      <c r="E39" s="78" t="s">
        <v>557</v>
      </c>
      <c r="F39" s="78" t="s">
        <v>50</v>
      </c>
      <c r="G39" s="78" t="s">
        <v>541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558</v>
      </c>
      <c r="E40" s="80" t="s">
        <v>558</v>
      </c>
      <c r="F40" s="80" t="s">
        <v>50</v>
      </c>
      <c r="G40" s="80" t="s">
        <v>541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559</v>
      </c>
      <c r="E41" s="78" t="s">
        <v>559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560</v>
      </c>
      <c r="E42" s="80" t="s">
        <v>560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561</v>
      </c>
      <c r="E43" s="78" t="s">
        <v>561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562</v>
      </c>
      <c r="E44" s="80" t="s">
        <v>562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563</v>
      </c>
      <c r="E45" s="78" t="s">
        <v>563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564</v>
      </c>
      <c r="E46" s="80" t="s">
        <v>564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565</v>
      </c>
      <c r="E47" s="78" t="s">
        <v>565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566</v>
      </c>
      <c r="E48" s="80" t="s">
        <v>566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567</v>
      </c>
      <c r="E49" s="78" t="s">
        <v>567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568</v>
      </c>
      <c r="E50" s="80" t="s">
        <v>568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569</v>
      </c>
      <c r="E51" s="78" t="s">
        <v>569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570</v>
      </c>
      <c r="E52" s="80" t="s">
        <v>570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571</v>
      </c>
      <c r="E53" s="78" t="s">
        <v>571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572</v>
      </c>
      <c r="E54" s="80" t="s">
        <v>572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573</v>
      </c>
      <c r="E55" s="78" t="s">
        <v>573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574</v>
      </c>
      <c r="E56" s="80" t="s">
        <v>574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575</v>
      </c>
      <c r="E57" s="78" t="s">
        <v>575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576</v>
      </c>
      <c r="E58" s="80" t="s">
        <v>576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577</v>
      </c>
      <c r="E59" s="78" t="s">
        <v>577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578</v>
      </c>
      <c r="E60" s="80" t="s">
        <v>578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579</v>
      </c>
      <c r="E61" s="78" t="s">
        <v>579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580</v>
      </c>
      <c r="E62" s="80" t="s">
        <v>580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581</v>
      </c>
      <c r="E63" s="78" t="s">
        <v>581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582</v>
      </c>
      <c r="E64" s="80" t="s">
        <v>582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583</v>
      </c>
      <c r="E65" s="78" t="s">
        <v>583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584</v>
      </c>
      <c r="E66" s="80" t="s">
        <v>584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585</v>
      </c>
      <c r="E67" s="78" t="s">
        <v>585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586</v>
      </c>
      <c r="E68" s="80" t="s">
        <v>586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534</v>
      </c>
      <c r="C69" s="81" t="s">
        <v>94</v>
      </c>
      <c r="D69" s="81" t="s">
        <v>587</v>
      </c>
      <c r="E69" s="81" t="s">
        <v>588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488</v>
      </c>
      <c r="F3" s="64"/>
    </row>
    <row r="4" spans="2:22" ht="39">
      <c r="B4" s="67" t="s">
        <v>77</v>
      </c>
      <c r="C4" s="67" t="s">
        <v>648</v>
      </c>
      <c r="D4" s="67" t="s">
        <v>133</v>
      </c>
      <c r="E4" s="67" t="s">
        <v>134</v>
      </c>
      <c r="F4" s="67" t="s">
        <v>135</v>
      </c>
      <c r="G4" s="67" t="s">
        <v>136</v>
      </c>
      <c r="H4" s="189" t="s">
        <v>461</v>
      </c>
      <c r="I4" s="67" t="s">
        <v>462</v>
      </c>
      <c r="J4" s="67" t="s">
        <v>463</v>
      </c>
      <c r="K4" s="67" t="s">
        <v>464</v>
      </c>
      <c r="L4" s="67" t="s">
        <v>465</v>
      </c>
      <c r="M4" s="67" t="s">
        <v>466</v>
      </c>
      <c r="N4" s="67" t="s">
        <v>467</v>
      </c>
      <c r="O4" s="189" t="s">
        <v>468</v>
      </c>
      <c r="P4" s="67" t="s">
        <v>469</v>
      </c>
      <c r="Q4" s="67" t="s">
        <v>470</v>
      </c>
      <c r="R4" s="67" t="s">
        <v>471</v>
      </c>
      <c r="S4" s="67" t="s">
        <v>472</v>
      </c>
      <c r="T4" s="67" t="s">
        <v>473</v>
      </c>
      <c r="U4" s="67" t="s">
        <v>474</v>
      </c>
      <c r="V4" s="190" t="s">
        <v>475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91" t="s">
        <v>476</v>
      </c>
      <c r="I5" s="68" t="s">
        <v>476</v>
      </c>
      <c r="J5" s="68" t="s">
        <v>476</v>
      </c>
      <c r="K5" s="68" t="s">
        <v>476</v>
      </c>
      <c r="L5" s="68" t="s">
        <v>476</v>
      </c>
      <c r="M5" s="68" t="s">
        <v>476</v>
      </c>
      <c r="N5" s="68" t="s">
        <v>476</v>
      </c>
      <c r="O5" s="191" t="s">
        <v>476</v>
      </c>
      <c r="P5" s="68" t="s">
        <v>476</v>
      </c>
      <c r="Q5" s="68" t="s">
        <v>476</v>
      </c>
      <c r="R5" s="68" t="s">
        <v>476</v>
      </c>
      <c r="S5" s="68" t="s">
        <v>476</v>
      </c>
      <c r="T5" s="68" t="s">
        <v>476</v>
      </c>
      <c r="U5" s="68" t="s">
        <v>476</v>
      </c>
      <c r="V5" s="191" t="s">
        <v>476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9"/>
      <c r="I6" s="200"/>
      <c r="J6" s="200"/>
      <c r="K6" s="200"/>
      <c r="L6" s="200"/>
      <c r="M6" s="200"/>
      <c r="N6" s="200"/>
      <c r="O6" s="199"/>
      <c r="P6" s="200"/>
      <c r="Q6" s="200"/>
      <c r="R6" s="200"/>
      <c r="S6" s="200"/>
      <c r="T6" s="200"/>
      <c r="U6" s="200"/>
      <c r="V6" s="192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201"/>
      <c r="I7" s="202"/>
      <c r="J7" s="202"/>
      <c r="K7" s="202"/>
      <c r="L7" s="202"/>
      <c r="M7" s="202"/>
      <c r="N7" s="202"/>
      <c r="O7" s="201">
        <v>7.81</v>
      </c>
      <c r="P7" s="202">
        <f>O7</f>
        <v>7.81</v>
      </c>
      <c r="Q7" s="202">
        <f t="shared" ref="Q7:U7" si="0">P7</f>
        <v>7.81</v>
      </c>
      <c r="R7" s="202">
        <f t="shared" si="0"/>
        <v>7.81</v>
      </c>
      <c r="S7" s="202">
        <f t="shared" si="0"/>
        <v>7.81</v>
      </c>
      <c r="T7" s="202">
        <f t="shared" si="0"/>
        <v>7.81</v>
      </c>
      <c r="U7" s="202">
        <f t="shared" si="0"/>
        <v>7.81</v>
      </c>
      <c r="V7" s="193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203"/>
      <c r="I8" s="204"/>
      <c r="J8" s="204"/>
      <c r="K8" s="204"/>
      <c r="L8" s="204"/>
      <c r="M8" s="204"/>
      <c r="N8" s="204"/>
      <c r="O8" s="203"/>
      <c r="P8" s="204"/>
      <c r="Q8" s="204"/>
      <c r="R8" s="204"/>
      <c r="S8" s="204"/>
      <c r="T8" s="204"/>
      <c r="U8" s="204"/>
      <c r="V8" s="194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203"/>
      <c r="I9" s="204"/>
      <c r="J9" s="204"/>
      <c r="K9" s="204"/>
      <c r="L9" s="204"/>
      <c r="M9" s="204"/>
      <c r="N9" s="204"/>
      <c r="O9" s="203"/>
      <c r="P9" s="204"/>
      <c r="Q9" s="204"/>
      <c r="R9" s="204"/>
      <c r="S9" s="204"/>
      <c r="T9" s="204"/>
      <c r="U9" s="204"/>
      <c r="V9" s="194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201"/>
      <c r="I10" s="202"/>
      <c r="J10" s="202"/>
      <c r="K10" s="202"/>
      <c r="L10" s="202"/>
      <c r="M10" s="202"/>
      <c r="N10" s="202"/>
      <c r="O10" s="201"/>
      <c r="P10" s="202"/>
      <c r="Q10" s="202"/>
      <c r="R10" s="202"/>
      <c r="S10" s="202"/>
      <c r="T10" s="202"/>
      <c r="U10" s="202"/>
      <c r="V10" s="193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201"/>
      <c r="I11" s="202"/>
      <c r="J11" s="202"/>
      <c r="K11" s="202"/>
      <c r="L11" s="202"/>
      <c r="M11" s="202"/>
      <c r="N11" s="202"/>
      <c r="O11" s="201"/>
      <c r="P11" s="202"/>
      <c r="Q11" s="202"/>
      <c r="R11" s="202"/>
      <c r="S11" s="202"/>
      <c r="T11" s="202"/>
      <c r="U11" s="202"/>
      <c r="V11" s="193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203"/>
      <c r="I12" s="204"/>
      <c r="J12" s="204"/>
      <c r="K12" s="204"/>
      <c r="L12" s="204"/>
      <c r="M12" s="204"/>
      <c r="N12" s="204"/>
      <c r="O12" s="203"/>
      <c r="P12" s="204"/>
      <c r="Q12" s="204"/>
      <c r="R12" s="204"/>
      <c r="S12" s="204"/>
      <c r="T12" s="204"/>
      <c r="U12" s="204"/>
      <c r="V12" s="194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203"/>
      <c r="I13" s="204"/>
      <c r="J13" s="204"/>
      <c r="K13" s="204"/>
      <c r="L13" s="204"/>
      <c r="M13" s="204"/>
      <c r="N13" s="204"/>
      <c r="O13" s="203"/>
      <c r="P13" s="204"/>
      <c r="Q13" s="204"/>
      <c r="R13" s="204"/>
      <c r="S13" s="204"/>
      <c r="T13" s="204"/>
      <c r="U13" s="204"/>
      <c r="V13" s="194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201"/>
      <c r="I14" s="202"/>
      <c r="J14" s="202"/>
      <c r="K14" s="202"/>
      <c r="L14" s="202"/>
      <c r="M14" s="202"/>
      <c r="N14" s="202"/>
      <c r="O14" s="201"/>
      <c r="P14" s="202"/>
      <c r="Q14" s="202"/>
      <c r="R14" s="202"/>
      <c r="S14" s="202"/>
      <c r="T14" s="202"/>
      <c r="U14" s="202"/>
      <c r="V14" s="193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201"/>
      <c r="I15" s="202"/>
      <c r="J15" s="202"/>
      <c r="K15" s="202"/>
      <c r="L15" s="202"/>
      <c r="M15" s="202"/>
      <c r="N15" s="202"/>
      <c r="O15" s="201"/>
      <c r="P15" s="202"/>
      <c r="Q15" s="202"/>
      <c r="R15" s="202"/>
      <c r="S15" s="202"/>
      <c r="T15" s="202"/>
      <c r="U15" s="202"/>
      <c r="V15" s="193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203"/>
      <c r="I16" s="204"/>
      <c r="J16" s="204"/>
      <c r="K16" s="204"/>
      <c r="L16" s="204"/>
      <c r="M16" s="204"/>
      <c r="N16" s="204"/>
      <c r="O16" s="203"/>
      <c r="P16" s="204"/>
      <c r="Q16" s="204"/>
      <c r="R16" s="204"/>
      <c r="S16" s="204"/>
      <c r="T16" s="204"/>
      <c r="U16" s="204"/>
      <c r="V16" s="194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203"/>
      <c r="I17" s="204"/>
      <c r="J17" s="204"/>
      <c r="K17" s="204"/>
      <c r="L17" s="204"/>
      <c r="M17" s="204"/>
      <c r="N17" s="204"/>
      <c r="O17" s="203"/>
      <c r="P17" s="204"/>
      <c r="Q17" s="204"/>
      <c r="R17" s="204"/>
      <c r="S17" s="204"/>
      <c r="T17" s="204"/>
      <c r="U17" s="204"/>
      <c r="V17" s="194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455</v>
      </c>
      <c r="F18" s="69">
        <v>1</v>
      </c>
      <c r="G18" s="69"/>
      <c r="H18" s="201">
        <v>2.25</v>
      </c>
      <c r="I18" s="202">
        <f>H18</f>
        <v>2.25</v>
      </c>
      <c r="J18" s="202">
        <f t="shared" ref="J18:N18" si="1">I18</f>
        <v>2.25</v>
      </c>
      <c r="K18" s="202">
        <f t="shared" si="1"/>
        <v>2.25</v>
      </c>
      <c r="L18" s="202">
        <f t="shared" si="1"/>
        <v>2.25</v>
      </c>
      <c r="M18" s="202">
        <f t="shared" si="1"/>
        <v>2.25</v>
      </c>
      <c r="N18" s="202">
        <f t="shared" si="1"/>
        <v>2.25</v>
      </c>
      <c r="O18" s="201"/>
      <c r="P18" s="202"/>
      <c r="Q18" s="202"/>
      <c r="R18" s="202"/>
      <c r="S18" s="202"/>
      <c r="T18" s="202"/>
      <c r="U18" s="202"/>
      <c r="V18" s="193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201"/>
      <c r="I19" s="202"/>
      <c r="J19" s="202"/>
      <c r="K19" s="202"/>
      <c r="L19" s="202"/>
      <c r="M19" s="202"/>
      <c r="N19" s="202"/>
      <c r="O19" s="201">
        <v>6.19</v>
      </c>
      <c r="P19" s="202">
        <f>O19</f>
        <v>6.19</v>
      </c>
      <c r="Q19" s="202">
        <f t="shared" ref="Q19:U19" si="2">P19</f>
        <v>6.19</v>
      </c>
      <c r="R19" s="202">
        <f t="shared" si="2"/>
        <v>6.19</v>
      </c>
      <c r="S19" s="202">
        <f t="shared" si="2"/>
        <v>6.19</v>
      </c>
      <c r="T19" s="202">
        <f t="shared" si="2"/>
        <v>6.19</v>
      </c>
      <c r="U19" s="202">
        <f t="shared" si="2"/>
        <v>6.19</v>
      </c>
      <c r="V19" s="193"/>
    </row>
    <row r="20" spans="2:26" ht="17.5" customHeight="1">
      <c r="B20" s="87" t="s">
        <v>647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203"/>
      <c r="I20" s="204"/>
      <c r="J20" s="204"/>
      <c r="K20" s="204"/>
      <c r="L20" s="204"/>
      <c r="M20" s="204"/>
      <c r="N20" s="204"/>
      <c r="O20" s="203"/>
      <c r="P20" s="204"/>
      <c r="Q20" s="204"/>
      <c r="R20" s="204"/>
      <c r="S20" s="204"/>
      <c r="T20" s="204"/>
      <c r="U20" s="204"/>
      <c r="V20" s="194"/>
      <c r="X20" s="87" t="str">
        <f>SEC_Processes!D16</f>
        <v>SECTF_AGR_BIOG</v>
      </c>
      <c r="Z20" s="1" t="s">
        <v>651</v>
      </c>
    </row>
    <row r="21" spans="2:26" ht="17.5" customHeight="1">
      <c r="B21" s="87" t="s">
        <v>647</v>
      </c>
      <c r="C21" s="87"/>
      <c r="D21" s="90"/>
      <c r="E21" s="88" t="str">
        <f>SEC_Comm!D16</f>
        <v>AGR_BIOG</v>
      </c>
      <c r="F21" s="89"/>
      <c r="G21" s="89"/>
      <c r="H21" s="203"/>
      <c r="I21" s="204"/>
      <c r="J21" s="204"/>
      <c r="K21" s="204"/>
      <c r="L21" s="204"/>
      <c r="M21" s="204"/>
      <c r="N21" s="204"/>
      <c r="O21" s="203"/>
      <c r="P21" s="204"/>
      <c r="Q21" s="204"/>
      <c r="R21" s="204"/>
      <c r="S21" s="204"/>
      <c r="T21" s="204"/>
      <c r="U21" s="204"/>
      <c r="V21" s="194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201"/>
      <c r="I22" s="202"/>
      <c r="J22" s="202"/>
      <c r="K22" s="202"/>
      <c r="L22" s="202"/>
      <c r="M22" s="202"/>
      <c r="N22" s="202"/>
      <c r="O22" s="201"/>
      <c r="P22" s="202"/>
      <c r="Q22" s="202"/>
      <c r="R22" s="202"/>
      <c r="S22" s="202"/>
      <c r="T22" s="202"/>
      <c r="U22" s="202"/>
      <c r="V22" s="193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201"/>
      <c r="I23" s="202"/>
      <c r="J23" s="202"/>
      <c r="K23" s="202"/>
      <c r="L23" s="202"/>
      <c r="M23" s="202"/>
      <c r="N23" s="202"/>
      <c r="O23" s="201"/>
      <c r="P23" s="202"/>
      <c r="Q23" s="202"/>
      <c r="R23" s="202"/>
      <c r="S23" s="202"/>
      <c r="T23" s="202"/>
      <c r="U23" s="202"/>
      <c r="V23" s="193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203"/>
      <c r="I24" s="204"/>
      <c r="J24" s="204"/>
      <c r="K24" s="204"/>
      <c r="L24" s="204"/>
      <c r="M24" s="204"/>
      <c r="N24" s="204"/>
      <c r="O24" s="203"/>
      <c r="P24" s="204"/>
      <c r="Q24" s="204"/>
      <c r="R24" s="204"/>
      <c r="S24" s="204"/>
      <c r="T24" s="204"/>
      <c r="U24" s="204"/>
      <c r="V24" s="194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203"/>
      <c r="I25" s="204"/>
      <c r="J25" s="204"/>
      <c r="K25" s="204"/>
      <c r="L25" s="204"/>
      <c r="M25" s="204"/>
      <c r="N25" s="204"/>
      <c r="O25" s="203"/>
      <c r="P25" s="204"/>
      <c r="Q25" s="204"/>
      <c r="R25" s="204"/>
      <c r="S25" s="204"/>
      <c r="T25" s="204"/>
      <c r="U25" s="204"/>
      <c r="V25" s="194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5"/>
      <c r="I26" s="206"/>
      <c r="J26" s="206"/>
      <c r="K26" s="206"/>
      <c r="L26" s="206"/>
      <c r="M26" s="206"/>
      <c r="N26" s="206"/>
      <c r="O26" s="205"/>
      <c r="P26" s="206"/>
      <c r="Q26" s="206"/>
      <c r="R26" s="206"/>
      <c r="S26" s="206"/>
      <c r="T26" s="206"/>
      <c r="U26" s="206"/>
      <c r="V26" s="195"/>
    </row>
    <row r="27" spans="2:26" ht="16.5" customHeight="1">
      <c r="B27" s="162"/>
      <c r="C27" s="162"/>
      <c r="D27" s="162" t="s">
        <v>147</v>
      </c>
      <c r="E27" s="162"/>
      <c r="F27" s="162"/>
      <c r="G27" s="180">
        <v>0.1</v>
      </c>
      <c r="H27" s="201">
        <v>8.9159000000000006</v>
      </c>
      <c r="I27" s="202">
        <f>H27</f>
        <v>8.9159000000000006</v>
      </c>
      <c r="J27" s="202">
        <f t="shared" ref="J27:N28" si="3">I27</f>
        <v>8.9159000000000006</v>
      </c>
      <c r="K27" s="202">
        <f t="shared" si="3"/>
        <v>8.9159000000000006</v>
      </c>
      <c r="L27" s="202">
        <f t="shared" si="3"/>
        <v>8.9159000000000006</v>
      </c>
      <c r="M27" s="202">
        <f t="shared" si="3"/>
        <v>8.9159000000000006</v>
      </c>
      <c r="N27" s="202">
        <f t="shared" si="3"/>
        <v>8.9159000000000006</v>
      </c>
      <c r="O27" s="201">
        <v>50.523400000000002</v>
      </c>
      <c r="P27" s="202">
        <f>O27</f>
        <v>50.523400000000002</v>
      </c>
      <c r="Q27" s="202">
        <f t="shared" ref="Q27:U28" si="4">P27</f>
        <v>50.523400000000002</v>
      </c>
      <c r="R27" s="202">
        <f t="shared" si="4"/>
        <v>50.523400000000002</v>
      </c>
      <c r="S27" s="202">
        <f t="shared" si="4"/>
        <v>50.523400000000002</v>
      </c>
      <c r="T27" s="202">
        <f t="shared" si="4"/>
        <v>50.523400000000002</v>
      </c>
      <c r="U27" s="202">
        <f t="shared" si="4"/>
        <v>50.523400000000002</v>
      </c>
      <c r="V27" s="196"/>
    </row>
    <row r="28" spans="2:26" ht="16.5" customHeight="1">
      <c r="B28" s="164"/>
      <c r="C28" s="164"/>
      <c r="D28" s="165" t="s">
        <v>148</v>
      </c>
      <c r="E28" s="164"/>
      <c r="F28" s="164"/>
      <c r="G28" s="181">
        <v>1</v>
      </c>
      <c r="H28" s="201">
        <v>9.5112000000000005</v>
      </c>
      <c r="I28" s="202">
        <f>H28</f>
        <v>9.5112000000000005</v>
      </c>
      <c r="J28" s="202">
        <f t="shared" si="3"/>
        <v>9.5112000000000005</v>
      </c>
      <c r="K28" s="202">
        <f t="shared" si="3"/>
        <v>9.5112000000000005</v>
      </c>
      <c r="L28" s="202">
        <f t="shared" si="3"/>
        <v>9.5112000000000005</v>
      </c>
      <c r="M28" s="202">
        <f t="shared" si="3"/>
        <v>9.5112000000000005</v>
      </c>
      <c r="N28" s="202">
        <f t="shared" si="3"/>
        <v>9.5112000000000005</v>
      </c>
      <c r="O28" s="201">
        <v>53.896599999999999</v>
      </c>
      <c r="P28" s="202">
        <f>O28</f>
        <v>53.896599999999999</v>
      </c>
      <c r="Q28" s="202">
        <f t="shared" si="4"/>
        <v>53.896599999999999</v>
      </c>
      <c r="R28" s="202">
        <f t="shared" si="4"/>
        <v>53.896599999999999</v>
      </c>
      <c r="S28" s="202">
        <f t="shared" si="4"/>
        <v>53.896599999999999</v>
      </c>
      <c r="T28" s="202">
        <f t="shared" si="4"/>
        <v>53.896599999999999</v>
      </c>
      <c r="U28" s="202">
        <f t="shared" si="4"/>
        <v>53.896599999999999</v>
      </c>
      <c r="V28" s="197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7"/>
      <c r="I29" s="208"/>
      <c r="J29" s="208"/>
      <c r="K29" s="208"/>
      <c r="L29" s="208"/>
      <c r="M29" s="208"/>
      <c r="N29" s="208"/>
      <c r="O29" s="207"/>
      <c r="P29" s="208"/>
      <c r="Q29" s="208"/>
      <c r="R29" s="208"/>
      <c r="S29" s="208"/>
      <c r="T29" s="208"/>
      <c r="U29" s="208"/>
      <c r="V29" s="197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203"/>
      <c r="I30" s="204"/>
      <c r="J30" s="204"/>
      <c r="K30" s="204"/>
      <c r="L30" s="204"/>
      <c r="M30" s="204"/>
      <c r="N30" s="204"/>
      <c r="O30" s="203"/>
      <c r="P30" s="204"/>
      <c r="Q30" s="204"/>
      <c r="R30" s="204"/>
      <c r="S30" s="204"/>
      <c r="T30" s="204"/>
      <c r="U30" s="204"/>
      <c r="V30" s="194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203"/>
      <c r="I31" s="204"/>
      <c r="J31" s="204"/>
      <c r="K31" s="204"/>
      <c r="L31" s="204"/>
      <c r="M31" s="204"/>
      <c r="N31" s="204"/>
      <c r="O31" s="203">
        <v>19</v>
      </c>
      <c r="P31" s="204">
        <f>O31</f>
        <v>19</v>
      </c>
      <c r="Q31" s="204">
        <f t="shared" ref="Q31:U31" si="5">P31</f>
        <v>19</v>
      </c>
      <c r="R31" s="204">
        <f t="shared" si="5"/>
        <v>19</v>
      </c>
      <c r="S31" s="204">
        <f t="shared" si="5"/>
        <v>19</v>
      </c>
      <c r="T31" s="204">
        <f t="shared" si="5"/>
        <v>19</v>
      </c>
      <c r="U31" s="204">
        <f t="shared" si="5"/>
        <v>19</v>
      </c>
      <c r="V31" s="194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9"/>
      <c r="I32" s="210"/>
      <c r="J32" s="210"/>
      <c r="K32" s="210"/>
      <c r="L32" s="210"/>
      <c r="M32" s="210"/>
      <c r="N32" s="210"/>
      <c r="O32" s="209"/>
      <c r="P32" s="210"/>
      <c r="Q32" s="210"/>
      <c r="R32" s="210"/>
      <c r="S32" s="210"/>
      <c r="T32" s="210"/>
      <c r="U32" s="210"/>
      <c r="V32" s="198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460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abSelected="1" topLeftCell="A26" zoomScale="53" zoomScaleNormal="100" workbookViewId="0">
      <selection activeCell="R7" sqref="R7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5" t="s">
        <v>645</v>
      </c>
      <c r="F2" s="216"/>
      <c r="G2" s="216"/>
      <c r="H2" s="216"/>
      <c r="I2" s="40"/>
      <c r="J2" s="40"/>
      <c r="K2" s="40"/>
    </row>
    <row r="3" spans="2:18" ht="13">
      <c r="B3" s="71" t="s">
        <v>77</v>
      </c>
      <c r="C3" s="72" t="s">
        <v>648</v>
      </c>
      <c r="D3" s="71" t="s">
        <v>133</v>
      </c>
      <c r="E3" s="71" t="s">
        <v>134</v>
      </c>
      <c r="F3" s="71" t="s">
        <v>589</v>
      </c>
      <c r="G3" s="71" t="s">
        <v>603</v>
      </c>
      <c r="H3" s="71" t="s">
        <v>166</v>
      </c>
      <c r="I3" s="73" t="s">
        <v>594</v>
      </c>
      <c r="J3" s="73" t="s">
        <v>604</v>
      </c>
      <c r="K3" s="73" t="s">
        <v>174</v>
      </c>
      <c r="L3" s="73" t="s">
        <v>135</v>
      </c>
    </row>
    <row r="4" spans="2:18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/>
      <c r="G4" s="74" t="s">
        <v>605</v>
      </c>
      <c r="H4" s="74" t="s">
        <v>605</v>
      </c>
      <c r="I4" s="74" t="s">
        <v>606</v>
      </c>
      <c r="J4" s="74" t="s">
        <v>607</v>
      </c>
      <c r="K4" s="74" t="s">
        <v>608</v>
      </c>
    </row>
    <row r="5" spans="2:18">
      <c r="B5" s="219" t="s">
        <v>539</v>
      </c>
      <c r="C5" s="219" t="s">
        <v>540</v>
      </c>
      <c r="D5" s="219" t="str">
        <f>SEC_Comm!$D$63</f>
        <v>AGR_LIVESTOCK_FOOD</v>
      </c>
      <c r="E5" s="219"/>
      <c r="F5" s="219"/>
      <c r="G5" s="219">
        <v>3030.7</v>
      </c>
      <c r="H5" s="219">
        <f>G5</f>
        <v>3030.7</v>
      </c>
      <c r="I5" s="219">
        <v>1</v>
      </c>
      <c r="J5" s="219"/>
      <c r="K5" s="219">
        <v>1</v>
      </c>
      <c r="L5" s="80">
        <v>1</v>
      </c>
    </row>
    <row r="6" spans="2:18">
      <c r="B6" s="220"/>
      <c r="C6" s="220"/>
      <c r="D6" s="220"/>
      <c r="E6" s="238" t="s">
        <v>523</v>
      </c>
      <c r="F6" s="220"/>
      <c r="G6" s="220"/>
      <c r="H6" s="220"/>
      <c r="I6" s="220"/>
      <c r="J6" s="220"/>
      <c r="K6" s="220"/>
    </row>
    <row r="7" spans="2:18">
      <c r="B7" s="220"/>
      <c r="C7" s="220"/>
      <c r="D7" s="220"/>
      <c r="E7" s="239" t="s">
        <v>497</v>
      </c>
      <c r="F7" s="220"/>
      <c r="G7" s="220"/>
      <c r="H7" s="220"/>
      <c r="I7" s="220"/>
      <c r="J7" s="238">
        <v>1.8360000000000001</v>
      </c>
      <c r="K7" s="220"/>
      <c r="R7" s="285" t="s">
        <v>738</v>
      </c>
    </row>
    <row r="8" spans="2:18">
      <c r="B8" s="220"/>
      <c r="C8" s="220"/>
      <c r="D8" s="220"/>
      <c r="E8" s="220"/>
      <c r="F8" s="220" t="s">
        <v>491</v>
      </c>
      <c r="G8" s="220"/>
      <c r="H8" s="220"/>
      <c r="I8" s="220"/>
      <c r="J8" s="238">
        <v>0.1056</v>
      </c>
      <c r="K8" s="220"/>
    </row>
    <row r="9" spans="2:18">
      <c r="B9" s="220"/>
      <c r="C9" s="220"/>
      <c r="D9" s="220"/>
      <c r="E9" s="220"/>
      <c r="F9" s="220" t="s">
        <v>493</v>
      </c>
      <c r="G9" s="220"/>
      <c r="H9" s="220"/>
      <c r="I9" s="220"/>
      <c r="J9" s="238">
        <f>0.01438</f>
        <v>1.438E-2</v>
      </c>
      <c r="K9" s="220"/>
    </row>
    <row r="10" spans="2:18">
      <c r="B10" s="220"/>
      <c r="C10" s="220"/>
      <c r="D10" s="220"/>
      <c r="E10" s="220"/>
      <c r="F10" s="220" t="s">
        <v>515</v>
      </c>
      <c r="G10" s="220"/>
      <c r="H10" s="220"/>
      <c r="I10" s="220"/>
      <c r="J10" s="238">
        <f>120/1000000</f>
        <v>1.2E-4</v>
      </c>
      <c r="K10" s="220"/>
    </row>
    <row r="11" spans="2:18">
      <c r="B11" s="221" t="s">
        <v>542</v>
      </c>
      <c r="C11" s="221" t="s">
        <v>543</v>
      </c>
      <c r="D11" s="221" t="str">
        <f>SEC_Comm!$D$63</f>
        <v>AGR_LIVESTOCK_FOOD</v>
      </c>
      <c r="E11" s="221"/>
      <c r="F11" s="221"/>
      <c r="G11" s="221">
        <v>3329</v>
      </c>
      <c r="H11" s="221">
        <f>G11</f>
        <v>3329</v>
      </c>
      <c r="I11" s="221">
        <v>1</v>
      </c>
      <c r="J11" s="221"/>
      <c r="K11" s="221">
        <v>1</v>
      </c>
    </row>
    <row r="12" spans="2:18">
      <c r="B12" s="221"/>
      <c r="C12" s="221"/>
      <c r="D12" s="221"/>
      <c r="E12" s="221" t="s">
        <v>524</v>
      </c>
      <c r="F12" s="221"/>
      <c r="G12" s="221"/>
      <c r="H12" s="221"/>
      <c r="I12" s="221"/>
      <c r="J12" s="221"/>
      <c r="K12" s="221"/>
    </row>
    <row r="13" spans="2:18">
      <c r="B13" s="221"/>
      <c r="C13" s="221"/>
      <c r="D13" s="221"/>
      <c r="E13" s="221" t="s">
        <v>499</v>
      </c>
      <c r="F13" s="221"/>
      <c r="G13" s="221"/>
      <c r="H13" s="221"/>
      <c r="I13" s="221"/>
      <c r="J13" s="238">
        <v>1.383</v>
      </c>
      <c r="K13" s="221"/>
    </row>
    <row r="14" spans="2:18">
      <c r="B14" s="221"/>
      <c r="C14" s="221"/>
      <c r="D14" s="221"/>
      <c r="E14" s="221"/>
      <c r="F14" s="221" t="s">
        <v>491</v>
      </c>
      <c r="G14" s="221"/>
      <c r="H14" s="221"/>
      <c r="I14" s="221"/>
      <c r="J14" s="238">
        <v>5.3100000000000001E-2</v>
      </c>
      <c r="K14" s="221"/>
    </row>
    <row r="15" spans="2:18">
      <c r="B15" s="221"/>
      <c r="C15" s="221"/>
      <c r="D15" s="221"/>
      <c r="E15" s="221"/>
      <c r="F15" s="221" t="s">
        <v>493</v>
      </c>
      <c r="G15" s="221"/>
      <c r="H15" s="221"/>
      <c r="I15" s="221"/>
      <c r="J15" s="238">
        <v>8.5800000000000008E-3</v>
      </c>
      <c r="K15" s="221"/>
    </row>
    <row r="16" spans="2:18">
      <c r="B16" s="221"/>
      <c r="C16" s="221"/>
      <c r="D16" s="221"/>
      <c r="E16" s="221"/>
      <c r="F16" s="221" t="s">
        <v>515</v>
      </c>
      <c r="G16" s="221"/>
      <c r="H16" s="221"/>
      <c r="I16" s="221"/>
      <c r="J16" s="238">
        <v>1.44E-4</v>
      </c>
      <c r="K16" s="221"/>
    </row>
    <row r="17" spans="2:11">
      <c r="B17" s="220" t="s">
        <v>544</v>
      </c>
      <c r="C17" s="220" t="s">
        <v>545</v>
      </c>
      <c r="D17" s="220" t="str">
        <f>SEC_Comm!$D$63</f>
        <v>AGR_LIVESTOCK_FOOD</v>
      </c>
      <c r="E17" s="220"/>
      <c r="F17" s="220"/>
      <c r="G17" s="220">
        <v>270.49200000000002</v>
      </c>
      <c r="H17" s="220">
        <f>G17</f>
        <v>270.49200000000002</v>
      </c>
      <c r="I17" s="220">
        <v>1</v>
      </c>
      <c r="J17" s="220"/>
      <c r="K17" s="220">
        <v>1</v>
      </c>
    </row>
    <row r="18" spans="2:11">
      <c r="B18" s="220"/>
      <c r="C18" s="220"/>
      <c r="D18" s="220"/>
      <c r="E18" s="220" t="s">
        <v>525</v>
      </c>
      <c r="F18" s="220"/>
      <c r="G18" s="220"/>
      <c r="H18" s="220"/>
      <c r="I18" s="220"/>
      <c r="J18" s="220"/>
      <c r="K18" s="220"/>
    </row>
    <row r="19" spans="2:11">
      <c r="B19" s="220"/>
      <c r="C19" s="220"/>
      <c r="D19" s="220"/>
      <c r="E19" s="220" t="s">
        <v>501</v>
      </c>
      <c r="F19" s="220"/>
      <c r="G19" s="220"/>
      <c r="H19" s="220"/>
      <c r="I19" s="220"/>
      <c r="J19" s="238">
        <v>0.106</v>
      </c>
      <c r="K19" s="220"/>
    </row>
    <row r="20" spans="2:11">
      <c r="B20" s="220"/>
      <c r="C20" s="220"/>
      <c r="D20" s="220"/>
      <c r="E20" s="220"/>
      <c r="F20" s="220" t="s">
        <v>491</v>
      </c>
      <c r="G20" s="220"/>
      <c r="H20" s="220"/>
      <c r="I20" s="220"/>
      <c r="J20" s="238">
        <v>8.0000000000000002E-3</v>
      </c>
      <c r="K20" s="220"/>
    </row>
    <row r="21" spans="2:11">
      <c r="B21" s="220"/>
      <c r="C21" s="220"/>
      <c r="D21" s="220"/>
      <c r="E21" s="220"/>
      <c r="F21" s="220" t="s">
        <v>493</v>
      </c>
      <c r="G21" s="220"/>
      <c r="H21" s="220"/>
      <c r="I21" s="220"/>
      <c r="J21" s="238">
        <v>1.1299999999999999E-3</v>
      </c>
      <c r="K21" s="220"/>
    </row>
    <row r="22" spans="2:11">
      <c r="B22" s="220"/>
      <c r="C22" s="220"/>
      <c r="D22" s="220"/>
      <c r="E22" s="220"/>
      <c r="F22" s="220" t="s">
        <v>515</v>
      </c>
      <c r="G22" s="220"/>
      <c r="H22" s="220"/>
      <c r="I22" s="220"/>
      <c r="J22" s="238">
        <v>1.8E-5</v>
      </c>
      <c r="K22" s="220"/>
    </row>
    <row r="23" spans="2:11">
      <c r="B23" s="221" t="s">
        <v>546</v>
      </c>
      <c r="C23" s="221" t="s">
        <v>547</v>
      </c>
      <c r="D23" s="221" t="str">
        <f>SEC_Comm!$D$63</f>
        <v>AGR_LIVESTOCK_FOOD</v>
      </c>
      <c r="E23" s="221"/>
      <c r="F23" s="221"/>
      <c r="G23" s="221">
        <v>9769.7000000000007</v>
      </c>
      <c r="H23" s="221">
        <f>G23</f>
        <v>9769.7000000000007</v>
      </c>
      <c r="I23" s="221">
        <v>1</v>
      </c>
      <c r="J23" s="221"/>
      <c r="K23" s="221">
        <v>1</v>
      </c>
    </row>
    <row r="24" spans="2:11">
      <c r="B24" s="221"/>
      <c r="C24" s="221"/>
      <c r="D24" s="221"/>
      <c r="E24" s="221" t="s">
        <v>526</v>
      </c>
      <c r="F24" s="221"/>
      <c r="G24" s="221"/>
      <c r="H24" s="221"/>
      <c r="I24" s="221"/>
      <c r="J24" s="221"/>
      <c r="K24" s="221"/>
    </row>
    <row r="25" spans="2:11">
      <c r="B25" s="221"/>
      <c r="C25" s="221"/>
      <c r="D25" s="221"/>
      <c r="E25" s="221" t="s">
        <v>503</v>
      </c>
      <c r="F25" s="221"/>
      <c r="G25" s="221"/>
      <c r="H25" s="221"/>
      <c r="I25" s="221"/>
      <c r="J25" s="238">
        <v>0.22900000000000001</v>
      </c>
      <c r="K25" s="221"/>
    </row>
    <row r="26" spans="2:11">
      <c r="B26" s="221"/>
      <c r="C26" s="221"/>
      <c r="D26" s="221"/>
      <c r="E26" s="221"/>
      <c r="F26" s="221" t="s">
        <v>491</v>
      </c>
      <c r="G26" s="221"/>
      <c r="H26" s="221"/>
      <c r="I26" s="221"/>
      <c r="J26" s="238">
        <v>1.5E-3</v>
      </c>
      <c r="K26" s="221"/>
    </row>
    <row r="27" spans="2:11">
      <c r="B27" s="221"/>
      <c r="C27" s="221"/>
      <c r="D27" s="221"/>
      <c r="E27" s="221"/>
      <c r="F27" s="221" t="s">
        <v>493</v>
      </c>
      <c r="G27" s="221"/>
      <c r="H27" s="221"/>
      <c r="I27" s="221"/>
      <c r="J27" s="238">
        <v>4.2399999999999998E-3</v>
      </c>
      <c r="K27" s="221"/>
    </row>
    <row r="28" spans="2:11">
      <c r="B28" s="221"/>
      <c r="C28" s="221"/>
      <c r="D28" s="221"/>
      <c r="E28" s="221"/>
      <c r="F28" s="221" t="s">
        <v>515</v>
      </c>
      <c r="G28" s="221"/>
      <c r="H28" s="221"/>
      <c r="I28" s="221"/>
      <c r="J28" s="238">
        <v>2.5999999999999998E-4</v>
      </c>
      <c r="K28" s="221"/>
    </row>
    <row r="29" spans="2:11">
      <c r="B29" s="220" t="s">
        <v>548</v>
      </c>
      <c r="C29" s="220" t="s">
        <v>549</v>
      </c>
      <c r="D29" s="220" t="str">
        <f>SEC_Comm!$D$63</f>
        <v>AGR_LIVESTOCK_FOOD</v>
      </c>
      <c r="E29" s="220"/>
      <c r="F29" s="220"/>
      <c r="G29" s="220">
        <v>63.523000000000003</v>
      </c>
      <c r="H29" s="220">
        <f>G29</f>
        <v>63.523000000000003</v>
      </c>
      <c r="I29" s="220">
        <v>1</v>
      </c>
      <c r="J29" s="220"/>
      <c r="K29" s="220">
        <v>1</v>
      </c>
    </row>
    <row r="30" spans="2:11">
      <c r="B30" s="220"/>
      <c r="C30" s="220"/>
      <c r="D30" s="220"/>
      <c r="E30" s="220" t="s">
        <v>527</v>
      </c>
      <c r="F30" s="220"/>
      <c r="G30" s="220"/>
      <c r="H30" s="220"/>
      <c r="I30" s="220"/>
      <c r="J30" s="220"/>
      <c r="K30" s="220"/>
    </row>
    <row r="31" spans="2:11">
      <c r="B31" s="220"/>
      <c r="C31" s="220"/>
      <c r="D31" s="220"/>
      <c r="E31" s="220" t="s">
        <v>505</v>
      </c>
      <c r="F31" s="220"/>
      <c r="G31" s="220"/>
      <c r="H31" s="220"/>
      <c r="I31" s="220"/>
      <c r="J31" s="238">
        <v>6.2089999999999996</v>
      </c>
      <c r="K31" s="220"/>
    </row>
    <row r="32" spans="2:11">
      <c r="B32" s="220"/>
      <c r="C32" s="220"/>
      <c r="D32" s="220"/>
      <c r="E32" s="220"/>
      <c r="F32" s="220" t="s">
        <v>491</v>
      </c>
      <c r="G32" s="220"/>
      <c r="H32" s="220"/>
      <c r="I32" s="220"/>
      <c r="J32" s="238">
        <v>5.00000000000004E-3</v>
      </c>
      <c r="K32" s="220"/>
    </row>
    <row r="33" spans="2:11">
      <c r="B33" s="220"/>
      <c r="C33" s="220"/>
      <c r="D33" s="220"/>
      <c r="E33" s="220"/>
      <c r="F33" s="220" t="s">
        <v>493</v>
      </c>
      <c r="G33" s="220"/>
      <c r="H33" s="220"/>
      <c r="I33" s="220"/>
      <c r="J33" s="238">
        <v>1.6100000000000001E-3</v>
      </c>
      <c r="K33" s="220"/>
    </row>
    <row r="34" spans="2:11">
      <c r="B34" s="220"/>
      <c r="C34" s="220"/>
      <c r="D34" s="220"/>
      <c r="E34" s="220"/>
      <c r="F34" s="220" t="s">
        <v>515</v>
      </c>
      <c r="G34" s="220"/>
      <c r="H34" s="220"/>
      <c r="I34" s="220"/>
      <c r="J34" s="238">
        <v>1.8E-5</v>
      </c>
      <c r="K34" s="220"/>
    </row>
    <row r="35" spans="2:11">
      <c r="B35" s="221" t="s">
        <v>550</v>
      </c>
      <c r="C35" s="221" t="s">
        <v>551</v>
      </c>
      <c r="D35" s="221" t="str">
        <f>SEC_Comm!$D$63</f>
        <v>AGR_LIVESTOCK_FOOD</v>
      </c>
      <c r="E35" s="221"/>
      <c r="F35" s="221"/>
      <c r="G35" s="221">
        <v>309.964</v>
      </c>
      <c r="H35" s="221">
        <f>G35</f>
        <v>309.964</v>
      </c>
      <c r="I35" s="221">
        <v>1</v>
      </c>
      <c r="J35" s="221"/>
      <c r="K35" s="221">
        <v>1</v>
      </c>
    </row>
    <row r="36" spans="2:11">
      <c r="B36" s="221"/>
      <c r="C36" s="221"/>
      <c r="D36" s="221"/>
      <c r="E36" s="221" t="s">
        <v>528</v>
      </c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 t="s">
        <v>507</v>
      </c>
      <c r="F37" s="221"/>
      <c r="G37" s="221"/>
      <c r="H37" s="221"/>
      <c r="I37" s="221"/>
      <c r="J37" s="238">
        <v>6.6280000000000001</v>
      </c>
      <c r="K37" s="221"/>
    </row>
    <row r="38" spans="2:11">
      <c r="B38" s="221"/>
      <c r="C38" s="221"/>
      <c r="D38" s="221"/>
      <c r="E38" s="221"/>
      <c r="F38" s="221" t="s">
        <v>491</v>
      </c>
      <c r="G38" s="221"/>
      <c r="H38" s="221"/>
      <c r="I38" s="221"/>
      <c r="J38" s="238">
        <v>1.8000000000000019E-2</v>
      </c>
      <c r="K38" s="221"/>
    </row>
    <row r="39" spans="2:11">
      <c r="B39" s="221"/>
      <c r="C39" s="221"/>
      <c r="D39" s="221"/>
      <c r="E39" s="221"/>
      <c r="F39" s="221" t="s">
        <v>493</v>
      </c>
      <c r="G39" s="221"/>
      <c r="H39" s="221"/>
      <c r="I39" s="221"/>
      <c r="J39" s="238">
        <v>1.1000000000000001E-3</v>
      </c>
      <c r="K39" s="221"/>
    </row>
    <row r="40" spans="2:11">
      <c r="B40" s="221"/>
      <c r="C40" s="221"/>
      <c r="D40" s="221"/>
      <c r="E40" s="221"/>
      <c r="F40" s="221" t="s">
        <v>515</v>
      </c>
      <c r="G40" s="221"/>
      <c r="H40" s="221"/>
      <c r="I40" s="221"/>
      <c r="J40" s="238">
        <v>0</v>
      </c>
      <c r="K40" s="221"/>
    </row>
    <row r="41" spans="2:11">
      <c r="B41" s="220" t="s">
        <v>552</v>
      </c>
      <c r="C41" s="220" t="s">
        <v>553</v>
      </c>
      <c r="D41" s="220" t="str">
        <f>SEC_Comm!$D$63</f>
        <v>AGR_LIVESTOCK_FOOD</v>
      </c>
      <c r="E41" s="220"/>
      <c r="F41" s="220"/>
      <c r="G41" s="220">
        <v>218303</v>
      </c>
      <c r="H41" s="220">
        <f>G41</f>
        <v>218303</v>
      </c>
      <c r="I41" s="220">
        <v>1</v>
      </c>
      <c r="J41" s="220"/>
      <c r="K41" s="220">
        <v>1</v>
      </c>
    </row>
    <row r="42" spans="2:11">
      <c r="B42" s="220"/>
      <c r="C42" s="220"/>
      <c r="D42" s="220"/>
      <c r="E42" s="220" t="s">
        <v>529</v>
      </c>
      <c r="F42" s="220"/>
      <c r="G42" s="220"/>
      <c r="H42" s="220"/>
      <c r="I42" s="220"/>
      <c r="J42" s="220"/>
      <c r="K42" s="220"/>
    </row>
    <row r="43" spans="2:11">
      <c r="B43" s="220"/>
      <c r="C43" s="220"/>
      <c r="D43" s="220"/>
      <c r="E43" s="220" t="s">
        <v>509</v>
      </c>
      <c r="F43" s="220"/>
      <c r="G43" s="220"/>
      <c r="H43" s="220"/>
      <c r="I43" s="220"/>
      <c r="J43" s="238">
        <v>1.6839999999999999</v>
      </c>
      <c r="K43" s="220"/>
    </row>
    <row r="44" spans="2:11">
      <c r="B44" s="220"/>
      <c r="C44" s="220"/>
      <c r="D44" s="220"/>
      <c r="E44" s="220"/>
      <c r="F44" s="220" t="s">
        <v>493</v>
      </c>
      <c r="G44" s="220"/>
      <c r="H44" s="220"/>
      <c r="I44" s="220"/>
      <c r="J44" s="238">
        <f>0.012/1000</f>
        <v>1.2E-5</v>
      </c>
      <c r="K44" s="220"/>
    </row>
    <row r="45" spans="2:11">
      <c r="B45" s="220"/>
      <c r="C45" s="220"/>
      <c r="D45" s="220"/>
      <c r="E45" s="220"/>
      <c r="F45" s="220" t="s">
        <v>515</v>
      </c>
      <c r="G45" s="220"/>
      <c r="H45" s="220"/>
      <c r="I45" s="220"/>
      <c r="J45" s="238">
        <v>2.5000000000000001E-4</v>
      </c>
      <c r="K45" s="220"/>
    </row>
    <row r="46" spans="2:11">
      <c r="B46" s="221" t="s">
        <v>554</v>
      </c>
      <c r="C46" s="221" t="s">
        <v>555</v>
      </c>
      <c r="D46" s="221" t="str">
        <f>SEC_Comm!$D$63</f>
        <v>AGR_LIVESTOCK_FOOD</v>
      </c>
      <c r="E46" s="221"/>
      <c r="F46" s="221"/>
      <c r="G46" s="221">
        <v>1700</v>
      </c>
      <c r="H46" s="221">
        <f>G46</f>
        <v>1700</v>
      </c>
      <c r="I46" s="221">
        <v>1</v>
      </c>
      <c r="J46" s="221"/>
      <c r="K46" s="221">
        <v>1</v>
      </c>
    </row>
    <row r="47" spans="2:11">
      <c r="B47" s="221"/>
      <c r="C47" s="221"/>
      <c r="D47" s="221"/>
      <c r="E47" s="221" t="s">
        <v>530</v>
      </c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 t="s">
        <v>511</v>
      </c>
      <c r="F48" s="221"/>
      <c r="G48" s="221"/>
      <c r="H48" s="221"/>
      <c r="I48" s="221"/>
      <c r="J48" s="238">
        <v>0.20399999999999999</v>
      </c>
      <c r="K48" s="221"/>
    </row>
    <row r="49" spans="2:11">
      <c r="B49" s="221"/>
      <c r="C49" s="221"/>
      <c r="D49" s="221"/>
      <c r="E49" s="221"/>
      <c r="F49" s="221" t="s">
        <v>493</v>
      </c>
      <c r="G49" s="221"/>
      <c r="H49" s="221"/>
      <c r="I49" s="221"/>
      <c r="J49" s="238">
        <v>8.0000000000000007E-5</v>
      </c>
      <c r="K49" s="221"/>
    </row>
    <row r="50" spans="2:11">
      <c r="B50" s="221"/>
      <c r="C50" s="221"/>
      <c r="D50" s="221"/>
      <c r="E50" s="221"/>
      <c r="F50" s="221" t="s">
        <v>515</v>
      </c>
      <c r="G50" s="221"/>
      <c r="H50" s="221"/>
      <c r="I50" s="221"/>
      <c r="J50" s="238">
        <f>0.0465/1000000</f>
        <v>4.6499999999999999E-8</v>
      </c>
      <c r="K50" s="221"/>
    </row>
    <row r="51" spans="2:11">
      <c r="B51" s="220" t="s">
        <v>556</v>
      </c>
      <c r="C51" s="220" t="s">
        <v>557</v>
      </c>
      <c r="D51" s="220" t="str">
        <f>SEC_Comm!$D$63</f>
        <v>AGR_LIVESTOCK_FOOD</v>
      </c>
      <c r="E51" s="220"/>
      <c r="F51" s="220"/>
      <c r="G51" s="220">
        <v>6540.13</v>
      </c>
      <c r="H51" s="220">
        <f>G51</f>
        <v>6540.13</v>
      </c>
      <c r="I51" s="220">
        <v>1</v>
      </c>
      <c r="J51" s="220"/>
      <c r="K51" s="220">
        <v>1</v>
      </c>
    </row>
    <row r="52" spans="2:11">
      <c r="B52" s="220"/>
      <c r="C52" s="220"/>
      <c r="D52" s="220"/>
      <c r="E52" s="220" t="s">
        <v>531</v>
      </c>
      <c r="F52" s="220"/>
      <c r="G52" s="220"/>
      <c r="H52" s="220"/>
      <c r="I52" s="220"/>
      <c r="J52" s="220"/>
      <c r="K52" s="220"/>
    </row>
    <row r="53" spans="2:11">
      <c r="B53" s="220"/>
      <c r="C53" s="220"/>
      <c r="D53" s="220"/>
      <c r="E53" s="220" t="s">
        <v>513</v>
      </c>
      <c r="F53" s="220"/>
      <c r="G53" s="220"/>
      <c r="H53" s="220"/>
      <c r="I53" s="220"/>
      <c r="J53" s="238">
        <v>0.02</v>
      </c>
      <c r="K53" s="220"/>
    </row>
    <row r="54" spans="2:11">
      <c r="B54" s="220"/>
      <c r="C54" s="220"/>
      <c r="D54" s="220"/>
      <c r="E54" s="220"/>
      <c r="F54" s="220" t="s">
        <v>493</v>
      </c>
      <c r="G54" s="220"/>
      <c r="H54" s="220"/>
      <c r="I54" s="220"/>
      <c r="J54" s="248">
        <v>1.2E-8</v>
      </c>
      <c r="K54" s="220"/>
    </row>
    <row r="55" spans="2:11">
      <c r="B55" s="220"/>
      <c r="C55" s="220"/>
      <c r="D55" s="220"/>
      <c r="E55" s="220"/>
      <c r="F55" s="220" t="s">
        <v>515</v>
      </c>
      <c r="G55" s="220"/>
      <c r="H55" s="220"/>
      <c r="I55" s="220"/>
      <c r="J55" s="238">
        <v>1.6000000000000001E-8</v>
      </c>
      <c r="K55" s="220"/>
    </row>
    <row r="56" spans="2:11">
      <c r="B56" s="222" t="s">
        <v>558</v>
      </c>
      <c r="C56" s="222" t="s">
        <v>558</v>
      </c>
      <c r="D56" s="222" t="str">
        <f>SEC_Comm!$D$63</f>
        <v>AGR_LIVESTOCK_FOOD</v>
      </c>
      <c r="E56" s="222"/>
      <c r="F56" s="222"/>
      <c r="G56" s="222">
        <v>5628.7045253411343</v>
      </c>
      <c r="H56" s="222">
        <v>5628.7045253411343</v>
      </c>
      <c r="I56" s="222">
        <v>1</v>
      </c>
      <c r="J56" s="222"/>
      <c r="K56" s="222">
        <v>1</v>
      </c>
    </row>
    <row r="57" spans="2:11">
      <c r="B57" s="223"/>
      <c r="C57" s="223"/>
      <c r="D57" s="223"/>
      <c r="E57" s="223" t="s">
        <v>532</v>
      </c>
      <c r="F57" s="223"/>
      <c r="G57" s="223"/>
      <c r="H57" s="223"/>
      <c r="I57" s="223"/>
      <c r="J57" s="223"/>
      <c r="K57" s="223"/>
    </row>
    <row r="58" spans="2:11" ht="13" thickBot="1">
      <c r="B58" s="224"/>
      <c r="C58" s="224"/>
      <c r="D58" s="224"/>
      <c r="E58" s="224"/>
      <c r="F58" s="224" t="s">
        <v>515</v>
      </c>
      <c r="G58" s="224"/>
      <c r="H58" s="224"/>
      <c r="I58" s="224"/>
      <c r="J58" s="297">
        <v>2.5538809853867566E-5</v>
      </c>
      <c r="K58" s="224"/>
    </row>
    <row r="63" spans="2:11" ht="13">
      <c r="B63" s="38"/>
      <c r="C63" s="38"/>
      <c r="D63" s="230" t="s">
        <v>488</v>
      </c>
      <c r="E63" s="40"/>
    </row>
    <row r="64" spans="2:11" ht="13">
      <c r="B64" s="231" t="s">
        <v>77</v>
      </c>
      <c r="C64" s="232" t="s">
        <v>152</v>
      </c>
      <c r="D64" s="231" t="s">
        <v>134</v>
      </c>
      <c r="E64" s="233" t="s">
        <v>601</v>
      </c>
    </row>
    <row r="65" spans="2:5" ht="13" thickBot="1">
      <c r="B65" s="234" t="s">
        <v>456</v>
      </c>
      <c r="C65" s="234" t="s">
        <v>457</v>
      </c>
      <c r="D65" s="234" t="s">
        <v>459</v>
      </c>
      <c r="E65" s="234" t="s">
        <v>602</v>
      </c>
    </row>
    <row r="66" spans="2:5">
      <c r="B66" s="235" t="str">
        <f>SEC_Processes!D28</f>
        <v>AGR_IMP_DUMMY_NRG_LIV</v>
      </c>
      <c r="C66" s="235" t="str">
        <f>SEC_Processes!E28</f>
        <v>Dummy Energy Import</v>
      </c>
      <c r="D66" s="235" t="str">
        <f>SEC_Comm!$D$63</f>
        <v>AGR_LIVESTOCK_FOOD</v>
      </c>
      <c r="E66" s="235">
        <v>1E-3</v>
      </c>
    </row>
    <row r="67" spans="2:5" ht="13" thickBot="1">
      <c r="B67" s="236" t="str">
        <f>SEC_Processes!D29</f>
        <v>AGR_IMP_LAND_RESIDUE</v>
      </c>
      <c r="C67" s="236" t="str">
        <f>SEC_Processes!E29</f>
        <v>Dummy Import of Crop Residues for Biogas Production</v>
      </c>
      <c r="D67" s="236" t="str">
        <f>SEC_Comm!D66</f>
        <v>AGR_DUMMY_LAND_RESIDUES</v>
      </c>
      <c r="E67" s="236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E22" zoomScale="63" zoomScaleNormal="70" zoomScaleSheetLayoutView="50" workbookViewId="0">
      <selection activeCell="K121" sqref="K121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6"/>
      <c r="G3" s="216"/>
    </row>
    <row r="4" spans="2:12" ht="26">
      <c r="B4" s="71" t="s">
        <v>77</v>
      </c>
      <c r="C4" s="72" t="s">
        <v>152</v>
      </c>
      <c r="D4" s="72" t="s">
        <v>133</v>
      </c>
      <c r="E4" s="71" t="s">
        <v>134</v>
      </c>
      <c r="F4" s="71" t="s">
        <v>589</v>
      </c>
      <c r="G4" s="73" t="s">
        <v>590</v>
      </c>
      <c r="H4" s="217" t="s">
        <v>591</v>
      </c>
      <c r="I4" s="217" t="s">
        <v>592</v>
      </c>
      <c r="J4" s="217" t="s">
        <v>174</v>
      </c>
      <c r="K4" s="217" t="s">
        <v>593</v>
      </c>
      <c r="L4" s="217" t="s">
        <v>594</v>
      </c>
    </row>
    <row r="5" spans="2:12" ht="13" thickBot="1">
      <c r="B5" s="74" t="s">
        <v>456</v>
      </c>
      <c r="C5" s="74" t="s">
        <v>457</v>
      </c>
      <c r="D5" s="74"/>
      <c r="E5" s="74" t="s">
        <v>459</v>
      </c>
      <c r="F5" s="74"/>
      <c r="G5" s="74" t="s">
        <v>595</v>
      </c>
      <c r="H5" s="218" t="s">
        <v>596</v>
      </c>
      <c r="I5" s="218"/>
      <c r="J5" s="218"/>
      <c r="K5" s="218"/>
      <c r="L5" s="218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12" t="str">
        <f>SEC_Processes!D49</f>
        <v>AGR_FERT_N_NITR-LEACH</v>
      </c>
      <c r="C14" s="212" t="str">
        <f>SEC_Processes!E49</f>
        <v>AGR_FERT_N_NITR-LEACH</v>
      </c>
      <c r="D14" s="212" t="str">
        <f>SEC_Comm!$D$64</f>
        <v>AGR_LAND</v>
      </c>
      <c r="E14" s="212" t="str">
        <f>SEC_Comm!$D$65</f>
        <v>AGR_DUMMY_DMD_LAND</v>
      </c>
      <c r="F14" s="212" t="str">
        <f>SEC_Comm!$D$35</f>
        <v>AGR_N2O</v>
      </c>
      <c r="G14" s="212">
        <v>100</v>
      </c>
      <c r="H14" s="212">
        <v>1.4128413827858835E-3</v>
      </c>
      <c r="I14" s="212">
        <v>1.4128413827858835E-3</v>
      </c>
      <c r="J14" s="212">
        <v>1</v>
      </c>
      <c r="K14" s="212">
        <v>1</v>
      </c>
      <c r="L14" s="212">
        <v>1</v>
      </c>
    </row>
    <row r="16" spans="2:12" ht="13">
      <c r="F16" s="216"/>
      <c r="G16" s="216"/>
    </row>
    <row r="17" spans="2:34" ht="26">
      <c r="B17" s="71" t="s">
        <v>77</v>
      </c>
      <c r="C17" s="72" t="s">
        <v>152</v>
      </c>
      <c r="D17" s="72" t="s">
        <v>133</v>
      </c>
      <c r="E17" s="71" t="s">
        <v>134</v>
      </c>
      <c r="F17" s="71" t="s">
        <v>589</v>
      </c>
      <c r="G17" s="73" t="s">
        <v>590</v>
      </c>
      <c r="H17" s="217" t="s">
        <v>597</v>
      </c>
      <c r="I17" s="217" t="s">
        <v>598</v>
      </c>
      <c r="J17" s="217" t="s">
        <v>174</v>
      </c>
      <c r="K17" s="217" t="s">
        <v>593</v>
      </c>
      <c r="L17" s="217" t="s">
        <v>594</v>
      </c>
    </row>
    <row r="18" spans="2:34" ht="13" thickBot="1">
      <c r="B18" s="74" t="s">
        <v>456</v>
      </c>
      <c r="C18" s="74" t="s">
        <v>457</v>
      </c>
      <c r="D18" s="74"/>
      <c r="E18" s="74" t="s">
        <v>459</v>
      </c>
      <c r="F18" s="74"/>
      <c r="G18" s="74" t="s">
        <v>595</v>
      </c>
      <c r="H18" s="218" t="s">
        <v>596</v>
      </c>
      <c r="I18" s="218"/>
      <c r="J18" s="218"/>
      <c r="K18" s="218"/>
      <c r="L18" s="218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677</v>
      </c>
    </row>
    <row r="25" spans="2:34" ht="13">
      <c r="F25" s="216" t="s">
        <v>645</v>
      </c>
      <c r="G25" s="216" t="s">
        <v>722</v>
      </c>
      <c r="I25" t="s">
        <v>721</v>
      </c>
      <c r="O25" t="s">
        <v>721</v>
      </c>
    </row>
    <row r="26" spans="2:34" ht="39">
      <c r="B26" s="268" t="s">
        <v>77</v>
      </c>
      <c r="C26" s="273" t="s">
        <v>152</v>
      </c>
      <c r="D26" s="273" t="s">
        <v>133</v>
      </c>
      <c r="E26" s="272" t="s">
        <v>134</v>
      </c>
      <c r="F26" s="272" t="s">
        <v>589</v>
      </c>
      <c r="G26" s="281" t="s">
        <v>590</v>
      </c>
      <c r="H26" s="282" t="s">
        <v>594</v>
      </c>
      <c r="I26" s="282" t="s">
        <v>672</v>
      </c>
      <c r="J26" s="282" t="s">
        <v>174</v>
      </c>
      <c r="K26" s="282" t="s">
        <v>599</v>
      </c>
      <c r="L26" s="282" t="s">
        <v>600</v>
      </c>
      <c r="M26" s="282" t="s">
        <v>591</v>
      </c>
      <c r="N26" s="282" t="s">
        <v>592</v>
      </c>
      <c r="O26" s="282" t="s">
        <v>610</v>
      </c>
      <c r="P26" s="283" t="s">
        <v>593</v>
      </c>
      <c r="AF26">
        <f>G28*J28*P28</f>
        <v>2285.9810000000002</v>
      </c>
      <c r="AG26" t="s">
        <v>671</v>
      </c>
      <c r="AH26">
        <f>AF26*1000</f>
        <v>2285981</v>
      </c>
    </row>
    <row r="27" spans="2:34">
      <c r="B27" s="263" t="s">
        <v>456</v>
      </c>
      <c r="C27" s="264" t="s">
        <v>457</v>
      </c>
      <c r="D27" s="264"/>
      <c r="E27" s="264" t="s">
        <v>459</v>
      </c>
      <c r="F27" s="264"/>
      <c r="G27" s="264" t="s">
        <v>595</v>
      </c>
      <c r="H27" s="265" t="s">
        <v>719</v>
      </c>
      <c r="I27" s="265" t="s">
        <v>720</v>
      </c>
      <c r="J27" s="265"/>
      <c r="K27" s="265" t="s">
        <v>596</v>
      </c>
      <c r="L27" s="265"/>
      <c r="M27" s="265" t="s">
        <v>596</v>
      </c>
      <c r="N27" s="265"/>
      <c r="O27" s="265" t="s">
        <v>720</v>
      </c>
      <c r="P27" s="284"/>
      <c r="S27" t="s">
        <v>673</v>
      </c>
      <c r="AF27">
        <f>G28</f>
        <v>2285.9810000000002</v>
      </c>
      <c r="AG27" t="s">
        <v>671</v>
      </c>
      <c r="AH27">
        <f t="shared" ref="AH27:AH28" si="0">AF27*1000</f>
        <v>2285981</v>
      </c>
    </row>
    <row r="28" spans="2:34" ht="16" customHeight="1">
      <c r="B28" s="262" t="str">
        <f>SEC_Processes!D54</f>
        <v>AGR_LAND_CROP_WHEAT</v>
      </c>
      <c r="C28" s="242" t="str">
        <f>SEC_Processes!E54</f>
        <v>AGR_LAND_CROP_WHEAT</v>
      </c>
      <c r="D28" s="243"/>
      <c r="E28" s="243"/>
      <c r="F28" s="243"/>
      <c r="G28" s="242">
        <f>2285981/1000</f>
        <v>2285.9810000000002</v>
      </c>
      <c r="H28" s="243"/>
      <c r="I28" s="243"/>
      <c r="J28" s="242">
        <v>1</v>
      </c>
      <c r="K28" s="243"/>
      <c r="L28" s="243"/>
      <c r="M28" s="243"/>
      <c r="N28" s="243"/>
      <c r="O28" s="243"/>
      <c r="P28" s="244">
        <v>1</v>
      </c>
      <c r="Q28" s="38"/>
      <c r="S28" t="s">
        <v>674</v>
      </c>
      <c r="AF28">
        <f>AF26*H29</f>
        <v>2285.9810000000002</v>
      </c>
      <c r="AG28" t="s">
        <v>671</v>
      </c>
      <c r="AH28">
        <f t="shared" si="0"/>
        <v>2285981</v>
      </c>
    </row>
    <row r="29" spans="2:34" ht="16" customHeight="1">
      <c r="B29" s="245"/>
      <c r="C29" s="38"/>
      <c r="D29" s="254" t="str">
        <f>SEC_Comm!$D$64</f>
        <v>AGR_LAND</v>
      </c>
      <c r="G29" s="38"/>
      <c r="H29" s="246">
        <v>1</v>
      </c>
      <c r="J29" s="38"/>
      <c r="P29" s="247"/>
      <c r="Q29" s="38"/>
      <c r="S29" t="s">
        <v>675</v>
      </c>
    </row>
    <row r="30" spans="2:34" ht="16" customHeight="1">
      <c r="B30" s="245"/>
      <c r="C30" s="38"/>
      <c r="D30" s="80"/>
      <c r="E30" s="256" t="str">
        <f>SEC_Comm!D77</f>
        <v>AGR_DEM_CROP_WHEAT</v>
      </c>
      <c r="G30" s="38"/>
      <c r="I30" s="38"/>
      <c r="J30" s="38"/>
      <c r="O30" s="248">
        <f>54.8/10</f>
        <v>5.4799999999999995</v>
      </c>
      <c r="P30" s="247"/>
      <c r="Q30" s="38"/>
      <c r="S30" t="s">
        <v>678</v>
      </c>
      <c r="AF30">
        <f>AF26*O30</f>
        <v>12527.175880000001</v>
      </c>
      <c r="AG30" t="s">
        <v>54</v>
      </c>
    </row>
    <row r="31" spans="2:34" ht="16" customHeight="1">
      <c r="B31" s="245"/>
      <c r="C31" s="38"/>
      <c r="D31" s="38"/>
      <c r="E31" s="240" t="str">
        <f>SEC_Comm!D48</f>
        <v>AGR_RESID_CROP_WHEAT</v>
      </c>
      <c r="F31" s="38"/>
      <c r="G31" s="38"/>
      <c r="I31" s="240">
        <f>4.0651</f>
        <v>4.0651000000000002</v>
      </c>
      <c r="J31" s="38"/>
      <c r="K31" s="38"/>
      <c r="L31" s="38"/>
      <c r="M31" s="38"/>
      <c r="N31" s="38"/>
      <c r="P31" s="247"/>
      <c r="Q31" s="38"/>
      <c r="S31" t="s">
        <v>676</v>
      </c>
    </row>
    <row r="32" spans="2:34" ht="16" customHeight="1">
      <c r="B32" s="245"/>
      <c r="C32" s="38"/>
      <c r="D32" s="38"/>
      <c r="E32" s="38"/>
      <c r="F32" s="257" t="str">
        <f>SEC_Comm!$D$38</f>
        <v>AGR_CH4_LAND</v>
      </c>
      <c r="G32" s="38"/>
      <c r="I32" s="38"/>
      <c r="J32" s="38"/>
      <c r="K32" s="257">
        <v>0</v>
      </c>
      <c r="L32" s="257">
        <v>0</v>
      </c>
      <c r="M32" s="38"/>
      <c r="N32" s="38"/>
      <c r="P32" s="247"/>
      <c r="AF32">
        <f>AF26*I31</f>
        <v>9292.7413631000018</v>
      </c>
      <c r="AG32" t="s">
        <v>54</v>
      </c>
    </row>
    <row r="33" spans="2:24" ht="16" customHeight="1">
      <c r="B33" s="249"/>
      <c r="C33" s="250"/>
      <c r="D33" s="250"/>
      <c r="E33" s="250"/>
      <c r="F33" s="251" t="str">
        <f>SEC_Comm!$D$35</f>
        <v>AGR_N2O</v>
      </c>
      <c r="G33" s="250"/>
      <c r="H33" s="160"/>
      <c r="I33" s="250"/>
      <c r="J33" s="250"/>
      <c r="K33" s="250"/>
      <c r="L33" s="250"/>
      <c r="M33" s="251">
        <v>1.4E-3</v>
      </c>
      <c r="N33" s="251">
        <v>1.4E-3</v>
      </c>
      <c r="O33" s="160"/>
      <c r="P33" s="252"/>
    </row>
    <row r="34" spans="2:24" ht="16" customHeight="1">
      <c r="B34" s="241" t="str">
        <f>SEC_Processes!D55</f>
        <v>AGR_LAND_CROP_BARLEY</v>
      </c>
      <c r="C34" s="242" t="str">
        <f>SEC_Processes!E55</f>
        <v>AGR_LAND_CROP_BARLEY</v>
      </c>
      <c r="D34" s="243"/>
      <c r="E34" s="243"/>
      <c r="F34" s="243"/>
      <c r="G34" s="242">
        <f>352232/1000</f>
        <v>352.23200000000003</v>
      </c>
      <c r="H34" s="243"/>
      <c r="I34" s="253"/>
      <c r="J34" s="242">
        <v>1</v>
      </c>
      <c r="K34" s="243"/>
      <c r="L34" s="243"/>
      <c r="M34" s="243"/>
      <c r="N34" s="243"/>
      <c r="O34" s="243"/>
      <c r="P34" s="244">
        <v>1</v>
      </c>
    </row>
    <row r="35" spans="2:24" ht="16" customHeight="1">
      <c r="B35" s="245"/>
      <c r="C35" s="38"/>
      <c r="D35" s="254" t="str">
        <f>SEC_Comm!$D$64</f>
        <v>AGR_LAND</v>
      </c>
      <c r="G35" s="38"/>
      <c r="H35" s="246">
        <v>1</v>
      </c>
      <c r="I35" s="38"/>
      <c r="J35" s="38"/>
      <c r="K35" s="38"/>
      <c r="L35" s="38"/>
      <c r="M35" s="38"/>
      <c r="N35" s="38"/>
      <c r="P35" s="247"/>
    </row>
    <row r="36" spans="2:24" ht="16" customHeight="1">
      <c r="B36" s="255"/>
      <c r="E36" s="256" t="str">
        <f>SEC_Comm!D78</f>
        <v>AGR_DEM_CROP_BARLEY</v>
      </c>
      <c r="F36" s="38"/>
      <c r="O36" s="248">
        <f>50.7/10</f>
        <v>5.07</v>
      </c>
      <c r="P36" s="247"/>
    </row>
    <row r="37" spans="2:24" ht="16" customHeight="1">
      <c r="B37" s="255"/>
      <c r="E37" s="240" t="str">
        <f>SEC_Comm!D49</f>
        <v>AGR_RESID_CROP_BARLEY</v>
      </c>
      <c r="F37" s="38"/>
      <c r="I37" s="167">
        <v>2.7559999999999998</v>
      </c>
      <c r="P37" s="247"/>
      <c r="T37" t="s">
        <v>712</v>
      </c>
    </row>
    <row r="38" spans="2:24" ht="16" customHeight="1">
      <c r="B38" s="255"/>
      <c r="F38" s="257" t="str">
        <f>SEC_Comm!$D$38</f>
        <v>AGR_CH4_LAND</v>
      </c>
      <c r="K38" s="257">
        <v>0</v>
      </c>
      <c r="L38" s="257">
        <v>0</v>
      </c>
      <c r="P38" s="247"/>
      <c r="S38" s="285" t="s">
        <v>709</v>
      </c>
    </row>
    <row r="39" spans="2:24" ht="16" customHeight="1">
      <c r="B39" s="258"/>
      <c r="C39" s="160"/>
      <c r="D39" s="160"/>
      <c r="E39" s="160"/>
      <c r="F39" s="251" t="str">
        <f>SEC_Comm!$D$35</f>
        <v>AGR_N2O</v>
      </c>
      <c r="G39" s="160"/>
      <c r="H39" s="160"/>
      <c r="I39" s="160"/>
      <c r="J39" s="160"/>
      <c r="K39" s="160"/>
      <c r="L39" s="160"/>
      <c r="M39" s="251">
        <v>1.4E-3</v>
      </c>
      <c r="N39" s="251">
        <v>1.4E-3</v>
      </c>
      <c r="O39" s="160"/>
      <c r="P39" s="252"/>
    </row>
    <row r="40" spans="2:24" ht="16" customHeight="1">
      <c r="B40" s="241" t="str">
        <f>SEC_Processes!D56</f>
        <v>AGR_LAND_CROP_MAIZE</v>
      </c>
      <c r="C40" s="242" t="str">
        <f>SEC_Processes!E56</f>
        <v>AGR_LAND_CROP_MAIZE</v>
      </c>
      <c r="D40" s="243"/>
      <c r="E40" s="243"/>
      <c r="F40" s="253"/>
      <c r="G40" s="242">
        <f>1255632/1000</f>
        <v>1255.6320000000001</v>
      </c>
      <c r="H40" s="243"/>
      <c r="I40" s="253"/>
      <c r="J40" s="242">
        <v>1</v>
      </c>
      <c r="K40" s="243"/>
      <c r="L40" s="243"/>
      <c r="M40" s="243"/>
      <c r="N40" s="243"/>
      <c r="O40" s="243"/>
      <c r="P40" s="244">
        <v>1</v>
      </c>
    </row>
    <row r="41" spans="2:24" ht="16" customHeight="1">
      <c r="B41" s="245"/>
      <c r="C41" s="38"/>
      <c r="D41" s="254" t="str">
        <f>SEC_Comm!$D$64</f>
        <v>AGR_LAND</v>
      </c>
      <c r="F41" s="38"/>
      <c r="G41" s="38"/>
      <c r="H41" s="246">
        <v>1</v>
      </c>
      <c r="I41" s="38"/>
      <c r="J41" s="38"/>
      <c r="K41" s="38"/>
      <c r="L41" s="38"/>
      <c r="M41" s="38"/>
      <c r="N41" s="38"/>
      <c r="P41" s="247"/>
    </row>
    <row r="42" spans="2:24" ht="16" customHeight="1">
      <c r="B42" s="245"/>
      <c r="C42" s="38"/>
      <c r="D42" s="38"/>
      <c r="E42" s="256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8">
        <f>72.9/10</f>
        <v>7.2900000000000009</v>
      </c>
      <c r="P42" s="247"/>
      <c r="X42" t="s">
        <v>730</v>
      </c>
    </row>
    <row r="43" spans="2:24" ht="16" customHeight="1">
      <c r="B43" s="245"/>
      <c r="C43" s="38"/>
      <c r="D43" s="38"/>
      <c r="E43" s="240" t="str">
        <f>SEC_Comm!D50</f>
        <v>AGR_RESID_CROP_MAIZE</v>
      </c>
      <c r="F43" s="38"/>
      <c r="G43" s="38"/>
      <c r="I43" s="240">
        <v>6.1321000000000003</v>
      </c>
      <c r="J43" s="38"/>
      <c r="K43" s="38"/>
      <c r="L43" s="38"/>
      <c r="M43" s="38"/>
      <c r="N43" s="38"/>
      <c r="O43" s="290" t="s">
        <v>356</v>
      </c>
      <c r="P43" s="247"/>
      <c r="X43" t="s">
        <v>731</v>
      </c>
    </row>
    <row r="44" spans="2:24" ht="16" customHeight="1">
      <c r="B44" s="245"/>
      <c r="C44" s="38"/>
      <c r="D44" s="38"/>
      <c r="E44" s="38"/>
      <c r="F44" s="257" t="str">
        <f>SEC_Comm!$D$38</f>
        <v>AGR_CH4_LAND</v>
      </c>
      <c r="G44" s="38"/>
      <c r="I44" s="38"/>
      <c r="J44" s="38"/>
      <c r="K44" s="257">
        <v>0</v>
      </c>
      <c r="L44" s="257">
        <v>0</v>
      </c>
      <c r="M44" s="38"/>
      <c r="N44" s="38"/>
      <c r="P44" s="247"/>
    </row>
    <row r="45" spans="2:24" ht="16" customHeight="1">
      <c r="B45" s="249"/>
      <c r="C45" s="250"/>
      <c r="D45" s="250"/>
      <c r="E45" s="250"/>
      <c r="F45" s="251" t="str">
        <f>SEC_Comm!$D$35</f>
        <v>AGR_N2O</v>
      </c>
      <c r="G45" s="250"/>
      <c r="H45" s="160"/>
      <c r="I45" s="250"/>
      <c r="J45" s="250"/>
      <c r="K45" s="250"/>
      <c r="L45" s="250"/>
      <c r="M45" s="251">
        <v>2.3700000000000001E-3</v>
      </c>
      <c r="N45" s="251">
        <v>2.3700000000000001E-3</v>
      </c>
      <c r="O45" s="160"/>
      <c r="P45" s="252"/>
    </row>
    <row r="46" spans="2:24" ht="16" customHeight="1">
      <c r="B46" s="260" t="str">
        <f>SEC_Processes!D57</f>
        <v>AGR_LAND_CROP_CER-MIX</v>
      </c>
      <c r="C46" s="259" t="str">
        <f>SEC_Processes!E57</f>
        <v>AGR_LAND_CROP_CER-MIX</v>
      </c>
      <c r="F46" s="38"/>
      <c r="G46" s="259">
        <f>47566/1000</f>
        <v>47.566000000000003</v>
      </c>
      <c r="I46" s="38"/>
      <c r="J46" s="259">
        <v>1</v>
      </c>
      <c r="P46" s="261">
        <v>1</v>
      </c>
    </row>
    <row r="47" spans="2:24" ht="16" customHeight="1">
      <c r="B47" s="245"/>
      <c r="C47" s="38"/>
      <c r="D47" s="254" t="str">
        <f>SEC_Comm!$D$64</f>
        <v>AGR_LAND</v>
      </c>
      <c r="F47" s="38"/>
      <c r="G47" s="38"/>
      <c r="H47" s="246">
        <v>1</v>
      </c>
      <c r="I47" s="38"/>
      <c r="J47" s="38"/>
      <c r="K47" s="38"/>
      <c r="L47" s="38"/>
      <c r="M47" s="38"/>
      <c r="N47" s="38"/>
      <c r="P47" s="247"/>
    </row>
    <row r="48" spans="2:24" ht="16" customHeight="1">
      <c r="B48" s="245"/>
      <c r="C48" s="38"/>
      <c r="D48" s="38"/>
      <c r="E48" s="256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8">
        <f>37.3/10</f>
        <v>3.7299999999999995</v>
      </c>
      <c r="P48" s="247"/>
    </row>
    <row r="49" spans="2:20" ht="16" customHeight="1">
      <c r="B49" s="245"/>
      <c r="C49" s="38"/>
      <c r="D49" s="38"/>
      <c r="E49" s="240" t="str">
        <f>SEC_Comm!D51</f>
        <v>AGR_RESID_CROP_CER-MIX</v>
      </c>
      <c r="F49" s="38"/>
      <c r="G49" s="38"/>
      <c r="I49" s="240">
        <v>3.7688299999999999</v>
      </c>
      <c r="J49" s="38"/>
      <c r="K49" s="38"/>
      <c r="L49" s="38"/>
      <c r="M49" s="38"/>
      <c r="N49" s="38"/>
      <c r="P49" s="247"/>
      <c r="R49" t="s">
        <v>737</v>
      </c>
    </row>
    <row r="50" spans="2:20" ht="16" customHeight="1">
      <c r="B50" s="245"/>
      <c r="C50" s="38"/>
      <c r="D50" s="38"/>
      <c r="F50" s="257" t="str">
        <f>SEC_Comm!$D$38</f>
        <v>AGR_CH4_LAND</v>
      </c>
      <c r="G50" s="38"/>
      <c r="J50" s="38"/>
      <c r="K50" s="257">
        <v>0</v>
      </c>
      <c r="L50" s="257">
        <v>0</v>
      </c>
      <c r="M50" s="38"/>
      <c r="N50" s="38"/>
      <c r="P50" s="247"/>
    </row>
    <row r="51" spans="2:20" ht="16" customHeight="1">
      <c r="B51" s="249"/>
      <c r="C51" s="250"/>
      <c r="D51" s="250"/>
      <c r="E51" s="250"/>
      <c r="F51" s="251" t="str">
        <f>SEC_Comm!$D$35</f>
        <v>AGR_N2O</v>
      </c>
      <c r="G51" s="250"/>
      <c r="H51" s="160"/>
      <c r="I51" s="250"/>
      <c r="J51" s="250"/>
      <c r="K51" s="250"/>
      <c r="L51" s="250"/>
      <c r="M51" s="296">
        <v>2.4316666669999998E-3</v>
      </c>
      <c r="N51" s="296">
        <v>2.4316666669999998E-3</v>
      </c>
      <c r="O51" s="160"/>
      <c r="P51" s="252"/>
    </row>
    <row r="52" spans="2:20" ht="16" customHeight="1">
      <c r="B52" s="241" t="str">
        <f>SEC_Processes!D58</f>
        <v>AGR_LAND_CROP_TRITICALE</v>
      </c>
      <c r="C52" s="242" t="str">
        <f>SEC_Processes!E58</f>
        <v>AGR_LAND_CROP_TRITICALE</v>
      </c>
      <c r="D52" s="243"/>
      <c r="E52" s="243"/>
      <c r="F52" s="253"/>
      <c r="G52" s="242">
        <f>1144144/1000</f>
        <v>1144.144</v>
      </c>
      <c r="H52" s="243"/>
      <c r="I52" s="253"/>
      <c r="J52" s="242">
        <v>1</v>
      </c>
      <c r="K52" s="243"/>
      <c r="L52" s="243"/>
      <c r="M52" s="243"/>
      <c r="N52" s="243"/>
      <c r="O52" s="243"/>
      <c r="P52" s="244">
        <v>1</v>
      </c>
    </row>
    <row r="53" spans="2:20" ht="16" customHeight="1">
      <c r="B53" s="245"/>
      <c r="C53" s="38"/>
      <c r="D53" s="254" t="str">
        <f>SEC_Comm!$D$64</f>
        <v>AGR_LAND</v>
      </c>
      <c r="F53" s="38"/>
      <c r="G53" s="38"/>
      <c r="H53" s="246">
        <v>1</v>
      </c>
      <c r="I53" s="38"/>
      <c r="J53" s="38"/>
      <c r="K53" s="38"/>
      <c r="L53" s="38"/>
      <c r="M53" s="38"/>
      <c r="N53" s="38"/>
      <c r="P53" s="247"/>
    </row>
    <row r="54" spans="2:20" ht="16" customHeight="1">
      <c r="B54" s="245"/>
      <c r="C54" s="38"/>
      <c r="D54" s="38"/>
      <c r="E54" s="256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8">
        <f>45.4/10</f>
        <v>4.54</v>
      </c>
      <c r="P54" s="247"/>
    </row>
    <row r="55" spans="2:20" ht="16" customHeight="1">
      <c r="B55" s="245"/>
      <c r="C55" s="38"/>
      <c r="D55" s="38"/>
      <c r="E55" s="240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7"/>
      <c r="S55" t="s">
        <v>711</v>
      </c>
      <c r="T55" s="285" t="s">
        <v>710</v>
      </c>
    </row>
    <row r="56" spans="2:20" ht="16" customHeight="1">
      <c r="B56" s="245"/>
      <c r="C56" s="38"/>
      <c r="D56" s="38"/>
      <c r="E56" s="38"/>
      <c r="F56" s="257" t="str">
        <f>SEC_Comm!$D$38</f>
        <v>AGR_CH4_LAND</v>
      </c>
      <c r="G56" s="38"/>
      <c r="I56" s="38"/>
      <c r="J56" s="38"/>
      <c r="K56" s="257">
        <v>0</v>
      </c>
      <c r="L56" s="257">
        <v>0</v>
      </c>
      <c r="M56" s="38"/>
      <c r="N56" s="38"/>
      <c r="P56" s="247"/>
      <c r="S56" t="s">
        <v>714</v>
      </c>
      <c r="T56" s="285" t="s">
        <v>713</v>
      </c>
    </row>
    <row r="57" spans="2:20">
      <c r="B57" s="258"/>
      <c r="C57" s="160"/>
      <c r="D57" s="160"/>
      <c r="E57" s="160"/>
      <c r="F57" s="251" t="str">
        <f>SEC_Comm!$D$35</f>
        <v>AGR_N2O</v>
      </c>
      <c r="G57" s="160"/>
      <c r="H57" s="160"/>
      <c r="I57" s="160"/>
      <c r="J57" s="160"/>
      <c r="K57" s="160"/>
      <c r="L57" s="160"/>
      <c r="M57" s="251">
        <v>4.4999999999999997E-3</v>
      </c>
      <c r="N57" s="251">
        <v>4.4999999999999997E-3</v>
      </c>
      <c r="O57" s="160"/>
      <c r="P57" s="252"/>
      <c r="S57" t="s">
        <v>715</v>
      </c>
      <c r="T57" s="285" t="s">
        <v>716</v>
      </c>
    </row>
    <row r="58" spans="2:20" ht="16" customHeight="1">
      <c r="B58" s="241" t="str">
        <f>SEC_Processes!D59</f>
        <v>AGR_LAND_CROP_OATS</v>
      </c>
      <c r="C58" s="242" t="str">
        <f>SEC_Processes!E59</f>
        <v>AGR_LAND_CROP_OATS</v>
      </c>
      <c r="D58" s="243"/>
      <c r="E58" s="243"/>
      <c r="F58" s="253"/>
      <c r="G58" s="242">
        <f>497687/1000</f>
        <v>497.68700000000001</v>
      </c>
      <c r="H58" s="243"/>
      <c r="I58" s="253"/>
      <c r="J58" s="242">
        <v>1</v>
      </c>
      <c r="K58" s="243"/>
      <c r="L58" s="243"/>
      <c r="M58" s="243"/>
      <c r="N58" s="243"/>
      <c r="O58" s="243"/>
      <c r="P58" s="244">
        <v>1</v>
      </c>
    </row>
    <row r="59" spans="2:20" ht="16" customHeight="1">
      <c r="B59" s="245"/>
      <c r="C59" s="38"/>
      <c r="D59" s="254" t="str">
        <f>SEC_Comm!$D$64</f>
        <v>AGR_LAND</v>
      </c>
      <c r="F59" s="38"/>
      <c r="G59" s="38"/>
      <c r="H59" s="246">
        <v>1</v>
      </c>
      <c r="I59" s="38"/>
      <c r="J59" s="38"/>
      <c r="K59" s="38"/>
      <c r="L59" s="38"/>
      <c r="M59" s="38"/>
      <c r="N59" s="38"/>
      <c r="P59" s="247"/>
      <c r="S59" s="285"/>
    </row>
    <row r="60" spans="2:20" ht="16" customHeight="1">
      <c r="B60" s="245"/>
      <c r="C60" s="38"/>
      <c r="D60" s="38"/>
      <c r="E60" s="256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8">
        <f>30.8/10</f>
        <v>3.08</v>
      </c>
      <c r="P60" s="247"/>
      <c r="S60" s="285"/>
    </row>
    <row r="61" spans="2:20" ht="16" customHeight="1">
      <c r="B61" s="245"/>
      <c r="C61" s="38"/>
      <c r="D61" s="38"/>
      <c r="E61" s="240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7"/>
      <c r="S61" t="s">
        <v>717</v>
      </c>
    </row>
    <row r="62" spans="2:20" ht="16" customHeight="1">
      <c r="B62" s="245"/>
      <c r="C62" s="38"/>
      <c r="D62" s="38"/>
      <c r="E62" s="38"/>
      <c r="F62" s="257" t="str">
        <f>SEC_Comm!$D$38</f>
        <v>AGR_CH4_LAND</v>
      </c>
      <c r="G62" s="38"/>
      <c r="I62" s="38"/>
      <c r="J62" s="38"/>
      <c r="K62" s="257">
        <v>0</v>
      </c>
      <c r="L62" s="257">
        <v>0</v>
      </c>
      <c r="M62" s="38"/>
      <c r="N62" s="38"/>
      <c r="P62" s="247"/>
    </row>
    <row r="63" spans="2:20" ht="16" customHeight="1">
      <c r="B63" s="249"/>
      <c r="C63" s="250"/>
      <c r="D63" s="250"/>
      <c r="E63" s="250"/>
      <c r="F63" s="251" t="str">
        <f>SEC_Comm!$D$35</f>
        <v>AGR_N2O</v>
      </c>
      <c r="G63" s="250"/>
      <c r="H63" s="160"/>
      <c r="I63" s="250"/>
      <c r="J63" s="250"/>
      <c r="K63" s="250"/>
      <c r="L63" s="250"/>
      <c r="M63" s="251">
        <v>1.9599999999999999E-3</v>
      </c>
      <c r="N63" s="251">
        <v>1.9599999999999999E-3</v>
      </c>
      <c r="O63" s="160"/>
      <c r="P63" s="252"/>
    </row>
    <row r="64" spans="2:20" ht="16" customHeight="1">
      <c r="B64" s="262" t="str">
        <f>SEC_Processes!D60</f>
        <v>AGR_LAND_CROP_RYE</v>
      </c>
      <c r="C64" s="242" t="str">
        <f>SEC_Processes!E60</f>
        <v>AGR_LAND_CROP_RYE</v>
      </c>
      <c r="D64" s="243"/>
      <c r="E64" s="243"/>
      <c r="F64" s="253"/>
      <c r="G64" s="242">
        <f>727993/1000</f>
        <v>727.99300000000005</v>
      </c>
      <c r="H64" s="243"/>
      <c r="I64" s="253"/>
      <c r="J64" s="242">
        <v>1</v>
      </c>
      <c r="K64" s="243"/>
      <c r="L64" s="243"/>
      <c r="M64" s="243"/>
      <c r="N64" s="243"/>
      <c r="O64" s="243"/>
      <c r="P64" s="244">
        <v>1</v>
      </c>
    </row>
    <row r="65" spans="2:18" ht="16" customHeight="1">
      <c r="B65" s="245"/>
      <c r="C65" s="38"/>
      <c r="D65" s="254" t="str">
        <f>SEC_Comm!$D$64</f>
        <v>AGR_LAND</v>
      </c>
      <c r="F65" s="38"/>
      <c r="G65" s="38"/>
      <c r="H65" s="246">
        <v>1</v>
      </c>
      <c r="I65" s="38"/>
      <c r="J65" s="38"/>
      <c r="K65" s="38"/>
      <c r="L65" s="38"/>
      <c r="M65" s="38"/>
      <c r="N65" s="38"/>
      <c r="P65" s="247"/>
    </row>
    <row r="66" spans="2:18" ht="16" customHeight="1">
      <c r="B66" s="245"/>
      <c r="C66" s="38"/>
      <c r="D66" s="38"/>
      <c r="E66" s="256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8">
        <f>35/10</f>
        <v>3.5</v>
      </c>
      <c r="P66" s="247"/>
    </row>
    <row r="67" spans="2:18" ht="16" customHeight="1">
      <c r="B67" s="245"/>
      <c r="C67" s="38"/>
      <c r="D67" s="38"/>
      <c r="E67" s="240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7"/>
    </row>
    <row r="68" spans="2:18" ht="16" customHeight="1">
      <c r="B68" s="245"/>
      <c r="C68" s="38"/>
      <c r="D68" s="38"/>
      <c r="E68" s="38"/>
      <c r="F68" s="257" t="str">
        <f>SEC_Comm!$D$38</f>
        <v>AGR_CH4_LAND</v>
      </c>
      <c r="G68" s="38"/>
      <c r="I68" s="38"/>
      <c r="J68" s="38"/>
      <c r="K68" s="257">
        <v>0</v>
      </c>
      <c r="L68" s="257">
        <v>0</v>
      </c>
      <c r="M68" s="38"/>
      <c r="N68" s="38"/>
      <c r="P68" s="247"/>
    </row>
    <row r="69" spans="2:18">
      <c r="B69" s="258"/>
      <c r="C69" s="160"/>
      <c r="D69" s="160"/>
      <c r="E69" s="160"/>
      <c r="F69" s="251" t="str">
        <f>SEC_Comm!$D$35</f>
        <v>AGR_N2O</v>
      </c>
      <c r="G69" s="160"/>
      <c r="H69" s="160"/>
      <c r="I69" s="160"/>
      <c r="J69" s="160"/>
      <c r="K69" s="160"/>
      <c r="L69" s="160"/>
      <c r="M69" s="251">
        <v>2.96E-3</v>
      </c>
      <c r="N69" s="251">
        <v>2.96E-3</v>
      </c>
      <c r="O69" s="160"/>
      <c r="P69" s="252"/>
      <c r="R69" s="285" t="s">
        <v>732</v>
      </c>
    </row>
    <row r="70" spans="2:18" ht="16" customHeight="1">
      <c r="B70" s="241" t="str">
        <f>SEC_Processes!D61</f>
        <v>AGR_LAND_CROP_MILL-BUCK</v>
      </c>
      <c r="C70" s="242" t="str">
        <f>SEC_Processes!E61</f>
        <v>AGR_LAND_CROP_MILL-BUCK</v>
      </c>
      <c r="D70" s="243"/>
      <c r="E70" s="243"/>
      <c r="F70" s="253"/>
      <c r="G70" s="242">
        <f>(17947+104018)/1000</f>
        <v>121.965</v>
      </c>
      <c r="H70" s="243"/>
      <c r="I70" s="253"/>
      <c r="J70" s="242">
        <v>1</v>
      </c>
      <c r="K70" s="243"/>
      <c r="L70" s="243"/>
      <c r="M70" s="243"/>
      <c r="N70" s="243"/>
      <c r="O70" s="243"/>
      <c r="P70" s="244">
        <v>1</v>
      </c>
    </row>
    <row r="71" spans="2:18" ht="16" customHeight="1">
      <c r="B71" s="245"/>
      <c r="C71" s="38"/>
      <c r="D71" s="254" t="str">
        <f>SEC_Comm!$D$64</f>
        <v>AGR_LAND</v>
      </c>
      <c r="F71" s="38"/>
      <c r="G71" s="38"/>
      <c r="H71" s="246">
        <v>1</v>
      </c>
      <c r="I71" s="38"/>
      <c r="J71" s="38"/>
      <c r="K71" s="38"/>
      <c r="L71" s="38"/>
      <c r="M71" s="38"/>
      <c r="N71" s="38"/>
      <c r="P71" s="247"/>
    </row>
    <row r="72" spans="2:18" ht="16" customHeight="1">
      <c r="B72" s="245"/>
      <c r="C72" s="38"/>
      <c r="D72" s="38"/>
      <c r="E72" s="256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8">
        <f>(14.8+21.1)/10</f>
        <v>3.5900000000000007</v>
      </c>
      <c r="P72" s="247"/>
      <c r="R72" s="285" t="s">
        <v>734</v>
      </c>
    </row>
    <row r="73" spans="2:18" ht="16" customHeight="1">
      <c r="B73" s="245"/>
      <c r="C73" s="38"/>
      <c r="D73" s="38"/>
      <c r="E73" s="240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7"/>
    </row>
    <row r="74" spans="2:18" ht="16" customHeight="1">
      <c r="B74" s="245"/>
      <c r="C74" s="38"/>
      <c r="D74" s="38"/>
      <c r="E74" s="38"/>
      <c r="F74" s="257" t="str">
        <f>SEC_Comm!$D$38</f>
        <v>AGR_CH4_LAND</v>
      </c>
      <c r="G74" s="38"/>
      <c r="I74" s="38"/>
      <c r="J74" s="38"/>
      <c r="K74" s="257">
        <v>0</v>
      </c>
      <c r="L74" s="257">
        <v>0</v>
      </c>
      <c r="M74" s="38"/>
      <c r="N74" s="38"/>
      <c r="P74" s="247"/>
    </row>
    <row r="75" spans="2:18" ht="16" customHeight="1">
      <c r="B75" s="249"/>
      <c r="C75" s="250"/>
      <c r="D75" s="250"/>
      <c r="E75" s="250"/>
      <c r="F75" s="251" t="str">
        <f>SEC_Comm!$D$35</f>
        <v>AGR_N2O</v>
      </c>
      <c r="G75" s="250"/>
      <c r="H75" s="160"/>
      <c r="I75" s="250"/>
      <c r="J75" s="250"/>
      <c r="K75" s="250"/>
      <c r="L75" s="250"/>
      <c r="M75" s="251">
        <v>4.6799999999999999E-5</v>
      </c>
      <c r="N75" s="251">
        <v>4.6799999999999999E-5</v>
      </c>
      <c r="O75" s="160"/>
      <c r="P75" s="252"/>
    </row>
    <row r="76" spans="2:18" ht="16" customHeight="1">
      <c r="B76" s="262" t="str">
        <f>SEC_Processes!D62</f>
        <v>AGR_LAND_CROP_PULS-FEED</v>
      </c>
      <c r="C76" s="242" t="str">
        <f>SEC_Processes!E62</f>
        <v>AGR_LAND_CROP_PULS-FEED</v>
      </c>
      <c r="D76" s="243"/>
      <c r="E76" s="243"/>
      <c r="F76" s="253"/>
      <c r="G76" s="242">
        <f>31851/1000</f>
        <v>31.850999999999999</v>
      </c>
      <c r="H76" s="243"/>
      <c r="I76" s="253"/>
      <c r="J76" s="242">
        <v>1</v>
      </c>
      <c r="K76" s="243"/>
      <c r="L76" s="243"/>
      <c r="M76" s="243"/>
      <c r="N76" s="243"/>
      <c r="O76" s="243"/>
      <c r="P76" s="244">
        <v>1</v>
      </c>
      <c r="R76" s="38"/>
    </row>
    <row r="77" spans="2:18" ht="16" customHeight="1">
      <c r="B77" s="245"/>
      <c r="C77" s="38"/>
      <c r="D77" s="254" t="str">
        <f>SEC_Comm!$D$64</f>
        <v>AGR_LAND</v>
      </c>
      <c r="F77" s="38"/>
      <c r="G77" s="38"/>
      <c r="H77" s="246">
        <v>1</v>
      </c>
      <c r="I77" s="38"/>
      <c r="J77" s="38"/>
      <c r="K77" s="38"/>
      <c r="L77" s="38"/>
      <c r="M77" s="38"/>
      <c r="N77" s="38"/>
      <c r="P77" s="247"/>
    </row>
    <row r="78" spans="2:18" ht="16" customHeight="1">
      <c r="B78" s="245"/>
      <c r="C78" s="38"/>
      <c r="D78" s="38"/>
      <c r="E78" s="256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8">
        <f>186/10</f>
        <v>18.600000000000001</v>
      </c>
      <c r="P78" s="247"/>
    </row>
    <row r="79" spans="2:18" ht="16" customHeight="1">
      <c r="B79" s="245"/>
      <c r="C79" s="38"/>
      <c r="D79" s="38"/>
      <c r="E79" s="240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7"/>
    </row>
    <row r="80" spans="2:18" ht="16" customHeight="1">
      <c r="B80" s="245"/>
      <c r="C80" s="38"/>
      <c r="D80" s="38"/>
      <c r="E80" s="38"/>
      <c r="F80" s="257" t="str">
        <f>SEC_Comm!$D$38</f>
        <v>AGR_CH4_LAND</v>
      </c>
      <c r="G80" s="38"/>
      <c r="I80" s="38"/>
      <c r="J80" s="38"/>
      <c r="K80" s="257">
        <v>0</v>
      </c>
      <c r="L80" s="257">
        <v>0</v>
      </c>
      <c r="M80" s="38"/>
      <c r="N80" s="38"/>
      <c r="P80" s="247"/>
    </row>
    <row r="81" spans="2:18" ht="16" customHeight="1">
      <c r="B81" s="249"/>
      <c r="C81" s="250"/>
      <c r="D81" s="250"/>
      <c r="E81" s="250"/>
      <c r="F81" s="251" t="str">
        <f>SEC_Comm!$D$35</f>
        <v>AGR_N2O</v>
      </c>
      <c r="G81" s="250"/>
      <c r="H81" s="160"/>
      <c r="I81" s="250"/>
      <c r="J81" s="250"/>
      <c r="K81" s="250"/>
      <c r="L81" s="250"/>
      <c r="M81" s="251">
        <v>1.5900000000000001E-3</v>
      </c>
      <c r="N81" s="251">
        <v>1.5900000000000001E-3</v>
      </c>
      <c r="O81" s="160"/>
      <c r="P81" s="252"/>
    </row>
    <row r="82" spans="2:18" ht="16" customHeight="1">
      <c r="B82" s="262" t="str">
        <f>SEC_Processes!D63</f>
        <v>AGR_LAND_CROP_PULS-EDIB</v>
      </c>
      <c r="C82" s="242" t="str">
        <f>SEC_Processes!E63</f>
        <v>AGR_LAND_CROP_PULS-EDIB</v>
      </c>
      <c r="D82" s="243"/>
      <c r="E82" s="243"/>
      <c r="F82" s="253"/>
      <c r="G82" s="242">
        <f>149055/1000</f>
        <v>149.05500000000001</v>
      </c>
      <c r="H82" s="243"/>
      <c r="I82" s="253"/>
      <c r="J82" s="242">
        <v>1</v>
      </c>
      <c r="K82" s="243"/>
      <c r="L82" s="243"/>
      <c r="M82" s="243"/>
      <c r="N82" s="243"/>
      <c r="O82" s="243"/>
      <c r="P82" s="244">
        <v>1</v>
      </c>
    </row>
    <row r="83" spans="2:18" ht="16" customHeight="1">
      <c r="B83" s="245"/>
      <c r="C83" s="38"/>
      <c r="D83" s="254" t="str">
        <f>SEC_Comm!$D$64</f>
        <v>AGR_LAND</v>
      </c>
      <c r="F83" s="38"/>
      <c r="G83" s="38"/>
      <c r="H83" s="246">
        <v>1</v>
      </c>
      <c r="I83" s="38"/>
      <c r="J83" s="38"/>
      <c r="K83" s="38"/>
      <c r="L83" s="38"/>
      <c r="M83" s="38"/>
      <c r="N83" s="38"/>
      <c r="P83" s="247"/>
    </row>
    <row r="84" spans="2:18" ht="16" customHeight="1">
      <c r="B84" s="245"/>
      <c r="C84" s="38"/>
      <c r="D84" s="38"/>
      <c r="E84" s="256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8">
        <f>24.4/10</f>
        <v>2.44</v>
      </c>
      <c r="P84" s="247"/>
    </row>
    <row r="85" spans="2:18" ht="16" customHeight="1">
      <c r="B85" s="245"/>
      <c r="C85" s="38"/>
      <c r="D85" s="38"/>
      <c r="E85" s="240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7"/>
    </row>
    <row r="86" spans="2:18" ht="16" customHeight="1">
      <c r="B86" s="245"/>
      <c r="C86" s="38"/>
      <c r="D86" s="38"/>
      <c r="E86" s="38"/>
      <c r="F86" s="257" t="str">
        <f>SEC_Comm!$D$38</f>
        <v>AGR_CH4_LAND</v>
      </c>
      <c r="G86" s="38"/>
      <c r="I86" s="38"/>
      <c r="J86" s="38"/>
      <c r="K86" s="257">
        <v>0</v>
      </c>
      <c r="L86" s="257">
        <v>0</v>
      </c>
      <c r="M86" s="38"/>
      <c r="N86" s="38"/>
      <c r="P86" s="247"/>
    </row>
    <row r="87" spans="2:18" ht="16" customHeight="1">
      <c r="B87" s="249"/>
      <c r="C87" s="250"/>
      <c r="D87" s="250"/>
      <c r="E87" s="250"/>
      <c r="F87" s="251" t="str">
        <f>SEC_Comm!$D$35</f>
        <v>AGR_N2O</v>
      </c>
      <c r="G87" s="250"/>
      <c r="H87" s="160"/>
      <c r="I87" s="250"/>
      <c r="J87" s="250"/>
      <c r="K87" s="250"/>
      <c r="L87" s="250"/>
      <c r="M87" s="251">
        <v>1.5900000000000001E-3</v>
      </c>
      <c r="N87" s="251">
        <v>1.5900000000000001E-3</v>
      </c>
      <c r="O87" s="160"/>
      <c r="P87" s="252"/>
    </row>
    <row r="88" spans="2:18" ht="16" customHeight="1">
      <c r="B88" s="262" t="str">
        <f>SEC_Processes!D64</f>
        <v>AGR_LAND_CROP_POTATO</v>
      </c>
      <c r="C88" s="242" t="str">
        <f>SEC_Processes!E64</f>
        <v>AGR_LAND_CROP_POTATO</v>
      </c>
      <c r="D88" s="243"/>
      <c r="E88" s="243"/>
      <c r="F88" s="253"/>
      <c r="G88" s="242">
        <f>188583/1000</f>
        <v>188.583</v>
      </c>
      <c r="H88" s="243"/>
      <c r="I88" s="253"/>
      <c r="J88" s="242">
        <v>1</v>
      </c>
      <c r="K88" s="243"/>
      <c r="L88" s="243"/>
      <c r="M88" s="243"/>
      <c r="N88" s="243"/>
      <c r="O88" s="243"/>
      <c r="P88" s="244">
        <v>1</v>
      </c>
    </row>
    <row r="89" spans="2:18" ht="16" customHeight="1">
      <c r="B89" s="245"/>
      <c r="C89" s="38"/>
      <c r="D89" s="254" t="str">
        <f>SEC_Comm!$D$64</f>
        <v>AGR_LAND</v>
      </c>
      <c r="F89" s="38"/>
      <c r="G89" s="38"/>
      <c r="H89" s="246">
        <v>1</v>
      </c>
      <c r="I89" s="38"/>
      <c r="J89" s="38"/>
      <c r="K89" s="38"/>
      <c r="L89" s="38"/>
      <c r="M89" s="38"/>
      <c r="N89" s="38"/>
      <c r="P89" s="247"/>
    </row>
    <row r="90" spans="2:18" ht="16" customHeight="1">
      <c r="B90" s="245"/>
      <c r="C90" s="38"/>
      <c r="D90" s="38"/>
      <c r="E90" s="256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8">
        <f>296/10</f>
        <v>29.6</v>
      </c>
      <c r="P90" s="247"/>
    </row>
    <row r="91" spans="2:18" ht="16" customHeight="1">
      <c r="B91" s="245"/>
      <c r="C91" s="38"/>
      <c r="D91" s="38"/>
      <c r="E91" s="240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7"/>
    </row>
    <row r="92" spans="2:18" ht="16" customHeight="1">
      <c r="B92" s="245"/>
      <c r="C92" s="38"/>
      <c r="D92" s="38"/>
      <c r="E92" s="38"/>
      <c r="F92" s="257" t="str">
        <f>SEC_Comm!$D$38</f>
        <v>AGR_CH4_LAND</v>
      </c>
      <c r="G92" s="38"/>
      <c r="I92" s="38"/>
      <c r="J92" s="38"/>
      <c r="K92" s="257">
        <v>0</v>
      </c>
      <c r="L92" s="257">
        <v>0</v>
      </c>
      <c r="M92" s="38"/>
      <c r="N92" s="38"/>
      <c r="P92" s="247"/>
    </row>
    <row r="93" spans="2:18" ht="16" customHeight="1">
      <c r="B93" s="249"/>
      <c r="C93" s="250"/>
      <c r="D93" s="250"/>
      <c r="E93" s="250"/>
      <c r="F93" s="251" t="str">
        <f>SEC_Comm!$D$35</f>
        <v>AGR_N2O</v>
      </c>
      <c r="G93" s="250"/>
      <c r="H93" s="160"/>
      <c r="I93" s="250"/>
      <c r="J93" s="250"/>
      <c r="K93" s="250"/>
      <c r="L93" s="250"/>
      <c r="M93" s="251">
        <v>8.0999999999999996E-4</v>
      </c>
      <c r="N93" s="251">
        <v>8.0999999999999996E-4</v>
      </c>
      <c r="O93" s="160"/>
      <c r="P93" s="252"/>
    </row>
    <row r="94" spans="2:18" ht="16" customHeight="1">
      <c r="B94" s="262" t="str">
        <f>SEC_Processes!D65</f>
        <v>AGR_LAND_CROP_STR-HAY</v>
      </c>
      <c r="C94" s="242" t="str">
        <f>SEC_Processes!E65</f>
        <v>AGR_LAND_CROP_STR-HAY</v>
      </c>
      <c r="D94" s="243"/>
      <c r="E94" s="243"/>
      <c r="F94" s="253"/>
      <c r="G94" s="242">
        <f>2259708/1000</f>
        <v>2259.7080000000001</v>
      </c>
      <c r="H94" s="243"/>
      <c r="I94" s="253"/>
      <c r="J94" s="242">
        <v>1</v>
      </c>
      <c r="K94" s="243"/>
      <c r="L94" s="243"/>
      <c r="M94" s="243"/>
      <c r="N94" s="243"/>
      <c r="O94" s="243"/>
      <c r="P94" s="244">
        <v>1</v>
      </c>
    </row>
    <row r="95" spans="2:18" ht="16" customHeight="1">
      <c r="B95" s="245"/>
      <c r="C95" s="38"/>
      <c r="D95" s="254" t="str">
        <f>SEC_Comm!$D$64</f>
        <v>AGR_LAND</v>
      </c>
      <c r="F95" s="38"/>
      <c r="G95" s="38"/>
      <c r="H95" s="246">
        <v>1</v>
      </c>
      <c r="I95" s="38"/>
      <c r="J95" s="38"/>
      <c r="K95" s="38"/>
      <c r="L95" s="38"/>
      <c r="M95" s="38"/>
      <c r="N95" s="38"/>
      <c r="P95" s="247"/>
      <c r="R95" t="s">
        <v>729</v>
      </c>
    </row>
    <row r="96" spans="2:18" ht="16" customHeight="1">
      <c r="B96" s="245"/>
      <c r="C96" s="38"/>
      <c r="D96" s="38"/>
      <c r="E96" s="256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8">
        <f>58.8/10</f>
        <v>5.88</v>
      </c>
      <c r="P96" s="247"/>
    </row>
    <row r="97" spans="2:29" ht="16" customHeight="1">
      <c r="B97" s="245"/>
      <c r="C97" s="38"/>
      <c r="D97" s="38"/>
      <c r="E97" s="240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7"/>
      <c r="R97" s="293"/>
    </row>
    <row r="98" spans="2:29" ht="16" customHeight="1">
      <c r="B98" s="245"/>
      <c r="C98" s="38"/>
      <c r="D98" s="38"/>
      <c r="E98" s="38"/>
      <c r="F98" s="257" t="str">
        <f>SEC_Comm!$D$38</f>
        <v>AGR_CH4_LAND</v>
      </c>
      <c r="G98" s="38"/>
      <c r="I98" s="38"/>
      <c r="J98" s="38"/>
      <c r="K98" s="257">
        <v>0</v>
      </c>
      <c r="L98" s="257">
        <v>0</v>
      </c>
      <c r="M98" s="38"/>
      <c r="N98" s="38"/>
      <c r="P98" s="247"/>
      <c r="R98" s="294"/>
      <c r="S98" s="295"/>
    </row>
    <row r="99" spans="2:29" ht="16" customHeight="1">
      <c r="B99" s="249"/>
      <c r="C99" s="250"/>
      <c r="D99" s="250"/>
      <c r="E99" s="250"/>
      <c r="F99" s="251" t="str">
        <f>SEC_Comm!$D$35</f>
        <v>AGR_N2O</v>
      </c>
      <c r="G99" s="250"/>
      <c r="H99" s="160"/>
      <c r="I99" s="250"/>
      <c r="J99" s="250"/>
      <c r="K99" s="250"/>
      <c r="L99" s="250"/>
      <c r="M99" s="251">
        <v>1.33E-3</v>
      </c>
      <c r="N99" s="251">
        <v>1.33E-3</v>
      </c>
      <c r="O99" s="160"/>
      <c r="P99" s="252"/>
    </row>
    <row r="100" spans="2:29" ht="16" customHeight="1">
      <c r="B100" s="262" t="str">
        <f>SEC_Processes!D66</f>
        <v>AGR_LAND_CROP_OIL</v>
      </c>
      <c r="C100" s="242" t="str">
        <f>SEC_Processes!E66</f>
        <v>AGR_LAND_CROP_OIL</v>
      </c>
      <c r="D100" s="243"/>
      <c r="E100" s="243"/>
      <c r="F100" s="253"/>
      <c r="G100" s="242">
        <f>1189955/1000</f>
        <v>1189.9549999999999</v>
      </c>
      <c r="H100" s="243"/>
      <c r="I100" s="253"/>
      <c r="J100" s="242">
        <v>1</v>
      </c>
      <c r="K100" s="243"/>
      <c r="L100" s="243"/>
      <c r="M100" s="243"/>
      <c r="N100" s="243"/>
      <c r="O100" s="243"/>
      <c r="P100" s="244">
        <v>1</v>
      </c>
    </row>
    <row r="101" spans="2:29" ht="16" customHeight="1">
      <c r="B101" s="245"/>
      <c r="C101" s="38"/>
      <c r="D101" s="254" t="str">
        <f>SEC_Comm!$D$64</f>
        <v>AGR_LAND</v>
      </c>
      <c r="F101" s="38"/>
      <c r="G101" s="38"/>
      <c r="H101" s="246">
        <v>1</v>
      </c>
      <c r="I101" s="38"/>
      <c r="J101" s="38"/>
      <c r="K101" s="38"/>
      <c r="L101" s="38"/>
      <c r="M101" s="38"/>
      <c r="N101" s="38"/>
      <c r="P101" s="247"/>
      <c r="R101" s="291"/>
      <c r="S101" s="292"/>
    </row>
    <row r="102" spans="2:29" ht="16" customHeight="1">
      <c r="B102" s="245"/>
      <c r="C102" s="38"/>
      <c r="D102" s="38"/>
      <c r="E102" s="256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8">
        <f>33/10</f>
        <v>3.3</v>
      </c>
      <c r="P102" s="247"/>
    </row>
    <row r="103" spans="2:29" ht="16" customHeight="1">
      <c r="B103" s="245"/>
      <c r="C103" s="38"/>
      <c r="D103" s="38"/>
      <c r="E103" s="240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7"/>
      <c r="R103" t="s">
        <v>733</v>
      </c>
    </row>
    <row r="104" spans="2:29" ht="16" customHeight="1">
      <c r="B104" s="245"/>
      <c r="C104" s="38"/>
      <c r="D104" s="38"/>
      <c r="E104" s="38"/>
      <c r="F104" s="257" t="str">
        <f>SEC_Comm!$D$38</f>
        <v>AGR_CH4_LAND</v>
      </c>
      <c r="G104" s="38"/>
      <c r="I104" s="38"/>
      <c r="J104" s="38"/>
      <c r="K104" s="257">
        <v>0</v>
      </c>
      <c r="L104" s="257">
        <v>0</v>
      </c>
      <c r="M104" s="38"/>
      <c r="N104" s="38"/>
      <c r="P104" s="247"/>
    </row>
    <row r="105" spans="2:29" ht="16" customHeight="1">
      <c r="B105" s="249"/>
      <c r="C105" s="250"/>
      <c r="D105" s="250"/>
      <c r="E105" s="250"/>
      <c r="F105" s="251" t="str">
        <f>SEC_Comm!$D$35</f>
        <v>AGR_N2O</v>
      </c>
      <c r="G105" s="250"/>
      <c r="H105" s="160"/>
      <c r="I105" s="250"/>
      <c r="J105" s="250"/>
      <c r="K105" s="250"/>
      <c r="L105" s="250"/>
      <c r="M105" s="251">
        <v>1.4E-3</v>
      </c>
      <c r="N105" s="251">
        <v>1.4E-3</v>
      </c>
      <c r="O105" s="160"/>
      <c r="P105" s="252"/>
    </row>
    <row r="106" spans="2:29" ht="16" customHeight="1">
      <c r="B106" s="262" t="str">
        <f>SEC_Processes!D67</f>
        <v>AGR_LAND_CROP_FRUIT</v>
      </c>
      <c r="C106" s="242" t="str">
        <f>SEC_Processes!E67</f>
        <v>AGR_LAND_CROP_FRUIT</v>
      </c>
      <c r="D106" s="243"/>
      <c r="E106" s="243"/>
      <c r="F106" s="253"/>
      <c r="G106" s="242">
        <f>348362/1000</f>
        <v>348.36200000000002</v>
      </c>
      <c r="H106" s="243"/>
      <c r="I106" s="253"/>
      <c r="J106" s="242">
        <v>1</v>
      </c>
      <c r="K106" s="243"/>
      <c r="L106" s="243"/>
      <c r="M106" s="243"/>
      <c r="N106" s="243"/>
      <c r="O106" s="243"/>
      <c r="P106" s="244">
        <v>1</v>
      </c>
    </row>
    <row r="107" spans="2:29" ht="16" customHeight="1">
      <c r="B107" s="245"/>
      <c r="C107" s="38"/>
      <c r="D107" s="254" t="str">
        <f>SEC_Comm!$D$64</f>
        <v>AGR_LAND</v>
      </c>
      <c r="F107" s="38"/>
      <c r="G107" s="38"/>
      <c r="H107" s="246">
        <v>1</v>
      </c>
      <c r="I107" s="38"/>
      <c r="J107" s="38"/>
      <c r="K107" s="38"/>
      <c r="L107" s="38"/>
      <c r="M107" s="38"/>
      <c r="N107" s="38"/>
      <c r="P107" s="247"/>
      <c r="R107" s="285" t="s">
        <v>735</v>
      </c>
    </row>
    <row r="108" spans="2:29" ht="16" customHeight="1">
      <c r="B108" s="245"/>
      <c r="C108" s="38"/>
      <c r="D108" s="38"/>
      <c r="E108" s="256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8">
        <f>SUM(AC112:AC124)/10</f>
        <v>12.327002821611455</v>
      </c>
      <c r="P108" s="247"/>
      <c r="R108" t="s">
        <v>736</v>
      </c>
    </row>
    <row r="109" spans="2:29" ht="16" customHeight="1">
      <c r="B109" s="245"/>
      <c r="C109" s="38"/>
      <c r="D109" s="38"/>
      <c r="E109" s="240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7"/>
      <c r="R109">
        <f>0.8</f>
        <v>0.8</v>
      </c>
    </row>
    <row r="110" spans="2:29" ht="16" customHeight="1">
      <c r="B110" s="245"/>
      <c r="C110" s="38"/>
      <c r="D110" s="38"/>
      <c r="E110" s="38"/>
      <c r="F110" s="257" t="str">
        <f>SEC_Comm!$D$38</f>
        <v>AGR_CH4_LAND</v>
      </c>
      <c r="G110" s="38"/>
      <c r="I110" s="38"/>
      <c r="J110" s="38"/>
      <c r="K110" s="257">
        <v>0</v>
      </c>
      <c r="L110" s="257">
        <v>0</v>
      </c>
      <c r="M110" s="38"/>
      <c r="N110" s="38"/>
      <c r="P110" s="247"/>
      <c r="U110" t="s">
        <v>679</v>
      </c>
      <c r="AA110" t="s">
        <v>680</v>
      </c>
    </row>
    <row r="111" spans="2:29" ht="16" customHeight="1">
      <c r="B111" s="249"/>
      <c r="C111" s="250"/>
      <c r="D111" s="250"/>
      <c r="E111" s="250"/>
      <c r="F111" s="251" t="str">
        <f>SEC_Comm!$D$35</f>
        <v>AGR_N2O</v>
      </c>
      <c r="G111" s="250"/>
      <c r="H111" s="160"/>
      <c r="I111" s="250"/>
      <c r="J111" s="250"/>
      <c r="K111" s="250"/>
      <c r="L111" s="250"/>
      <c r="M111" s="251">
        <v>1.3450000000000001E-3</v>
      </c>
      <c r="N111" s="251">
        <v>1.3450000000000001E-3</v>
      </c>
      <c r="O111" s="160"/>
      <c r="P111" s="252"/>
      <c r="T111" t="s">
        <v>706</v>
      </c>
      <c r="U111" t="s">
        <v>707</v>
      </c>
      <c r="V111" t="s">
        <v>708</v>
      </c>
    </row>
    <row r="112" spans="2:29" ht="16" customHeight="1">
      <c r="B112" s="262" t="str">
        <f>SEC_Processes!D68</f>
        <v>AGR_LAND_CROP_VEG</v>
      </c>
      <c r="C112" s="242" t="str">
        <f>SEC_Processes!E68</f>
        <v>AGR_LAND_CROP_VEG</v>
      </c>
      <c r="D112" s="243"/>
      <c r="E112" s="243"/>
      <c r="F112" s="253"/>
      <c r="G112" s="242">
        <f>149593/1000</f>
        <v>149.59299999999999</v>
      </c>
      <c r="H112" s="243"/>
      <c r="I112" s="253"/>
      <c r="J112" s="242">
        <v>1</v>
      </c>
      <c r="K112" s="243"/>
      <c r="L112" s="243"/>
      <c r="M112" s="243"/>
      <c r="N112" s="243"/>
      <c r="O112" s="243"/>
      <c r="P112" s="244">
        <v>1</v>
      </c>
      <c r="S112" t="s">
        <v>694</v>
      </c>
      <c r="T112" s="267">
        <v>13692</v>
      </c>
      <c r="U112" s="266">
        <v>459</v>
      </c>
      <c r="V112">
        <f>U112/$U$127</f>
        <v>0.13231478812337849</v>
      </c>
      <c r="W112">
        <f>PRODUCT(U112:V112)</f>
        <v>60.732487748630724</v>
      </c>
      <c r="Y112" t="s">
        <v>681</v>
      </c>
      <c r="Z112" s="269">
        <v>150012</v>
      </c>
      <c r="AA112" s="270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5"/>
      <c r="C113" s="38"/>
      <c r="D113" s="254" t="str">
        <f>SEC_Comm!$D$64</f>
        <v>AGR_LAND</v>
      </c>
      <c r="F113" s="38"/>
      <c r="G113" s="38"/>
      <c r="H113" s="246">
        <v>1</v>
      </c>
      <c r="I113" s="38"/>
      <c r="J113" s="38"/>
      <c r="K113" s="38"/>
      <c r="L113" s="38"/>
      <c r="M113" s="38"/>
      <c r="N113" s="38"/>
      <c r="P113" s="247"/>
      <c r="S113" t="s">
        <v>695</v>
      </c>
      <c r="T113" s="277">
        <v>4860</v>
      </c>
      <c r="U113" s="278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682</v>
      </c>
      <c r="Z113" s="269">
        <v>5587</v>
      </c>
      <c r="AA113" s="270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5"/>
      <c r="C114" s="38"/>
      <c r="D114" s="38"/>
      <c r="E114" s="256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8">
        <f>SUM(W112:W123)/10</f>
        <v>32.830066301527822</v>
      </c>
      <c r="P114" s="247"/>
      <c r="S114" t="s">
        <v>696</v>
      </c>
      <c r="T114" s="277">
        <v>22133</v>
      </c>
      <c r="U114" s="278">
        <v>286</v>
      </c>
      <c r="V114">
        <f t="shared" si="2"/>
        <v>8.2444508503891609E-2</v>
      </c>
      <c r="W114">
        <f t="shared" si="3"/>
        <v>23.579129432113</v>
      </c>
      <c r="Y114" t="s">
        <v>683</v>
      </c>
      <c r="Z114" s="269">
        <v>16948</v>
      </c>
      <c r="AA114" s="270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5"/>
      <c r="C115" s="38"/>
      <c r="D115" s="38"/>
      <c r="E115" s="240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7"/>
      <c r="S115" t="s">
        <v>697</v>
      </c>
      <c r="T115" s="277">
        <v>14989</v>
      </c>
      <c r="U115" s="278">
        <v>385</v>
      </c>
      <c r="V115">
        <f t="shared" si="2"/>
        <v>0.11098299221677717</v>
      </c>
      <c r="W115">
        <f t="shared" si="3"/>
        <v>42.728452003459211</v>
      </c>
      <c r="Y115" t="s">
        <v>684</v>
      </c>
      <c r="Z115" s="269">
        <v>25329</v>
      </c>
      <c r="AA115" s="270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5"/>
      <c r="C116" s="38"/>
      <c r="D116" s="38"/>
      <c r="E116" s="38"/>
      <c r="F116" s="257" t="str">
        <f>SEC_Comm!$D$38</f>
        <v>AGR_CH4_LAND</v>
      </c>
      <c r="G116" s="38"/>
      <c r="I116" s="38"/>
      <c r="J116" s="38"/>
      <c r="K116" s="257">
        <v>0</v>
      </c>
      <c r="L116" s="257">
        <v>0</v>
      </c>
      <c r="M116" s="38"/>
      <c r="N116" s="38"/>
      <c r="P116" s="247"/>
      <c r="S116" t="s">
        <v>698</v>
      </c>
      <c r="T116" s="277">
        <v>7642</v>
      </c>
      <c r="U116" s="278">
        <v>331</v>
      </c>
      <c r="V116">
        <f t="shared" si="2"/>
        <v>9.5416546555203235E-2</v>
      </c>
      <c r="W116">
        <f t="shared" si="3"/>
        <v>31.582876909772271</v>
      </c>
      <c r="Y116" t="s">
        <v>685</v>
      </c>
      <c r="Z116" s="269">
        <v>9607</v>
      </c>
      <c r="AA116" s="270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9"/>
      <c r="C117" s="250"/>
      <c r="D117" s="250"/>
      <c r="E117" s="250"/>
      <c r="F117" s="251" t="str">
        <f>SEC_Comm!$D$35</f>
        <v>AGR_N2O</v>
      </c>
      <c r="G117" s="250"/>
      <c r="H117" s="160"/>
      <c r="I117" s="250"/>
      <c r="J117" s="250"/>
      <c r="K117" s="250"/>
      <c r="L117" s="250"/>
      <c r="M117" s="251">
        <v>2.0999999999999999E-3</v>
      </c>
      <c r="N117" s="251">
        <v>2.0999999999999999E-3</v>
      </c>
      <c r="O117" s="160"/>
      <c r="P117" s="252"/>
      <c r="S117" t="s">
        <v>699</v>
      </c>
      <c r="T117" s="277">
        <v>5657</v>
      </c>
      <c r="U117" s="278">
        <v>232</v>
      </c>
      <c r="V117">
        <f t="shared" si="2"/>
        <v>6.6878062842317676E-2</v>
      </c>
      <c r="W117">
        <f t="shared" si="3"/>
        <v>15.5157105794177</v>
      </c>
      <c r="Y117" t="s">
        <v>686</v>
      </c>
      <c r="Z117" s="274">
        <v>5678</v>
      </c>
      <c r="AA117" s="276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700</v>
      </c>
      <c r="T118" s="277">
        <v>5409</v>
      </c>
      <c r="U118" s="278">
        <v>314</v>
      </c>
      <c r="V118">
        <f t="shared" si="2"/>
        <v>9.0515998846929957E-2</v>
      </c>
      <c r="W118">
        <f t="shared" si="3"/>
        <v>28.422023637936007</v>
      </c>
      <c r="Y118" t="s">
        <v>687</v>
      </c>
      <c r="Z118" s="274">
        <v>29731</v>
      </c>
      <c r="AA118" s="276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701</v>
      </c>
      <c r="T119" s="277">
        <v>7054</v>
      </c>
      <c r="U119" s="278">
        <v>210</v>
      </c>
      <c r="V119">
        <f t="shared" si="2"/>
        <v>6.053617757278755E-2</v>
      </c>
      <c r="W119">
        <f t="shared" si="3"/>
        <v>12.712597290285386</v>
      </c>
      <c r="Y119" t="s">
        <v>688</v>
      </c>
      <c r="Z119" s="274">
        <v>21377</v>
      </c>
      <c r="AA119" s="276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5" t="s">
        <v>645</v>
      </c>
      <c r="E120" s="40"/>
      <c r="S120" t="s">
        <v>702</v>
      </c>
      <c r="T120" s="277">
        <v>3364</v>
      </c>
      <c r="U120" s="278">
        <v>315</v>
      </c>
      <c r="V120">
        <f t="shared" si="2"/>
        <v>9.0804266359181318E-2</v>
      </c>
      <c r="W120">
        <f t="shared" si="3"/>
        <v>28.603343903142115</v>
      </c>
      <c r="Y120" t="s">
        <v>689</v>
      </c>
      <c r="Z120" s="274">
        <v>44407</v>
      </c>
      <c r="AA120" s="276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152</v>
      </c>
      <c r="D121" s="71" t="s">
        <v>134</v>
      </c>
      <c r="E121" s="161" t="s">
        <v>601</v>
      </c>
      <c r="S121" t="s">
        <v>703</v>
      </c>
      <c r="T121" s="277">
        <v>9061</v>
      </c>
      <c r="U121" s="278">
        <v>445</v>
      </c>
      <c r="V121">
        <f t="shared" si="2"/>
        <v>0.12827904295185932</v>
      </c>
      <c r="W121">
        <f t="shared" si="3"/>
        <v>57.084174113577397</v>
      </c>
      <c r="Y121" t="s">
        <v>690</v>
      </c>
      <c r="Z121" s="274">
        <v>12401</v>
      </c>
      <c r="AA121" s="276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456</v>
      </c>
      <c r="C122" s="74" t="s">
        <v>457</v>
      </c>
      <c r="D122" s="74" t="s">
        <v>459</v>
      </c>
      <c r="E122" s="74" t="s">
        <v>602</v>
      </c>
      <c r="S122" t="s">
        <v>704</v>
      </c>
      <c r="T122" s="277">
        <v>13827</v>
      </c>
      <c r="U122" s="278">
        <v>111</v>
      </c>
      <c r="V122">
        <f t="shared" si="2"/>
        <v>3.1997693859901991E-2</v>
      </c>
      <c r="W122">
        <f t="shared" si="3"/>
        <v>3.5517440184491211</v>
      </c>
      <c r="Y122" t="s">
        <v>691</v>
      </c>
      <c r="Z122" s="274">
        <v>14069</v>
      </c>
      <c r="AA122" s="276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705</v>
      </c>
      <c r="T123" s="277">
        <v>41905</v>
      </c>
      <c r="U123" s="278">
        <v>120</v>
      </c>
      <c r="V123">
        <f t="shared" si="2"/>
        <v>3.459210147016431E-2</v>
      </c>
      <c r="W123">
        <f t="shared" si="3"/>
        <v>4.151052176419717</v>
      </c>
      <c r="Y123" t="s">
        <v>692</v>
      </c>
      <c r="Z123" s="274">
        <v>1696</v>
      </c>
      <c r="AA123" s="276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9" t="s">
        <v>727</v>
      </c>
      <c r="T124">
        <f>75.2*1000</f>
        <v>75200</v>
      </c>
      <c r="U124" s="288">
        <v>175</v>
      </c>
      <c r="Y124" t="s">
        <v>693</v>
      </c>
      <c r="Z124" s="279">
        <v>11520</v>
      </c>
      <c r="AA124" s="280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9" t="s">
        <v>726</v>
      </c>
      <c r="T125">
        <f>41.9*1000</f>
        <v>41900</v>
      </c>
      <c r="U125">
        <f>120</f>
        <v>120</v>
      </c>
      <c r="Z125" s="271">
        <f>SUM(Z112:Z124)</f>
        <v>348362</v>
      </c>
      <c r="AA125">
        <f>SUM(AC112:AC124)/10</f>
        <v>12.327002821611455</v>
      </c>
    </row>
    <row r="126" spans="2:29">
      <c r="T126" s="271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5">
        <f>SUM(AA112:AA124)</f>
        <v>956.90000000000009</v>
      </c>
    </row>
    <row r="127" spans="2:29">
      <c r="U127" s="271">
        <f>SUM(U112:U123)</f>
        <v>3469</v>
      </c>
    </row>
    <row r="130" spans="19:37" ht="14.5">
      <c r="Y130" s="301" t="s">
        <v>724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679</v>
      </c>
      <c r="T131" t="s">
        <v>706</v>
      </c>
      <c r="U131" t="s">
        <v>707</v>
      </c>
      <c r="V131" t="s">
        <v>723</v>
      </c>
      <c r="Y131" s="301" t="s">
        <v>725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694</v>
      </c>
      <c r="T132" s="267">
        <v>13692</v>
      </c>
      <c r="U132" s="266">
        <v>459</v>
      </c>
      <c r="V132">
        <f>T132*U132</f>
        <v>6284628</v>
      </c>
      <c r="W132" t="s">
        <v>728</v>
      </c>
    </row>
    <row r="133" spans="19:37" ht="13">
      <c r="S133" t="s">
        <v>695</v>
      </c>
      <c r="T133" s="277">
        <v>4860</v>
      </c>
      <c r="U133" s="278">
        <v>261</v>
      </c>
      <c r="V133">
        <f t="shared" ref="V133:V143" si="5">T133*U133</f>
        <v>1268460</v>
      </c>
    </row>
    <row r="134" spans="19:37" ht="13">
      <c r="S134" t="s">
        <v>696</v>
      </c>
      <c r="T134" s="277">
        <v>22133</v>
      </c>
      <c r="U134" s="278">
        <v>286</v>
      </c>
      <c r="V134">
        <f t="shared" si="5"/>
        <v>6330038</v>
      </c>
    </row>
    <row r="135" spans="19:37" ht="13">
      <c r="S135" t="s">
        <v>697</v>
      </c>
      <c r="T135" s="277">
        <v>14989</v>
      </c>
      <c r="U135" s="278">
        <v>385</v>
      </c>
      <c r="V135">
        <f t="shared" si="5"/>
        <v>5770765</v>
      </c>
    </row>
    <row r="136" spans="19:37" ht="13">
      <c r="S136" t="s">
        <v>698</v>
      </c>
      <c r="T136" s="277">
        <v>7642</v>
      </c>
      <c r="U136" s="278">
        <v>331</v>
      </c>
      <c r="V136">
        <f t="shared" si="5"/>
        <v>2529502</v>
      </c>
    </row>
    <row r="137" spans="19:37" ht="13">
      <c r="S137" t="s">
        <v>699</v>
      </c>
      <c r="T137" s="277">
        <v>5657</v>
      </c>
      <c r="U137" s="278">
        <v>232</v>
      </c>
      <c r="V137">
        <f t="shared" si="5"/>
        <v>1312424</v>
      </c>
    </row>
    <row r="138" spans="19:37" ht="13">
      <c r="S138" t="s">
        <v>700</v>
      </c>
      <c r="T138" s="277">
        <v>5409</v>
      </c>
      <c r="U138" s="278">
        <v>314</v>
      </c>
      <c r="V138">
        <f t="shared" si="5"/>
        <v>1698426</v>
      </c>
    </row>
    <row r="139" spans="19:37" ht="13">
      <c r="S139" t="s">
        <v>701</v>
      </c>
      <c r="T139" s="277">
        <v>7054</v>
      </c>
      <c r="U139" s="278">
        <v>210</v>
      </c>
      <c r="V139">
        <f t="shared" si="5"/>
        <v>1481340</v>
      </c>
    </row>
    <row r="140" spans="19:37" ht="13">
      <c r="S140" t="s">
        <v>702</v>
      </c>
      <c r="T140" s="277">
        <v>3364</v>
      </c>
      <c r="U140" s="278">
        <v>315</v>
      </c>
      <c r="V140">
        <f t="shared" si="5"/>
        <v>1059660</v>
      </c>
    </row>
    <row r="141" spans="19:37" ht="13">
      <c r="S141" t="s">
        <v>703</v>
      </c>
      <c r="T141" s="277">
        <v>9061</v>
      </c>
      <c r="U141" s="278">
        <v>445</v>
      </c>
      <c r="V141">
        <f t="shared" si="5"/>
        <v>4032145</v>
      </c>
    </row>
    <row r="142" spans="19:37" ht="13">
      <c r="S142" t="s">
        <v>704</v>
      </c>
      <c r="T142" s="277">
        <v>13827</v>
      </c>
      <c r="U142" s="278">
        <v>111</v>
      </c>
      <c r="V142">
        <f t="shared" si="5"/>
        <v>1534797</v>
      </c>
    </row>
    <row r="143" spans="19:37" ht="13">
      <c r="S143" t="s">
        <v>705</v>
      </c>
      <c r="T143" s="277">
        <v>41905</v>
      </c>
      <c r="U143" s="278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J38"/>
  <sheetViews>
    <sheetView topLeftCell="E2" zoomScale="70" zoomScaleNormal="70" workbookViewId="0">
      <selection activeCell="M18" sqref="M18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62" ht="13">
      <c r="B2" s="164"/>
      <c r="C2" s="164"/>
      <c r="D2" s="164"/>
      <c r="F2" s="225" t="s">
        <v>645</v>
      </c>
      <c r="G2" s="225"/>
      <c r="H2" s="225"/>
      <c r="I2" s="225"/>
      <c r="J2" s="225"/>
      <c r="K2" s="225" t="s">
        <v>721</v>
      </c>
      <c r="L2" s="225"/>
      <c r="M2" s="226"/>
      <c r="N2" s="226"/>
      <c r="O2" s="226"/>
    </row>
    <row r="3" spans="2:62" ht="39">
      <c r="B3" s="71" t="s">
        <v>77</v>
      </c>
      <c r="C3" s="72" t="s">
        <v>152</v>
      </c>
      <c r="D3" s="71" t="s">
        <v>133</v>
      </c>
      <c r="E3" s="71" t="s">
        <v>134</v>
      </c>
      <c r="F3" s="71" t="s">
        <v>603</v>
      </c>
      <c r="G3" s="71" t="s">
        <v>164</v>
      </c>
      <c r="H3" s="71" t="s">
        <v>166</v>
      </c>
      <c r="I3" s="73" t="s">
        <v>609</v>
      </c>
      <c r="J3" s="71" t="s">
        <v>610</v>
      </c>
      <c r="K3" s="71" t="s">
        <v>611</v>
      </c>
      <c r="L3" s="71" t="s">
        <v>612</v>
      </c>
      <c r="M3" s="227" t="s">
        <v>176</v>
      </c>
      <c r="N3" s="227" t="s">
        <v>175</v>
      </c>
      <c r="O3" s="227" t="s">
        <v>174</v>
      </c>
      <c r="P3" s="287" t="s">
        <v>593</v>
      </c>
    </row>
    <row r="4" spans="2:6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 t="s">
        <v>613</v>
      </c>
      <c r="G4" s="74" t="s">
        <v>613</v>
      </c>
      <c r="H4" s="74" t="s">
        <v>613</v>
      </c>
      <c r="I4" s="74" t="s">
        <v>614</v>
      </c>
      <c r="J4" s="74" t="s">
        <v>615</v>
      </c>
      <c r="K4" s="74" t="s">
        <v>616</v>
      </c>
      <c r="L4" s="74" t="s">
        <v>617</v>
      </c>
      <c r="M4" s="74"/>
      <c r="N4" s="74"/>
      <c r="O4" s="74" t="s">
        <v>618</v>
      </c>
      <c r="AF4">
        <f>3030.7</f>
        <v>3030.7</v>
      </c>
    </row>
    <row r="5" spans="2:62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(H5-F5)/2</f>
        <v>1491.5</v>
      </c>
      <c r="H5" s="286">
        <f>3000</f>
        <v>3000</v>
      </c>
      <c r="I5" s="86"/>
      <c r="J5" s="80"/>
      <c r="L5" s="86"/>
      <c r="M5" s="86">
        <v>0.01</v>
      </c>
      <c r="N5" s="86">
        <v>0.1</v>
      </c>
      <c r="O5" s="86">
        <v>1</v>
      </c>
      <c r="P5" s="80">
        <v>1</v>
      </c>
    </row>
    <row r="6" spans="2:62" ht="16" customHeight="1">
      <c r="B6" s="176"/>
      <c r="C6" s="176"/>
      <c r="D6" s="176" t="str">
        <f>SEC_Comm!D48</f>
        <v>AGR_RESID_CROP_WHEAT</v>
      </c>
      <c r="E6" s="176"/>
      <c r="F6" s="176"/>
      <c r="G6" s="176"/>
      <c r="H6" s="176"/>
      <c r="I6" s="176"/>
      <c r="J6" s="176"/>
      <c r="K6" s="176">
        <f>0.689*0.188</f>
        <v>0.12953199999999998</v>
      </c>
      <c r="L6" s="176"/>
      <c r="M6" s="176"/>
      <c r="N6" s="176"/>
      <c r="O6" s="176"/>
      <c r="P6" s="168"/>
    </row>
    <row r="7" spans="2:62" ht="16" customHeight="1">
      <c r="B7" s="80"/>
      <c r="C7" s="80"/>
      <c r="D7" s="38" t="str">
        <f>SEC_Comm!D49</f>
        <v>AGR_RESID_CROP_BARLEY</v>
      </c>
      <c r="K7" s="38">
        <f>0.689*0.417</f>
        <v>0.28731299999999999</v>
      </c>
      <c r="L7" s="38"/>
      <c r="M7" s="38"/>
      <c r="N7" s="38"/>
      <c r="O7" s="38"/>
      <c r="AF7">
        <f>AF4*AH8</f>
        <v>5309.7864</v>
      </c>
    </row>
    <row r="8" spans="2:62" ht="16" customHeight="1">
      <c r="B8" s="176"/>
      <c r="C8" s="176"/>
      <c r="D8" s="176" t="str">
        <f>SEC_Comm!D50</f>
        <v>AGR_RESID_CROP_MAIZE</v>
      </c>
      <c r="E8" s="176"/>
      <c r="F8" s="176"/>
      <c r="G8" s="176"/>
      <c r="H8" s="176"/>
      <c r="I8" s="176"/>
      <c r="J8" s="176"/>
      <c r="K8" s="168">
        <f>0.689*0.641</f>
        <v>0.44164899999999996</v>
      </c>
      <c r="L8" s="176"/>
      <c r="M8" s="176"/>
      <c r="N8" s="176"/>
      <c r="O8" s="176"/>
      <c r="P8" s="168"/>
      <c r="AH8">
        <v>1.752</v>
      </c>
      <c r="BH8">
        <v>2.9</v>
      </c>
      <c r="BI8">
        <v>39.700000000000003</v>
      </c>
      <c r="BJ8">
        <f>BI8/BH8</f>
        <v>13.689655172413795</v>
      </c>
    </row>
    <row r="9" spans="2:62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>
        <f>AVERAGE(K6:K8,K10:K11)</f>
        <v>0.20297939999999998</v>
      </c>
      <c r="L9" s="38"/>
      <c r="M9" s="38"/>
      <c r="N9" s="38"/>
      <c r="O9" s="38"/>
      <c r="BH9">
        <v>7.3</v>
      </c>
      <c r="BI9">
        <v>99.3</v>
      </c>
      <c r="BJ9">
        <f t="shared" ref="BJ9:BJ11" si="0">BI9/BH9</f>
        <v>13.602739726027398</v>
      </c>
    </row>
    <row r="10" spans="2:62" ht="16" customHeight="1">
      <c r="B10" s="176"/>
      <c r="C10" s="176"/>
      <c r="D10" s="176" t="str">
        <f>SEC_Comm!D52</f>
        <v>AGR_RESID_CROP_TRITICALE</v>
      </c>
      <c r="E10" s="176"/>
      <c r="F10" s="176"/>
      <c r="G10" s="176"/>
      <c r="H10" s="176"/>
      <c r="I10" s="176"/>
      <c r="J10" s="176"/>
      <c r="K10" s="176">
        <f>0.689*0.05</f>
        <v>3.4450000000000001E-2</v>
      </c>
      <c r="L10" s="176"/>
      <c r="M10" s="176"/>
      <c r="N10" s="176"/>
      <c r="O10" s="176"/>
      <c r="P10" s="168"/>
      <c r="AF10">
        <f>5309.78</f>
        <v>5309.78</v>
      </c>
      <c r="BH10">
        <v>9.1</v>
      </c>
      <c r="BI10">
        <v>124.1</v>
      </c>
      <c r="BJ10">
        <f t="shared" si="0"/>
        <v>13.637362637362637</v>
      </c>
    </row>
    <row r="11" spans="2:62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>
        <f>0.689*0.177</f>
        <v>0.12195299999999998</v>
      </c>
      <c r="L11" s="38"/>
      <c r="M11" s="38"/>
      <c r="N11" s="38"/>
      <c r="O11" s="38"/>
      <c r="BH11">
        <v>19.3</v>
      </c>
      <c r="BI11">
        <v>302.60000000000002</v>
      </c>
      <c r="BJ11">
        <f t="shared" si="0"/>
        <v>15.678756476683938</v>
      </c>
    </row>
    <row r="12" spans="2:62" ht="16" customHeight="1">
      <c r="B12" s="176"/>
      <c r="C12" s="176"/>
      <c r="D12" s="176" t="str">
        <f>SEC_Comm!D54</f>
        <v>AGR_RESID_CROP_RYE</v>
      </c>
      <c r="E12" s="176"/>
      <c r="F12" s="176"/>
      <c r="G12" s="176"/>
      <c r="H12" s="176"/>
      <c r="I12" s="176"/>
      <c r="J12" s="176"/>
      <c r="K12" s="176">
        <f>0.689*0.312</f>
        <v>0.21496799999999999</v>
      </c>
      <c r="L12" s="176"/>
      <c r="M12" s="176"/>
      <c r="N12" s="176"/>
      <c r="O12" s="176"/>
      <c r="P12" s="168"/>
    </row>
    <row r="13" spans="2:62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>
        <f>0.689*0.371</f>
        <v>0.25561899999999999</v>
      </c>
      <c r="L13" s="38"/>
      <c r="M13" s="38"/>
      <c r="N13" s="38"/>
      <c r="O13" s="38"/>
    </row>
    <row r="14" spans="2:62" ht="16" customHeight="1">
      <c r="B14" s="176"/>
      <c r="C14" s="176"/>
      <c r="D14" s="176" t="str">
        <f>SEC_Comm!D56</f>
        <v>AGR_RESID_CROP_PULS-FEED</v>
      </c>
      <c r="E14" s="176"/>
      <c r="F14" s="176"/>
      <c r="G14" s="176"/>
      <c r="H14" s="176"/>
      <c r="I14" s="176"/>
      <c r="J14" s="176"/>
      <c r="K14" s="176">
        <f>0.689*0.65</f>
        <v>0.44784999999999997</v>
      </c>
      <c r="L14" s="176"/>
      <c r="M14" s="176"/>
      <c r="N14" s="176"/>
      <c r="O14" s="176"/>
      <c r="P14" s="168"/>
    </row>
    <row r="15" spans="2:62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>
        <f>0.689*0.65</f>
        <v>0.44784999999999997</v>
      </c>
      <c r="L15" s="38"/>
      <c r="M15" s="38"/>
      <c r="N15" s="38"/>
      <c r="O15" s="38"/>
    </row>
    <row r="16" spans="2:62" ht="16" customHeight="1">
      <c r="B16" s="176"/>
      <c r="C16" s="176"/>
      <c r="D16" s="176" t="str">
        <f>SEC_Comm!D58</f>
        <v>AGR_RESID_CROP_POTATO</v>
      </c>
      <c r="E16" s="176"/>
      <c r="F16" s="176"/>
      <c r="G16" s="176"/>
      <c r="H16" s="176"/>
      <c r="I16" s="176"/>
      <c r="J16" s="176"/>
      <c r="K16" s="176">
        <f>0.689*0.231</f>
        <v>0.15915899999999999</v>
      </c>
      <c r="L16" s="176"/>
      <c r="M16" s="176"/>
      <c r="N16" s="176"/>
      <c r="O16" s="176"/>
      <c r="P16" s="168"/>
    </row>
    <row r="17" spans="2:30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>
        <f>0.689*0.291</f>
        <v>0.20049899999999998</v>
      </c>
      <c r="L17" s="38"/>
      <c r="M17" s="38"/>
      <c r="N17" s="38"/>
      <c r="O17" s="38"/>
    </row>
    <row r="18" spans="2:30" ht="16" customHeight="1">
      <c r="B18" s="176"/>
      <c r="C18" s="176"/>
      <c r="D18" s="176" t="str">
        <f>SEC_Comm!D60</f>
        <v>AGR_RESID_CROP_OIL</v>
      </c>
      <c r="E18" s="176"/>
      <c r="F18" s="176"/>
      <c r="G18" s="176"/>
      <c r="H18" s="176"/>
      <c r="I18" s="176"/>
      <c r="J18" s="176"/>
      <c r="K18" s="176">
        <f>0.689*0.177</f>
        <v>0.12195299999999998</v>
      </c>
      <c r="L18" s="176"/>
      <c r="M18" s="176"/>
      <c r="N18" s="176"/>
      <c r="O18" s="176"/>
      <c r="P18" s="168"/>
    </row>
    <row r="19" spans="2:30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>
        <f>0.689*0.225</f>
        <v>0.155025</v>
      </c>
      <c r="L19" s="38"/>
      <c r="M19" s="38"/>
      <c r="N19" s="38"/>
      <c r="O19" s="38"/>
      <c r="AC19">
        <f>F5*O5*P5</f>
        <v>17</v>
      </c>
      <c r="AD19" t="s">
        <v>621</v>
      </c>
    </row>
    <row r="20" spans="2:30" ht="16" customHeight="1">
      <c r="B20" s="176"/>
      <c r="C20" s="176"/>
      <c r="D20" s="176" t="str">
        <f>SEC_Comm!D62</f>
        <v>AGR_RESID_CROP_VEG</v>
      </c>
      <c r="E20" s="176"/>
      <c r="F20" s="176"/>
      <c r="G20" s="176"/>
      <c r="H20" s="176"/>
      <c r="I20" s="176"/>
      <c r="J20" s="176"/>
      <c r="K20" s="168">
        <f>0.689*0.304</f>
        <v>0.20945599999999998</v>
      </c>
      <c r="L20" s="176"/>
      <c r="M20" s="176"/>
      <c r="N20" s="176"/>
      <c r="O20" s="176"/>
      <c r="P20" s="168"/>
    </row>
    <row r="21" spans="2:30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>
        <f>0.689*0.3</f>
        <v>0.20669999999999997</v>
      </c>
      <c r="L21" s="38"/>
      <c r="M21" s="38"/>
      <c r="N21" s="38"/>
      <c r="O21" s="38"/>
      <c r="AC21">
        <f>F5</f>
        <v>17</v>
      </c>
    </row>
    <row r="22" spans="2:30" ht="16" customHeight="1">
      <c r="B22" s="176"/>
      <c r="C22" s="176"/>
      <c r="D22" s="176" t="str">
        <f>SEC_Comm!D40</f>
        <v>AGR_LIV_MANURE_CAT_NON-DAIRY</v>
      </c>
      <c r="E22" s="176"/>
      <c r="F22" s="176"/>
      <c r="G22" s="176"/>
      <c r="H22" s="176"/>
      <c r="I22" s="176"/>
      <c r="J22" s="176"/>
      <c r="K22" s="176">
        <f>0.689*0.21</f>
        <v>0.14468999999999999</v>
      </c>
      <c r="L22" s="176"/>
      <c r="M22" s="176"/>
      <c r="N22" s="176"/>
      <c r="O22" s="176"/>
      <c r="P22" s="168"/>
      <c r="AC22">
        <f>AC19/K6</f>
        <v>131.24170089244359</v>
      </c>
      <c r="AD22" t="s">
        <v>718</v>
      </c>
    </row>
    <row r="23" spans="2:30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>
        <f>0.689*0.28</f>
        <v>0.19292000000000001</v>
      </c>
      <c r="L23" s="38"/>
      <c r="M23" s="38"/>
      <c r="N23" s="38"/>
      <c r="O23" s="38"/>
      <c r="AC23">
        <f>AC19*J30</f>
        <v>0.39100000000000001</v>
      </c>
    </row>
    <row r="24" spans="2:30" ht="16" customHeight="1">
      <c r="B24" s="78"/>
      <c r="C24" s="78"/>
      <c r="D24" s="176" t="str">
        <f>SEC_Comm!D42</f>
        <v>AGR_LIV_MANURE_SWINE</v>
      </c>
      <c r="E24" s="176"/>
      <c r="F24" s="176"/>
      <c r="G24" s="176"/>
      <c r="H24" s="176"/>
      <c r="I24" s="176"/>
      <c r="J24" s="176"/>
      <c r="K24" s="176">
        <f>0.689*0.43</f>
        <v>0.29626999999999998</v>
      </c>
      <c r="L24" s="176"/>
      <c r="M24" s="176"/>
      <c r="N24" s="176"/>
      <c r="O24" s="176"/>
      <c r="P24" s="168"/>
    </row>
    <row r="25" spans="2:30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>
        <f>0.689*0.29</f>
        <v>0.19980999999999996</v>
      </c>
      <c r="L25" s="38"/>
      <c r="M25" s="38"/>
      <c r="N25" s="38"/>
      <c r="O25" s="38"/>
    </row>
    <row r="26" spans="2:30" ht="16" customHeight="1">
      <c r="B26" s="78"/>
      <c r="C26" s="78"/>
      <c r="D26" s="176" t="str">
        <f>SEC_Comm!D44</f>
        <v>AGR_LIV_MANURE_HORSE</v>
      </c>
      <c r="E26" s="176"/>
      <c r="F26" s="176"/>
      <c r="G26" s="176"/>
      <c r="H26" s="176"/>
      <c r="I26" s="176"/>
      <c r="J26" s="176"/>
      <c r="K26" s="176">
        <f>0.689*0.16</f>
        <v>0.11023999999999999</v>
      </c>
      <c r="L26" s="176"/>
      <c r="M26" s="176"/>
      <c r="N26" s="176"/>
      <c r="O26" s="176"/>
      <c r="P26" s="168"/>
    </row>
    <row r="27" spans="2:30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>
        <f>0.689*0.5</f>
        <v>0.34449999999999997</v>
      </c>
      <c r="L27" s="38"/>
      <c r="M27" s="38"/>
      <c r="N27" s="38"/>
      <c r="O27" s="38"/>
    </row>
    <row r="28" spans="2:30" ht="16" customHeight="1">
      <c r="B28" s="78"/>
      <c r="C28" s="78"/>
      <c r="D28" s="176" t="str">
        <f>SEC_Comm!D46</f>
        <v>AGR_LIV_MANURE_RABBIT</v>
      </c>
      <c r="E28" s="176"/>
      <c r="F28" s="176"/>
      <c r="G28" s="176"/>
      <c r="H28" s="176"/>
      <c r="I28" s="176"/>
      <c r="J28" s="176"/>
      <c r="K28" s="176">
        <f>0.689*0.215</f>
        <v>0.14813499999999999</v>
      </c>
      <c r="L28" s="176"/>
      <c r="M28" s="176"/>
      <c r="N28" s="176"/>
      <c r="O28" s="176"/>
      <c r="P28" s="168"/>
    </row>
    <row r="29" spans="2:30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>
        <f>0.689*0.613</f>
        <v>0.42235699999999998</v>
      </c>
      <c r="L29" s="38"/>
      <c r="M29" s="38"/>
      <c r="N29" s="38"/>
      <c r="O29" s="38"/>
    </row>
    <row r="30" spans="2:30" ht="13" thickBot="1">
      <c r="E30" s="212" t="str">
        <f>SEC_Comm!D16</f>
        <v>AGR_BIOG</v>
      </c>
      <c r="F30" s="212"/>
      <c r="G30" s="212"/>
      <c r="H30" s="212"/>
      <c r="I30" s="212">
        <v>23</v>
      </c>
      <c r="J30" s="212">
        <f>I30/1000</f>
        <v>2.3E-2</v>
      </c>
    </row>
    <row r="33" spans="2:15" ht="13">
      <c r="F33" s="225" t="s">
        <v>645</v>
      </c>
    </row>
    <row r="34" spans="2:15" ht="13">
      <c r="B34" s="164"/>
      <c r="C34" s="164"/>
      <c r="D34" s="164"/>
      <c r="G34" s="225"/>
      <c r="H34" s="225"/>
      <c r="I34" s="225"/>
      <c r="J34" s="225"/>
      <c r="K34" s="225"/>
      <c r="L34" s="225"/>
      <c r="M34" s="226"/>
      <c r="N34" s="226"/>
      <c r="O34" s="226"/>
    </row>
    <row r="35" spans="2:15" ht="13">
      <c r="B35" s="71" t="s">
        <v>77</v>
      </c>
      <c r="C35" s="72" t="s">
        <v>152</v>
      </c>
      <c r="D35" s="71" t="s">
        <v>133</v>
      </c>
      <c r="E35" s="71" t="s">
        <v>134</v>
      </c>
      <c r="F35" s="71" t="s">
        <v>135</v>
      </c>
      <c r="G35" s="71" t="s">
        <v>641</v>
      </c>
      <c r="H35" s="71" t="s">
        <v>175</v>
      </c>
      <c r="I35" s="73" t="s">
        <v>176</v>
      </c>
    </row>
    <row r="36" spans="2:15" ht="13" thickBot="1">
      <c r="B36" s="74" t="s">
        <v>456</v>
      </c>
      <c r="C36" s="74" t="s">
        <v>457</v>
      </c>
      <c r="D36" s="74" t="s">
        <v>458</v>
      </c>
      <c r="E36" s="74" t="s">
        <v>459</v>
      </c>
      <c r="F36" s="74" t="s">
        <v>643</v>
      </c>
      <c r="G36" s="74" t="s">
        <v>643</v>
      </c>
      <c r="H36" s="74"/>
      <c r="I36" s="74" t="s">
        <v>642</v>
      </c>
    </row>
    <row r="37" spans="2:15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>
        <v>1</v>
      </c>
      <c r="H37" s="80"/>
      <c r="I37" s="80">
        <v>0.45</v>
      </c>
    </row>
    <row r="38" spans="2:15" ht="16" customHeight="1" thickBot="1">
      <c r="B38" s="213"/>
      <c r="C38" s="213"/>
      <c r="D38" s="213"/>
      <c r="E38" s="213"/>
      <c r="F38" s="213"/>
      <c r="G38" s="213"/>
      <c r="H38" s="213"/>
      <c r="I38" s="2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zoomScale="77" workbookViewId="0">
      <selection activeCell="S27" sqref="S27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73" t="s">
        <v>151</v>
      </c>
      <c r="C2" s="173"/>
      <c r="D2" s="173"/>
      <c r="E2" s="173"/>
    </row>
    <row r="3" spans="2:30" ht="13">
      <c r="E3" s="64" t="s">
        <v>488</v>
      </c>
    </row>
    <row r="4" spans="2:30" ht="13">
      <c r="F4" s="92"/>
      <c r="G4" s="92"/>
      <c r="H4" s="92"/>
      <c r="I4" s="92"/>
      <c r="J4" s="92"/>
      <c r="K4" s="92"/>
      <c r="L4" s="92"/>
    </row>
    <row r="5" spans="2:30" ht="52">
      <c r="B5" s="169" t="s">
        <v>77</v>
      </c>
      <c r="C5" s="169" t="s">
        <v>152</v>
      </c>
      <c r="D5" s="169" t="s">
        <v>133</v>
      </c>
      <c r="E5" s="169" t="s">
        <v>134</v>
      </c>
      <c r="F5" s="170" t="s">
        <v>153</v>
      </c>
      <c r="G5" s="170" t="s">
        <v>154</v>
      </c>
      <c r="H5" s="170" t="s">
        <v>155</v>
      </c>
      <c r="I5" s="170" t="s">
        <v>156</v>
      </c>
      <c r="J5" s="170" t="s">
        <v>157</v>
      </c>
      <c r="K5" s="170" t="s">
        <v>158</v>
      </c>
      <c r="L5" s="170" t="s">
        <v>159</v>
      </c>
      <c r="M5" s="171" t="s">
        <v>160</v>
      </c>
      <c r="N5" s="171" t="s">
        <v>161</v>
      </c>
      <c r="O5" s="171" t="s">
        <v>162</v>
      </c>
      <c r="P5" s="171" t="s">
        <v>163</v>
      </c>
      <c r="Q5" s="171" t="s">
        <v>164</v>
      </c>
      <c r="R5" s="171" t="s">
        <v>165</v>
      </c>
      <c r="S5" s="171" t="s">
        <v>166</v>
      </c>
      <c r="T5" s="169" t="s">
        <v>135</v>
      </c>
      <c r="U5" s="170" t="s">
        <v>167</v>
      </c>
      <c r="V5" s="170" t="s">
        <v>168</v>
      </c>
      <c r="W5" s="170" t="s">
        <v>169</v>
      </c>
      <c r="X5" s="170" t="s">
        <v>170</v>
      </c>
      <c r="Y5" s="171" t="s">
        <v>171</v>
      </c>
      <c r="Z5" s="171" t="s">
        <v>172</v>
      </c>
      <c r="AA5" s="171" t="s">
        <v>173</v>
      </c>
      <c r="AB5" s="171" t="s">
        <v>174</v>
      </c>
      <c r="AC5" s="171" t="s">
        <v>175</v>
      </c>
      <c r="AD5" s="171" t="s">
        <v>176</v>
      </c>
    </row>
    <row r="6" spans="2:30" ht="13" thickBot="1">
      <c r="B6" s="172" t="s">
        <v>177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 t="s">
        <v>125</v>
      </c>
      <c r="N6" s="172" t="s">
        <v>125</v>
      </c>
      <c r="O6" s="172" t="s">
        <v>125</v>
      </c>
      <c r="P6" s="172" t="s">
        <v>125</v>
      </c>
      <c r="Q6" s="172" t="s">
        <v>125</v>
      </c>
      <c r="R6" s="172" t="s">
        <v>125</v>
      </c>
      <c r="S6" s="172" t="s">
        <v>125</v>
      </c>
      <c r="T6" s="172" t="s">
        <v>178</v>
      </c>
      <c r="U6" s="172" t="s">
        <v>178</v>
      </c>
      <c r="V6" s="172" t="s">
        <v>178</v>
      </c>
      <c r="W6" s="172" t="s">
        <v>178</v>
      </c>
      <c r="X6" s="172" t="s">
        <v>178</v>
      </c>
      <c r="Y6" s="172" t="s">
        <v>22</v>
      </c>
      <c r="Z6" s="172" t="s">
        <v>178</v>
      </c>
      <c r="AA6" s="172" t="s">
        <v>178</v>
      </c>
      <c r="AB6" s="172" t="s">
        <v>179</v>
      </c>
      <c r="AC6" s="172" t="s">
        <v>180</v>
      </c>
      <c r="AD6" s="172" t="s">
        <v>181</v>
      </c>
    </row>
    <row r="7" spans="2:30" ht="15.75" customHeight="1">
      <c r="B7" s="86" t="str">
        <f>SEC_Processes!D22</f>
        <v>ECP_EX_BIOG_AGR</v>
      </c>
      <c r="C7" s="86" t="str">
        <f>SEC_Processes!E22</f>
        <v>Industrial Chp Plants for biogas from agriculture residues</v>
      </c>
      <c r="D7" s="86" t="str">
        <f>SECTOR_FUEL!E21</f>
        <v>AGR_BIOG</v>
      </c>
      <c r="E7" s="86"/>
      <c r="F7" s="86"/>
      <c r="G7" s="86"/>
      <c r="H7" s="86"/>
      <c r="I7" s="86"/>
      <c r="J7" s="86"/>
      <c r="K7" s="86"/>
      <c r="L7" s="86"/>
      <c r="M7" s="86">
        <v>0.117868</v>
      </c>
      <c r="N7" s="86">
        <v>0.117868</v>
      </c>
      <c r="O7" s="86">
        <v>0.117868</v>
      </c>
      <c r="P7" s="86">
        <v>0.117868</v>
      </c>
      <c r="Q7" s="86">
        <v>0.117868</v>
      </c>
      <c r="R7" s="86">
        <v>0</v>
      </c>
      <c r="S7" s="86">
        <v>0</v>
      </c>
      <c r="T7" s="86">
        <v>0.4</v>
      </c>
      <c r="U7" s="86">
        <v>0.3</v>
      </c>
      <c r="V7" s="86"/>
      <c r="W7" s="86"/>
      <c r="X7" s="86"/>
      <c r="Y7" s="86"/>
      <c r="Z7" s="86"/>
      <c r="AA7" s="86"/>
      <c r="AB7" s="86">
        <v>31.536000000000001</v>
      </c>
      <c r="AC7" s="86">
        <v>125</v>
      </c>
      <c r="AD7" s="86">
        <v>2.778</v>
      </c>
    </row>
    <row r="8" spans="2:30" ht="15.75" customHeight="1">
      <c r="B8" s="175"/>
      <c r="C8" s="175"/>
      <c r="D8" s="175"/>
      <c r="E8" s="175" t="str">
        <f>SEC_Comm!D30</f>
        <v>ELC_AGR_CHPI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</row>
    <row r="9" spans="2:30" ht="15.75" customHeight="1" thickBot="1">
      <c r="B9" s="177"/>
      <c r="C9" s="177"/>
      <c r="D9" s="177"/>
      <c r="E9" s="177" t="str">
        <f>SEC_Comm!D31</f>
        <v>HT_AGR_CHPI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2024-10-23T20:13:27Z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