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showObjects="placeholders" codeName="Ten_skoroszyt"/>
  <mc:AlternateContent xmlns:mc="http://schemas.openxmlformats.org/markup-compatibility/2006">
    <mc:Choice Requires="x15">
      <x15ac:absPath xmlns:x15ac="http://schemas.microsoft.com/office/spreadsheetml/2010/11/ac" url="C:\Users\gabry\OneDrive\Pulpit\Biogaz_GB_AW\"/>
    </mc:Choice>
  </mc:AlternateContent>
  <xr:revisionPtr revIDLastSave="0" documentId="13_ncr:1_{9E6F3350-E623-4D06-A987-593C70A652F7}" xr6:coauthVersionLast="47" xr6:coauthVersionMax="47" xr10:uidLastSave="{00000000-0000-0000-0000-000000000000}"/>
  <bookViews>
    <workbookView xWindow="-110" yWindow="-110" windowWidth="19420" windowHeight="10420" tabRatio="901" activeTab="6" xr2:uid="{00000000-000D-0000-FFFF-FFFF00000000}"/>
  </bookViews>
  <sheets>
    <sheet name="Cover" sheetId="158" r:id="rId1"/>
    <sheet name="Metadane" sheetId="159" r:id="rId2"/>
    <sheet name="SEC_Comm" sheetId="112" r:id="rId3"/>
    <sheet name="SEC_Processes" sheetId="140" r:id="rId4"/>
    <sheet name="SECTOR_FUEL" sheetId="145" r:id="rId5"/>
    <sheet name="AGR_LIV" sheetId="154" r:id="rId6"/>
    <sheet name="AGR_LAND" sheetId="155" r:id="rId7"/>
    <sheet name="AGR_BIOG" sheetId="157" r:id="rId8"/>
    <sheet name="AGR_CHP" sheetId="149" r:id="rId9"/>
    <sheet name="EMI" sheetId="146" r:id="rId10"/>
    <sheet name="ESTAT_2020" sheetId="148" r:id="rId11"/>
    <sheet name="GUS_2020_HT_ELC" sheetId="144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2" i="157" l="1"/>
  <c r="AC11" i="157"/>
  <c r="AC9" i="157"/>
  <c r="I97" i="155" l="1"/>
  <c r="I49" i="155"/>
  <c r="G28" i="155"/>
  <c r="I109" i="155"/>
  <c r="I115" i="155"/>
  <c r="I103" i="155"/>
  <c r="I91" i="155"/>
  <c r="I67" i="155"/>
  <c r="I61" i="155"/>
  <c r="I55" i="155"/>
  <c r="I43" i="155"/>
  <c r="I37" i="155"/>
  <c r="I31" i="155"/>
  <c r="U126" i="155"/>
  <c r="G94" i="155"/>
  <c r="O96" i="155"/>
  <c r="O78" i="155"/>
  <c r="O84" i="155"/>
  <c r="O102" i="155"/>
  <c r="O108" i="155"/>
  <c r="AA125" i="155"/>
  <c r="O114" i="155"/>
  <c r="W126" i="155"/>
  <c r="V112" i="155"/>
  <c r="U127" i="155"/>
  <c r="W112" i="155" s="1"/>
  <c r="O90" i="155"/>
  <c r="O72" i="155"/>
  <c r="O66" i="155"/>
  <c r="O60" i="155"/>
  <c r="O54" i="155"/>
  <c r="O48" i="155"/>
  <c r="O42" i="155"/>
  <c r="O36" i="155"/>
  <c r="O30" i="155"/>
  <c r="U125" i="155"/>
  <c r="T125" i="155"/>
  <c r="T124" i="155"/>
  <c r="V133" i="155"/>
  <c r="V134" i="155"/>
  <c r="V135" i="155"/>
  <c r="V136" i="155"/>
  <c r="V137" i="155"/>
  <c r="V138" i="155"/>
  <c r="V139" i="155"/>
  <c r="V140" i="155"/>
  <c r="V141" i="155"/>
  <c r="V142" i="155"/>
  <c r="V143" i="155"/>
  <c r="V132" i="155"/>
  <c r="G46" i="155"/>
  <c r="G52" i="155"/>
  <c r="G64" i="155"/>
  <c r="G58" i="155"/>
  <c r="G34" i="155"/>
  <c r="AF27" i="155"/>
  <c r="G112" i="155"/>
  <c r="G106" i="155"/>
  <c r="G100" i="155"/>
  <c r="G88" i="155"/>
  <c r="G82" i="155"/>
  <c r="G76" i="155"/>
  <c r="G70" i="155"/>
  <c r="G40" i="155"/>
  <c r="AF9" i="157"/>
  <c r="R6" i="157"/>
  <c r="AC10" i="157"/>
  <c r="K20" i="157"/>
  <c r="E7" i="157"/>
  <c r="G5" i="157"/>
  <c r="H5" i="157" s="1"/>
  <c r="K6" i="157"/>
  <c r="K18" i="157"/>
  <c r="K17" i="157"/>
  <c r="K15" i="157"/>
  <c r="K14" i="157"/>
  <c r="K16" i="157"/>
  <c r="K13" i="157"/>
  <c r="K12" i="157"/>
  <c r="K11" i="157"/>
  <c r="K10" i="157"/>
  <c r="AF26" i="155" l="1"/>
  <c r="AF32" i="155" s="1"/>
  <c r="AA126" i="155"/>
  <c r="AB112" i="155" s="1"/>
  <c r="Z125" i="155"/>
  <c r="V113" i="155"/>
  <c r="W113" i="155" s="1"/>
  <c r="V114" i="155"/>
  <c r="W114" i="155" s="1"/>
  <c r="V120" i="155"/>
  <c r="W120" i="155" s="1"/>
  <c r="V121" i="155"/>
  <c r="W121" i="155" s="1"/>
  <c r="V122" i="155"/>
  <c r="W122" i="155" s="1"/>
  <c r="V115" i="155"/>
  <c r="W115" i="155" s="1"/>
  <c r="T126" i="155"/>
  <c r="B112" i="155"/>
  <c r="F117" i="155"/>
  <c r="F116" i="155"/>
  <c r="F111" i="155"/>
  <c r="F110" i="155"/>
  <c r="F105" i="155"/>
  <c r="F104" i="155"/>
  <c r="F99" i="155"/>
  <c r="F98" i="155"/>
  <c r="F93" i="155"/>
  <c r="F92" i="155"/>
  <c r="F87" i="155"/>
  <c r="F86" i="155"/>
  <c r="F81" i="155"/>
  <c r="F80" i="155"/>
  <c r="F75" i="155"/>
  <c r="F74" i="155"/>
  <c r="F69" i="155"/>
  <c r="F68" i="155"/>
  <c r="F63" i="155"/>
  <c r="F62" i="155"/>
  <c r="F57" i="155"/>
  <c r="F56" i="155"/>
  <c r="D53" i="155"/>
  <c r="F51" i="155"/>
  <c r="F50" i="155"/>
  <c r="E114" i="155"/>
  <c r="E108" i="155"/>
  <c r="E102" i="155"/>
  <c r="E96" i="155"/>
  <c r="E90" i="155"/>
  <c r="E84" i="155"/>
  <c r="E78" i="155"/>
  <c r="E72" i="155"/>
  <c r="E66" i="155"/>
  <c r="E60" i="155"/>
  <c r="E54" i="155"/>
  <c r="E48" i="155"/>
  <c r="E42" i="155"/>
  <c r="E36" i="155"/>
  <c r="F45" i="155"/>
  <c r="F44" i="155"/>
  <c r="E30" i="155"/>
  <c r="F39" i="155"/>
  <c r="F38" i="155"/>
  <c r="F33" i="155"/>
  <c r="AF28" i="155" l="1"/>
  <c r="AF30" i="155"/>
  <c r="V119" i="155"/>
  <c r="W119" i="155" s="1"/>
  <c r="V118" i="155"/>
  <c r="W118" i="155" s="1"/>
  <c r="V117" i="155"/>
  <c r="W117" i="155" s="1"/>
  <c r="V116" i="155"/>
  <c r="W116" i="155" s="1"/>
  <c r="V123" i="155"/>
  <c r="W123" i="155" s="1"/>
  <c r="F32" i="155"/>
  <c r="D17" i="154"/>
  <c r="J7" i="157"/>
  <c r="D67" i="154"/>
  <c r="D56" i="154"/>
  <c r="D51" i="154"/>
  <c r="D46" i="154"/>
  <c r="D41" i="154"/>
  <c r="D35" i="154"/>
  <c r="D29" i="154"/>
  <c r="D23" i="154"/>
  <c r="D11" i="154"/>
  <c r="D5" i="154"/>
  <c r="D66" i="154"/>
  <c r="C66" i="154"/>
  <c r="C67" i="154"/>
  <c r="B67" i="154"/>
  <c r="B66" i="154"/>
  <c r="V126" i="155" l="1"/>
  <c r="E26" i="157"/>
  <c r="D26" i="157"/>
  <c r="C26" i="157"/>
  <c r="B26" i="157"/>
  <c r="D6" i="157"/>
  <c r="E37" i="155"/>
  <c r="E43" i="155"/>
  <c r="E49" i="155"/>
  <c r="E55" i="155"/>
  <c r="E61" i="155"/>
  <c r="E67" i="155"/>
  <c r="E73" i="155"/>
  <c r="E79" i="155"/>
  <c r="E85" i="155"/>
  <c r="E91" i="155"/>
  <c r="E97" i="155"/>
  <c r="E103" i="155"/>
  <c r="E109" i="155"/>
  <c r="E115" i="155"/>
  <c r="E31" i="155"/>
  <c r="D11" i="157"/>
  <c r="D12" i="157"/>
  <c r="D13" i="157"/>
  <c r="D14" i="157"/>
  <c r="D15" i="157"/>
  <c r="D16" i="157"/>
  <c r="D17" i="157"/>
  <c r="D18" i="157"/>
  <c r="D10" i="157"/>
  <c r="C5" i="157"/>
  <c r="B5" i="157"/>
  <c r="D123" i="155"/>
  <c r="C123" i="155"/>
  <c r="B123" i="155"/>
  <c r="D113" i="155"/>
  <c r="D107" i="155"/>
  <c r="D101" i="155"/>
  <c r="D95" i="155"/>
  <c r="D89" i="155"/>
  <c r="D83" i="155"/>
  <c r="D77" i="155"/>
  <c r="D71" i="155"/>
  <c r="D65" i="155"/>
  <c r="D59" i="155"/>
  <c r="D47" i="155"/>
  <c r="D41" i="155"/>
  <c r="D35" i="155"/>
  <c r="D29" i="155"/>
  <c r="E22" i="155"/>
  <c r="D22" i="155"/>
  <c r="E21" i="155"/>
  <c r="D21" i="155"/>
  <c r="E20" i="155"/>
  <c r="D20" i="155"/>
  <c r="E19" i="155"/>
  <c r="D19" i="155"/>
  <c r="C28" i="155"/>
  <c r="C34" i="155"/>
  <c r="C40" i="155"/>
  <c r="C46" i="155"/>
  <c r="C52" i="155"/>
  <c r="C58" i="155"/>
  <c r="C64" i="155"/>
  <c r="C70" i="155"/>
  <c r="C76" i="155"/>
  <c r="C82" i="155"/>
  <c r="C88" i="155"/>
  <c r="C94" i="155"/>
  <c r="C100" i="155"/>
  <c r="C106" i="155"/>
  <c r="C112" i="155"/>
  <c r="B34" i="155"/>
  <c r="B40" i="155"/>
  <c r="B46" i="155"/>
  <c r="B52" i="155"/>
  <c r="B58" i="155"/>
  <c r="B64" i="155"/>
  <c r="B70" i="155"/>
  <c r="B76" i="155"/>
  <c r="B82" i="155"/>
  <c r="B88" i="155"/>
  <c r="B94" i="155"/>
  <c r="B100" i="155"/>
  <c r="B106" i="155"/>
  <c r="B28" i="155"/>
  <c r="F20" i="155"/>
  <c r="F21" i="155"/>
  <c r="F22" i="155"/>
  <c r="F19" i="155"/>
  <c r="C19" i="155"/>
  <c r="C20" i="155"/>
  <c r="C21" i="155"/>
  <c r="C22" i="155"/>
  <c r="B20" i="155"/>
  <c r="B21" i="155"/>
  <c r="B22" i="155"/>
  <c r="B19" i="155"/>
  <c r="D7" i="155"/>
  <c r="E7" i="155"/>
  <c r="F7" i="155"/>
  <c r="D8" i="155"/>
  <c r="E8" i="155"/>
  <c r="F8" i="155"/>
  <c r="D9" i="155"/>
  <c r="E9" i="155"/>
  <c r="F9" i="155"/>
  <c r="D10" i="155"/>
  <c r="E10" i="155"/>
  <c r="F10" i="155"/>
  <c r="D11" i="155"/>
  <c r="E11" i="155"/>
  <c r="F11" i="155"/>
  <c r="D12" i="155"/>
  <c r="E12" i="155"/>
  <c r="F12" i="155"/>
  <c r="D13" i="155"/>
  <c r="E13" i="155"/>
  <c r="F13" i="155"/>
  <c r="D14" i="155"/>
  <c r="E14" i="155"/>
  <c r="F14" i="155"/>
  <c r="F6" i="155"/>
  <c r="E6" i="155"/>
  <c r="D6" i="155"/>
  <c r="C6" i="155"/>
  <c r="C7" i="155"/>
  <c r="C8" i="155"/>
  <c r="C9" i="155"/>
  <c r="C10" i="155"/>
  <c r="C11" i="155"/>
  <c r="C12" i="155"/>
  <c r="C13" i="155"/>
  <c r="C14" i="155"/>
  <c r="B7" i="155"/>
  <c r="B8" i="155"/>
  <c r="B9" i="155"/>
  <c r="B10" i="155"/>
  <c r="B11" i="155"/>
  <c r="B12" i="155"/>
  <c r="B13" i="155"/>
  <c r="B14" i="155"/>
  <c r="B6" i="155"/>
  <c r="P31" i="145" l="1"/>
  <c r="Q31" i="145" s="1"/>
  <c r="R31" i="145" s="1"/>
  <c r="S31" i="145" s="1"/>
  <c r="T31" i="145" s="1"/>
  <c r="U31" i="145" s="1"/>
  <c r="I18" i="145"/>
  <c r="J18" i="145" s="1"/>
  <c r="K18" i="145" s="1"/>
  <c r="L18" i="145" s="1"/>
  <c r="M18" i="145" s="1"/>
  <c r="N18" i="145" s="1"/>
  <c r="I28" i="145"/>
  <c r="J28" i="145" s="1"/>
  <c r="K28" i="145" s="1"/>
  <c r="L28" i="145" s="1"/>
  <c r="M28" i="145" s="1"/>
  <c r="N28" i="145" s="1"/>
  <c r="I27" i="145"/>
  <c r="J27" i="145" s="1"/>
  <c r="K27" i="145" s="1"/>
  <c r="L27" i="145" s="1"/>
  <c r="M27" i="145" s="1"/>
  <c r="N27" i="145" s="1"/>
  <c r="P28" i="145"/>
  <c r="Q28" i="145" s="1"/>
  <c r="R28" i="145" s="1"/>
  <c r="S28" i="145" s="1"/>
  <c r="T28" i="145" s="1"/>
  <c r="U28" i="145" s="1"/>
  <c r="P27" i="145"/>
  <c r="Q27" i="145" s="1"/>
  <c r="R27" i="145" s="1"/>
  <c r="S27" i="145" s="1"/>
  <c r="T27" i="145" s="1"/>
  <c r="U27" i="145" s="1"/>
  <c r="P19" i="145"/>
  <c r="Q19" i="145" s="1"/>
  <c r="R19" i="145" s="1"/>
  <c r="S19" i="145" s="1"/>
  <c r="T19" i="145" s="1"/>
  <c r="U19" i="145" s="1"/>
  <c r="P7" i="145"/>
  <c r="Q7" i="145" s="1"/>
  <c r="R7" i="145" s="1"/>
  <c r="S7" i="145" s="1"/>
  <c r="T7" i="145" s="1"/>
  <c r="U7" i="145" s="1"/>
  <c r="B8" i="146"/>
  <c r="C8" i="146"/>
  <c r="C6" i="146"/>
  <c r="C7" i="146"/>
  <c r="C9" i="146"/>
  <c r="C10" i="146"/>
  <c r="C12" i="146"/>
  <c r="B6" i="146"/>
  <c r="B7" i="146"/>
  <c r="B9" i="146"/>
  <c r="B10" i="146"/>
  <c r="B12" i="146"/>
  <c r="C5" i="146" l="1"/>
  <c r="B5" i="146"/>
  <c r="E9" i="149" l="1"/>
  <c r="E8" i="149"/>
  <c r="C7" i="149"/>
  <c r="B7" i="149"/>
  <c r="M5" i="146" l="1"/>
  <c r="N5" i="146" l="1"/>
  <c r="J24" i="148" l="1"/>
  <c r="K24" i="148"/>
  <c r="L24" i="148"/>
  <c r="M24" i="148"/>
  <c r="N24" i="148"/>
  <c r="O24" i="148"/>
  <c r="P24" i="148"/>
  <c r="Q24" i="148"/>
  <c r="R24" i="148"/>
  <c r="S24" i="148"/>
  <c r="T24" i="148"/>
  <c r="U24" i="148"/>
  <c r="I24" i="148"/>
  <c r="CD7" i="148"/>
  <c r="CD8" i="148"/>
  <c r="CD9" i="148"/>
  <c r="CD10" i="148"/>
  <c r="CD11" i="148"/>
  <c r="CD6" i="148"/>
  <c r="O25" i="148"/>
  <c r="I25" i="148"/>
  <c r="I22" i="148"/>
  <c r="J22" i="148"/>
  <c r="K22" i="148"/>
  <c r="L22" i="148"/>
  <c r="M22" i="148"/>
  <c r="N22" i="148"/>
  <c r="O22" i="148"/>
  <c r="P22" i="148"/>
  <c r="Q22" i="148"/>
  <c r="R22" i="148"/>
  <c r="S22" i="148"/>
  <c r="T22" i="148"/>
  <c r="U22" i="148"/>
  <c r="H22" i="148"/>
  <c r="H19" i="148"/>
  <c r="H20" i="148"/>
  <c r="H21" i="148"/>
  <c r="H18" i="148"/>
  <c r="H17" i="148"/>
  <c r="U21" i="148"/>
  <c r="U20" i="148"/>
  <c r="U26" i="148" s="1"/>
  <c r="I18" i="148"/>
  <c r="J18" i="148"/>
  <c r="J25" i="148" s="1"/>
  <c r="K18" i="148"/>
  <c r="K25" i="148" s="1"/>
  <c r="L18" i="148"/>
  <c r="L25" i="148" s="1"/>
  <c r="M18" i="148"/>
  <c r="M25" i="148" s="1"/>
  <c r="N18" i="148"/>
  <c r="N25" i="148" s="1"/>
  <c r="O18" i="148"/>
  <c r="P18" i="148"/>
  <c r="P25" i="148" s="1"/>
  <c r="Q18" i="148"/>
  <c r="Q25" i="148" s="1"/>
  <c r="R18" i="148"/>
  <c r="R25" i="148" s="1"/>
  <c r="S18" i="148"/>
  <c r="S25" i="148" s="1"/>
  <c r="T18" i="148"/>
  <c r="T25" i="148" s="1"/>
  <c r="U18" i="148"/>
  <c r="U25" i="148" s="1"/>
  <c r="I19" i="148"/>
  <c r="W19" i="148" s="1"/>
  <c r="X19" i="148" s="1"/>
  <c r="J19" i="148"/>
  <c r="K19" i="148"/>
  <c r="L19" i="148"/>
  <c r="M19" i="148"/>
  <c r="N19" i="148"/>
  <c r="O19" i="148"/>
  <c r="P19" i="148"/>
  <c r="Q19" i="148"/>
  <c r="R19" i="148"/>
  <c r="S19" i="148"/>
  <c r="T19" i="148"/>
  <c r="U19" i="148"/>
  <c r="I20" i="148"/>
  <c r="W20" i="148" s="1"/>
  <c r="X20" i="148" s="1"/>
  <c r="J20" i="148"/>
  <c r="J26" i="148" s="1"/>
  <c r="K20" i="148"/>
  <c r="K26" i="148" s="1"/>
  <c r="L20" i="148"/>
  <c r="L26" i="148" s="1"/>
  <c r="M20" i="148"/>
  <c r="M26" i="148" s="1"/>
  <c r="N20" i="148"/>
  <c r="N26" i="148" s="1"/>
  <c r="O20" i="148"/>
  <c r="O26" i="148" s="1"/>
  <c r="P20" i="148"/>
  <c r="P26" i="148" s="1"/>
  <c r="Q20" i="148"/>
  <c r="Q26" i="148" s="1"/>
  <c r="R20" i="148"/>
  <c r="R26" i="148" s="1"/>
  <c r="S20" i="148"/>
  <c r="S26" i="148" s="1"/>
  <c r="T20" i="148"/>
  <c r="T26" i="148" s="1"/>
  <c r="I21" i="148"/>
  <c r="W21" i="148" s="1"/>
  <c r="X21" i="148" s="1"/>
  <c r="J21" i="148"/>
  <c r="K21" i="148"/>
  <c r="L21" i="148"/>
  <c r="M21" i="148"/>
  <c r="N21" i="148"/>
  <c r="O21" i="148"/>
  <c r="P21" i="148"/>
  <c r="Q21" i="148"/>
  <c r="R21" i="148"/>
  <c r="S21" i="148"/>
  <c r="T21" i="148"/>
  <c r="U17" i="148"/>
  <c r="W25" i="148" l="1"/>
  <c r="W18" i="148"/>
  <c r="X18" i="148" s="1"/>
  <c r="I26" i="148"/>
  <c r="W26" i="148" s="1"/>
  <c r="B32" i="145"/>
  <c r="C32" i="145"/>
  <c r="E32" i="145"/>
  <c r="T17" i="148"/>
  <c r="S17" i="148"/>
  <c r="R17" i="148"/>
  <c r="Q17" i="148"/>
  <c r="P17" i="148"/>
  <c r="O17" i="148"/>
  <c r="N17" i="148"/>
  <c r="M17" i="148"/>
  <c r="L17" i="148"/>
  <c r="K17" i="148"/>
  <c r="J17" i="148"/>
  <c r="I17" i="148"/>
  <c r="W17" i="148" l="1"/>
  <c r="X17" i="148" s="1"/>
  <c r="E9" i="145" l="1"/>
  <c r="E11" i="145"/>
  <c r="E13" i="145"/>
  <c r="E15" i="145"/>
  <c r="E17" i="145"/>
  <c r="E19" i="145"/>
  <c r="E21" i="145"/>
  <c r="D7" i="149" s="1"/>
  <c r="E23" i="145"/>
  <c r="E25" i="145"/>
  <c r="E29" i="145"/>
  <c r="E31" i="145"/>
  <c r="E7" i="145"/>
  <c r="B30" i="145"/>
  <c r="C30" i="145"/>
  <c r="B24" i="145"/>
  <c r="C24" i="145"/>
  <c r="X20" i="145"/>
  <c r="C20" i="145"/>
  <c r="B16" i="145"/>
  <c r="C16" i="145"/>
  <c r="B12" i="145"/>
  <c r="C12" i="145"/>
  <c r="B8" i="145"/>
  <c r="C8" i="145"/>
  <c r="C6" i="145"/>
  <c r="C10" i="145"/>
  <c r="C14" i="145"/>
  <c r="C18" i="145"/>
  <c r="C22" i="145"/>
  <c r="C26" i="145"/>
  <c r="B10" i="145"/>
  <c r="B14" i="145"/>
  <c r="B18" i="145"/>
  <c r="B22" i="145"/>
  <c r="B26" i="145"/>
  <c r="B6" i="145"/>
  <c r="D7" i="144" l="1"/>
  <c r="E7" i="144"/>
  <c r="D8" i="144"/>
  <c r="E8" i="144"/>
  <c r="D9" i="144"/>
  <c r="E9" i="144"/>
  <c r="D10" i="144"/>
  <c r="E10" i="144"/>
  <c r="D11" i="144"/>
  <c r="E11" i="144"/>
  <c r="D12" i="144"/>
  <c r="E12" i="144"/>
  <c r="D13" i="144"/>
  <c r="E13" i="144"/>
  <c r="D14" i="144"/>
  <c r="E14" i="144"/>
  <c r="D15" i="144"/>
  <c r="E15" i="144"/>
  <c r="D16" i="144"/>
  <c r="E16" i="144"/>
  <c r="D17" i="144"/>
  <c r="E17" i="144"/>
  <c r="D18" i="144"/>
  <c r="E18" i="144"/>
  <c r="D19" i="144"/>
  <c r="E19" i="144"/>
  <c r="D20" i="144"/>
  <c r="E20" i="144"/>
  <c r="D21" i="144"/>
  <c r="E21" i="144"/>
  <c r="D22" i="144"/>
  <c r="E22" i="144"/>
  <c r="D23" i="144"/>
  <c r="E23" i="144"/>
  <c r="D24" i="144"/>
  <c r="E24" i="144"/>
  <c r="D25" i="144"/>
  <c r="E25" i="144"/>
  <c r="D26" i="144"/>
  <c r="E26" i="144"/>
  <c r="D27" i="144"/>
  <c r="E27" i="144"/>
  <c r="D28" i="144"/>
  <c r="E28" i="144"/>
  <c r="D29" i="144"/>
  <c r="E29" i="144"/>
  <c r="D30" i="144"/>
  <c r="E30" i="144"/>
  <c r="D31" i="144"/>
  <c r="E31" i="144"/>
  <c r="D32" i="144"/>
  <c r="E32" i="144"/>
  <c r="D33" i="144"/>
  <c r="E33" i="144"/>
  <c r="D34" i="144"/>
  <c r="E34" i="144"/>
  <c r="D35" i="144"/>
  <c r="E35" i="144"/>
  <c r="D36" i="144"/>
  <c r="E36" i="144"/>
  <c r="D37" i="144"/>
  <c r="E37" i="144"/>
  <c r="D38" i="144"/>
  <c r="E38" i="144"/>
  <c r="D39" i="144"/>
  <c r="E39" i="144"/>
  <c r="D40" i="144"/>
  <c r="E40" i="144"/>
  <c r="D41" i="144"/>
  <c r="E41" i="144"/>
  <c r="D42" i="144"/>
  <c r="E42" i="144"/>
  <c r="D43" i="144"/>
  <c r="E43" i="144"/>
  <c r="D44" i="144"/>
  <c r="E44" i="144"/>
  <c r="D45" i="144"/>
  <c r="E45" i="144"/>
  <c r="D46" i="144"/>
  <c r="E46" i="144"/>
  <c r="D47" i="144"/>
  <c r="E47" i="144"/>
  <c r="D48" i="144"/>
  <c r="E48" i="144"/>
  <c r="D49" i="144"/>
  <c r="E49" i="144"/>
  <c r="D50" i="144"/>
  <c r="E50" i="144"/>
  <c r="D51" i="144"/>
  <c r="E51" i="144"/>
  <c r="D52" i="144"/>
  <c r="E52" i="144"/>
  <c r="D53" i="144"/>
  <c r="E53" i="144"/>
  <c r="D54" i="144"/>
  <c r="E54" i="144"/>
  <c r="D55" i="144"/>
  <c r="E55" i="144"/>
  <c r="D56" i="144"/>
  <c r="E56" i="144"/>
  <c r="D57" i="144"/>
  <c r="E57" i="144"/>
  <c r="D58" i="144"/>
  <c r="E58" i="144"/>
  <c r="D59" i="144"/>
  <c r="E59" i="144"/>
  <c r="D60" i="144"/>
  <c r="E60" i="144"/>
  <c r="D61" i="144"/>
  <c r="E61" i="144"/>
  <c r="D62" i="144"/>
  <c r="E62" i="144"/>
  <c r="D63" i="144"/>
  <c r="E63" i="144"/>
  <c r="D64" i="144"/>
  <c r="E64" i="144"/>
  <c r="D65" i="144"/>
  <c r="E65" i="144"/>
  <c r="D66" i="144"/>
  <c r="E66" i="144"/>
  <c r="D67" i="144"/>
  <c r="E67" i="144"/>
  <c r="D68" i="144"/>
  <c r="E68" i="144"/>
  <c r="D69" i="144"/>
  <c r="E69" i="144"/>
  <c r="D70" i="144"/>
  <c r="E70" i="144"/>
  <c r="D71" i="144"/>
  <c r="E71" i="144"/>
  <c r="D72" i="144"/>
  <c r="E72" i="144"/>
  <c r="D73" i="144"/>
  <c r="E73" i="144"/>
  <c r="D74" i="144"/>
  <c r="E74" i="144"/>
  <c r="D75" i="144"/>
  <c r="E75" i="144"/>
  <c r="D76" i="144"/>
  <c r="E76" i="144"/>
  <c r="D77" i="144"/>
  <c r="E77" i="144"/>
  <c r="D78" i="144"/>
  <c r="E78" i="144"/>
  <c r="D79" i="144"/>
  <c r="E79" i="144"/>
  <c r="D80" i="144"/>
  <c r="E80" i="144"/>
  <c r="D81" i="144"/>
  <c r="E81" i="144"/>
  <c r="D82" i="144"/>
  <c r="E82" i="144"/>
  <c r="D83" i="144"/>
  <c r="E83" i="144"/>
  <c r="D84" i="144"/>
  <c r="E84" i="144"/>
  <c r="D85" i="144"/>
  <c r="E85" i="144"/>
  <c r="D86" i="144"/>
  <c r="E86" i="144"/>
  <c r="D87" i="144"/>
  <c r="E87" i="144"/>
  <c r="D88" i="144"/>
  <c r="E88" i="144"/>
  <c r="D89" i="144"/>
  <c r="E89" i="144"/>
  <c r="D90" i="144"/>
  <c r="E90" i="144"/>
  <c r="D91" i="144"/>
  <c r="E91" i="144"/>
  <c r="D92" i="144"/>
  <c r="E92" i="144"/>
  <c r="D93" i="144"/>
  <c r="E93" i="144"/>
  <c r="D94" i="144"/>
  <c r="E94" i="144"/>
  <c r="D95" i="144"/>
  <c r="E95" i="144"/>
  <c r="D96" i="144"/>
  <c r="E96" i="144"/>
  <c r="D97" i="144"/>
  <c r="E97" i="144"/>
  <c r="D98" i="144"/>
  <c r="E98" i="144"/>
  <c r="D99" i="144"/>
  <c r="E99" i="144"/>
  <c r="D100" i="144"/>
  <c r="E100" i="144"/>
  <c r="D101" i="144"/>
  <c r="E101" i="144"/>
  <c r="D102" i="144"/>
  <c r="E102" i="144"/>
  <c r="D103" i="144"/>
  <c r="E103" i="144"/>
  <c r="D104" i="144"/>
  <c r="E104" i="144"/>
  <c r="D105" i="144"/>
  <c r="E105" i="144"/>
  <c r="D106" i="144"/>
  <c r="E106" i="144"/>
  <c r="D107" i="144"/>
  <c r="E107" i="144"/>
  <c r="D108" i="144"/>
  <c r="E108" i="144"/>
  <c r="D109" i="144"/>
  <c r="E109" i="144"/>
  <c r="D110" i="144"/>
  <c r="E110" i="144"/>
  <c r="D111" i="144"/>
  <c r="E111" i="144"/>
  <c r="D112" i="144"/>
  <c r="E112" i="144"/>
  <c r="D113" i="144"/>
  <c r="E113" i="144"/>
  <c r="D114" i="144"/>
  <c r="E114" i="144"/>
  <c r="D115" i="144"/>
  <c r="E115" i="144"/>
  <c r="D116" i="144"/>
  <c r="E116" i="144"/>
  <c r="D117" i="144"/>
  <c r="E117" i="144"/>
  <c r="D118" i="144"/>
  <c r="E118" i="144"/>
  <c r="D119" i="144"/>
  <c r="E119" i="144"/>
  <c r="D120" i="144"/>
  <c r="E120" i="144"/>
  <c r="D121" i="144"/>
  <c r="E121" i="144"/>
  <c r="D122" i="144"/>
  <c r="E122" i="144"/>
  <c r="D123" i="144"/>
  <c r="E123" i="144"/>
  <c r="D124" i="144"/>
  <c r="E124" i="144"/>
  <c r="D125" i="144"/>
  <c r="E125" i="144"/>
  <c r="D126" i="144"/>
  <c r="E126" i="144"/>
  <c r="D127" i="144"/>
  <c r="E127" i="144"/>
  <c r="D128" i="144"/>
  <c r="E128" i="144"/>
  <c r="D129" i="144"/>
  <c r="E129" i="144"/>
  <c r="D130" i="144"/>
  <c r="E130" i="144"/>
  <c r="D131" i="144"/>
  <c r="E131" i="144"/>
  <c r="D132" i="144"/>
  <c r="E132" i="144"/>
  <c r="D133" i="144"/>
  <c r="E133" i="144"/>
  <c r="E6" i="144"/>
  <c r="D6" i="144"/>
  <c r="F6" i="144"/>
  <c r="AB116" i="155" l="1"/>
  <c r="AC116" i="155" s="1"/>
  <c r="AB122" i="155"/>
  <c r="AC122" i="155" s="1"/>
  <c r="AB114" i="155"/>
  <c r="AC114" i="155" s="1"/>
  <c r="AB113" i="155"/>
  <c r="AC113" i="155" s="1"/>
  <c r="AB121" i="155"/>
  <c r="AC121" i="155" s="1"/>
  <c r="AB124" i="155"/>
  <c r="AC124" i="155" s="1"/>
  <c r="AB123" i="155"/>
  <c r="AC123" i="155" s="1"/>
  <c r="AB117" i="155"/>
  <c r="AC117" i="155" s="1"/>
  <c r="AB119" i="155"/>
  <c r="AC119" i="155" s="1"/>
  <c r="AB115" i="155"/>
  <c r="AC115" i="155" s="1"/>
  <c r="AB120" i="155"/>
  <c r="AC120" i="155" s="1"/>
  <c r="AC112" i="155"/>
  <c r="AB118" i="155"/>
  <c r="AC118" i="15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G7" authorId="0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H7" authorId="1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7" authorId="1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7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7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tc={4A51BE16-539E-4925-BC78-F73186672EE7}</author>
    <author>tc={8E3C44FD-A087-4B2C-8644-CF8A0DB0583A}</author>
    <author>tc={38BF6E5B-D3C3-44A1-BAF7-093CE9487481}</author>
  </authors>
  <commentList>
    <comment ref="G26" authorId="0" shapeId="0" xr:uid="{4A51BE16-539E-4925-BC78-F73186672EE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Var_cap</t>
      </text>
    </comment>
    <comment ref="C106" authorId="1" shapeId="0" xr:uid="{8E3C44FD-A087-4B2C-8644-CF8A0DB0583A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>
      </text>
    </comment>
    <comment ref="C112" authorId="2" shapeId="0" xr:uid="{38BF6E5B-D3C3-44A1-BAF7-093CE9487481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tc={90D66C05-3B6D-44FF-AE7B-627F9004D9D5}</author>
    <author>tc={48BFE17B-298D-4AB2-9A4D-9CB08198ED8C}</author>
  </authors>
  <commentList>
    <comment ref="K3" authorId="0" shapeId="0" xr:uid="{90D66C05-3B6D-44FF-AE7B-627F9004D9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 znalezienia</t>
      </text>
    </comment>
    <comment ref="H5" authorId="1" shapeId="0" xr:uid="{48BFE17B-298D-4AB2-9A4D-9CB08198ED8C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Nowe!</t>
      </text>
    </comment>
  </commentList>
</comments>
</file>

<file path=xl/sharedStrings.xml><?xml version="1.0" encoding="utf-8"?>
<sst xmlns="http://schemas.openxmlformats.org/spreadsheetml/2006/main" count="1858" uniqueCount="739">
  <si>
    <t>* Zdefiniuj dobra wykorzystywane w arkuszu</t>
  </si>
  <si>
    <t>*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</si>
  <si>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</si>
  <si>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</si>
  <si>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</si>
  <si>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</si>
  <si>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</si>
  <si>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</si>
  <si>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</si>
  <si>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</si>
  <si>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</si>
  <si>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</si>
  <si>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</si>
  <si>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</si>
  <si>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</si>
  <si>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</t>
  </si>
  <si>
    <t>Poziom podokresów</t>
  </si>
  <si>
    <t>Monitorowanie szczytu</t>
  </si>
  <si>
    <t>Wskaźnik energii elektrycznej</t>
  </si>
  <si>
    <t>NRG</t>
  </si>
  <si>
    <t>AGR_HC</t>
  </si>
  <si>
    <t>Hard Coal</t>
  </si>
  <si>
    <t>PJ</t>
  </si>
  <si>
    <t>ANNUAL</t>
  </si>
  <si>
    <t>AGR_BC</t>
  </si>
  <si>
    <t>Brown Coal</t>
  </si>
  <si>
    <t>AGR_OIL_GSL</t>
  </si>
  <si>
    <t>Gasoline</t>
  </si>
  <si>
    <t>AGR_OIL_DSL</t>
  </si>
  <si>
    <t>Diesel</t>
  </si>
  <si>
    <t>AGR_OIL_LPG</t>
  </si>
  <si>
    <t>LPG</t>
  </si>
  <si>
    <t>AGR_OIL_FUE</t>
  </si>
  <si>
    <t>Fuel Oil</t>
  </si>
  <si>
    <t>AGR_NAT_GAS</t>
  </si>
  <si>
    <t>Natural Gas</t>
  </si>
  <si>
    <t>AGR_BIOG</t>
  </si>
  <si>
    <t>AGR_BIOM</t>
  </si>
  <si>
    <t>Biomass</t>
  </si>
  <si>
    <t>AGR_RDF</t>
  </si>
  <si>
    <t>RDF</t>
  </si>
  <si>
    <t>AGR_ELC</t>
  </si>
  <si>
    <t>Electricity</t>
  </si>
  <si>
    <t>AGR_DH</t>
  </si>
  <si>
    <t>District Heat</t>
  </si>
  <si>
    <t>AGR_OTH_FUE</t>
  </si>
  <si>
    <t>Other Fuels</t>
  </si>
  <si>
    <t>DEM</t>
  </si>
  <si>
    <t>AGR_DEM</t>
  </si>
  <si>
    <t>Agriculture Demand</t>
  </si>
  <si>
    <t>IPI</t>
  </si>
  <si>
    <t>ENV</t>
  </si>
  <si>
    <t>AGR_CO2</t>
  </si>
  <si>
    <t>Carbon Dioxide - Combustion (AGR)</t>
  </si>
  <si>
    <t>kt</t>
  </si>
  <si>
    <t>AGR_SO2</t>
  </si>
  <si>
    <t>Sulphur Dioxide - Combustion (AGR)</t>
  </si>
  <si>
    <t>AGR_NOX</t>
  </si>
  <si>
    <t>Nitrogen Oxides - Combustion (AGR)</t>
  </si>
  <si>
    <t>AGR_TSP</t>
  </si>
  <si>
    <t>Total Suspended Particulate - Combustion (AGR)</t>
  </si>
  <si>
    <t>AGR_PM10</t>
  </si>
  <si>
    <t>Particulate Matter &lt;= 10 um - Combustion (AGR)</t>
  </si>
  <si>
    <t>AGR_PM2.5</t>
  </si>
  <si>
    <t>Particulate Matter &lt;= 2.5 um - Combustion (AGR)</t>
  </si>
  <si>
    <t>AGR_HG</t>
  </si>
  <si>
    <t>Mercury - Combustion (AGR)</t>
  </si>
  <si>
    <t>ELC_AGR_CHPI</t>
  </si>
  <si>
    <t>DAYNITE</t>
  </si>
  <si>
    <t>ELC</t>
  </si>
  <si>
    <t>HT_AGR_CHPI</t>
  </si>
  <si>
    <t>AGR_HT_OWN_USE</t>
  </si>
  <si>
    <t>* Zdefiniuj procesy wykorzystywane w arkuszu</t>
  </si>
  <si>
    <t>* Procesy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</si>
  <si>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</si>
  <si>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</si>
  <si>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</si>
  <si>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</si>
  <si>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</si>
  <si>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</si>
  <si>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</si>
  <si>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</si>
  <si>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</si>
  <si>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</si>
  <si>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</si>
  <si>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</si>
  <si>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</si>
  <si>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</si>
  <si>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</si>
  <si>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</si>
  <si>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</si>
  <si>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</si>
  <si>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</si>
  <si>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PRE</t>
  </si>
  <si>
    <t>PL</t>
  </si>
  <si>
    <t>SECTF_AGR_HC</t>
  </si>
  <si>
    <t>Sector fuel - Hard Coal</t>
  </si>
  <si>
    <t>Pja</t>
  </si>
  <si>
    <t>SECTF_AGR_BC</t>
  </si>
  <si>
    <t>Sector fuel - Brown Coal</t>
  </si>
  <si>
    <t>SECTF_AGR_OIL_GSL</t>
  </si>
  <si>
    <t>Sector fuel - Gasoline</t>
  </si>
  <si>
    <t>SECTF_AGR_OIL_DSL</t>
  </si>
  <si>
    <t>Sector fuel - Diesel</t>
  </si>
  <si>
    <t>SECTF_AGR_OIL_LPG</t>
  </si>
  <si>
    <t>Sector fuel - LPG</t>
  </si>
  <si>
    <t>SECTF_AGR_OIL_FUE</t>
  </si>
  <si>
    <t>Sector fuel - Fuel Oil</t>
  </si>
  <si>
    <t>SECTF_AGR_NAT_GAS</t>
  </si>
  <si>
    <t>Sector fuel - Natural Gas</t>
  </si>
  <si>
    <t>SECTF_AGR_BIOG</t>
  </si>
  <si>
    <t>Sector fuel - Biogas</t>
  </si>
  <si>
    <t>SECTF_AGR_BIOM</t>
  </si>
  <si>
    <t>Sector fuel - Biomass</t>
  </si>
  <si>
    <t>SECTF_AGR_RDF</t>
  </si>
  <si>
    <t>Sector fuel - RDF</t>
  </si>
  <si>
    <t>SECTF_AGR_ELC</t>
  </si>
  <si>
    <t>Sector fuel - Electricity</t>
  </si>
  <si>
    <t>SECTF_AGR_DH</t>
  </si>
  <si>
    <t>Sector fuel - District Heat</t>
  </si>
  <si>
    <t>SECTF_AGR_OTH</t>
  </si>
  <si>
    <t>Sector fuel - Other Fuels</t>
  </si>
  <si>
    <t>DMD</t>
  </si>
  <si>
    <t>CHP</t>
  </si>
  <si>
    <t>ECP_EX_BIOG_AGR</t>
  </si>
  <si>
    <t>GW</t>
  </si>
  <si>
    <t>NO</t>
  </si>
  <si>
    <t>ELC_VOLT_DIV_AGR_CHPI</t>
  </si>
  <si>
    <t>Voltage Divider - AGR CHPI</t>
  </si>
  <si>
    <t>PJa</t>
  </si>
  <si>
    <t>HT_DIV_AGR_CHPI</t>
  </si>
  <si>
    <t>Heat Divider - AGR CHPI</t>
  </si>
  <si>
    <t>Base-year infrastructure for commmercial fuels</t>
  </si>
  <si>
    <t>Comm-IN</t>
  </si>
  <si>
    <t>Comm-OUT</t>
  </si>
  <si>
    <t>EFF</t>
  </si>
  <si>
    <t>Share-I~UP</t>
  </si>
  <si>
    <t>\I: UNITS</t>
  </si>
  <si>
    <t>PRI_HC</t>
  </si>
  <si>
    <t>PRI_BC</t>
  </si>
  <si>
    <t>SEC_OIL_GSL</t>
  </si>
  <si>
    <t>SEC_OIL_DSL</t>
  </si>
  <si>
    <t>SEC_OIL_LPG</t>
  </si>
  <si>
    <t>SEC_OIL_FUE</t>
  </si>
  <si>
    <t>PRI_BIOG_AGR</t>
  </si>
  <si>
    <t>PRI_BIO_WOOD</t>
  </si>
  <si>
    <t>PRI_RDF</t>
  </si>
  <si>
    <t>ELC_MV-MV</t>
  </si>
  <si>
    <t>ELC_LV-LV</t>
  </si>
  <si>
    <t>HT_DH</t>
  </si>
  <si>
    <t>PRI_IND_OTH_FUE</t>
  </si>
  <si>
    <t>Industrial Combined Heat and Power Plants</t>
  </si>
  <si>
    <t>*TechDesc</t>
  </si>
  <si>
    <t>Share~2020~2021~FX</t>
  </si>
  <si>
    <t>Share~2025~FX</t>
  </si>
  <si>
    <t>Share~2030~FX</t>
  </si>
  <si>
    <t>Share~2035~FX</t>
  </si>
  <si>
    <t>Share~2040~FX</t>
  </si>
  <si>
    <t>Share~2045~FX</t>
  </si>
  <si>
    <t>Share~2050~FX</t>
  </si>
  <si>
    <t>Stock~2020~2021</t>
  </si>
  <si>
    <t>Stock~2025</t>
  </si>
  <si>
    <t>Stock~2030</t>
  </si>
  <si>
    <t>Stock~2035</t>
  </si>
  <si>
    <t>Stock~2040</t>
  </si>
  <si>
    <t>Stock~2045</t>
  </si>
  <si>
    <t>Stock~2050</t>
  </si>
  <si>
    <t>CHPR~FX</t>
  </si>
  <si>
    <t>CHPR~LO</t>
  </si>
  <si>
    <t>CHPR~UP</t>
  </si>
  <si>
    <t>CEH</t>
  </si>
  <si>
    <t>BNDACT~2020~2021~UP</t>
  </si>
  <si>
    <t>AFA</t>
  </si>
  <si>
    <t>AFA~LO</t>
  </si>
  <si>
    <t>Cap2Act</t>
  </si>
  <si>
    <t>FIXOM</t>
  </si>
  <si>
    <t>VAROM</t>
  </si>
  <si>
    <t>\I:</t>
  </si>
  <si>
    <t>%</t>
  </si>
  <si>
    <t>PJ/GW</t>
  </si>
  <si>
    <t>zl/kW</t>
  </si>
  <si>
    <t>zl/GJ</t>
  </si>
  <si>
    <t>kt/PJ</t>
  </si>
  <si>
    <t>t/PJ</t>
  </si>
  <si>
    <t>0.003</t>
  </si>
  <si>
    <t>0.004</t>
  </si>
  <si>
    <t>6.81293E-05</t>
  </si>
  <si>
    <t>Poland</t>
  </si>
  <si>
    <t>TOTAL</t>
  </si>
  <si>
    <t>C0000X0350-0370</t>
  </si>
  <si>
    <t>C0110</t>
  </si>
  <si>
    <t>C0121</t>
  </si>
  <si>
    <t>C0129</t>
  </si>
  <si>
    <t>C0210</t>
  </si>
  <si>
    <t>C0220</t>
  </si>
  <si>
    <t>C0320</t>
  </si>
  <si>
    <t>C0311</t>
  </si>
  <si>
    <t>C0312</t>
  </si>
  <si>
    <t>C0340</t>
  </si>
  <si>
    <t>C0330</t>
  </si>
  <si>
    <t>C0350-0370</t>
  </si>
  <si>
    <t>C0360</t>
  </si>
  <si>
    <t>C0350</t>
  </si>
  <si>
    <t>C0371</t>
  </si>
  <si>
    <t>C0379</t>
  </si>
  <si>
    <t>P1000</t>
  </si>
  <si>
    <t>P1100</t>
  </si>
  <si>
    <t>P1200</t>
  </si>
  <si>
    <t>S2000</t>
  </si>
  <si>
    <t>O4000XBIO</t>
  </si>
  <si>
    <t>O4100_TOT</t>
  </si>
  <si>
    <t>O4200</t>
  </si>
  <si>
    <t>O4300</t>
  </si>
  <si>
    <t>O4400X4410</t>
  </si>
  <si>
    <t>O4500</t>
  </si>
  <si>
    <t>O4610</t>
  </si>
  <si>
    <t>O4620</t>
  </si>
  <si>
    <t>O4630</t>
  </si>
  <si>
    <t>O4652XR5210B</t>
  </si>
  <si>
    <t>O4651</t>
  </si>
  <si>
    <t>O4653</t>
  </si>
  <si>
    <t>O4661XR5230B</t>
  </si>
  <si>
    <t>O4669</t>
  </si>
  <si>
    <t>O4640</t>
  </si>
  <si>
    <t>O4671XR5220B</t>
  </si>
  <si>
    <t>O4680</t>
  </si>
  <si>
    <t>O4691</t>
  </si>
  <si>
    <t>O4692</t>
  </si>
  <si>
    <t>O4695</t>
  </si>
  <si>
    <t>O4694</t>
  </si>
  <si>
    <t>O4693</t>
  </si>
  <si>
    <t>O4699</t>
  </si>
  <si>
    <t>G3000</t>
  </si>
  <si>
    <t>RA000</t>
  </si>
  <si>
    <t>RA100</t>
  </si>
  <si>
    <t>RA500</t>
  </si>
  <si>
    <t>RA300</t>
  </si>
  <si>
    <t>RA420</t>
  </si>
  <si>
    <t>RA410</t>
  </si>
  <si>
    <t>RA200</t>
  </si>
  <si>
    <t>R5110-5150_W6000RI</t>
  </si>
  <si>
    <t>R5160</t>
  </si>
  <si>
    <t>R5300</t>
  </si>
  <si>
    <t>W6210</t>
  </si>
  <si>
    <t>R5210P</t>
  </si>
  <si>
    <t>R5210B</t>
  </si>
  <si>
    <t>R5220P</t>
  </si>
  <si>
    <t>R5220B</t>
  </si>
  <si>
    <t>R5230P</t>
  </si>
  <si>
    <t>R5230B</t>
  </si>
  <si>
    <t>R5290</t>
  </si>
  <si>
    <t>RA600</t>
  </si>
  <si>
    <t>W6100_6220</t>
  </si>
  <si>
    <t>W6100</t>
  </si>
  <si>
    <t>W6220</t>
  </si>
  <si>
    <t>N900H</t>
  </si>
  <si>
    <t>H8000</t>
  </si>
  <si>
    <t>E7000</t>
  </si>
  <si>
    <t>FE</t>
  </si>
  <si>
    <t>BIOE</t>
  </si>
  <si>
    <t>ktoe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</si>
  <si>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</si>
  <si>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</si>
  <si>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</si>
  <si>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</si>
  <si>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</si>
  <si>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</si>
  <si>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</si>
  <si>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Patent fuel</t>
  </si>
  <si>
    <t>Coke oven coke</t>
  </si>
  <si>
    <t>Gas coke</t>
  </si>
  <si>
    <t>Coal tar</t>
  </si>
  <si>
    <t>Brown coal briquettes</t>
  </si>
  <si>
    <t>Manufactured gases</t>
  </si>
  <si>
    <t>Gas works gas</t>
  </si>
  <si>
    <t>Coke oven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</si>
  <si>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</si>
  <si>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</si>
  <si>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</si>
  <si>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</si>
  <si>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</si>
  <si>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</si>
  <si>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Oil and petroleum products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</si>
  <si>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</si>
  <si>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</si>
  <si>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</si>
  <si>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</si>
  <si>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</si>
  <si>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</si>
  <si>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</si>
  <si>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</si>
  <si>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Motor gasoline (excluding biofuel portion)</t>
  </si>
  <si>
    <t>Aviation gasoline</t>
  </si>
  <si>
    <t>Gasoline-type jet fuel</t>
  </si>
  <si>
    <t>Kerosene-type jet fuel (excluding biofuel portion)</t>
  </si>
  <si>
    <t>Other kerosene</t>
  </si>
  <si>
    <t>Naphtha</t>
  </si>
  <si>
    <t>Gas oil and diesel oil (excluding biofuel portion)</t>
  </si>
  <si>
    <t>Fuel oil</t>
  </si>
  <si>
    <t>White spirit and special boiling point industrial spirits</t>
  </si>
  <si>
    <t>Lubricants</t>
  </si>
  <si>
    <t>Bitumen</t>
  </si>
  <si>
    <t>Petroleum coke</t>
  </si>
  <si>
    <t>Paraffin waxes</t>
  </si>
  <si>
    <t>Other oil products</t>
  </si>
  <si>
    <t>Natural gas</t>
  </si>
  <si>
    <t>Renewables and biofuels</t>
  </si>
  <si>
    <t>Hydro</t>
  </si>
  <si>
    <t>Tide, wave, ocean</t>
  </si>
  <si>
    <t>Wind</t>
  </si>
  <si>
    <t>Solar photovoltaic</t>
  </si>
  <si>
    <t>Solar thermal</t>
  </si>
  <si>
    <t>Geothermal</t>
  </si>
  <si>
    <t>Primary solid biofuels</t>
  </si>
  <si>
    <t>Charcoal</t>
  </si>
  <si>
    <t>Biogases</t>
  </si>
  <si>
    <t>Renewable municipal waste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</si>
  <si>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</si>
  <si>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</si>
  <si>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</si>
  <si>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</si>
  <si>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</si>
  <si>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</si>
  <si>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</si>
  <si>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Ambient heat (heat pumps)</t>
  </si>
  <si>
    <t>Non-renewable waste</t>
  </si>
  <si>
    <t>Industrial waste (non-renewable)</t>
  </si>
  <si>
    <t>Non-renewable municipal waste</t>
  </si>
  <si>
    <t>Nuclear heat</t>
  </si>
  <si>
    <t>Heat</t>
  </si>
  <si>
    <t>Fossil energy</t>
  </si>
  <si>
    <t>Bioenergy</t>
  </si>
  <si>
    <t>+</t>
  </si>
  <si>
    <t>Other sectors</t>
  </si>
  <si>
    <t>FC_OTH_E</t>
  </si>
  <si>
    <t>Z</t>
  </si>
  <si>
    <t>Commercial &amp; public services</t>
  </si>
  <si>
    <t>FC_OTH_CP_E</t>
  </si>
  <si>
    <t>Households</t>
  </si>
  <si>
    <t>FC_OTH_HH_E</t>
  </si>
  <si>
    <t>Agriculture &amp; forestry</t>
  </si>
  <si>
    <t>FC_OTH_AF_E</t>
  </si>
  <si>
    <t>Fishing</t>
  </si>
  <si>
    <t>FC_OTH_FISH_E</t>
  </si>
  <si>
    <t>Not elsewhere specified (other)</t>
  </si>
  <si>
    <t>FC_OTH_NSP_E</t>
  </si>
  <si>
    <t>Commercial</t>
  </si>
  <si>
    <t>Agriculture</t>
  </si>
  <si>
    <t>Tabl. 4(94) Bilans całkowity (2020)</t>
  </si>
  <si>
    <t>Table 4(94) Complete balance (2020)</t>
  </si>
  <si>
    <t>WYSZCZEGÓLNIENIE</t>
  </si>
  <si>
    <t>Energia cieplna</t>
  </si>
  <si>
    <t>Energia elektryczna</t>
  </si>
  <si>
    <t>SPECIFICATION</t>
  </si>
  <si>
    <t>TWh</t>
  </si>
  <si>
    <t>Pozyskanie
Primary production</t>
  </si>
  <si>
    <t/>
  </si>
  <si>
    <t>Produkty z odzysku
Recovered &amp; recycled products</t>
  </si>
  <si>
    <t>Import
Imports</t>
  </si>
  <si>
    <t>Eksport
Exports</t>
  </si>
  <si>
    <t>Zmiana zapasów
Change in stock</t>
  </si>
  <si>
    <t>Energia dostępna brutto
Gross available energy</t>
  </si>
  <si>
    <t>Międzynarodowy bunkier morski
International maritime bunkers</t>
  </si>
  <si>
    <t>Krajowe zużycie brutto
Gross inland consumption</t>
  </si>
  <si>
    <t>Transport lotniczy międzynarodowy
International aviation</t>
  </si>
  <si>
    <t>Całkowita podaż energii
Total energy supply</t>
  </si>
  <si>
    <t xml:space="preserve">   Krajowe zużycie brutto (Europa 2020-2030)
   Gross inland consumption (Europe 2020-2030)</t>
  </si>
  <si>
    <t xml:space="preserve">   Zużycie energii pierwotnej (Europa 2020-2030)
   Primary energy consumption (Europe 2020-2030)</t>
  </si>
  <si>
    <t xml:space="preserve">   Zużycie końcowe energii (Europa 2020-2030)
   Final energy consumption (Europe 2020-2030)</t>
  </si>
  <si>
    <t>Wsad przemian
Transformation input</t>
  </si>
  <si>
    <t xml:space="preserve">   Wytwarzanie energii elektrycznej i ciepła
   Electricity &amp; heat generation</t>
  </si>
  <si>
    <t xml:space="preserve">      Elektrownie zawodowe
      Main activity producer electricity only</t>
  </si>
  <si>
    <t xml:space="preserve">      Instalacje elektrociepłowni zawodowych
      Main activity producer CHP</t>
  </si>
  <si>
    <t xml:space="preserve">      Ciepłownie zawodowe
      Main activity producer heat only</t>
  </si>
  <si>
    <t xml:space="preserve">      Elektrownie przemysłowe
      Autoproducer electricity only</t>
  </si>
  <si>
    <t xml:space="preserve">      Instalacje elektrociepłowni przemysłowych
      Autoproducer CHP </t>
  </si>
  <si>
    <t xml:space="preserve">      Ciepłownie przemysłowe
      Autoproducer heat only</t>
  </si>
  <si>
    <t xml:space="preserve">      Pompy ciepła
      Electrically driven heat pumps</t>
  </si>
  <si>
    <t xml:space="preserve">      Kotły elektryczne
      Electric boilers</t>
  </si>
  <si>
    <t xml:space="preserve">      Elektrownie szczytowo-pompowe
      Electricity for pumped storage</t>
  </si>
  <si>
    <t xml:space="preserve">      Ciepło wykorzystane do produkcji energii
      elektrycznej
      Derived heat for electricity production</t>
  </si>
  <si>
    <t xml:space="preserve">   Koksownie
   Coke ovens</t>
  </si>
  <si>
    <t xml:space="preserve">   Wielkie piece
   Blast furnaces</t>
  </si>
  <si>
    <t xml:space="preserve">   Gazownie
   Gas works</t>
  </si>
  <si>
    <t xml:space="preserve">   Rafinerie
   Refineries &amp; petrochemical industry</t>
  </si>
  <si>
    <t xml:space="preserve">      Wsad do rafinerii
      Refinery intake</t>
  </si>
  <si>
    <t xml:space="preserve">      Zwroty z sektora petrochemicznego
      Backflows from petrochemical industry</t>
  </si>
  <si>
    <t xml:space="preserve">      Produkty przetwarzane
      Products transferred</t>
  </si>
  <si>
    <t xml:space="preserve">      Produkty przeklasyfikowane
      Interproduct transfers</t>
  </si>
  <si>
    <t xml:space="preserve">      Zużycie bezpośrednie
      Direct use</t>
  </si>
  <si>
    <t xml:space="preserve">      Wsad do przemysłu petrochemicznego
      Petrochemical industry intake</t>
  </si>
  <si>
    <t xml:space="preserve">   Brykietownie węgla kamiennego
   Patent fuel plants</t>
  </si>
  <si>
    <t xml:space="preserve">   Brykietownie węgla brunatnego i torfu
   BKB &amp; PB plants</t>
  </si>
  <si>
    <t xml:space="preserve">   Upłynnianie węgla
   Coal liquefaction plants</t>
  </si>
  <si>
    <t xml:space="preserve">   Mieszalnie gazu ziemnego
   For blended natural gas</t>
  </si>
  <si>
    <t xml:space="preserve">   Do zmieszania z benzyną silnikową/olejem 
   napędowym/naftą lotniczą
   Liquid biofuels blended</t>
  </si>
  <si>
    <t xml:space="preserve">   Zakłady produkcji węgla drzewnego
   Charcoal production plants</t>
  </si>
  <si>
    <t xml:space="preserve">   Instalacje przetwarzania gazu na paliwa ciekłe
   Gas-to-liquids plants</t>
  </si>
  <si>
    <t xml:space="preserve">   Nigdzie indziej niewymienione
   Not elsewhere specified </t>
  </si>
  <si>
    <t>Uzysk przemian
Transformation output</t>
  </si>
  <si>
    <t xml:space="preserve">      Uzysk rafinerii
      Refinery output</t>
  </si>
  <si>
    <t xml:space="preserve">      Zwroty
      Backflows</t>
  </si>
  <si>
    <t xml:space="preserve">      Dostawy produktów pierwotnych
      Primary products receips</t>
  </si>
  <si>
    <t xml:space="preserve">      Zwroty z przemysłu petrochemicznego
      Petrochemical industry returns</t>
  </si>
  <si>
    <t>Sektor energetyczny
Energy sector</t>
  </si>
  <si>
    <t xml:space="preserve">   Elektrownie, elektrociepłownie oraz ciepłownie
   Own use in electricity &amp; heat generation</t>
  </si>
  <si>
    <t xml:space="preserve">   Kopalnie węgla
   Coal mines</t>
  </si>
  <si>
    <t xml:space="preserve">   Wydobycie ropy i gazu
   Oil &amp; natural gas extraction plants</t>
  </si>
  <si>
    <t xml:space="preserve">   Rafinerie ropy naftowej
   Petroleum refineries (oil refineries)</t>
  </si>
  <si>
    <t xml:space="preserve">   Przemysł jądrowy
   Nuclear industry</t>
  </si>
  <si>
    <t xml:space="preserve">   Skraplanie (LNG) lub zgazowanie
   Liquefaction &amp; regasification plants (LNG)</t>
  </si>
  <si>
    <t xml:space="preserve">   Zakłady zgazowania (biogaz)
   Gasification plants for biogas</t>
  </si>
  <si>
    <t xml:space="preserve">   Instalacje przetwarzania gazu na paliwa ciekłe
   Gas-to-liquids (GTL) plants</t>
  </si>
  <si>
    <t xml:space="preserve">   Nigdzie indziej niewymienione
   Not elsewhere specified (energy)</t>
  </si>
  <si>
    <t>Straty w dystrybucji
Distribution losses</t>
  </si>
  <si>
    <t>Zużycie finalne ogółem
Available for final consumption</t>
  </si>
  <si>
    <t>Zużycie nieenergetyczne
Final non-energy consumption</t>
  </si>
  <si>
    <t xml:space="preserve">   Zużycie nieenergetyczne w przemyśle/
   energetyce/przemianach
   Non-energy use industry/transformation/energy</t>
  </si>
  <si>
    <t xml:space="preserve">      W sektorze przemian
      Non-energy use in transformation sector</t>
  </si>
  <si>
    <t xml:space="preserve">      W sektorze energetycznym
      Non-energy use in energy sector</t>
  </si>
  <si>
    <t xml:space="preserve">      W sektorze przemysłu
      Non-energy use in industry sector</t>
  </si>
  <si>
    <t xml:space="preserve">   Zużycie nieenergetyczne w sektorze 
   transportowym
   Non-energy use in transport sector</t>
  </si>
  <si>
    <t xml:space="preserve">   Zużycie nieenergetyczne w pozostałych 
   sektorach
   Non-energy use in other sectors</t>
  </si>
  <si>
    <t>Zużycie końcowe energii
Final energy consumption</t>
  </si>
  <si>
    <t xml:space="preserve">   Sektor przemysłowy
   Industry sector</t>
  </si>
  <si>
    <t xml:space="preserve">      Przemysł hutniczy
      Iron &amp; steel</t>
  </si>
  <si>
    <t xml:space="preserve">      Przemysł chemiczny i petrochemiczny
      Chemical &amp; petrochemical</t>
  </si>
  <si>
    <t xml:space="preserve">      Przemysł metali nieżelaznych
      Non-ferrous metals</t>
  </si>
  <si>
    <t xml:space="preserve">      Przemysł surowców niemetalicznych
      Non-metallic minerals</t>
  </si>
  <si>
    <t xml:space="preserve">      Przemysł środków transportu
      Transport equipment</t>
  </si>
  <si>
    <t xml:space="preserve">      Przemysł maszynowy
      Machinery</t>
  </si>
  <si>
    <t xml:space="preserve">      Przemysł wydobywczy
      Mining &amp; quarrying</t>
  </si>
  <si>
    <t xml:space="preserve">      Przemysł spożywczy i tytoniowy
      Food, beverages &amp; tobacco</t>
  </si>
  <si>
    <t xml:space="preserve">      Przemysł papierniczy i poligraficzny
      Paper, pulp &amp; printing</t>
  </si>
  <si>
    <t xml:space="preserve">      Przemysł drzewny
      Wood &amp; wood products</t>
  </si>
  <si>
    <t xml:space="preserve">      Budownictwo
      Construction</t>
  </si>
  <si>
    <t xml:space="preserve">      Przemysł tekstylny i skórzany
      Textile &amp; leather</t>
  </si>
  <si>
    <t xml:space="preserve">      Nigdzie indziej niewymienione
      Not elsewhere specified (industry)</t>
  </si>
  <si>
    <t xml:space="preserve">   Sektor transportu
   Transport sector</t>
  </si>
  <si>
    <t xml:space="preserve">      Kolej
      Rail</t>
  </si>
  <si>
    <t xml:space="preserve">      Transport drogowy
      Road</t>
  </si>
  <si>
    <t xml:space="preserve">      Transport lotniczy krajowy
      Domestic aviation</t>
  </si>
  <si>
    <t xml:space="preserve">      Żegluga krajowa
      Domestic navigation</t>
  </si>
  <si>
    <t xml:space="preserve">      Transport rurociągowy
      Pipeline transport</t>
  </si>
  <si>
    <t xml:space="preserve">      Nigdzie indziej niewymienione – transport
      Not elsewhere specified (transport)</t>
  </si>
  <si>
    <t xml:space="preserve">   Inne sektory
   Other sectors</t>
  </si>
  <si>
    <t xml:space="preserve">      Sektor usług i użyteczności publicznej
      Commercial &amp; public services</t>
  </si>
  <si>
    <t xml:space="preserve">      Gospodarstwa domowe
      Households</t>
  </si>
  <si>
    <t xml:space="preserve">      Rolnictwo/leśnictwo
      Agriculture &amp; forestry</t>
  </si>
  <si>
    <t xml:space="preserve">      Rybołówstwo
      Fishing</t>
  </si>
  <si>
    <t xml:space="preserve">      Nigdzie indziej niewymienione – Inne
      Not elsewhere specified (other)</t>
  </si>
  <si>
    <t>Różnice statystyczne
Statistical differences</t>
  </si>
  <si>
    <t>0.00018</t>
  </si>
  <si>
    <t>Industrial Chp Plants for biogas from agriculture residues</t>
  </si>
  <si>
    <t>Biogas AGR</t>
  </si>
  <si>
    <t>PRI_GAS_NAT_LP</t>
  </si>
  <si>
    <t>* Technology name</t>
  </si>
  <si>
    <t>Technology description</t>
  </si>
  <si>
    <t>Commodity input</t>
  </si>
  <si>
    <t>Commodity output</t>
  </si>
  <si>
    <t>MV Jako możliwość</t>
  </si>
  <si>
    <t>FLO_COST~2020</t>
  </si>
  <si>
    <t>FLO_COST~2025</t>
  </si>
  <si>
    <t>FLO_COST~2030</t>
  </si>
  <si>
    <t>FLO_COST~2035</t>
  </si>
  <si>
    <t>FLO_COST~2040</t>
  </si>
  <si>
    <t>FLO_COST~2045</t>
  </si>
  <si>
    <t>FLO_COST~2050</t>
  </si>
  <si>
    <t>FLO_DELIV~2020</t>
  </si>
  <si>
    <t>FLO_DELIV~2025</t>
  </si>
  <si>
    <t>FLO_DELIV~2030</t>
  </si>
  <si>
    <t>FLO_DELIV~2035</t>
  </si>
  <si>
    <t>FLO_DELIV~2040</t>
  </si>
  <si>
    <t>FLO_DELIV~2045</t>
  </si>
  <si>
    <t>FLO_DELIV~2050</t>
  </si>
  <si>
    <t>FLO_TAX</t>
  </si>
  <si>
    <t>Mzl/PJ</t>
  </si>
  <si>
    <t>Typ dokumentu</t>
  </si>
  <si>
    <t>Plik z danymi roku bazowego</t>
  </si>
  <si>
    <t>Cel powstania</t>
  </si>
  <si>
    <t>Data powstania</t>
  </si>
  <si>
    <t>Ostatnia aktualizacja</t>
  </si>
  <si>
    <t>Autor(zy)</t>
  </si>
  <si>
    <t>Artur Wyrwa</t>
  </si>
  <si>
    <t>Maciej Raczyński</t>
  </si>
  <si>
    <t>Osoba kontaktowa</t>
  </si>
  <si>
    <t>Metadane</t>
  </si>
  <si>
    <t>Wprowadzenie topologii i danych dla sektora rolnictwa</t>
  </si>
  <si>
    <t>~FI_T: PL</t>
  </si>
  <si>
    <t>~PRCCOMEMI: PL</t>
  </si>
  <si>
    <t>\I: nowododane dobra dla biogazowni</t>
  </si>
  <si>
    <t>AGR_CH4_ENT</t>
  </si>
  <si>
    <t>Methane - Livestock Enteric Digestion (AGR)</t>
  </si>
  <si>
    <t>AGR_CH4_MAN</t>
  </si>
  <si>
    <t>Methane - Livestock Manure (AGR)</t>
  </si>
  <si>
    <t>AGR_CH4_LAND</t>
  </si>
  <si>
    <t>Methane - LAND (AGR)</t>
  </si>
  <si>
    <t>AGR_LIV_MANURE_CAT_DAIRY</t>
  </si>
  <si>
    <t>Animal Manure - Dairy Cattle</t>
  </si>
  <si>
    <t>AGR_LIV_MANURE_CAT_NON-DAIRY</t>
  </si>
  <si>
    <t>Animal Manure - Non Dairy Cattle</t>
  </si>
  <si>
    <t>AGR_LIV_MANURE_SHEEP</t>
  </si>
  <si>
    <t>Animal Manure - Sheep</t>
  </si>
  <si>
    <t>AGR_LIV_MANURE_SWINE</t>
  </si>
  <si>
    <t>Animal Manure - Swine</t>
  </si>
  <si>
    <t>AGR_LIV_MANURE_GOAT</t>
  </si>
  <si>
    <t>Animal Manure - Goat</t>
  </si>
  <si>
    <t>AGR_LIV_MANURE_HORSE</t>
  </si>
  <si>
    <t>Animal Manure - Horse</t>
  </si>
  <si>
    <t>AGR_LIV_MANURE_POULTRY</t>
  </si>
  <si>
    <t>Animal Manure - Poultry</t>
  </si>
  <si>
    <t>AGR_LIV_MANURE_RABBIT</t>
  </si>
  <si>
    <t>Animal Manure - Rabbit</t>
  </si>
  <si>
    <t>AGR_LIV_MANURE_FUR</t>
  </si>
  <si>
    <t>Animal Manure - Furry</t>
  </si>
  <si>
    <t>AGR_N2O</t>
  </si>
  <si>
    <t>Nitrous Oxide - Field (AGR)</t>
  </si>
  <si>
    <t>Dummy Energy for Agriculture</t>
  </si>
  <si>
    <t>DUM</t>
  </si>
  <si>
    <t>AGR_DUMMY_DMD_LAND</t>
  </si>
  <si>
    <t>Dummy Land Demand for Agriculture</t>
  </si>
  <si>
    <t>AGR_DUMMY_LAND_RESIDUES</t>
  </si>
  <si>
    <t>Dummy Crop Residues for Biogas Production</t>
  </si>
  <si>
    <t>AGR_DEM_LIV_CAT_DAIRY</t>
  </si>
  <si>
    <t>AGR_DEM_LIV_CAT_NON-DAIRY</t>
  </si>
  <si>
    <t>AGR_DEM_LIV_SHEEP</t>
  </si>
  <si>
    <t>AGR_DEM_LIV_SWINE</t>
  </si>
  <si>
    <t>AGR_DEM_LIV_GOAT</t>
  </si>
  <si>
    <t>AGR_DEM_LIV_HORSE</t>
  </si>
  <si>
    <t>AGR_DEM_LIV_POULTRY</t>
  </si>
  <si>
    <t>AGR_DEM_LIV_RABBIT</t>
  </si>
  <si>
    <t>AGR_DEM_LIV_FUR</t>
  </si>
  <si>
    <t>AGR_DEM_LIV_INDIRECT</t>
  </si>
  <si>
    <t>\I: nowododane procesy dla biogazu</t>
  </si>
  <si>
    <t>IMP</t>
  </si>
  <si>
    <t>AGR_IMP_DUMMY_NRG_LIV</t>
  </si>
  <si>
    <t>Dummy Energy Import</t>
  </si>
  <si>
    <t>AGR_IMP_DUMMY_NRG_LAND</t>
  </si>
  <si>
    <t>Dummy Land Import</t>
  </si>
  <si>
    <t>AGR_EX_LIV_CAT_DAIRY</t>
  </si>
  <si>
    <t>AGR_LIV_CAT_DAIRY</t>
  </si>
  <si>
    <t>1000s of animals</t>
  </si>
  <si>
    <t>AGR_EX_LIV_CAT_NON-DAIRY</t>
  </si>
  <si>
    <t>AGR_LIV_CAT_NON-DAIRY</t>
  </si>
  <si>
    <t>AGR_EX_LIV_SHEEP</t>
  </si>
  <si>
    <t>AGR_LIV_SHEEP</t>
  </si>
  <si>
    <t>AGR_EX_LIV_SWINE</t>
  </si>
  <si>
    <t>AGR_LIV_SWINE</t>
  </si>
  <si>
    <t>AGR_EX_LIV_GOAT</t>
  </si>
  <si>
    <t>AGR_LIV_GOAT</t>
  </si>
  <si>
    <t>AGR_EX_LIV_HORSE</t>
  </si>
  <si>
    <t>AGR_LIV_HORSE</t>
  </si>
  <si>
    <t>AGR_EX_LIV_POULTRY</t>
  </si>
  <si>
    <t>AGR_LIV_POULTRY</t>
  </si>
  <si>
    <t>AGR_EX_LIV_RABBIT</t>
  </si>
  <si>
    <t>AGR_LIV_RABBIT</t>
  </si>
  <si>
    <t>AGR_EX_LIV_FUR</t>
  </si>
  <si>
    <t>AGR_LIV_FUR</t>
  </si>
  <si>
    <t>AGR_EX_LIV_INDIRECT</t>
  </si>
  <si>
    <t>AGR_FERT_N_INORG</t>
  </si>
  <si>
    <t>AGR_FERT_N_MANURE</t>
  </si>
  <si>
    <t>AGR_FERT_N_SLUDGE</t>
  </si>
  <si>
    <t>AGR_FERT_N_URINE</t>
  </si>
  <si>
    <t>AGR_FERT_N_CROP-RES</t>
  </si>
  <si>
    <t>AGR_FERT_N_MIN</t>
  </si>
  <si>
    <t>AGR_FERT_N_CULT</t>
  </si>
  <si>
    <t>AGR_FERT_N_ATM-DEP</t>
  </si>
  <si>
    <t>AGR_FERT_N_NITR-LEACH</t>
  </si>
  <si>
    <t>AGR_LAND_FERT_CO2_LIM</t>
  </si>
  <si>
    <t>AGR_LAND_FERT_CO2_DOL</t>
  </si>
  <si>
    <t>AGR_LAND_FERT_CO2_UREA</t>
  </si>
  <si>
    <t>AGR_LAND_FERT_CO2_OTH</t>
  </si>
  <si>
    <t>AGR_LAND_CROP_WHEAT</t>
  </si>
  <si>
    <t>AGR_LAND_CROP_BARLEY</t>
  </si>
  <si>
    <t>AGR_LAND_CROP_MAIZE</t>
  </si>
  <si>
    <t>AGR_LAND_CROP_CER-MIX</t>
  </si>
  <si>
    <t>AGR_LAND_CROP_TRITICALE</t>
  </si>
  <si>
    <t>AGR_LAND_CROP_OATS</t>
  </si>
  <si>
    <t>AGR_LAND_CROP_RYE</t>
  </si>
  <si>
    <t>AGR_LAND_CROP_MILL-BUCK</t>
  </si>
  <si>
    <t>AGR_LAND_CROP_PULS-FEED</t>
  </si>
  <si>
    <t>AGR_LAND_CROP_PULS-EDIB</t>
  </si>
  <si>
    <t>AGR_LAND_CROP_POTATO</t>
  </si>
  <si>
    <t>AGR_LAND_CROP_STR-HAY</t>
  </si>
  <si>
    <t>AGR_LAND_CROP_OIL</t>
  </si>
  <si>
    <t>AGR_LAND_CROP_FRUIT</t>
  </si>
  <si>
    <t>AGR_LAND_CROP_VEG</t>
  </si>
  <si>
    <t>AGR_IMP_LAND_RESIDUE</t>
  </si>
  <si>
    <t>Dummy Import of Crop Residues for Biogas Production</t>
  </si>
  <si>
    <t>Comm-OUT-A</t>
  </si>
  <si>
    <t>Stock~2020~2050</t>
  </si>
  <si>
    <t>Output~2020~AGR_N2O</t>
  </si>
  <si>
    <t>Output~2050~AGR_N2O</t>
  </si>
  <si>
    <t>AFA~FX</t>
  </si>
  <si>
    <t>Input</t>
  </si>
  <si>
    <t>k ha</t>
  </si>
  <si>
    <t>kt/k ha</t>
  </si>
  <si>
    <t>Output~2020~AGR_CO2</t>
  </si>
  <si>
    <t>Output~2050~AGR_CO2</t>
  </si>
  <si>
    <t>Output~2020~AGR_CH4_LAND</t>
  </si>
  <si>
    <t>Output~2050~AGR_CH4_LAND</t>
  </si>
  <si>
    <t>Cost</t>
  </si>
  <si>
    <t>100 IPI / thousand vehicle</t>
  </si>
  <si>
    <t>Stock~2020</t>
  </si>
  <si>
    <t>OUTPUT</t>
  </si>
  <si>
    <t>Thousands Animals</t>
  </si>
  <si>
    <t>Fuel Input per 1000 Animals</t>
  </si>
  <si>
    <t>kt/1000 animals</t>
  </si>
  <si>
    <t>Animals per year</t>
  </si>
  <si>
    <t>* Gross Calorific Value</t>
  </si>
  <si>
    <t>ACTFLO</t>
  </si>
  <si>
    <t>CEFF</t>
  </si>
  <si>
    <t>Share-I</t>
  </si>
  <si>
    <t>mln m3 biogazu na rok</t>
  </si>
  <si>
    <t>MJ / m3</t>
  </si>
  <si>
    <t xml:space="preserve">PJ/mln m3 - </t>
  </si>
  <si>
    <t>mln m3 / kt</t>
  </si>
  <si>
    <t>kt animal manure / kt all manure</t>
  </si>
  <si>
    <t>kt/kt</t>
  </si>
  <si>
    <t>AGR_EX_MAN_BIOG</t>
  </si>
  <si>
    <t>Agriculture Manure Fed Biogass</t>
  </si>
  <si>
    <t>mln m3</t>
  </si>
  <si>
    <t>AGR_RESID_CROP_WHEAT</t>
  </si>
  <si>
    <t>AGR_RESID_CROP_BARLEY</t>
  </si>
  <si>
    <t>AGR_RESID_CROP_MAIZE</t>
  </si>
  <si>
    <t>AGR_RESID_CROP_CER-MIX</t>
  </si>
  <si>
    <t>AGR_RESID_CROP_TRITICALE</t>
  </si>
  <si>
    <t>AGR_RESID_CROP_OATS</t>
  </si>
  <si>
    <t>AGR_RESID_CROP_RYE</t>
  </si>
  <si>
    <t>AGR_RESID_CROP_MILL-BUCK</t>
  </si>
  <si>
    <t>AGR_RESID_CROP_PULS-FEED</t>
  </si>
  <si>
    <t>AGR_RESID_CROP_PULS-EDIB</t>
  </si>
  <si>
    <t>AGR_RESID_CROP_POTATO</t>
  </si>
  <si>
    <t>AGR_RESID_CROP_STR-HAY</t>
  </si>
  <si>
    <t>AGR_RESID_CROP_OIL</t>
  </si>
  <si>
    <t>AGR_RESID_CROP_FRUIT</t>
  </si>
  <si>
    <t>AGR_RESID_CROP_VEG</t>
  </si>
  <si>
    <t>Crop Residues</t>
  </si>
  <si>
    <t>AGR_EX_BIOG_CLEAN</t>
  </si>
  <si>
    <t>AGR_BIO_CH4</t>
  </si>
  <si>
    <t>Agricultural Biomethane</t>
  </si>
  <si>
    <t>CAP2ACT</t>
  </si>
  <si>
    <t>zł/GJ</t>
  </si>
  <si>
    <t>PJ/PJ</t>
  </si>
  <si>
    <t>Agriculture Biogaz Cleaning</t>
  </si>
  <si>
    <t>~FI_T:PL</t>
  </si>
  <si>
    <t>\I: PRE</t>
  </si>
  <si>
    <t xml:space="preserve">\I: </t>
  </si>
  <si>
    <t>* TechDesc</t>
  </si>
  <si>
    <t>awyrwa@agh.edu.pl</t>
  </si>
  <si>
    <t>Wersja modelu na potrzeby scenariuszy INTG_3</t>
  </si>
  <si>
    <t>Biogaz rolniczy wytwarza się sam</t>
  </si>
  <si>
    <t>Janusz Zyśk</t>
  </si>
  <si>
    <t>AGR_LIVESTOCK_FOOD</t>
  </si>
  <si>
    <t>AGR_DEM_CROP_WHEAT</t>
  </si>
  <si>
    <t>AGR_DEM_CROP_BARLEY</t>
  </si>
  <si>
    <t>AGR_DEM_CROP_MAIZE</t>
  </si>
  <si>
    <t>AGR_DEM_CROP_CER-MIX</t>
  </si>
  <si>
    <t>AGR_DEM_CROP_TRITICALE</t>
  </si>
  <si>
    <t>AGR_DEM_CROP_OATS</t>
  </si>
  <si>
    <t>AGR_DEM_CROP_RYE</t>
  </si>
  <si>
    <t>AGR_DEM_CROP_MILL-BUCK</t>
  </si>
  <si>
    <t>AGR_DEM_CROP_PULS-FEED</t>
  </si>
  <si>
    <t>AGR_DEM_CROP_PULS-EDIB</t>
  </si>
  <si>
    <t>AGR_DEM_CROP_POTATO</t>
  </si>
  <si>
    <t>AGR_DEM_CROP_STR-HAY</t>
  </si>
  <si>
    <t>AGR_DEM_CROP_OIL</t>
  </si>
  <si>
    <t>AGR_DEM_CROP_FRUIT</t>
  </si>
  <si>
    <t>AGR_DEM_CROP_VEG</t>
  </si>
  <si>
    <t>AGR_LAND</t>
  </si>
  <si>
    <t>MAT</t>
  </si>
  <si>
    <t>kha</t>
  </si>
  <si>
    <t>Output</t>
  </si>
  <si>
    <t>Proces reperzentuje hektar uprawy</t>
  </si>
  <si>
    <t>Na hektar uprawy potrzebny input hektar ziemi</t>
  </si>
  <si>
    <t>Aktywność jest mierzona hektarami uprawy</t>
  </si>
  <si>
    <t>I na jednostkęaktywności czyli hektar uprawy mamy odpadów 0.5 t</t>
  </si>
  <si>
    <t>ACTFLO~AGR_DEM_CROP_WHEAT</t>
  </si>
  <si>
    <t>Z hektara mamy 5,38 ton outputu przenicy</t>
  </si>
  <si>
    <t>warzywa</t>
  </si>
  <si>
    <t>owoce</t>
  </si>
  <si>
    <t>Jabłek w sadach</t>
  </si>
  <si>
    <t>Gruszek w sadach</t>
  </si>
  <si>
    <t>Śliwek w sadach</t>
  </si>
  <si>
    <t>Wiśni w sadach</t>
  </si>
  <si>
    <t>Czereśni w sadach</t>
  </si>
  <si>
    <t>Pozostałych owoców z drzew w sadach</t>
  </si>
  <si>
    <t>Truskawek i poziomek gruntowych</t>
  </si>
  <si>
    <t>Malin w sadach</t>
  </si>
  <si>
    <t>Porzeczek ogółem w sadach</t>
  </si>
  <si>
    <t>Borówki wysokiej w sadach</t>
  </si>
  <si>
    <t>Aronii w sadach</t>
  </si>
  <si>
    <t>Agrestu w sadach</t>
  </si>
  <si>
    <t>Pozostałych owoców z krzewów i plantacji jagodowych w sadach</t>
  </si>
  <si>
    <t>Kapusty gruntowej</t>
  </si>
  <si>
    <t>Kalafiorów gruntowych</t>
  </si>
  <si>
    <t>Cebuli gruntowej</t>
  </si>
  <si>
    <t>Marchwi jadalnej gruntowej</t>
  </si>
  <si>
    <t>Buraków ćwikłowych gruntowych</t>
  </si>
  <si>
    <t>Ogórków gruntowych</t>
  </si>
  <si>
    <t>Pomidorów gruntowych</t>
  </si>
  <si>
    <t>Pietruszki gruntowej</t>
  </si>
  <si>
    <t>Selerów korzeniowych</t>
  </si>
  <si>
    <t>Dynii, kabaczka i cukinii</t>
  </si>
  <si>
    <t>Kukurydzy cukrowej</t>
  </si>
  <si>
    <t>Pozostałych warzyw gruntowych</t>
  </si>
  <si>
    <t>ha</t>
  </si>
  <si>
    <t>dt/ha</t>
  </si>
  <si>
    <t>udział masowy</t>
  </si>
  <si>
    <t>https://www.farmer.pl/produkcja-roslinna/zboza/wartosc-nawozowa-slomy-wzgledem-nawozow-mineralnych,135275.html</t>
  </si>
  <si>
    <t>https://agroas.pl/blog/sloma-kukurydziana-jak-ja-zagospodarowac</t>
  </si>
  <si>
    <t>kukurydza</t>
  </si>
  <si>
    <t>bierzemy jare</t>
  </si>
  <si>
    <t>https://rir.info.pl/ile-zboz-mozna-zebrac-z-jednego-hektara/</t>
  </si>
  <si>
    <t xml:space="preserve">cer-mix </t>
  </si>
  <si>
    <t>ziemniaki</t>
  </si>
  <si>
    <t>https://tabledebates.org/research-library/waste-potato-supply-chain-potato-harvest-reduced-half-field-fork</t>
  </si>
  <si>
    <t>na podstawie słonecznika, oil, https://www.researchgate.net/figure/Comparative-Vegetable-Oil-Yields-per-Hectare-per-Year_tbl1_341265256</t>
  </si>
  <si>
    <t>kt pszenicy, tyle musimy wsaddzić, żeby otrzymać AD9</t>
  </si>
  <si>
    <t>kha/kha</t>
  </si>
  <si>
    <t>kt/kha</t>
  </si>
  <si>
    <t>!!!</t>
  </si>
  <si>
    <t>tylko tyle jest wykorzystane potencjału na chwilę obecna</t>
  </si>
  <si>
    <t>!!!produkcja_upraw_rolnych_i_ogrodniczych_w_2023_2 excel   ozime bierzemy, gdzie się da</t>
  </si>
  <si>
    <t>dt</t>
  </si>
  <si>
    <r>
      <rPr>
        <vertAlign val="superscript"/>
        <sz val="10"/>
        <rFont val="Arial"/>
        <family val="2"/>
        <charset val="238"/>
      </rPr>
      <t>b)</t>
    </r>
    <r>
      <rPr>
        <sz val="10"/>
        <rFont val="Arial"/>
        <family val="2"/>
        <charset val="238"/>
      </rPr>
      <t xml:space="preserve"> Remaining excluding parsley, root celery, pumpkin, squash, zucchini, and sweet corn.</t>
    </r>
  </si>
  <si>
    <r>
      <rPr>
        <vertAlign val="superscript"/>
        <sz val="10"/>
        <rFont val="Arial"/>
        <family val="2"/>
        <charset val="238"/>
      </rPr>
      <t>c)</t>
    </r>
    <r>
      <rPr>
        <sz val="10"/>
        <rFont val="Arial"/>
        <family val="2"/>
        <charset val="238"/>
      </rPr>
      <t xml:space="preserve"> Remaining including: parsley, leeks, celery, radish, lettuce, rhubarb, asparagus, dill, and others.</t>
    </r>
  </si>
  <si>
    <t>inne b</t>
  </si>
  <si>
    <t>inne c</t>
  </si>
  <si>
    <t>=</t>
  </si>
  <si>
    <t>TABL. 43. POWIERZCHNIA, PLONY I ZBIORY Z ŁĄK TRWAŁYCH WEDŁUG POKOSÓW</t>
  </si>
  <si>
    <t>odpady:</t>
  </si>
  <si>
    <t>https://pdf.sciencedirectassets.com/271763/1-s2.0-S0160412005X00502/1-s2.0-S0160412004001564/main.pdf?X-Amz-Security-Token=IQoJb3JpZ2luX2VjEAgaCXVzLWVhc3QtMSJHMEUCIDQdYsn9pVjwWPlCjKgbUcRHF1lE%2FUk%2B06JntvcR2%2FumAiEA%2BqJgy2gwz738AD8m0QI0NOC%2FxraLOSj2PsoUdyuXiDQqswUIMBAFGgwwNTkwMDM1NDY4NjUiDHYIHGBIIaIzpISHMiqQBesq6eetkVBrs9SeZ8wYe97w4c8%2BvYbnPrL97RRRx4cnR6AbzKUGOKqgSCf0zbVMhDJDRJBZxDktlrVALb4kdkkEENiVMg1CtRoeEuZX23dnFP4GfoUVE%2BK2UpVRCZBvpkRXLTxawzuvc18uX8P9mu81OnrcaV724dFsjxnOde3CO05Zn7%2BugNZJs%2FuB%2FY%2BxlYRxte86eulAR%2Fsf%2FUZ6Cu5IcVH4LF4i6V%2BaknbEzOKnCnzhedGVmbaH5Fz4RN8woir0niy7MuKzSGZWaWuldl3WFRRDI4kyR%2BXibZTJkmbko%2BU1Z42iFgsTgE4iUM9GoIEHLfQ0uGvJhyEo%2FFqkZ5qUcUch09Bg%2FfKkSpiAnh9VzX%2B3OHjhmxrZCNpXIwOXUA19mWHenBwiw%2B%2FujIidIGPnl4N%2BYoLg5mPNSstG7sgrd62RxB5dRFyf%2F7f6YdEvpDcOWi8Y2YyfXmYvNGQxNLtNUoM799U2sYS45dZiYROG3PMMsZ7wpNCk8QMVxAvItQAEtouK2qPZIriOOYHuvn9OmGFCvyHm5ydLFH7%2BG4R1PWz8%2FFm03Pu3CsG%2F9Do%2F6%2BWn5USL2W%2BAJUO2TxLon6i7htz4f2rhVYKnHcwvpjIbhtYW0kzGaGOr93jLEc4rlZ8e557s9XrEeRuoc1H6KnCDPVmLLbdjop9iTJHbls8PPmHrwQ7uzBIc6K%2F2eKaIK%2BKUNqEJMEhTZWoN7plXsLCS50FGLJVNKdudFuyMlXQXVq1GVyw7IM7%2BEnzhPANG7ibrRNOMpbDuqpk98wyNJw6v%2BH%2B6dgtHlcANgpcjhAewY3iLpkJ352KVAXYw8Az9xUwRrOYJoQSLEhHNlqlpOGQIAuFIqBII0w1TyZo%2B3JUKMLzX8bYGOrEBBJLsl6QG9%2FfT2%2Bdhsaz2Isg%2FSlh7443590C4SaGhWaEcawMub7IH5HLawzWiMRF5JA6KzO44CcHKqVXeSD7ZDvPn2bICSbd9Clqo9AgGdDY2My57erMMA0rOLLgyBVmEOBQxzXLrUtf8YetYE%2Fo2YXX1BvvlVa6x%2FeTm4RmewBQFq3dedOKM4lHE925dv4mbxGZ1%2B4ou%2B6s21ehyUNK7RRERfolzKnL0VmE3gbxszQ7s&amp;X-Amz-Algorithm=AWS4-HMAC-SHA256&amp;X-Amz-Date=20240907T155619Z&amp;X-Amz-SignedHeaders=host&amp;X-Amz-Expires=299&amp;X-Amz-Credential=ASIAQ3PHCVTYSLYF6SDH%2F20240907%2Fus-east-1%2Fs3%2Faws4_request&amp;X-Amz-Signature=fcd4e04aca04a60f98015f71403d3043ddb21892348babf2e0682f630eb1035a&amp;hash=735f23085b624cc3ca5d3bf1ca0af8106d264ce2530b968fdf59fa9340e893ac&amp;host=68042c943591013ac2b2430a89b270f6af2c76d8dfd086a07176afe7c76c2c61&amp;pii=S0160412004001564&amp;tid=spdf-d201e380-973f-4aa3-bcf9-29ec21eca51a&amp;sid=6bebefa37d66204a698a7da6a3955120da62gxrqa&amp;type=client&amp;tsoh=d3d3LnNjaWVuY2VkaXJlY3QuY29t&amp;ua=1e085a02015304565a&amp;rr=8bf7e35eabe1b365&amp;cc=pl</t>
  </si>
  <si>
    <t>file:///C:/Users/gabry/Downloads/Assessing_lignocellulosic_biomass_production_from_.pdf</t>
  </si>
  <si>
    <t>based on sunflower</t>
  </si>
  <si>
    <t>Valorization of millet agro-residues for bioenergy production through pyrolysis: Recent inroads, technological bottlenecks, possible remedies, and future directions</t>
  </si>
  <si>
    <t xml:space="preserve">file:///C:/Users/gabry/Downloads/Ecofys20Final_20EC_max20biomass2020151214_0.pdf </t>
  </si>
  <si>
    <t>bazując na sugar beets i winogronach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</si>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</sst>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* #,##0.00\ &quot;zł&quot;_-;\-* #,##0.00\ &quot;zł&quot;_-;_-* &quot;-&quot;??\ &quot;zł&quot;_-;_-@_-"/>
    <numFmt numFmtId="164" formatCode="_-* #,##0.00\ _€_-;\-* #,##0.00\ _€_-;_-* &quot;-&quot;??\ _€_-;_-@_-"/>
    <numFmt numFmtId="165" formatCode="\Te\x\t"/>
    <numFmt numFmtId="166" formatCode="#,##0.0"/>
    <numFmt numFmtId="167" formatCode="#,##0.0_ ;\-#,##0.0\ "/>
    <numFmt numFmtId="168" formatCode="_-* #,##0\ _€_-;\-* #,##0\ _€_-;_-* &quot;-&quot;??\ _€_-;_-@_-"/>
    <numFmt numFmtId="169" formatCode="0.0000%"/>
    <numFmt numFmtId="170" formatCode="0.0"/>
  </numFmts>
  <fonts count="43">
    <font>
      <sz val="10"/>
      <name val="Arial"/>
    </font>
    <font>
      <sz val="11"/>
      <color theme="1"/>
      <name val="Calibri"/>
      <family val="2"/>
      <charset val="238"/>
      <scheme val="minor"/>
    </font>
    <font>
      <sz val="14"/>
      <color theme="1"/>
      <name val="Czcionka tekstu podstaw."/>
      <family val="2"/>
      <charset val="238"/>
    </font>
    <font>
      <sz val="14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2"/>
      <color indexed="56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b/>
      <sz val="8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u/>
      <sz val="10"/>
      <color theme="10"/>
      <name val="Arial"/>
      <family val="2"/>
      <charset val="238"/>
    </font>
    <font>
      <sz val="9"/>
      <color theme="1"/>
      <name val="Arial"/>
      <family val="2"/>
    </font>
    <font>
      <sz val="9"/>
      <color theme="1"/>
      <name val="Arial Narrow"/>
      <family val="2"/>
    </font>
    <font>
      <b/>
      <sz val="16"/>
      <color theme="1"/>
      <name val="Arial Narrow"/>
      <family val="2"/>
    </font>
    <font>
      <b/>
      <sz val="16"/>
      <color theme="6"/>
      <name val="Arial Narrow"/>
      <family val="2"/>
    </font>
    <font>
      <sz val="11"/>
      <color theme="1"/>
      <name val="Calibri"/>
      <family val="2"/>
      <charset val="1"/>
      <scheme val="minor"/>
    </font>
    <font>
      <b/>
      <sz val="16"/>
      <color theme="5"/>
      <name val="Arial Narrow"/>
      <family val="2"/>
    </font>
    <font>
      <b/>
      <sz val="9"/>
      <color theme="1"/>
      <name val="Arial Narrow"/>
      <family val="2"/>
    </font>
    <font>
      <b/>
      <sz val="9"/>
      <color theme="6"/>
      <name val="Arial Narrow"/>
      <family val="2"/>
    </font>
    <font>
      <b/>
      <sz val="8"/>
      <color theme="6"/>
      <name val="Arial Narrow"/>
      <family val="2"/>
    </font>
    <font>
      <sz val="8"/>
      <color theme="1"/>
      <name val="Arial Narrow"/>
      <family val="2"/>
    </font>
    <font>
      <sz val="14"/>
      <color theme="0"/>
      <name val="Arial"/>
      <family val="2"/>
      <charset val="238"/>
    </font>
    <font>
      <b/>
      <sz val="14"/>
      <color theme="1"/>
      <name val="Calibri"/>
      <family val="2"/>
      <charset val="238"/>
      <scheme val="minor"/>
    </font>
    <font>
      <u/>
      <sz val="14"/>
      <color theme="10"/>
      <name val="Calibri"/>
      <family val="2"/>
      <charset val="238"/>
      <scheme val="minor"/>
    </font>
    <font>
      <b/>
      <sz val="10"/>
      <color rgb="FF0000FF"/>
      <name val="Arial"/>
      <family val="2"/>
    </font>
    <font>
      <u/>
      <sz val="10"/>
      <color theme="10"/>
      <name val="Arial"/>
    </font>
    <font>
      <sz val="11"/>
      <color theme="1"/>
      <name val="Czcionka tekstu podstawowego"/>
      <family val="2"/>
      <charset val="238"/>
    </font>
    <font>
      <u/>
      <sz val="10"/>
      <color theme="10"/>
      <name val="Arial CE"/>
      <charset val="238"/>
    </font>
    <font>
      <sz val="10"/>
      <name val="Arial CE"/>
      <charset val="238"/>
    </font>
    <font>
      <b/>
      <sz val="10"/>
      <name val="Arial CE"/>
    </font>
    <font>
      <vertAlign val="superscript"/>
      <sz val="10"/>
      <name val="Arial"/>
      <family val="2"/>
      <charset val="238"/>
    </font>
    <font>
      <b/>
      <sz val="10"/>
      <color theme="1"/>
      <name val="Arial"/>
      <family val="2"/>
      <charset val="238"/>
    </font>
  </fonts>
  <fills count="3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26"/>
      </patternFill>
    </fill>
    <fill>
      <patternFill patternType="solid">
        <fgColor rgb="FFF2F2F2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8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rgb="FFA6A6A6"/>
      </left>
      <right/>
      <top style="thin">
        <color indexed="64"/>
      </top>
      <bottom style="thin">
        <color indexed="64"/>
      </bottom>
      <diagonal/>
    </border>
    <border>
      <left style="hair">
        <color rgb="FFA6A6A6"/>
      </left>
      <right style="hair">
        <color rgb="FFA6A6A6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hair">
        <color rgb="FFA6A6A6"/>
      </left>
      <right/>
      <top/>
      <bottom style="thin">
        <color rgb="FF000000"/>
      </bottom>
      <diagonal/>
    </border>
    <border>
      <left style="double">
        <color indexed="64"/>
      </left>
      <right/>
      <top/>
      <bottom style="thin">
        <color rgb="FF00000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 style="hair">
        <color rgb="FFA6A6A6"/>
      </left>
      <right/>
      <top/>
      <bottom style="hair">
        <color rgb="FFC0C0C0"/>
      </bottom>
      <diagonal/>
    </border>
    <border>
      <left style="hair">
        <color rgb="FFA6A6A6"/>
      </left>
      <right/>
      <top style="hair">
        <color rgb="FFC0C0C0"/>
      </top>
      <bottom style="hair">
        <color rgb="FFC0C0C0"/>
      </bottom>
      <diagonal/>
    </border>
    <border>
      <left style="double">
        <color indexed="64"/>
      </left>
      <right/>
      <top style="hair">
        <color rgb="FFC0C0C0"/>
      </top>
      <bottom style="hair">
        <color rgb="FFC0C0C0"/>
      </bottom>
      <diagonal/>
    </border>
    <border>
      <left/>
      <right/>
      <top/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 style="hair">
        <color rgb="FFA6A6A6"/>
      </left>
      <right/>
      <top/>
      <bottom/>
      <diagonal/>
    </border>
    <border>
      <left style="hair">
        <color rgb="FFA6A6A6"/>
      </left>
      <right/>
      <top style="hair">
        <color rgb="FFC0C0C0"/>
      </top>
      <bottom/>
      <diagonal/>
    </border>
    <border>
      <left style="double">
        <color indexed="64"/>
      </left>
      <right/>
      <top style="hair">
        <color rgb="FFC0C0C0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1">
    <xf numFmtId="0" fontId="0" fillId="0" borderId="0"/>
    <xf numFmtId="0" fontId="7" fillId="0" borderId="0"/>
    <xf numFmtId="0" fontId="7" fillId="0" borderId="0"/>
    <xf numFmtId="0" fontId="7" fillId="0" borderId="0"/>
    <xf numFmtId="0" fontId="15" fillId="0" borderId="0"/>
    <xf numFmtId="44" fontId="17" fillId="0" borderId="0" applyFont="0" applyFill="0" applyBorder="0" applyAlignment="0" applyProtection="0"/>
    <xf numFmtId="0" fontId="15" fillId="0" borderId="0"/>
    <xf numFmtId="0" fontId="7" fillId="0" borderId="0"/>
    <xf numFmtId="0" fontId="15" fillId="0" borderId="0"/>
    <xf numFmtId="0" fontId="7" fillId="0" borderId="0"/>
    <xf numFmtId="0" fontId="7" fillId="0" borderId="0"/>
    <xf numFmtId="0" fontId="15" fillId="0" borderId="0"/>
    <xf numFmtId="0" fontId="15" fillId="0" borderId="0"/>
    <xf numFmtId="0" fontId="2" fillId="0" borderId="0"/>
    <xf numFmtId="0" fontId="3" fillId="0" borderId="0"/>
    <xf numFmtId="164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4" fillId="0" borderId="0"/>
    <xf numFmtId="0" fontId="21" fillId="0" borderId="0" applyNumberFormat="0" applyFill="0" applyBorder="0" applyAlignment="0" applyProtection="0"/>
    <xf numFmtId="0" fontId="7" fillId="0" borderId="0"/>
    <xf numFmtId="0" fontId="36" fillId="0" borderId="0" applyNumberFormat="0" applyFill="0" applyBorder="0" applyAlignment="0" applyProtection="0"/>
    <xf numFmtId="0" fontId="1" fillId="0" borderId="0"/>
    <xf numFmtId="0" fontId="37" fillId="0" borderId="0"/>
    <xf numFmtId="0" fontId="1" fillId="0" borderId="0"/>
    <xf numFmtId="0" fontId="38" fillId="0" borderId="0" applyNumberForma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39" fillId="0" borderId="0"/>
    <xf numFmtId="0" fontId="39" fillId="0" borderId="0"/>
    <xf numFmtId="0" fontId="15" fillId="0" borderId="0"/>
  </cellStyleXfs>
  <cellXfs count="309">
    <xf numFmtId="0" fontId="0" fillId="0" borderId="0" xfId="0"/>
    <xf numFmtId="0" fontId="18" fillId="0" borderId="0" xfId="11" applyFont="1"/>
    <xf numFmtId="0" fontId="3" fillId="13" borderId="0" xfId="14" applyFill="1" applyAlignment="1">
      <alignment horizontal="left" vertical="top" wrapText="1"/>
    </xf>
    <xf numFmtId="0" fontId="3" fillId="13" borderId="16" xfId="14" applyFill="1" applyBorder="1" applyAlignment="1">
      <alignment horizontal="left" vertical="top"/>
    </xf>
    <xf numFmtId="0" fontId="33" fillId="13" borderId="42" xfId="14" applyFont="1" applyFill="1" applyBorder="1" applyAlignment="1">
      <alignment horizontal="left" vertical="top"/>
    </xf>
    <xf numFmtId="0" fontId="33" fillId="13" borderId="42" xfId="14" applyFont="1" applyFill="1" applyBorder="1" applyAlignment="1">
      <alignment vertical="top"/>
    </xf>
    <xf numFmtId="0" fontId="3" fillId="13" borderId="42" xfId="14" applyFill="1" applyBorder="1" applyAlignment="1">
      <alignment horizontal="center" vertical="top"/>
    </xf>
    <xf numFmtId="0" fontId="3" fillId="13" borderId="42" xfId="14" applyFill="1" applyBorder="1" applyAlignment="1">
      <alignment horizontal="left" vertical="top"/>
    </xf>
    <xf numFmtId="0" fontId="3" fillId="13" borderId="42" xfId="14" applyFill="1" applyBorder="1" applyAlignment="1">
      <alignment vertical="top"/>
    </xf>
    <xf numFmtId="0" fontId="3" fillId="13" borderId="42" xfId="14" applyFill="1" applyBorder="1" applyAlignment="1">
      <alignment vertical="top" wrapText="1"/>
    </xf>
    <xf numFmtId="14" fontId="3" fillId="13" borderId="42" xfId="14" applyNumberFormat="1" applyFill="1" applyBorder="1" applyAlignment="1">
      <alignment horizontal="left" vertical="top"/>
    </xf>
    <xf numFmtId="0" fontId="33" fillId="13" borderId="42" xfId="14" applyFont="1" applyFill="1" applyBorder="1" applyAlignment="1">
      <alignment horizontal="center" vertical="center"/>
    </xf>
    <xf numFmtId="0" fontId="33" fillId="13" borderId="42" xfId="14" applyFont="1" applyFill="1" applyBorder="1" applyAlignment="1">
      <alignment horizontal="left" vertical="center"/>
    </xf>
    <xf numFmtId="0" fontId="33" fillId="13" borderId="0" xfId="14" applyFont="1" applyFill="1"/>
    <xf numFmtId="0" fontId="3" fillId="8" borderId="41" xfId="14" applyFill="1" applyBorder="1"/>
    <xf numFmtId="0" fontId="3" fillId="8" borderId="16" xfId="14" applyFill="1" applyBorder="1"/>
    <xf numFmtId="0" fontId="3" fillId="8" borderId="40" xfId="14" applyFill="1" applyBorder="1"/>
    <xf numFmtId="0" fontId="3" fillId="13" borderId="41" xfId="14" applyFill="1" applyBorder="1"/>
    <xf numFmtId="0" fontId="3" fillId="13" borderId="16" xfId="14" applyFill="1" applyBorder="1"/>
    <xf numFmtId="0" fontId="3" fillId="13" borderId="40" xfId="14" applyFill="1" applyBorder="1"/>
    <xf numFmtId="0" fontId="34" fillId="13" borderId="0" xfId="12" applyFont="1" applyFill="1"/>
    <xf numFmtId="14" fontId="3" fillId="13" borderId="0" xfId="14" applyNumberFormat="1" applyFill="1"/>
    <xf numFmtId="0" fontId="3" fillId="13" borderId="0" xfId="14" applyFill="1" applyAlignment="1">
      <alignment vertical="top" wrapText="1"/>
    </xf>
    <xf numFmtId="0" fontId="33" fillId="13" borderId="0" xfId="14" applyFont="1" applyFill="1" applyAlignment="1">
      <alignment horizontal="left"/>
    </xf>
    <xf numFmtId="0" fontId="2" fillId="0" borderId="0" xfId="13"/>
    <xf numFmtId="0" fontId="3" fillId="13" borderId="39" xfId="14" applyFill="1" applyBorder="1"/>
    <xf numFmtId="0" fontId="3" fillId="13" borderId="35" xfId="14" applyFill="1" applyBorder="1"/>
    <xf numFmtId="0" fontId="3" fillId="8" borderId="39" xfId="14" applyFill="1" applyBorder="1"/>
    <xf numFmtId="0" fontId="3" fillId="13" borderId="38" xfId="14" applyFill="1" applyBorder="1"/>
    <xf numFmtId="0" fontId="3" fillId="13" borderId="2" xfId="14" applyFill="1" applyBorder="1"/>
    <xf numFmtId="0" fontId="3" fillId="13" borderId="37" xfId="14" applyFill="1" applyBorder="1"/>
    <xf numFmtId="0" fontId="3" fillId="8" borderId="35" xfId="14" applyFill="1" applyBorder="1"/>
    <xf numFmtId="0" fontId="3" fillId="8" borderId="38" xfId="14" applyFill="1" applyBorder="1"/>
    <xf numFmtId="0" fontId="3" fillId="8" borderId="2" xfId="14" applyFill="1" applyBorder="1"/>
    <xf numFmtId="0" fontId="3" fillId="8" borderId="37" xfId="14" applyFill="1" applyBorder="1"/>
    <xf numFmtId="0" fontId="3" fillId="13" borderId="0" xfId="14" applyFill="1"/>
    <xf numFmtId="0" fontId="3" fillId="7" borderId="0" xfId="14" applyFill="1"/>
    <xf numFmtId="0" fontId="23" fillId="13" borderId="0" xfId="9" applyFont="1" applyFill="1" applyAlignment="1">
      <alignment horizontal="center" vertical="center"/>
    </xf>
    <xf numFmtId="0" fontId="15" fillId="0" borderId="0" xfId="0" applyFont="1"/>
    <xf numFmtId="0" fontId="12" fillId="0" borderId="0" xfId="2" applyFont="1"/>
    <xf numFmtId="0" fontId="7" fillId="0" borderId="0" xfId="3"/>
    <xf numFmtId="165" fontId="6" fillId="4" borderId="0" xfId="0" applyNumberFormat="1" applyFont="1" applyFill="1"/>
    <xf numFmtId="165" fontId="9" fillId="4" borderId="0" xfId="0" applyNumberFormat="1" applyFont="1" applyFill="1"/>
    <xf numFmtId="165" fontId="7" fillId="0" borderId="0" xfId="0" applyNumberFormat="1" applyFont="1"/>
    <xf numFmtId="165" fontId="8" fillId="0" borderId="0" xfId="0" applyNumberFormat="1" applyFont="1"/>
    <xf numFmtId="165" fontId="0" fillId="0" borderId="0" xfId="0" applyNumberFormat="1"/>
    <xf numFmtId="0" fontId="7" fillId="3" borderId="1" xfId="1" applyFill="1" applyBorder="1" applyAlignment="1">
      <alignment horizontal="center" vertical="center" wrapText="1"/>
    </xf>
    <xf numFmtId="0" fontId="12" fillId="0" borderId="0" xfId="5" applyNumberFormat="1" applyFont="1"/>
    <xf numFmtId="165" fontId="5" fillId="2" borderId="3" xfId="0" applyNumberFormat="1" applyFont="1" applyFill="1" applyBorder="1" applyAlignment="1">
      <alignment horizontal="center" vertical="center"/>
    </xf>
    <xf numFmtId="165" fontId="7" fillId="3" borderId="4" xfId="1" applyNumberFormat="1" applyFill="1" applyBorder="1" applyAlignment="1">
      <alignment horizontal="center" vertical="center" wrapText="1"/>
    </xf>
    <xf numFmtId="165" fontId="7" fillId="3" borderId="1" xfId="1" applyNumberFormat="1" applyFill="1" applyBorder="1" applyAlignment="1">
      <alignment horizontal="center" vertical="center" wrapText="1"/>
    </xf>
    <xf numFmtId="165" fontId="5" fillId="2" borderId="2" xfId="0" applyNumberFormat="1" applyFont="1" applyFill="1" applyBorder="1" applyAlignment="1">
      <alignment horizontal="center" vertical="center"/>
    </xf>
    <xf numFmtId="0" fontId="7" fillId="3" borderId="4" xfId="1" applyFill="1" applyBorder="1" applyAlignment="1">
      <alignment horizontal="center" vertical="center" wrapText="1"/>
    </xf>
    <xf numFmtId="0" fontId="0" fillId="10" borderId="0" xfId="0" applyFill="1"/>
    <xf numFmtId="0" fontId="19" fillId="0" borderId="0" xfId="0" applyFont="1"/>
    <xf numFmtId="0" fontId="20" fillId="0" borderId="3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wrapText="1"/>
    </xf>
    <xf numFmtId="0" fontId="20" fillId="0" borderId="9" xfId="0" applyFont="1" applyBorder="1" applyAlignment="1">
      <alignment horizontal="center" vertical="top" wrapText="1"/>
    </xf>
    <xf numFmtId="0" fontId="20" fillId="0" borderId="0" xfId="0" applyFont="1" applyAlignment="1">
      <alignment wrapText="1"/>
    </xf>
    <xf numFmtId="0" fontId="20" fillId="0" borderId="14" xfId="0" applyFont="1" applyBorder="1" applyAlignment="1">
      <alignment horizontal="right"/>
    </xf>
    <xf numFmtId="0" fontId="20" fillId="10" borderId="0" xfId="0" applyFont="1" applyFill="1" applyAlignment="1">
      <alignment wrapText="1"/>
    </xf>
    <xf numFmtId="0" fontId="20" fillId="10" borderId="14" xfId="0" applyFont="1" applyFill="1" applyBorder="1" applyAlignment="1">
      <alignment horizontal="right"/>
    </xf>
    <xf numFmtId="0" fontId="20" fillId="9" borderId="14" xfId="0" applyFont="1" applyFill="1" applyBorder="1" applyAlignment="1">
      <alignment horizontal="right"/>
    </xf>
    <xf numFmtId="0" fontId="6" fillId="4" borderId="0" xfId="11" applyFont="1" applyFill="1"/>
    <xf numFmtId="0" fontId="8" fillId="0" borderId="0" xfId="11" applyFont="1"/>
    <xf numFmtId="0" fontId="15" fillId="0" borderId="0" xfId="11"/>
    <xf numFmtId="0" fontId="5" fillId="0" borderId="0" xfId="11" applyFont="1"/>
    <xf numFmtId="0" fontId="18" fillId="7" borderId="7" xfId="11" applyFont="1" applyFill="1" applyBorder="1" applyAlignment="1">
      <alignment horizontal="center" vertical="center" wrapText="1"/>
    </xf>
    <xf numFmtId="0" fontId="15" fillId="8" borderId="8" xfId="11" applyFill="1" applyBorder="1" applyAlignment="1">
      <alignment horizontal="center" vertical="center" wrapText="1"/>
    </xf>
    <xf numFmtId="0" fontId="15" fillId="5" borderId="0" xfId="11" applyFill="1" applyAlignment="1">
      <alignment vertical="center" wrapText="1"/>
    </xf>
    <xf numFmtId="0" fontId="15" fillId="11" borderId="0" xfId="11" applyFill="1"/>
    <xf numFmtId="0" fontId="18" fillId="7" borderId="7" xfId="3" applyFont="1" applyFill="1" applyBorder="1" applyAlignment="1">
      <alignment horizontal="center" vertical="center"/>
    </xf>
    <xf numFmtId="0" fontId="18" fillId="7" borderId="7" xfId="1" applyFont="1" applyFill="1" applyBorder="1" applyAlignment="1">
      <alignment horizontal="center" vertical="center"/>
    </xf>
    <xf numFmtId="0" fontId="18" fillId="7" borderId="7" xfId="3" applyFont="1" applyFill="1" applyBorder="1" applyAlignment="1">
      <alignment horizontal="center" vertical="center" wrapText="1"/>
    </xf>
    <xf numFmtId="0" fontId="15" fillId="8" borderId="8" xfId="1" applyFont="1" applyFill="1" applyBorder="1" applyAlignment="1">
      <alignment horizontal="center" vertical="center" wrapText="1"/>
    </xf>
    <xf numFmtId="165" fontId="15" fillId="5" borderId="5" xfId="0" applyNumberFormat="1" applyFont="1" applyFill="1" applyBorder="1"/>
    <xf numFmtId="0" fontId="15" fillId="5" borderId="5" xfId="0" applyFont="1" applyFill="1" applyBorder="1"/>
    <xf numFmtId="165" fontId="15" fillId="6" borderId="0" xfId="0" applyNumberFormat="1" applyFont="1" applyFill="1"/>
    <xf numFmtId="0" fontId="15" fillId="6" borderId="0" xfId="0" applyFont="1" applyFill="1"/>
    <xf numFmtId="165" fontId="15" fillId="5" borderId="0" xfId="0" applyNumberFormat="1" applyFont="1" applyFill="1"/>
    <xf numFmtId="0" fontId="15" fillId="5" borderId="0" xfId="0" applyFont="1" applyFill="1"/>
    <xf numFmtId="0" fontId="15" fillId="6" borderId="6" xfId="0" applyFont="1" applyFill="1" applyBorder="1"/>
    <xf numFmtId="0" fontId="15" fillId="6" borderId="0" xfId="0" quotePrefix="1" applyFont="1" applyFill="1"/>
    <xf numFmtId="0" fontId="15" fillId="5" borderId="15" xfId="11" applyFill="1" applyBorder="1" applyAlignment="1">
      <alignment vertical="center" wrapText="1"/>
    </xf>
    <xf numFmtId="0" fontId="15" fillId="5" borderId="15" xfId="11" applyFill="1" applyBorder="1"/>
    <xf numFmtId="0" fontId="15" fillId="5" borderId="0" xfId="11" applyFill="1"/>
    <xf numFmtId="0" fontId="15" fillId="5" borderId="15" xfId="0" applyFont="1" applyFill="1" applyBorder="1"/>
    <xf numFmtId="0" fontId="15" fillId="6" borderId="0" xfId="11" applyFill="1"/>
    <xf numFmtId="0" fontId="15" fillId="12" borderId="0" xfId="11" applyFill="1"/>
    <xf numFmtId="0" fontId="15" fillId="6" borderId="0" xfId="11" applyFill="1" applyAlignment="1">
      <alignment vertical="center" wrapText="1"/>
    </xf>
    <xf numFmtId="165" fontId="15" fillId="6" borderId="0" xfId="4" applyNumberFormat="1" applyFill="1"/>
    <xf numFmtId="165" fontId="15" fillId="5" borderId="0" xfId="4" applyNumberFormat="1" applyFill="1"/>
    <xf numFmtId="165" fontId="8" fillId="0" borderId="0" xfId="0" applyNumberFormat="1" applyFont="1" applyAlignment="1">
      <alignment vertical="center"/>
    </xf>
    <xf numFmtId="0" fontId="23" fillId="13" borderId="0" xfId="9" applyFont="1" applyFill="1" applyAlignment="1">
      <alignment horizontal="left" vertical="center"/>
    </xf>
    <xf numFmtId="0" fontId="24" fillId="13" borderId="0" xfId="9" applyFont="1" applyFill="1" applyAlignment="1">
      <alignment horizontal="left" vertical="center"/>
    </xf>
    <xf numFmtId="0" fontId="25" fillId="13" borderId="0" xfId="9" applyFont="1" applyFill="1" applyAlignment="1">
      <alignment horizontal="left" vertical="center"/>
    </xf>
    <xf numFmtId="167" fontId="23" fillId="13" borderId="0" xfId="15" applyNumberFormat="1" applyFont="1" applyFill="1" applyBorder="1" applyAlignment="1">
      <alignment horizontal="left" vertical="center"/>
    </xf>
    <xf numFmtId="0" fontId="27" fillId="13" borderId="0" xfId="9" applyFont="1" applyFill="1" applyAlignment="1">
      <alignment horizontal="left" vertical="center"/>
    </xf>
    <xf numFmtId="0" fontId="24" fillId="13" borderId="16" xfId="9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horizontal="left" vertical="center"/>
    </xf>
    <xf numFmtId="167" fontId="28" fillId="13" borderId="16" xfId="15" applyNumberFormat="1" applyFont="1" applyFill="1" applyBorder="1" applyAlignment="1">
      <alignment horizontal="left" vertical="center"/>
    </xf>
    <xf numFmtId="167" fontId="28" fillId="13" borderId="0" xfId="15" applyNumberFormat="1" applyFont="1" applyFill="1" applyBorder="1" applyAlignment="1">
      <alignment horizontal="left" vertical="center"/>
    </xf>
    <xf numFmtId="0" fontId="25" fillId="13" borderId="16" xfId="9" applyFont="1" applyFill="1" applyBorder="1" applyAlignment="1">
      <alignment vertical="center"/>
    </xf>
    <xf numFmtId="167" fontId="29" fillId="13" borderId="16" xfId="15" applyNumberFormat="1" applyFont="1" applyFill="1" applyBorder="1" applyAlignment="1">
      <alignment horizontal="center" vertical="center"/>
    </xf>
    <xf numFmtId="167" fontId="30" fillId="13" borderId="17" xfId="15" applyNumberFormat="1" applyFont="1" applyFill="1" applyBorder="1" applyAlignment="1">
      <alignment horizontal="center" vertical="center" wrapText="1"/>
    </xf>
    <xf numFmtId="167" fontId="29" fillId="13" borderId="17" xfId="15" applyNumberFormat="1" applyFont="1" applyFill="1" applyBorder="1" applyAlignment="1">
      <alignment horizontal="center" vertical="center"/>
    </xf>
    <xf numFmtId="167" fontId="29" fillId="13" borderId="18" xfId="15" applyNumberFormat="1" applyFont="1" applyFill="1" applyBorder="1" applyAlignment="1">
      <alignment horizontal="center" vertical="center"/>
    </xf>
    <xf numFmtId="167" fontId="29" fillId="13" borderId="3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/>
    </xf>
    <xf numFmtId="167" fontId="30" fillId="13" borderId="16" xfId="15" applyNumberFormat="1" applyFont="1" applyFill="1" applyBorder="1" applyAlignment="1">
      <alignment horizontal="center" vertical="center" wrapText="1"/>
    </xf>
    <xf numFmtId="167" fontId="29" fillId="13" borderId="19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vertical="center"/>
    </xf>
    <xf numFmtId="0" fontId="23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center" vertical="center"/>
    </xf>
    <xf numFmtId="0" fontId="24" fillId="14" borderId="20" xfId="9" applyFont="1" applyFill="1" applyBorder="1" applyAlignment="1">
      <alignment horizontal="left" vertical="center"/>
    </xf>
    <xf numFmtId="0" fontId="23" fillId="14" borderId="20" xfId="9" quotePrefix="1" applyFont="1" applyFill="1" applyBorder="1" applyAlignment="1">
      <alignment horizontal="center" vertical="center"/>
    </xf>
    <xf numFmtId="0" fontId="29" fillId="14" borderId="20" xfId="9" applyFont="1" applyFill="1" applyBorder="1" applyAlignment="1">
      <alignment horizontal="center" vertical="center"/>
    </xf>
    <xf numFmtId="167" fontId="23" fillId="14" borderId="21" xfId="15" applyNumberFormat="1" applyFont="1" applyFill="1" applyBorder="1" applyAlignment="1">
      <alignment horizontal="center" vertical="center" wrapText="1"/>
    </xf>
    <xf numFmtId="167" fontId="23" fillId="14" borderId="20" xfId="15" applyNumberFormat="1" applyFont="1" applyFill="1" applyBorder="1" applyAlignment="1">
      <alignment horizontal="center" vertical="center" wrapText="1"/>
    </xf>
    <xf numFmtId="167" fontId="31" fillId="14" borderId="20" xfId="15" applyNumberFormat="1" applyFont="1" applyFill="1" applyBorder="1" applyAlignment="1">
      <alignment horizontal="center" vertical="center" wrapText="1"/>
    </xf>
    <xf numFmtId="167" fontId="23" fillId="14" borderId="22" xfId="15" applyNumberFormat="1" applyFont="1" applyFill="1" applyBorder="1" applyAlignment="1">
      <alignment horizontal="center" vertical="center" wrapText="1"/>
    </xf>
    <xf numFmtId="0" fontId="22" fillId="13" borderId="0" xfId="9" applyFont="1" applyFill="1" applyAlignment="1">
      <alignment horizontal="center" vertical="center"/>
    </xf>
    <xf numFmtId="168" fontId="23" fillId="13" borderId="0" xfId="15" applyNumberFormat="1" applyFont="1" applyFill="1" applyBorder="1" applyAlignment="1">
      <alignment horizontal="center" vertical="center"/>
    </xf>
    <xf numFmtId="0" fontId="28" fillId="13" borderId="23" xfId="9" applyFont="1" applyFill="1" applyBorder="1" applyAlignment="1">
      <alignment horizontal="center" vertical="center"/>
    </xf>
    <xf numFmtId="0" fontId="23" fillId="13" borderId="23" xfId="9" applyFont="1" applyFill="1" applyBorder="1" applyAlignment="1">
      <alignment horizontal="left" vertical="center"/>
    </xf>
    <xf numFmtId="0" fontId="23" fillId="13" borderId="23" xfId="9" applyFont="1" applyFill="1" applyBorder="1" applyAlignment="1">
      <alignment horizontal="center" vertical="center"/>
    </xf>
    <xf numFmtId="0" fontId="29" fillId="13" borderId="23" xfId="9" applyFont="1" applyFill="1" applyBorder="1" applyAlignment="1">
      <alignment horizontal="center" vertical="center"/>
    </xf>
    <xf numFmtId="166" fontId="23" fillId="13" borderId="24" xfId="15" applyNumberFormat="1" applyFont="1" applyFill="1" applyBorder="1" applyAlignment="1">
      <alignment horizontal="right" vertical="center"/>
    </xf>
    <xf numFmtId="166" fontId="23" fillId="13" borderId="23" xfId="15" applyNumberFormat="1" applyFont="1" applyFill="1" applyBorder="1" applyAlignment="1">
      <alignment horizontal="right" vertical="center"/>
    </xf>
    <xf numFmtId="166" fontId="23" fillId="13" borderId="25" xfId="15" applyNumberFormat="1" applyFont="1" applyFill="1" applyBorder="1" applyAlignment="1">
      <alignment horizontal="right" vertical="center"/>
    </xf>
    <xf numFmtId="166" fontId="23" fillId="13" borderId="26" xfId="15" applyNumberFormat="1" applyFont="1" applyFill="1" applyBorder="1" applyAlignment="1">
      <alignment horizontal="right" vertical="center"/>
    </xf>
    <xf numFmtId="0" fontId="23" fillId="13" borderId="0" xfId="9" applyFont="1" applyFill="1" applyAlignment="1">
      <alignment vertical="center"/>
    </xf>
    <xf numFmtId="0" fontId="23" fillId="13" borderId="23" xfId="9" applyFont="1" applyFill="1" applyBorder="1" applyAlignment="1">
      <alignment vertical="center"/>
    </xf>
    <xf numFmtId="166" fontId="23" fillId="13" borderId="27" xfId="15" applyNumberFormat="1" applyFont="1" applyFill="1" applyBorder="1" applyAlignment="1">
      <alignment horizontal="right" vertical="center"/>
    </xf>
    <xf numFmtId="0" fontId="23" fillId="13" borderId="28" xfId="9" applyFont="1" applyFill="1" applyBorder="1" applyAlignment="1">
      <alignment vertical="center"/>
    </xf>
    <xf numFmtId="0" fontId="28" fillId="13" borderId="28" xfId="9" applyFont="1" applyFill="1" applyBorder="1" applyAlignment="1">
      <alignment horizontal="center" vertical="center"/>
    </xf>
    <xf numFmtId="0" fontId="23" fillId="13" borderId="28" xfId="9" applyFont="1" applyFill="1" applyBorder="1" applyAlignment="1">
      <alignment horizontal="left" vertical="center"/>
    </xf>
    <xf numFmtId="0" fontId="23" fillId="13" borderId="28" xfId="9" applyFont="1" applyFill="1" applyBorder="1" applyAlignment="1">
      <alignment horizontal="center" vertical="center"/>
    </xf>
    <xf numFmtId="0" fontId="29" fillId="13" borderId="28" xfId="9" applyFont="1" applyFill="1" applyBorder="1" applyAlignment="1">
      <alignment horizontal="center" vertical="center"/>
    </xf>
    <xf numFmtId="166" fontId="23" fillId="13" borderId="29" xfId="15" applyNumberFormat="1" applyFont="1" applyFill="1" applyBorder="1" applyAlignment="1">
      <alignment horizontal="right" vertical="center"/>
    </xf>
    <xf numFmtId="166" fontId="23" fillId="13" borderId="28" xfId="15" applyNumberFormat="1" applyFont="1" applyFill="1" applyBorder="1" applyAlignment="1">
      <alignment horizontal="right" vertical="center"/>
    </xf>
    <xf numFmtId="166" fontId="23" fillId="13" borderId="30" xfId="15" applyNumberFormat="1" applyFont="1" applyFill="1" applyBorder="1" applyAlignment="1">
      <alignment horizontal="right" vertical="center"/>
    </xf>
    <xf numFmtId="166" fontId="23" fillId="13" borderId="31" xfId="15" applyNumberFormat="1" applyFont="1" applyFill="1" applyBorder="1" applyAlignment="1">
      <alignment horizontal="right" vertical="center"/>
    </xf>
    <xf numFmtId="0" fontId="28" fillId="13" borderId="2" xfId="9" applyFont="1" applyFill="1" applyBorder="1" applyAlignment="1">
      <alignment horizontal="left" vertical="center"/>
    </xf>
    <xf numFmtId="0" fontId="23" fillId="13" borderId="2" xfId="9" applyFont="1" applyFill="1" applyBorder="1" applyAlignment="1">
      <alignment horizontal="center" vertical="center"/>
    </xf>
    <xf numFmtId="0" fontId="29" fillId="13" borderId="2" xfId="9" applyFont="1" applyFill="1" applyBorder="1" applyAlignment="1">
      <alignment horizontal="center" vertical="center"/>
    </xf>
    <xf numFmtId="169" fontId="28" fillId="13" borderId="2" xfId="16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right" vertical="center"/>
    </xf>
    <xf numFmtId="166" fontId="28" fillId="13" borderId="2" xfId="15" applyNumberFormat="1" applyFont="1" applyFill="1" applyBorder="1" applyAlignment="1">
      <alignment horizontal="center" vertical="center"/>
    </xf>
    <xf numFmtId="166" fontId="23" fillId="13" borderId="2" xfId="15" applyNumberFormat="1" applyFont="1" applyFill="1" applyBorder="1" applyAlignment="1">
      <alignment horizontal="center" vertical="center"/>
    </xf>
    <xf numFmtId="0" fontId="29" fillId="13" borderId="0" xfId="9" applyFont="1" applyFill="1" applyAlignment="1">
      <alignment horizontal="center" vertical="center"/>
    </xf>
    <xf numFmtId="167" fontId="23" fillId="13" borderId="0" xfId="15" applyNumberFormat="1" applyFont="1" applyFill="1" applyAlignment="1">
      <alignment horizontal="center" vertical="center"/>
    </xf>
    <xf numFmtId="167" fontId="23" fillId="13" borderId="0" xfId="15" applyNumberFormat="1" applyFont="1" applyFill="1" applyBorder="1" applyAlignment="1">
      <alignment horizontal="center" vertical="center"/>
    </xf>
    <xf numFmtId="167" fontId="23" fillId="13" borderId="0" xfId="15" applyNumberFormat="1" applyFont="1" applyFill="1" applyBorder="1" applyAlignment="1">
      <alignment vertical="center"/>
    </xf>
    <xf numFmtId="167" fontId="23" fillId="13" borderId="0" xfId="15" applyNumberFormat="1" applyFont="1" applyFill="1" applyAlignment="1">
      <alignment vertical="center"/>
    </xf>
    <xf numFmtId="166" fontId="23" fillId="13" borderId="0" xfId="9" applyNumberFormat="1" applyFont="1" applyFill="1" applyAlignment="1">
      <alignment vertical="center"/>
    </xf>
    <xf numFmtId="0" fontId="15" fillId="13" borderId="6" xfId="11" applyFill="1" applyBorder="1"/>
    <xf numFmtId="165" fontId="15" fillId="13" borderId="6" xfId="4" applyNumberFormat="1" applyFill="1" applyBorder="1"/>
    <xf numFmtId="0" fontId="15" fillId="15" borderId="6" xfId="11" applyFill="1" applyBorder="1"/>
    <xf numFmtId="0" fontId="15" fillId="13" borderId="6" xfId="11" applyFill="1" applyBorder="1" applyAlignment="1">
      <alignment vertical="center" wrapText="1"/>
    </xf>
    <xf numFmtId="0" fontId="0" fillId="0" borderId="16" xfId="0" applyBorder="1"/>
    <xf numFmtId="0" fontId="18" fillId="7" borderId="7" xfId="10" applyFont="1" applyFill="1" applyBorder="1" applyAlignment="1">
      <alignment horizontal="center" vertical="center" wrapText="1"/>
    </xf>
    <xf numFmtId="0" fontId="15" fillId="13" borderId="0" xfId="11" applyFill="1"/>
    <xf numFmtId="0" fontId="15" fillId="13" borderId="0" xfId="11" applyFill="1" applyAlignment="1">
      <alignment vertical="center" wrapText="1"/>
    </xf>
    <xf numFmtId="0" fontId="0" fillId="13" borderId="0" xfId="0" applyFill="1"/>
    <xf numFmtId="165" fontId="15" fillId="13" borderId="0" xfId="4" applyNumberFormat="1" applyFill="1"/>
    <xf numFmtId="0" fontId="15" fillId="15" borderId="0" xfId="11" applyFill="1"/>
    <xf numFmtId="0" fontId="0" fillId="16" borderId="0" xfId="0" applyFill="1"/>
    <xf numFmtId="0" fontId="0" fillId="17" borderId="0" xfId="0" applyFill="1"/>
    <xf numFmtId="0" fontId="18" fillId="7" borderId="7" xfId="6" applyFont="1" applyFill="1" applyBorder="1" applyAlignment="1">
      <alignment horizontal="center" vertical="center"/>
    </xf>
    <xf numFmtId="0" fontId="18" fillId="7" borderId="7" xfId="6" applyFont="1" applyFill="1" applyBorder="1" applyAlignment="1">
      <alignment horizontal="center" vertical="center" wrapText="1"/>
    </xf>
    <xf numFmtId="0" fontId="18" fillId="18" borderId="7" xfId="6" applyFont="1" applyFill="1" applyBorder="1" applyAlignment="1">
      <alignment horizontal="center" vertical="center" wrapText="1"/>
    </xf>
    <xf numFmtId="0" fontId="15" fillId="8" borderId="8" xfId="7" applyFont="1" applyFill="1" applyBorder="1" applyAlignment="1">
      <alignment horizontal="center" vertical="center" wrapText="1"/>
    </xf>
    <xf numFmtId="0" fontId="32" fillId="19" borderId="0" xfId="0" applyFont="1" applyFill="1"/>
    <xf numFmtId="165" fontId="15" fillId="13" borderId="0" xfId="0" applyNumberFormat="1" applyFont="1" applyFill="1"/>
    <xf numFmtId="0" fontId="15" fillId="13" borderId="0" xfId="0" applyFont="1" applyFill="1"/>
    <xf numFmtId="0" fontId="15" fillId="17" borderId="0" xfId="0" applyFont="1" applyFill="1"/>
    <xf numFmtId="0" fontId="15" fillId="5" borderId="6" xfId="0" applyFont="1" applyFill="1" applyBorder="1"/>
    <xf numFmtId="0" fontId="15" fillId="13" borderId="16" xfId="0" applyFont="1" applyFill="1" applyBorder="1"/>
    <xf numFmtId="0" fontId="0" fillId="13" borderId="16" xfId="0" applyFill="1" applyBorder="1"/>
    <xf numFmtId="0" fontId="15" fillId="20" borderId="0" xfId="11" applyFill="1"/>
    <xf numFmtId="0" fontId="0" fillId="20" borderId="0" xfId="0" applyFill="1"/>
    <xf numFmtId="0" fontId="15" fillId="8" borderId="8" xfId="6" applyFill="1" applyBorder="1" applyAlignment="1">
      <alignment horizontal="center" vertical="center" wrapText="1"/>
    </xf>
    <xf numFmtId="0" fontId="15" fillId="6" borderId="6" xfId="4" applyFill="1" applyBorder="1"/>
    <xf numFmtId="0" fontId="15" fillId="8" borderId="16" xfId="6" applyFill="1" applyBorder="1" applyAlignment="1">
      <alignment horizontal="center" vertical="center" wrapText="1"/>
    </xf>
    <xf numFmtId="0" fontId="15" fillId="6" borderId="16" xfId="0" applyFont="1" applyFill="1" applyBorder="1"/>
    <xf numFmtId="0" fontId="0" fillId="6" borderId="0" xfId="0" applyFill="1"/>
    <xf numFmtId="11" fontId="15" fillId="6" borderId="0" xfId="0" applyNumberFormat="1" applyFont="1" applyFill="1"/>
    <xf numFmtId="11" fontId="0" fillId="6" borderId="0" xfId="0" applyNumberFormat="1" applyFill="1"/>
    <xf numFmtId="0" fontId="18" fillId="7" borderId="32" xfId="11" applyFont="1" applyFill="1" applyBorder="1" applyAlignment="1">
      <alignment horizontal="center" vertical="center" wrapText="1"/>
    </xf>
    <xf numFmtId="0" fontId="18" fillId="7" borderId="32" xfId="11" applyFont="1" applyFill="1" applyBorder="1" applyAlignment="1">
      <alignment horizontal="center" vertical="center"/>
    </xf>
    <xf numFmtId="0" fontId="15" fillId="8" borderId="33" xfId="11" applyFill="1" applyBorder="1" applyAlignment="1">
      <alignment horizontal="center" vertical="center" wrapText="1"/>
    </xf>
    <xf numFmtId="0" fontId="15" fillId="5" borderId="34" xfId="11" applyFill="1" applyBorder="1" applyAlignment="1">
      <alignment vertical="center" wrapText="1"/>
    </xf>
    <xf numFmtId="0" fontId="15" fillId="5" borderId="35" xfId="11" applyFill="1" applyBorder="1" applyAlignment="1">
      <alignment vertical="center" wrapText="1"/>
    </xf>
    <xf numFmtId="0" fontId="15" fillId="6" borderId="35" xfId="11" applyFill="1" applyBorder="1" applyAlignment="1">
      <alignment vertical="center" wrapText="1"/>
    </xf>
    <xf numFmtId="0" fontId="15" fillId="13" borderId="35" xfId="11" applyFill="1" applyBorder="1" applyAlignment="1">
      <alignment vertical="center" wrapText="1"/>
    </xf>
    <xf numFmtId="0" fontId="15" fillId="13" borderId="35" xfId="11" applyFill="1" applyBorder="1"/>
    <xf numFmtId="0" fontId="0" fillId="13" borderId="35" xfId="0" applyFill="1" applyBorder="1"/>
    <xf numFmtId="0" fontId="15" fillId="13" borderId="36" xfId="11" applyFill="1" applyBorder="1" applyAlignment="1">
      <alignment vertical="center" wrapText="1"/>
    </xf>
    <xf numFmtId="2" fontId="15" fillId="5" borderId="34" xfId="11" applyNumberFormat="1" applyFill="1" applyBorder="1" applyAlignment="1">
      <alignment vertical="center" wrapText="1"/>
    </xf>
    <xf numFmtId="2" fontId="15" fillId="5" borderId="15" xfId="11" applyNumberFormat="1" applyFill="1" applyBorder="1" applyAlignment="1">
      <alignment vertical="center" wrapText="1"/>
    </xf>
    <xf numFmtId="2" fontId="15" fillId="5" borderId="35" xfId="11" applyNumberFormat="1" applyFill="1" applyBorder="1" applyAlignment="1">
      <alignment vertical="center" wrapText="1"/>
    </xf>
    <xf numFmtId="2" fontId="15" fillId="5" borderId="0" xfId="11" applyNumberFormat="1" applyFill="1" applyAlignment="1">
      <alignment vertical="center" wrapText="1"/>
    </xf>
    <xf numFmtId="2" fontId="15" fillId="6" borderId="35" xfId="11" applyNumberFormat="1" applyFill="1" applyBorder="1" applyAlignment="1">
      <alignment vertical="center" wrapText="1"/>
    </xf>
    <xf numFmtId="2" fontId="15" fillId="6" borderId="0" xfId="11" applyNumberFormat="1" applyFill="1" applyAlignment="1">
      <alignment vertical="center" wrapText="1"/>
    </xf>
    <xf numFmtId="2" fontId="15" fillId="13" borderId="35" xfId="11" applyNumberFormat="1" applyFill="1" applyBorder="1" applyAlignment="1">
      <alignment vertical="center" wrapText="1"/>
    </xf>
    <xf numFmtId="2" fontId="15" fillId="13" borderId="0" xfId="11" applyNumberFormat="1" applyFill="1" applyAlignment="1">
      <alignment vertical="center" wrapText="1"/>
    </xf>
    <xf numFmtId="2" fontId="0" fillId="13" borderId="35" xfId="0" applyNumberFormat="1" applyFill="1" applyBorder="1"/>
    <xf numFmtId="2" fontId="0" fillId="13" borderId="0" xfId="0" applyNumberFormat="1" applyFill="1"/>
    <xf numFmtId="2" fontId="15" fillId="13" borderId="36" xfId="11" applyNumberFormat="1" applyFill="1" applyBorder="1" applyAlignment="1">
      <alignment vertical="center" wrapText="1"/>
    </xf>
    <xf numFmtId="2" fontId="15" fillId="13" borderId="6" xfId="11" applyNumberFormat="1" applyFill="1" applyBorder="1" applyAlignment="1">
      <alignment vertical="center" wrapText="1"/>
    </xf>
    <xf numFmtId="0" fontId="15" fillId="13" borderId="0" xfId="8" applyFill="1"/>
    <xf numFmtId="0" fontId="15" fillId="5" borderId="4" xfId="0" applyFont="1" applyFill="1" applyBorder="1"/>
    <xf numFmtId="0" fontId="15" fillId="6" borderId="4" xfId="0" applyFont="1" applyFill="1" applyBorder="1"/>
    <xf numFmtId="0" fontId="15" fillId="21" borderId="43" xfId="0" applyFont="1" applyFill="1" applyBorder="1"/>
    <xf numFmtId="0" fontId="0" fillId="21" borderId="43" xfId="0" applyFill="1" applyBorder="1"/>
    <xf numFmtId="0" fontId="8" fillId="0" borderId="0" xfId="3" applyFont="1" applyAlignment="1">
      <alignment horizontal="left"/>
    </xf>
    <xf numFmtId="0" fontId="18" fillId="7" borderId="7" xfId="0" applyFont="1" applyFill="1" applyBorder="1" applyAlignment="1">
      <alignment horizontal="center" vertical="center" wrapText="1"/>
    </xf>
    <xf numFmtId="0" fontId="15" fillId="8" borderId="8" xfId="0" applyFont="1" applyFill="1" applyBorder="1" applyAlignment="1">
      <alignment horizontal="center" vertical="center" wrapText="1"/>
    </xf>
    <xf numFmtId="0" fontId="15" fillId="5" borderId="44" xfId="0" applyFont="1" applyFill="1" applyBorder="1"/>
    <xf numFmtId="0" fontId="15" fillId="5" borderId="45" xfId="0" applyFont="1" applyFill="1" applyBorder="1"/>
    <xf numFmtId="0" fontId="15" fillId="6" borderId="45" xfId="0" applyFont="1" applyFill="1" applyBorder="1"/>
    <xf numFmtId="0" fontId="15" fillId="17" borderId="45" xfId="0" applyFont="1" applyFill="1" applyBorder="1"/>
    <xf numFmtId="0" fontId="0" fillId="17" borderId="45" xfId="0" applyFill="1" applyBorder="1"/>
    <xf numFmtId="0" fontId="0" fillId="17" borderId="46" xfId="0" applyFill="1" applyBorder="1"/>
    <xf numFmtId="0" fontId="8" fillId="13" borderId="0" xfId="3" applyFont="1" applyFill="1" applyAlignment="1">
      <alignment horizontal="left"/>
    </xf>
    <xf numFmtId="0" fontId="7" fillId="13" borderId="0" xfId="3" applyFill="1"/>
    <xf numFmtId="0" fontId="18" fillId="7" borderId="7" xfId="19" applyFont="1" applyFill="1" applyBorder="1" applyAlignment="1">
      <alignment horizontal="center" vertical="center" wrapText="1"/>
    </xf>
    <xf numFmtId="0" fontId="15" fillId="21" borderId="3" xfId="0" applyFont="1" applyFill="1" applyBorder="1"/>
    <xf numFmtId="0" fontId="0" fillId="21" borderId="3" xfId="0" applyFill="1" applyBorder="1"/>
    <xf numFmtId="0" fontId="35" fillId="0" borderId="0" xfId="3" applyFont="1" applyAlignment="1">
      <alignment horizontal="left"/>
    </xf>
    <xf numFmtId="0" fontId="18" fillId="22" borderId="47" xfId="3" applyFont="1" applyFill="1" applyBorder="1" applyAlignment="1">
      <alignment horizontal="center" vertical="center"/>
    </xf>
    <xf numFmtId="0" fontId="18" fillId="22" borderId="47" xfId="1" applyFont="1" applyFill="1" applyBorder="1" applyAlignment="1">
      <alignment horizontal="center" vertical="center"/>
    </xf>
    <xf numFmtId="0" fontId="18" fillId="22" borderId="47" xfId="10" applyFont="1" applyFill="1" applyBorder="1" applyAlignment="1">
      <alignment horizontal="center" vertical="center" wrapText="1"/>
    </xf>
    <xf numFmtId="0" fontId="15" fillId="23" borderId="48" xfId="1" applyFont="1" applyFill="1" applyBorder="1" applyAlignment="1">
      <alignment horizontal="center" vertical="center" wrapText="1"/>
    </xf>
    <xf numFmtId="0" fontId="15" fillId="24" borderId="49" xfId="0" applyFont="1" applyFill="1" applyBorder="1"/>
    <xf numFmtId="0" fontId="15" fillId="25" borderId="50" xfId="0" applyFont="1" applyFill="1" applyBorder="1"/>
    <xf numFmtId="0" fontId="15" fillId="5" borderId="2" xfId="0" applyFont="1" applyFill="1" applyBorder="1"/>
    <xf numFmtId="0" fontId="15" fillId="26" borderId="45" xfId="0" applyFont="1" applyFill="1" applyBorder="1"/>
    <xf numFmtId="0" fontId="15" fillId="16" borderId="45" xfId="0" applyFont="1" applyFill="1" applyBorder="1"/>
    <xf numFmtId="0" fontId="15" fillId="16" borderId="0" xfId="0" applyFont="1" applyFill="1"/>
    <xf numFmtId="0" fontId="15" fillId="5" borderId="37" xfId="0" applyFont="1" applyFill="1" applyBorder="1"/>
    <xf numFmtId="0" fontId="15" fillId="21" borderId="2" xfId="0" applyFont="1" applyFill="1" applyBorder="1"/>
    <xf numFmtId="0" fontId="0" fillId="0" borderId="2" xfId="0" applyBorder="1"/>
    <xf numFmtId="0" fontId="0" fillId="21" borderId="38" xfId="0" applyFill="1" applyBorder="1"/>
    <xf numFmtId="0" fontId="15" fillId="0" borderId="35" xfId="0" applyFont="1" applyBorder="1"/>
    <xf numFmtId="0" fontId="0" fillId="9" borderId="0" xfId="0" applyFill="1"/>
    <xf numFmtId="0" fontId="0" fillId="0" borderId="39" xfId="0" applyBorder="1"/>
    <xf numFmtId="0" fontId="0" fillId="26" borderId="0" xfId="0" applyFill="1"/>
    <xf numFmtId="0" fontId="15" fillId="0" borderId="40" xfId="0" applyFont="1" applyBorder="1"/>
    <xf numFmtId="0" fontId="15" fillId="0" borderId="16" xfId="0" applyFont="1" applyBorder="1"/>
    <xf numFmtId="0" fontId="15" fillId="28" borderId="16" xfId="0" applyFont="1" applyFill="1" applyBorder="1"/>
    <xf numFmtId="0" fontId="0" fillId="0" borderId="41" xfId="0" applyBorder="1"/>
    <xf numFmtId="0" fontId="15" fillId="0" borderId="2" xfId="0" applyFont="1" applyBorder="1"/>
    <xf numFmtId="0" fontId="15" fillId="9" borderId="0" xfId="0" applyFont="1" applyFill="1"/>
    <xf numFmtId="0" fontId="0" fillId="0" borderId="35" xfId="0" applyBorder="1"/>
    <xf numFmtId="0" fontId="15" fillId="26" borderId="0" xfId="0" applyFont="1" applyFill="1"/>
    <xf numFmtId="0" fontId="15" fillId="27" borderId="0" xfId="0" applyFont="1" applyFill="1"/>
    <xf numFmtId="0" fontId="0" fillId="0" borderId="40" xfId="0" applyBorder="1"/>
    <xf numFmtId="0" fontId="15" fillId="21" borderId="0" xfId="0" applyFont="1" applyFill="1"/>
    <xf numFmtId="0" fontId="15" fillId="5" borderId="35" xfId="0" applyFont="1" applyFill="1" applyBorder="1"/>
    <xf numFmtId="0" fontId="0" fillId="21" borderId="39" xfId="0" applyFill="1" applyBorder="1"/>
    <xf numFmtId="0" fontId="15" fillId="0" borderId="37" xfId="0" applyFont="1" applyBorder="1"/>
    <xf numFmtId="0" fontId="15" fillId="8" borderId="51" xfId="1" applyFont="1" applyFill="1" applyBorder="1" applyAlignment="1">
      <alignment horizontal="center" vertical="center" wrapText="1"/>
    </xf>
    <xf numFmtId="0" fontId="15" fillId="8" borderId="3" xfId="1" applyFont="1" applyFill="1" applyBorder="1" applyAlignment="1">
      <alignment horizontal="center" vertical="center" wrapText="1"/>
    </xf>
    <xf numFmtId="0" fontId="15" fillId="8" borderId="3" xfId="0" applyFont="1" applyFill="1" applyBorder="1" applyAlignment="1">
      <alignment horizontal="center" vertical="center" wrapText="1"/>
    </xf>
    <xf numFmtId="3" fontId="40" fillId="0" borderId="39" xfId="21" applyNumberFormat="1" applyFont="1" applyBorder="1" applyAlignment="1">
      <alignment horizontal="right"/>
    </xf>
    <xf numFmtId="3" fontId="18" fillId="0" borderId="53" xfId="21" applyNumberFormat="1" applyFont="1" applyBorder="1" applyAlignment="1">
      <alignment horizontal="right"/>
    </xf>
    <xf numFmtId="0" fontId="18" fillId="7" borderId="37" xfId="3" applyFont="1" applyFill="1" applyBorder="1" applyAlignment="1">
      <alignment horizontal="center" vertical="center"/>
    </xf>
    <xf numFmtId="3" fontId="40" fillId="0" borderId="53" xfId="0" applyNumberFormat="1" applyFont="1" applyBorder="1" applyAlignment="1">
      <alignment horizontal="right"/>
    </xf>
    <xf numFmtId="166" fontId="40" fillId="0" borderId="53" xfId="0" applyNumberFormat="1" applyFont="1" applyBorder="1" applyAlignment="1">
      <alignment horizontal="right"/>
    </xf>
    <xf numFmtId="3" fontId="0" fillId="0" borderId="0" xfId="0" applyNumberFormat="1"/>
    <xf numFmtId="0" fontId="18" fillId="7" borderId="2" xfId="3" applyFont="1" applyFill="1" applyBorder="1" applyAlignment="1">
      <alignment horizontal="center" vertical="center"/>
    </xf>
    <xf numFmtId="0" fontId="18" fillId="7" borderId="2" xfId="1" applyFont="1" applyFill="1" applyBorder="1" applyAlignment="1">
      <alignment horizontal="center" vertical="center"/>
    </xf>
    <xf numFmtId="3" fontId="18" fillId="0" borderId="53" xfId="0" applyNumberFormat="1" applyFont="1" applyBorder="1" applyAlignment="1">
      <alignment horizontal="right"/>
    </xf>
    <xf numFmtId="166" fontId="0" fillId="0" borderId="0" xfId="0" applyNumberFormat="1"/>
    <xf numFmtId="166" fontId="18" fillId="0" borderId="53" xfId="0" applyNumberFormat="1" applyFont="1" applyBorder="1" applyAlignment="1">
      <alignment horizontal="right" wrapText="1"/>
    </xf>
    <xf numFmtId="3" fontId="18" fillId="0" borderId="53" xfId="23" applyNumberFormat="1" applyFont="1" applyBorder="1" applyAlignment="1">
      <alignment horizontal="right"/>
    </xf>
    <xf numFmtId="3" fontId="18" fillId="0" borderId="39" xfId="23" applyNumberFormat="1" applyFont="1" applyBorder="1" applyAlignment="1">
      <alignment horizontal="right"/>
    </xf>
    <xf numFmtId="3" fontId="18" fillId="0" borderId="53" xfId="25" applyNumberFormat="1" applyFont="1" applyBorder="1" applyAlignment="1">
      <alignment horizontal="right" wrapText="1"/>
    </xf>
    <xf numFmtId="170" fontId="18" fillId="0" borderId="53" xfId="25" applyNumberFormat="1" applyFont="1" applyBorder="1"/>
    <xf numFmtId="0" fontId="18" fillId="7" borderId="2" xfId="3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38" xfId="0" applyFont="1" applyFill="1" applyBorder="1" applyAlignment="1">
      <alignment horizontal="center" vertical="center" wrapText="1"/>
    </xf>
    <xf numFmtId="0" fontId="15" fillId="8" borderId="52" xfId="0" applyFont="1" applyFill="1" applyBorder="1" applyAlignment="1">
      <alignment horizontal="center" vertical="center" wrapText="1"/>
    </xf>
    <xf numFmtId="0" fontId="36" fillId="0" borderId="0" xfId="20"/>
    <xf numFmtId="0" fontId="15" fillId="0" borderId="15" xfId="0" applyFont="1" applyBorder="1"/>
    <xf numFmtId="0" fontId="18" fillId="7" borderId="0" xfId="19" applyFont="1" applyFill="1" applyAlignment="1">
      <alignment horizontal="center" vertical="center" wrapText="1"/>
    </xf>
    <xf numFmtId="0" fontId="15" fillId="26" borderId="4" xfId="0" applyFont="1" applyFill="1" applyBorder="1"/>
    <xf numFmtId="0" fontId="15" fillId="26" borderId="15" xfId="0" applyFont="1" applyFill="1" applyBorder="1"/>
    <xf numFmtId="0" fontId="15" fillId="26" borderId="0" xfId="25" applyFill="1"/>
    <xf numFmtId="0" fontId="0" fillId="29" borderId="0" xfId="0" applyFill="1"/>
    <xf numFmtId="0" fontId="0" fillId="0" borderId="0" xfId="0" quotePrefix="1"/>
    <xf numFmtId="3" fontId="18" fillId="0" borderId="0" xfId="30" applyNumberFormat="1" applyFont="1"/>
    <xf numFmtId="170" fontId="18" fillId="0" borderId="0" xfId="30" applyNumberFormat="1" applyFont="1"/>
    <xf numFmtId="0" fontId="18" fillId="0" borderId="0" xfId="0" applyFont="1"/>
    <xf numFmtId="3" fontId="42" fillId="0" borderId="37" xfId="0" applyNumberFormat="1" applyFont="1" applyBorder="1"/>
    <xf numFmtId="170" fontId="42" fillId="0" borderId="54" xfId="0" applyNumberFormat="1" applyFont="1" applyBorder="1"/>
    <xf numFmtId="0" fontId="33" fillId="13" borderId="0" xfId="14" applyFont="1" applyFill="1" applyAlignment="1">
      <alignment horizontal="left"/>
    </xf>
    <xf numFmtId="0" fontId="3" fillId="13" borderId="0" xfId="14" applyFill="1" applyAlignment="1">
      <alignment horizontal="left" vertical="top" wrapText="1"/>
    </xf>
    <xf numFmtId="0" fontId="33" fillId="13" borderId="0" xfId="14" applyFont="1" applyFill="1" applyAlignment="1">
      <alignment horizontal="center"/>
    </xf>
    <xf numFmtId="0" fontId="15" fillId="29" borderId="0" xfId="25" applyFill="1"/>
    <xf numFmtId="0" fontId="18" fillId="8" borderId="8" xfId="6" applyFont="1" applyFill="1" applyBorder="1" applyAlignment="1">
      <alignment horizontal="center" vertical="center" wrapText="1"/>
    </xf>
    <xf numFmtId="0" fontId="18" fillId="8" borderId="16" xfId="6" applyFont="1" applyFill="1" applyBorder="1" applyAlignment="1">
      <alignment horizontal="center" vertical="center" wrapText="1"/>
    </xf>
    <xf numFmtId="0" fontId="23" fillId="13" borderId="0" xfId="9" applyFont="1" applyFill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top" wrapText="1"/>
    </xf>
    <xf numFmtId="0" fontId="20" fillId="0" borderId="13" xfId="0" applyFont="1" applyBorder="1" applyAlignment="1">
      <alignment horizontal="center" vertical="top" wrapText="1"/>
    </xf>
  </cellXfs>
  <cellStyles count="31">
    <cellStyle name="Dziesiętny 3" xfId="15" xr:uid="{87C1AB9C-466C-4BCC-B431-1E04859FBA62}"/>
    <cellStyle name="Hiperłącze" xfId="20" builtinId="8"/>
    <cellStyle name="Hiperłącze 2" xfId="24" xr:uid="{42EA9342-8AC2-47D1-ABDD-F4FF61991D53}"/>
    <cellStyle name="Hiperłącze 2 4 2" xfId="18" xr:uid="{A0CEEC63-A083-4456-B266-E0B429C4C794}"/>
    <cellStyle name="Normal - Style1 2 2 3" xfId="11" xr:uid="{E16E8035-7906-41CF-9CEA-6F8DAA1C40ED}"/>
    <cellStyle name="Normal 10" xfId="1" xr:uid="{00000000-0005-0000-0000-000016030000}"/>
    <cellStyle name="Normal 10 15 2" xfId="7" xr:uid="{E5A914AA-3C51-4575-A411-D47338308B02}"/>
    <cellStyle name="Normal 2 2 14" xfId="9" xr:uid="{310A4E09-9102-40A7-97E0-3C0F0578F790}"/>
    <cellStyle name="Normal 2 3" xfId="12" xr:uid="{8AECB732-D0D4-417D-BA8A-B5F7DBF043E8}"/>
    <cellStyle name="Normal 3" xfId="2" xr:uid="{00000000-0005-0000-0000-00001B030000}"/>
    <cellStyle name="Normal 39 2 2" xfId="6" xr:uid="{261CD9A1-A4B7-44BA-9569-F7EE94A0D0DC}"/>
    <cellStyle name="Normal 4" xfId="3" xr:uid="{00000000-0005-0000-0000-00001F030000}"/>
    <cellStyle name="Normal 5 10 2" xfId="10" xr:uid="{6F94C9BF-24A8-4873-87B6-BDB164E6CACC}"/>
    <cellStyle name="Normal 5 10 2 2" xfId="19" xr:uid="{D259575D-6E38-44B4-A13D-1DF5E4DD956B}"/>
    <cellStyle name="Normal 74" xfId="13" xr:uid="{70817D90-4BE1-4843-BBB8-7263791096E7}"/>
    <cellStyle name="Normalny" xfId="0" builtinId="0"/>
    <cellStyle name="Normalny 10 10" xfId="8" xr:uid="{24F48ED7-0AF5-49D0-B1FB-A89A50D6946E}"/>
    <cellStyle name="Normalny 10 2 3" xfId="4" xr:uid="{00000000-0005-0000-0000-00002D030000}"/>
    <cellStyle name="Normalny 11" xfId="29" xr:uid="{9A2F33FA-C348-421F-AFBD-ECA4DE7356A1}"/>
    <cellStyle name="Normalny 2" xfId="25" xr:uid="{836843DB-33F4-4A3F-B937-0C1A88018002}"/>
    <cellStyle name="Normalny 2 2" xfId="28" xr:uid="{42FEA656-AC4D-469E-9724-AC9EF1190251}"/>
    <cellStyle name="Normalny 3" xfId="23" xr:uid="{D64535D5-02C2-492E-96A7-B3B62D48A3AC}"/>
    <cellStyle name="Normalny 4" xfId="26" xr:uid="{1706027E-67FA-43D0-B300-63612924DFB8}"/>
    <cellStyle name="Normalny 4 2" xfId="30" xr:uid="{1E86CD70-914D-40CD-B839-CCFF6331C148}"/>
    <cellStyle name="Normalny 43 2" xfId="17" xr:uid="{3BA838BF-FFFB-490F-A571-68F12F8E0DA8}"/>
    <cellStyle name="Normalny 43 2 2" xfId="14" xr:uid="{4410C660-3309-4C7E-80E0-CA6EC9A67144}"/>
    <cellStyle name="Normalny 5" xfId="22" xr:uid="{1BD33D29-1B49-42CA-84FF-C5EF7298A094}"/>
    <cellStyle name="Normalny 6" xfId="21" xr:uid="{7B898460-27E8-415C-B526-BD0772374135}"/>
    <cellStyle name="Normalny 9" xfId="27" xr:uid="{F847EBAB-BE63-47D2-8E51-70D16E2BA5A8}"/>
    <cellStyle name="Procentowy 5" xfId="16" xr:uid="{D7D9B2B5-3844-467B-970A-FB10098AC32A}"/>
    <cellStyle name="Walutowy" xfId="5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4</xdr:row>
      <xdr:rowOff>200025</xdr:rowOff>
    </xdr:from>
    <xdr:to>
      <xdr:col>7</xdr:col>
      <xdr:colOff>508635</xdr:colOff>
      <xdr:row>7</xdr:row>
      <xdr:rowOff>10160</xdr:rowOff>
    </xdr:to>
    <xdr:pic>
      <xdr:nvPicPr>
        <xdr:cNvPr id="2" name="Picture 1" descr="Shape&#10;&#10;Description automatically generated with medium confidence">
          <a:extLst>
            <a:ext uri="{FF2B5EF4-FFF2-40B4-BE49-F238E27FC236}">
              <a16:creationId xmlns:a16="http://schemas.microsoft.com/office/drawing/2014/main" id="{92FC341F-40DF-4F21-8D09-FC43068CBE2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22170" y="1274445"/>
          <a:ext cx="3110865" cy="495935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2</xdr:row>
      <xdr:rowOff>47625</xdr:rowOff>
    </xdr:from>
    <xdr:to>
      <xdr:col>4</xdr:col>
      <xdr:colOff>227330</xdr:colOff>
      <xdr:row>7</xdr:row>
      <xdr:rowOff>113030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529427A9-3E34-4134-97C5-3D96D995EC31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2485" y="611505"/>
          <a:ext cx="1193165" cy="1261745"/>
        </a:xfrm>
        <a:prstGeom prst="rect">
          <a:avLst/>
        </a:prstGeom>
      </xdr:spPr>
    </xdr:pic>
    <xdr:clientData/>
  </xdr:twoCellAnchor>
  <xdr:twoCellAnchor>
    <xdr:from>
      <xdr:col>4</xdr:col>
      <xdr:colOff>123825</xdr:colOff>
      <xdr:row>8</xdr:row>
      <xdr:rowOff>209550</xdr:rowOff>
    </xdr:from>
    <xdr:to>
      <xdr:col>7</xdr:col>
      <xdr:colOff>581025</xdr:colOff>
      <xdr:row>11</xdr:row>
      <xdr:rowOff>38100</xdr:rowOff>
    </xdr:to>
    <xdr:pic>
      <xdr:nvPicPr>
        <xdr:cNvPr id="4" name="Picture 2" descr="https://dewey.tailorbrands.com/production/brand_version_mockup_image/174/4193022174_05130606-e8a1-4145-bba0-4e99e62f6d85.png?cb=1606377865">
          <a:extLst>
            <a:ext uri="{FF2B5EF4-FFF2-40B4-BE49-F238E27FC236}">
              <a16:creationId xmlns:a16="http://schemas.microsoft.com/office/drawing/2014/main" id="{BEC76C6C-591A-4EF7-BE5E-C005449B6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" t="55701" r="2339" b="9772"/>
        <a:stretch>
          <a:fillRect/>
        </a:stretch>
      </xdr:blipFill>
      <xdr:spPr bwMode="auto">
        <a:xfrm>
          <a:off x="1922145" y="2198370"/>
          <a:ext cx="3383280" cy="514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800100</xdr:colOff>
      <xdr:row>2</xdr:row>
      <xdr:rowOff>274320</xdr:rowOff>
    </xdr:from>
    <xdr:to>
      <xdr:col>9</xdr:col>
      <xdr:colOff>91440</xdr:colOff>
      <xdr:row>6</xdr:row>
      <xdr:rowOff>213360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2E46D1-1F7A-47FC-AABA-DB52DED30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0" y="838200"/>
          <a:ext cx="1242060" cy="906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216033</xdr:colOff>
      <xdr:row>38</xdr:row>
      <xdr:rowOff>87692</xdr:rowOff>
    </xdr:from>
    <xdr:to>
      <xdr:col>22</xdr:col>
      <xdr:colOff>383749</xdr:colOff>
      <xdr:row>53</xdr:row>
      <xdr:rowOff>108927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DE900E62-E3D4-DF56-07E7-5EFBF16B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427176" y="7680478"/>
          <a:ext cx="3914216" cy="3014806"/>
        </a:xfrm>
        <a:prstGeom prst="rect">
          <a:avLst/>
        </a:prstGeom>
      </xdr:spPr>
    </xdr:pic>
    <xdr:clientData/>
  </xdr:twoCellAnchor>
  <xdr:twoCellAnchor editAs="oneCell">
    <xdr:from>
      <xdr:col>23</xdr:col>
      <xdr:colOff>565727</xdr:colOff>
      <xdr:row>24</xdr:row>
      <xdr:rowOff>0</xdr:rowOff>
    </xdr:from>
    <xdr:to>
      <xdr:col>31</xdr:col>
      <xdr:colOff>4585</xdr:colOff>
      <xdr:row>32</xdr:row>
      <xdr:rowOff>13352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3DFDBE9-FD2A-4E07-BF9D-1CBC1A6CBE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949727" y="4964545"/>
          <a:ext cx="4334130" cy="1872171"/>
        </a:xfrm>
        <a:prstGeom prst="rect">
          <a:avLst/>
        </a:prstGeom>
      </xdr:spPr>
    </xdr:pic>
    <xdr:clientData/>
  </xdr:twoCellAnchor>
  <xdr:twoCellAnchor editAs="oneCell">
    <xdr:from>
      <xdr:col>17</xdr:col>
      <xdr:colOff>426358</xdr:colOff>
      <xdr:row>80</xdr:row>
      <xdr:rowOff>130865</xdr:rowOff>
    </xdr:from>
    <xdr:to>
      <xdr:col>26</xdr:col>
      <xdr:colOff>199572</xdr:colOff>
      <xdr:row>91</xdr:row>
      <xdr:rowOff>140591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2C38C52B-B8CE-A723-9DC3-4676241F16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993429" y="16033079"/>
          <a:ext cx="6594929" cy="220501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298257</xdr:colOff>
      <xdr:row>3</xdr:row>
      <xdr:rowOff>442579</xdr:rowOff>
    </xdr:from>
    <xdr:to>
      <xdr:col>28</xdr:col>
      <xdr:colOff>48106</xdr:colOff>
      <xdr:row>12</xdr:row>
      <xdr:rowOff>162021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40895FAC-8662-214C-F203-CB3CB63F2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19393" y="1260382"/>
          <a:ext cx="5205077" cy="1816866"/>
        </a:xfrm>
        <a:prstGeom prst="rect">
          <a:avLst/>
        </a:prstGeom>
      </xdr:spPr>
    </xdr:pic>
    <xdr:clientData/>
  </xdr:twoCellAnchor>
  <xdr:twoCellAnchor editAs="oneCell">
    <xdr:from>
      <xdr:col>20</xdr:col>
      <xdr:colOff>529165</xdr:colOff>
      <xdr:row>14</xdr:row>
      <xdr:rowOff>105832</xdr:rowOff>
    </xdr:from>
    <xdr:to>
      <xdr:col>28</xdr:col>
      <xdr:colOff>14204</xdr:colOff>
      <xdr:row>25</xdr:row>
      <xdr:rowOff>24897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D1518A9C-33D0-D70E-1151-4B7116050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156438" y="3425150"/>
          <a:ext cx="4334130" cy="18721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74</xdr:col>
      <xdr:colOff>130751</xdr:colOff>
      <xdr:row>0</xdr:row>
      <xdr:rowOff>0</xdr:rowOff>
    </xdr:from>
    <xdr:to>
      <xdr:col>77</xdr:col>
      <xdr:colOff>661338</xdr:colOff>
      <xdr:row>2</xdr:row>
      <xdr:rowOff>45128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9807F7-5414-4940-AD7A-506D27CABC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60" t="28710" r="9157" b="26016"/>
        <a:stretch/>
      </xdr:blipFill>
      <xdr:spPr>
        <a:xfrm>
          <a:off x="49489301" y="0"/>
          <a:ext cx="2626087" cy="43882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ciej Raczyński" id="{91ADB97E-17F4-4366-80DD-720D8B15AD43}" userId="S::makracz@agh.edu.pl::cb8e1b6e-b599-4de2-beb4-39cd5a5d6ef8" providerId="AD"/>
  <person displayName="Gabriela Boroń" id="{517B1E64-C065-4D50-BE60-96C0BD4D6C19}" userId="S::gaboron@student.agh.edu.pl::d68206cb-9245-4edc-9a12-46bd873af3a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6" dT="2024-07-08T11:10:22.41" personId="{517B1E64-C065-4D50-BE60-96C0BD4D6C19}" id="{4A51BE16-539E-4925-BC78-F73186672EE7}">
    <text>Var_cap</text>
  </threadedComment>
  <threadedComment ref="C106" dT="2024-07-14T16:56:08.00" personId="{517B1E64-C065-4D50-BE60-96C0BD4D6C19}" id="{8E3C44FD-A087-4B2C-8644-CF8A0DB0583A}">
    <text xml:space="preserve">Powierzchnia uprawy, plony i zbiory:
Jabłek w sadach
Gruszek w sadach
Śliwek w sadach
Wiśni w sadach
Czereśni w sadach
Pozostałych owoców z drzew w sadach
Truskawek i poziomek gruntowych
Malin w sadach
Porzeczek ogółem w sadach
Borówki wysokiej w sadach
Aronii w sadach
Agrestu w sadach
Pozostałych owoców z krzewów i plantacji jagodowych w sadach </text>
  </threadedComment>
  <threadedComment ref="C112" dT="2024-07-14T16:43:32.75" personId="{517B1E64-C065-4D50-BE60-96C0BD4D6C19}" id="{38BF6E5B-D3C3-44A1-BAF7-093CE9487481}">
    <text xml:space="preserve">Powierzchnia, plony i zbiory z następujących warzyw: Kapusty gruntowej
Kalafiorów gruntowych
Cebuli gruntowej
Marchwi jadalnej gruntowej
Buraków ćwikłowych gruntowych
Ogórków gruntowych
Pomidorów gruntowych
Pietruszki gruntowej
Selerów korzeniowych
Dynii, kabaczka i cukinii
Kukurydzy cukrowej
Pozostałych warzyw gruntowych 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3" dT="2024-07-08T12:09:05.75" personId="{517B1E64-C065-4D50-BE60-96C0BD4D6C19}" id="{90D66C05-3B6D-44FF-AE7B-627F9004D9D5}">
    <text>Do znalezienia</text>
  </threadedComment>
  <threadedComment ref="H5" dT="2024-01-14T23:26:11.04" personId="{91ADB97E-17F4-4366-80DD-720D8B15AD43}" id="{48BFE17B-298D-4AB2-9A4D-9CB08198ED8C}">
    <text>Nowe!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kracz@agh.edu.pl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agroas.pl/blog/sloma-kukurydziana-jak-ja-zagospodarowac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https://tabledebates.org/research-library/waste-potato-supply-chain-potato-harvest-reduced-half-field-fork" TargetMode="External"/><Relationship Id="rId1" Type="http://schemas.openxmlformats.org/officeDocument/2006/relationships/hyperlink" Target="https://www.farmer.pl/produkcja-roslinna/zboza/wartosc-nawozowa-slomy-wzgledem-nawozow-mineralnych,135275.html" TargetMode="External"/><Relationship Id="rId6" Type="http://schemas.openxmlformats.org/officeDocument/2006/relationships/hyperlink" Target="..\..\..\Downloads\Ecofys20Final_20EC_max20biomass2020151214_0.pdf" TargetMode="External"/><Relationship Id="rId11" Type="http://schemas.microsoft.com/office/2017/10/relationships/threadedComment" Target="../threadedComments/threadedComment1.xml"/><Relationship Id="rId5" Type="http://schemas.openxmlformats.org/officeDocument/2006/relationships/hyperlink" Target="../../../Downloads/Assessing_lignocellulosic_biomass_production_from_.pdf" TargetMode="External"/><Relationship Id="rId10" Type="http://schemas.openxmlformats.org/officeDocument/2006/relationships/comments" Target="../comments3.xml"/><Relationship Id="rId4" Type="http://schemas.openxmlformats.org/officeDocument/2006/relationships/hyperlink" Target="https://rir.info.pl/ile-zboz-mozna-zebrac-z-jednego-hektara/" TargetMode="External"/><Relationship Id="rId9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DE-7D6C-4414-BC51-AF81AEEF9C5F}">
  <dimension ref="A1:O49"/>
  <sheetViews>
    <sheetView topLeftCell="A4" workbookViewId="0">
      <selection activeCell="B2" sqref="B2"/>
    </sheetView>
  </sheetViews>
  <sheetFormatPr defaultColWidth="9.1796875" defaultRowHeight="18.5"/>
  <cols>
    <col min="1" max="3" width="4" style="35" customWidth="1"/>
    <col min="4" max="9" width="14.26953125" style="35" customWidth="1"/>
    <col min="10" max="12" width="4" style="35" customWidth="1"/>
    <col min="13" max="16384" width="9.1796875" style="35"/>
  </cols>
  <sheetData>
    <row r="1" spans="1:15" ht="22.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</row>
    <row r="2" spans="1:15" ht="22.5" customHeight="1">
      <c r="A2" s="36"/>
      <c r="B2" s="34"/>
      <c r="C2" s="33"/>
      <c r="D2" s="33"/>
      <c r="E2" s="33"/>
      <c r="F2" s="33"/>
      <c r="G2" s="33"/>
      <c r="H2" s="33"/>
      <c r="I2" s="33"/>
      <c r="J2" s="33"/>
      <c r="K2" s="32"/>
      <c r="L2" s="36"/>
    </row>
    <row r="3" spans="1:15" ht="22.5" customHeight="1">
      <c r="A3" s="36"/>
      <c r="B3" s="31"/>
      <c r="C3" s="30"/>
      <c r="D3" s="29"/>
      <c r="E3" s="29"/>
      <c r="F3" s="29"/>
      <c r="G3" s="29"/>
      <c r="H3" s="29"/>
      <c r="I3" s="29"/>
      <c r="J3" s="28"/>
      <c r="K3" s="27"/>
      <c r="L3" s="36"/>
    </row>
    <row r="4" spans="1:15">
      <c r="A4" s="36"/>
      <c r="B4" s="31"/>
      <c r="C4" s="26"/>
      <c r="J4" s="25"/>
      <c r="K4" s="27"/>
      <c r="L4" s="36"/>
    </row>
    <row r="5" spans="1:15">
      <c r="A5" s="36"/>
      <c r="B5" s="31"/>
      <c r="C5" s="26"/>
      <c r="J5" s="25"/>
      <c r="K5" s="27"/>
      <c r="L5" s="36"/>
    </row>
    <row r="6" spans="1:15">
      <c r="A6" s="36"/>
      <c r="B6" s="31"/>
      <c r="C6" s="26"/>
      <c r="J6" s="25"/>
      <c r="K6" s="27"/>
      <c r="L6" s="36"/>
      <c r="O6" s="24"/>
    </row>
    <row r="7" spans="1:15">
      <c r="A7" s="36"/>
      <c r="B7" s="31"/>
      <c r="C7" s="26"/>
      <c r="J7" s="25"/>
      <c r="K7" s="27"/>
      <c r="L7" s="36"/>
    </row>
    <row r="8" spans="1:15">
      <c r="A8" s="36"/>
      <c r="B8" s="31"/>
      <c r="C8" s="26"/>
      <c r="J8" s="25"/>
      <c r="K8" s="27"/>
      <c r="L8" s="36"/>
    </row>
    <row r="9" spans="1:15">
      <c r="A9" s="36"/>
      <c r="B9" s="31"/>
      <c r="C9" s="26"/>
      <c r="J9" s="25"/>
      <c r="K9" s="27"/>
      <c r="L9" s="36"/>
    </row>
    <row r="10" spans="1:15">
      <c r="A10" s="36"/>
      <c r="B10" s="31"/>
      <c r="C10" s="26"/>
      <c r="J10" s="25"/>
      <c r="K10" s="27"/>
      <c r="L10" s="36"/>
    </row>
    <row r="11" spans="1:15">
      <c r="A11" s="36"/>
      <c r="B11" s="31"/>
      <c r="C11" s="26"/>
      <c r="J11" s="25"/>
      <c r="K11" s="27"/>
      <c r="L11" s="36"/>
    </row>
    <row r="12" spans="1:15">
      <c r="A12" s="36"/>
      <c r="B12" s="31"/>
      <c r="C12" s="26"/>
      <c r="J12" s="25"/>
      <c r="K12" s="27"/>
      <c r="L12" s="36"/>
    </row>
    <row r="13" spans="1:15">
      <c r="A13" s="36"/>
      <c r="B13" s="31"/>
      <c r="C13" s="26"/>
      <c r="J13" s="25"/>
      <c r="K13" s="27"/>
      <c r="L13" s="36"/>
    </row>
    <row r="14" spans="1:15">
      <c r="A14" s="36"/>
      <c r="B14" s="31"/>
      <c r="C14" s="26"/>
      <c r="D14" s="298" t="s">
        <v>477</v>
      </c>
      <c r="E14" s="298"/>
      <c r="F14" s="299" t="s">
        <v>478</v>
      </c>
      <c r="G14" s="299"/>
      <c r="H14" s="299"/>
      <c r="J14" s="25"/>
      <c r="K14" s="27"/>
      <c r="L14" s="36"/>
    </row>
    <row r="15" spans="1:15">
      <c r="A15" s="36"/>
      <c r="B15" s="31"/>
      <c r="C15" s="26"/>
      <c r="D15" s="23"/>
      <c r="E15" s="23"/>
      <c r="F15" s="299"/>
      <c r="G15" s="299"/>
      <c r="H15" s="299"/>
      <c r="J15" s="25"/>
      <c r="K15" s="27"/>
      <c r="L15" s="36"/>
    </row>
    <row r="16" spans="1:15">
      <c r="A16" s="36"/>
      <c r="B16" s="31"/>
      <c r="C16" s="26"/>
      <c r="J16" s="25"/>
      <c r="K16" s="27"/>
      <c r="L16" s="36"/>
    </row>
    <row r="17" spans="1:12">
      <c r="A17" s="36"/>
      <c r="B17" s="31"/>
      <c r="C17" s="26"/>
      <c r="J17" s="25"/>
      <c r="K17" s="27"/>
      <c r="L17" s="36"/>
    </row>
    <row r="18" spans="1:12" ht="18.75" customHeight="1">
      <c r="A18" s="36"/>
      <c r="B18" s="31"/>
      <c r="C18" s="26"/>
      <c r="D18" s="298" t="s">
        <v>479</v>
      </c>
      <c r="E18" s="298"/>
      <c r="F18" s="299" t="s">
        <v>487</v>
      </c>
      <c r="G18" s="299"/>
      <c r="H18" s="299"/>
      <c r="I18" s="299"/>
      <c r="J18" s="25"/>
      <c r="K18" s="27"/>
      <c r="L18" s="36"/>
    </row>
    <row r="19" spans="1:12">
      <c r="A19" s="36"/>
      <c r="B19" s="31"/>
      <c r="C19" s="26"/>
      <c r="D19" s="23"/>
      <c r="E19" s="23"/>
      <c r="F19" s="299"/>
      <c r="G19" s="299"/>
      <c r="H19" s="299"/>
      <c r="I19" s="299"/>
      <c r="J19" s="25"/>
      <c r="K19" s="27"/>
      <c r="L19" s="36"/>
    </row>
    <row r="20" spans="1:12">
      <c r="A20" s="36"/>
      <c r="B20" s="31"/>
      <c r="C20" s="26"/>
      <c r="D20" s="23"/>
      <c r="E20" s="23"/>
      <c r="F20" s="299"/>
      <c r="G20" s="299"/>
      <c r="H20" s="299"/>
      <c r="I20" s="299"/>
      <c r="J20" s="25"/>
      <c r="K20" s="27"/>
      <c r="L20" s="36"/>
    </row>
    <row r="21" spans="1:12">
      <c r="A21" s="36"/>
      <c r="B21" s="31"/>
      <c r="C21" s="26"/>
      <c r="F21" s="22"/>
      <c r="G21" s="22"/>
      <c r="H21" s="22"/>
      <c r="J21" s="25"/>
      <c r="K21" s="27"/>
      <c r="L21" s="36"/>
    </row>
    <row r="22" spans="1:12">
      <c r="A22" s="36"/>
      <c r="B22" s="31"/>
      <c r="C22" s="26"/>
      <c r="D22" s="298" t="s">
        <v>480</v>
      </c>
      <c r="E22" s="298"/>
      <c r="F22" s="21">
        <v>45173</v>
      </c>
      <c r="G22" s="2"/>
      <c r="H22" s="2"/>
      <c r="J22" s="25"/>
      <c r="K22" s="27"/>
      <c r="L22" s="36"/>
    </row>
    <row r="23" spans="1:12">
      <c r="A23" s="36"/>
      <c r="B23" s="31"/>
      <c r="C23" s="26"/>
      <c r="D23" s="23"/>
      <c r="E23" s="23"/>
      <c r="F23" s="21"/>
      <c r="G23" s="2"/>
      <c r="H23" s="2"/>
      <c r="J23" s="25"/>
      <c r="K23" s="27"/>
      <c r="L23" s="36"/>
    </row>
    <row r="24" spans="1:12">
      <c r="A24" s="36"/>
      <c r="B24" s="31"/>
      <c r="C24" s="26"/>
      <c r="D24" s="23"/>
      <c r="E24" s="23"/>
      <c r="F24" s="21"/>
      <c r="G24" s="2"/>
      <c r="H24" s="2"/>
      <c r="J24" s="25"/>
      <c r="K24" s="27"/>
      <c r="L24" s="36"/>
    </row>
    <row r="25" spans="1:12">
      <c r="A25" s="36"/>
      <c r="B25" s="31"/>
      <c r="C25" s="26"/>
      <c r="D25" s="23" t="s">
        <v>481</v>
      </c>
      <c r="E25" s="23"/>
      <c r="F25" s="21">
        <v>45289</v>
      </c>
      <c r="G25" s="2"/>
      <c r="H25" s="2"/>
      <c r="J25" s="25"/>
      <c r="K25" s="27"/>
      <c r="L25" s="36"/>
    </row>
    <row r="26" spans="1:12">
      <c r="A26" s="36"/>
      <c r="B26" s="31"/>
      <c r="C26" s="26"/>
      <c r="D26" s="23"/>
      <c r="E26" s="23"/>
      <c r="F26" s="21"/>
      <c r="G26" s="2"/>
      <c r="H26" s="2"/>
      <c r="J26" s="25"/>
      <c r="K26" s="27"/>
      <c r="L26" s="36"/>
    </row>
    <row r="27" spans="1:12">
      <c r="A27" s="36"/>
      <c r="B27" s="31"/>
      <c r="C27" s="26"/>
      <c r="J27" s="25"/>
      <c r="K27" s="27"/>
      <c r="L27" s="36"/>
    </row>
    <row r="28" spans="1:12">
      <c r="A28" s="36"/>
      <c r="B28" s="31"/>
      <c r="C28" s="26"/>
      <c r="D28" s="298" t="s">
        <v>482</v>
      </c>
      <c r="E28" s="298"/>
      <c r="F28" s="35" t="s">
        <v>652</v>
      </c>
      <c r="J28" s="25"/>
      <c r="K28" s="27"/>
      <c r="L28" s="36"/>
    </row>
    <row r="29" spans="1:12">
      <c r="A29" s="36"/>
      <c r="B29" s="31"/>
      <c r="C29" s="26"/>
      <c r="F29" s="35" t="s">
        <v>483</v>
      </c>
      <c r="J29" s="25"/>
      <c r="K29" s="27"/>
      <c r="L29" s="36"/>
    </row>
    <row r="30" spans="1:12">
      <c r="A30" s="36"/>
      <c r="B30" s="31"/>
      <c r="C30" s="26"/>
      <c r="F30" s="35" t="s">
        <v>484</v>
      </c>
      <c r="J30" s="25"/>
      <c r="K30" s="27"/>
      <c r="L30" s="36"/>
    </row>
    <row r="31" spans="1:12">
      <c r="A31" s="36"/>
      <c r="B31" s="31"/>
      <c r="C31" s="26"/>
      <c r="J31" s="25"/>
      <c r="K31" s="27"/>
      <c r="L31" s="36"/>
    </row>
    <row r="32" spans="1:12">
      <c r="A32" s="36"/>
      <c r="B32" s="31"/>
      <c r="C32" s="26"/>
      <c r="D32" s="298" t="s">
        <v>485</v>
      </c>
      <c r="E32" s="298"/>
      <c r="F32" s="35" t="s">
        <v>483</v>
      </c>
      <c r="J32" s="25"/>
      <c r="K32" s="27"/>
      <c r="L32" s="36"/>
    </row>
    <row r="33" spans="1:12">
      <c r="A33" s="36"/>
      <c r="B33" s="31"/>
      <c r="C33" s="26"/>
      <c r="F33" s="20" t="s">
        <v>649</v>
      </c>
      <c r="J33" s="25"/>
      <c r="K33" s="27"/>
      <c r="L33" s="36"/>
    </row>
    <row r="34" spans="1:12">
      <c r="A34" s="36"/>
      <c r="B34" s="31"/>
      <c r="C34" s="26"/>
      <c r="J34" s="25"/>
      <c r="K34" s="27"/>
      <c r="L34" s="36"/>
    </row>
    <row r="35" spans="1:12">
      <c r="A35" s="36"/>
      <c r="B35" s="31"/>
      <c r="C35" s="26"/>
      <c r="J35" s="25"/>
      <c r="K35" s="27"/>
      <c r="L35" s="36"/>
    </row>
    <row r="36" spans="1:12">
      <c r="A36" s="36"/>
      <c r="B36" s="31"/>
      <c r="C36" s="26"/>
      <c r="J36" s="25"/>
      <c r="K36" s="27"/>
      <c r="L36" s="36"/>
    </row>
    <row r="37" spans="1:12">
      <c r="A37" s="36"/>
      <c r="B37" s="31"/>
      <c r="C37" s="26"/>
      <c r="J37" s="25"/>
      <c r="K37" s="27"/>
      <c r="L37" s="36"/>
    </row>
    <row r="38" spans="1:12">
      <c r="A38" s="36"/>
      <c r="B38" s="31"/>
      <c r="C38" s="19"/>
      <c r="D38" s="18"/>
      <c r="E38" s="18"/>
      <c r="F38" s="18"/>
      <c r="G38" s="18"/>
      <c r="H38" s="18"/>
      <c r="I38" s="18"/>
      <c r="J38" s="17"/>
      <c r="K38" s="27"/>
      <c r="L38" s="36"/>
    </row>
    <row r="39" spans="1:12" ht="22.5" customHeight="1">
      <c r="A39" s="36"/>
      <c r="B39" s="16"/>
      <c r="C39" s="15"/>
      <c r="D39" s="15"/>
      <c r="E39" s="15"/>
      <c r="F39" s="15"/>
      <c r="G39" s="15"/>
      <c r="H39" s="15"/>
      <c r="I39" s="15"/>
      <c r="J39" s="15"/>
      <c r="K39" s="14"/>
      <c r="L39" s="36"/>
    </row>
    <row r="40" spans="1:12" ht="22.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</row>
    <row r="48" spans="1:12" ht="59.5" customHeight="1"/>
    <row r="49" ht="64.150000000000006" customHeight="1"/>
  </sheetData>
  <mergeCells count="7">
    <mergeCell ref="D32:E32"/>
    <mergeCell ref="D14:E14"/>
    <mergeCell ref="F14:H15"/>
    <mergeCell ref="D18:E18"/>
    <mergeCell ref="F18:I20"/>
    <mergeCell ref="D22:E22"/>
    <mergeCell ref="D28:E28"/>
  </mergeCells>
  <hyperlinks>
    <hyperlink ref="F33" r:id="rId1" display="makracz@agh.edu.pl" xr:uid="{38A833B5-235A-4C0D-AAAE-1A78D04B11EA}"/>
  </hyperlinks>
  <pageMargins left="0.7" right="0.7" top="0.75" bottom="0.75" header="0.3" footer="0.3"/>
  <pageSetup paperSize="9"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2F3D8-8074-4410-B57F-D5D26A777027}">
  <dimension ref="B1:N12"/>
  <sheetViews>
    <sheetView zoomScale="91" workbookViewId="0">
      <selection activeCell="B1" sqref="B1"/>
    </sheetView>
  </sheetViews>
  <sheetFormatPr defaultRowHeight="12.5"/>
  <cols>
    <col min="1" max="1" width="2.81640625" customWidth="1"/>
    <col min="2" max="2" width="17.7265625" customWidth="1"/>
    <col min="3" max="3" width="16.453125" customWidth="1"/>
    <col min="4" max="4" width="11" customWidth="1"/>
    <col min="5" max="5" width="8.26953125" bestFit="1" customWidth="1"/>
    <col min="6" max="6" width="13.54296875" bestFit="1" customWidth="1"/>
    <col min="7" max="7" width="13.453125" bestFit="1" customWidth="1"/>
    <col min="8" max="8" width="13.54296875" bestFit="1" customWidth="1"/>
    <col min="9" max="9" width="13.453125" bestFit="1" customWidth="1"/>
    <col min="10" max="10" width="14.26953125" bestFit="1" customWidth="1"/>
    <col min="11" max="11" width="12.26953125" bestFit="1" customWidth="1"/>
    <col min="12" max="12" width="10.453125" bestFit="1" customWidth="1"/>
    <col min="13" max="13" width="9.453125" bestFit="1" customWidth="1"/>
    <col min="14" max="14" width="14.26953125" bestFit="1" customWidth="1"/>
  </cols>
  <sheetData>
    <row r="1" spans="2:14" ht="13">
      <c r="C1" s="92" t="s">
        <v>489</v>
      </c>
    </row>
    <row r="3" spans="2:14" ht="15.75" customHeight="1">
      <c r="B3" s="169" t="s">
        <v>77</v>
      </c>
      <c r="C3" s="169" t="s">
        <v>4</v>
      </c>
      <c r="D3" s="169" t="s">
        <v>20</v>
      </c>
      <c r="E3" s="169" t="s">
        <v>24</v>
      </c>
      <c r="F3" s="169" t="s">
        <v>26</v>
      </c>
      <c r="G3" s="169" t="s">
        <v>28</v>
      </c>
      <c r="H3" s="169" t="s">
        <v>30</v>
      </c>
      <c r="I3" s="169" t="s">
        <v>32</v>
      </c>
      <c r="J3" s="169" t="s">
        <v>34</v>
      </c>
      <c r="K3" s="169" t="s">
        <v>36</v>
      </c>
      <c r="L3" s="169" t="s">
        <v>37</v>
      </c>
      <c r="M3" s="169" t="s">
        <v>39</v>
      </c>
      <c r="N3" s="169" t="s">
        <v>45</v>
      </c>
    </row>
    <row r="4" spans="2:14" ht="15.75" customHeight="1" thickBot="1">
      <c r="B4" s="182" t="s">
        <v>177</v>
      </c>
      <c r="C4" s="182"/>
      <c r="D4" s="302" t="s">
        <v>182</v>
      </c>
      <c r="E4" s="302"/>
      <c r="F4" s="302"/>
      <c r="G4" s="302"/>
      <c r="H4" s="302"/>
      <c r="I4" s="302"/>
      <c r="J4" s="302"/>
      <c r="K4" s="302"/>
      <c r="L4" s="302"/>
      <c r="M4" s="302"/>
      <c r="N4" s="302"/>
    </row>
    <row r="5" spans="2:14" ht="15.75" customHeight="1">
      <c r="B5" s="86" t="e">
        <f>SEC_Processes!#REF!</f>
        <v>#REF!</v>
      </c>
      <c r="C5" s="86" t="str">
        <f>SEC_Comm!D23</f>
        <v>AGR_CO2</v>
      </c>
      <c r="D5" s="86">
        <v>94.19</v>
      </c>
      <c r="E5" s="86">
        <v>109.08</v>
      </c>
      <c r="F5" s="86">
        <v>68.61</v>
      </c>
      <c r="G5" s="86">
        <v>73.33</v>
      </c>
      <c r="H5" s="86">
        <v>62.44</v>
      </c>
      <c r="I5" s="86">
        <v>76.59</v>
      </c>
      <c r="J5" s="86">
        <v>55.82</v>
      </c>
      <c r="K5" s="86">
        <v>0</v>
      </c>
      <c r="L5" s="86">
        <v>0</v>
      </c>
      <c r="M5" s="86">
        <f>D5*0.85</f>
        <v>80.061499999999995</v>
      </c>
      <c r="N5" s="86">
        <f>D5</f>
        <v>94.19</v>
      </c>
    </row>
    <row r="6" spans="2:14" ht="15.75" customHeight="1">
      <c r="B6" s="78" t="e">
        <f>SEC_Processes!#REF!</f>
        <v>#REF!</v>
      </c>
      <c r="C6" s="78" t="str">
        <f>SEC_Comm!D24</f>
        <v>AGR_SO2</v>
      </c>
      <c r="D6" s="78">
        <v>0.53304759599999996</v>
      </c>
      <c r="E6" s="78">
        <v>0.53304759599999996</v>
      </c>
      <c r="F6" s="78">
        <v>7.4785100000000001E-4</v>
      </c>
      <c r="G6" s="78">
        <v>7.3059600000000002E-4</v>
      </c>
      <c r="H6" s="187">
        <v>4.7595900000000003E-5</v>
      </c>
      <c r="I6" s="78">
        <v>3.2759599999999999E-4</v>
      </c>
      <c r="J6" s="188">
        <v>4.7595900000000003E-5</v>
      </c>
      <c r="K6" s="187">
        <v>4.7595900000000003E-6</v>
      </c>
      <c r="L6" s="186">
        <v>2.5047595999999998E-2</v>
      </c>
      <c r="M6" s="78">
        <v>2.5047595999999998E-2</v>
      </c>
      <c r="N6" s="78">
        <v>2.5047595999999998E-2</v>
      </c>
    </row>
    <row r="7" spans="2:14" ht="15.75" customHeight="1">
      <c r="B7" s="80" t="e">
        <f>SEC_Processes!#REF!</f>
        <v>#REF!</v>
      </c>
      <c r="C7" s="80" t="str">
        <f>SEC_Comm!D25</f>
        <v>AGR_NOX</v>
      </c>
      <c r="D7" s="80">
        <v>0.60670447699999996</v>
      </c>
      <c r="E7" s="80">
        <v>0.60670447699999996</v>
      </c>
      <c r="F7" s="80">
        <v>0.88470447699999999</v>
      </c>
      <c r="G7" s="80">
        <v>0.85470447699999996</v>
      </c>
      <c r="H7" s="80">
        <v>0.87470447699999998</v>
      </c>
      <c r="I7" s="80">
        <v>0.50670447699999999</v>
      </c>
      <c r="J7" s="80">
        <v>0.51470447699999999</v>
      </c>
      <c r="K7" s="80">
        <v>0.51470447699999999</v>
      </c>
      <c r="L7" s="80">
        <v>0.54470447700000002</v>
      </c>
      <c r="M7" s="80">
        <v>0.54470447700000002</v>
      </c>
      <c r="N7" s="80">
        <v>0.54470447700000002</v>
      </c>
    </row>
    <row r="8" spans="2:14" ht="15.75" customHeight="1">
      <c r="B8" s="78" t="e">
        <f>SEC_Processes!#REF!</f>
        <v>#REF!</v>
      </c>
      <c r="C8" s="78" t="str">
        <f>SEC_Comm!D26</f>
        <v>AGR_TSP</v>
      </c>
      <c r="D8" s="78">
        <v>0.74417387599999996</v>
      </c>
      <c r="E8" s="78">
        <v>0.74417387599999996</v>
      </c>
      <c r="F8" s="78">
        <v>0.32875512600000001</v>
      </c>
      <c r="G8" s="78">
        <v>0.33490387599999999</v>
      </c>
      <c r="H8" s="78">
        <v>0.32828251800000002</v>
      </c>
      <c r="I8" s="78">
        <v>0.33037387600000001</v>
      </c>
      <c r="J8" s="78">
        <v>0.32917387599999998</v>
      </c>
      <c r="K8" s="78">
        <v>0.32917387599999998</v>
      </c>
      <c r="L8" s="78">
        <v>1.048973876</v>
      </c>
      <c r="M8" s="78">
        <v>1.0489738770000001</v>
      </c>
      <c r="N8" s="78">
        <v>1.048973878</v>
      </c>
    </row>
    <row r="9" spans="2:14" ht="15.75" customHeight="1">
      <c r="B9" s="80" t="e">
        <f>SEC_Processes!#REF!</f>
        <v>#REF!</v>
      </c>
      <c r="C9" s="80" t="str">
        <f>SEC_Comm!D27</f>
        <v>AGR_PM10</v>
      </c>
      <c r="D9" s="80">
        <v>0.55754891900000003</v>
      </c>
      <c r="E9" s="80">
        <v>0.55754891900000003</v>
      </c>
      <c r="F9" s="80">
        <v>0.192330169</v>
      </c>
      <c r="G9" s="80">
        <v>0.198478919</v>
      </c>
      <c r="H9" s="80">
        <v>0.19185756100000001</v>
      </c>
      <c r="I9" s="80">
        <v>0.193948919</v>
      </c>
      <c r="J9" s="80">
        <v>0.20354891899999999</v>
      </c>
      <c r="K9" s="80">
        <v>0.20354891899999999</v>
      </c>
      <c r="L9" s="80">
        <v>0.87654891899999998</v>
      </c>
      <c r="M9" s="80">
        <v>0.87654891899999998</v>
      </c>
      <c r="N9" s="80">
        <v>0.87654891899999998</v>
      </c>
    </row>
    <row r="10" spans="2:14" ht="15.75" customHeight="1">
      <c r="B10" s="185" t="e">
        <f>SEC_Processes!#REF!</f>
        <v>#REF!</v>
      </c>
      <c r="C10" s="185" t="str">
        <f>SEC_Comm!D28</f>
        <v>AGR_PM2.5</v>
      </c>
      <c r="D10" s="185">
        <v>0.35625308300000003</v>
      </c>
      <c r="E10" s="185">
        <v>0.35625308300000003</v>
      </c>
      <c r="F10" s="185">
        <v>2.2034333E-2</v>
      </c>
      <c r="G10" s="185">
        <v>2.8183083000000001E-2</v>
      </c>
      <c r="H10" s="185">
        <v>2.1561725E-2</v>
      </c>
      <c r="I10" s="185">
        <v>2.3653082999999998E-2</v>
      </c>
      <c r="J10" s="185">
        <v>2.2453082999999999E-2</v>
      </c>
      <c r="K10" s="185">
        <v>2.2453082999999999E-2</v>
      </c>
      <c r="L10" s="185">
        <v>0.65625308299999996</v>
      </c>
      <c r="M10" s="185">
        <v>0.65625308299999996</v>
      </c>
      <c r="N10" s="185">
        <v>0.65625308299999996</v>
      </c>
    </row>
    <row r="11" spans="2:14" ht="13">
      <c r="B11" s="184" t="s">
        <v>177</v>
      </c>
      <c r="C11" s="184"/>
      <c r="D11" s="303" t="s">
        <v>183</v>
      </c>
      <c r="E11" s="303"/>
      <c r="F11" s="303"/>
      <c r="G11" s="303"/>
      <c r="H11" s="303"/>
      <c r="I11" s="303"/>
      <c r="J11" s="303"/>
      <c r="K11" s="303"/>
      <c r="L11" s="303"/>
      <c r="M11" s="303"/>
      <c r="N11" s="303"/>
    </row>
    <row r="12" spans="2:14" ht="15.75" customHeight="1" thickBot="1">
      <c r="B12" s="177" t="e">
        <f>SEC_Processes!#REF!</f>
        <v>#REF!</v>
      </c>
      <c r="C12" s="177" t="str">
        <f>SEC_Comm!D29</f>
        <v>AGR_HG</v>
      </c>
      <c r="D12" s="177" t="s">
        <v>184</v>
      </c>
      <c r="E12" s="177" t="s">
        <v>185</v>
      </c>
      <c r="F12" s="177" t="s">
        <v>186</v>
      </c>
      <c r="G12" s="177" t="s">
        <v>452</v>
      </c>
      <c r="H12" s="177"/>
      <c r="I12" s="177"/>
      <c r="J12" s="177"/>
      <c r="K12" s="177"/>
      <c r="L12" s="177"/>
      <c r="M12" s="177"/>
      <c r="N12" s="177"/>
    </row>
  </sheetData>
  <mergeCells count="2">
    <mergeCell ref="D4:N4"/>
    <mergeCell ref="D11:N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E548A-DA68-45EB-83BB-F47C2347F9C0}">
  <dimension ref="A1:CF26"/>
  <sheetViews>
    <sheetView zoomScaleNormal="100" workbookViewId="0">
      <pane xSplit="8" ySplit="5" topLeftCell="I6" activePane="bottomRight" state="frozen"/>
      <selection pane="topRight" activeCell="I6" sqref="I6"/>
      <selection pane="bottomLeft" activeCell="I6" sqref="I6"/>
      <selection pane="bottomRight" activeCell="E7" sqref="E7:BZ7"/>
    </sheetView>
  </sheetViews>
  <sheetFormatPr defaultColWidth="9.1796875" defaultRowHeight="11.5"/>
  <cols>
    <col min="1" max="2" width="1.453125" style="131" customWidth="1"/>
    <col min="3" max="3" width="5" style="131" customWidth="1"/>
    <col min="4" max="4" width="7.1796875" style="131" customWidth="1"/>
    <col min="5" max="5" width="4.26953125" style="131" customWidth="1"/>
    <col min="6" max="6" width="7.1796875" style="131" customWidth="1"/>
    <col min="7" max="7" width="5.7265625" style="37" customWidth="1"/>
    <col min="8" max="8" width="14.54296875" style="150" bestFit="1" customWidth="1"/>
    <col min="9" max="9" width="9.81640625" style="151" customWidth="1"/>
    <col min="10" max="21" width="10" style="152" customWidth="1"/>
    <col min="22" max="25" width="10" style="153" customWidth="1"/>
    <col min="26" max="28" width="10" style="152" customWidth="1"/>
    <col min="29" max="29" width="10" style="151" customWidth="1"/>
    <col min="30" max="52" width="10" style="153" customWidth="1"/>
    <col min="53" max="53" width="10" style="154" customWidth="1"/>
    <col min="54" max="54" width="10" style="152" customWidth="1"/>
    <col min="55" max="75" width="10" style="153" customWidth="1"/>
    <col min="76" max="78" width="10" style="154" customWidth="1"/>
    <col min="79" max="16384" width="9.1796875" style="131"/>
  </cols>
  <sheetData>
    <row r="1" spans="1:84" s="93" customFormat="1" ht="11.25" customHeight="1">
      <c r="B1" s="94"/>
      <c r="C1" s="94"/>
      <c r="D1" s="94"/>
      <c r="E1" s="94"/>
      <c r="F1" s="94"/>
      <c r="G1" s="94"/>
      <c r="H1" s="95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6"/>
      <c r="AN1" s="96"/>
      <c r="AO1" s="96"/>
      <c r="AP1" s="96"/>
      <c r="AQ1" s="96"/>
      <c r="AR1" s="96"/>
      <c r="AS1" s="96"/>
      <c r="AT1" s="96"/>
      <c r="AU1" s="96"/>
      <c r="AV1" s="96"/>
      <c r="AW1" s="96"/>
      <c r="AX1" s="96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  <c r="BP1" s="96"/>
      <c r="BQ1" s="96"/>
      <c r="BR1" s="96"/>
      <c r="BS1" s="96"/>
      <c r="BT1" s="96"/>
      <c r="BU1" s="96"/>
      <c r="BV1" s="96"/>
      <c r="BW1" s="96"/>
      <c r="BX1" s="96"/>
      <c r="BY1" s="96"/>
      <c r="BZ1" s="96"/>
    </row>
    <row r="2" spans="1:84" s="93" customFormat="1" ht="20">
      <c r="A2" s="97" t="s">
        <v>187</v>
      </c>
      <c r="B2" s="94"/>
      <c r="C2" s="94"/>
      <c r="D2" s="94"/>
      <c r="E2" s="94"/>
      <c r="F2" s="94"/>
      <c r="G2" s="94"/>
      <c r="H2" s="95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  <c r="BP2" s="96"/>
      <c r="BQ2" s="96"/>
      <c r="BR2" s="96"/>
      <c r="BS2" s="96"/>
      <c r="BT2" s="96"/>
      <c r="BU2" s="96"/>
      <c r="BV2" s="96"/>
      <c r="BW2" s="96"/>
      <c r="BX2" s="96"/>
      <c r="BY2" s="96"/>
      <c r="BZ2" s="96"/>
    </row>
    <row r="3" spans="1:84" s="93" customFormat="1" ht="11.25" customHeight="1">
      <c r="A3" s="98"/>
      <c r="B3" s="98"/>
      <c r="C3" s="98"/>
      <c r="D3" s="98"/>
      <c r="E3" s="98"/>
      <c r="F3" s="98"/>
      <c r="G3" s="98"/>
      <c r="H3" s="99"/>
      <c r="I3" s="100"/>
      <c r="J3" s="101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1"/>
      <c r="V3" s="100"/>
      <c r="W3" s="100"/>
      <c r="X3" s="100"/>
      <c r="Y3" s="100"/>
      <c r="Z3" s="101"/>
      <c r="AA3" s="100"/>
      <c r="AB3" s="100"/>
      <c r="AC3" s="101"/>
      <c r="AD3" s="101"/>
      <c r="AE3" s="100"/>
      <c r="AF3" s="100"/>
      <c r="AG3" s="100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0"/>
      <c r="AU3" s="100"/>
      <c r="AV3" s="100"/>
      <c r="AW3" s="100"/>
      <c r="AX3" s="100"/>
      <c r="AY3" s="100"/>
      <c r="AZ3" s="100"/>
      <c r="BA3" s="100"/>
      <c r="BB3" s="101"/>
      <c r="BC3" s="100"/>
      <c r="BD3" s="100"/>
      <c r="BE3" s="100"/>
      <c r="BF3" s="100"/>
      <c r="BG3" s="100"/>
      <c r="BH3" s="100"/>
      <c r="BI3" s="100"/>
      <c r="BJ3" s="100"/>
      <c r="BK3" s="100"/>
      <c r="BL3" s="100"/>
      <c r="BM3" s="100"/>
      <c r="BN3" s="100"/>
      <c r="BO3" s="100"/>
      <c r="BP3" s="100"/>
      <c r="BQ3" s="100"/>
      <c r="BR3" s="100"/>
      <c r="BS3" s="100"/>
      <c r="BT3" s="100"/>
      <c r="BU3" s="101"/>
      <c r="BV3" s="100"/>
      <c r="BW3" s="100"/>
      <c r="BX3" s="101"/>
      <c r="BY3" s="101"/>
      <c r="BZ3" s="101"/>
    </row>
    <row r="4" spans="1:84" s="111" customFormat="1" ht="22.75" customHeight="1">
      <c r="A4" s="102"/>
      <c r="B4" s="102"/>
      <c r="C4" s="102"/>
      <c r="D4" s="102"/>
      <c r="E4" s="102"/>
      <c r="F4" s="102"/>
      <c r="G4" s="102"/>
      <c r="H4" s="102"/>
      <c r="I4" s="103" t="s">
        <v>188</v>
      </c>
      <c r="J4" s="104" t="s">
        <v>189</v>
      </c>
      <c r="K4" s="103" t="s">
        <v>190</v>
      </c>
      <c r="L4" s="103" t="s">
        <v>191</v>
      </c>
      <c r="M4" s="103" t="s">
        <v>192</v>
      </c>
      <c r="N4" s="103" t="s">
        <v>193</v>
      </c>
      <c r="O4" s="103" t="s">
        <v>194</v>
      </c>
      <c r="P4" s="103" t="s">
        <v>195</v>
      </c>
      <c r="Q4" s="103" t="s">
        <v>196</v>
      </c>
      <c r="R4" s="103" t="s">
        <v>197</v>
      </c>
      <c r="S4" s="103" t="s">
        <v>198</v>
      </c>
      <c r="T4" s="103" t="s">
        <v>199</v>
      </c>
      <c r="U4" s="105" t="s">
        <v>200</v>
      </c>
      <c r="V4" s="103" t="s">
        <v>201</v>
      </c>
      <c r="W4" s="103" t="s">
        <v>202</v>
      </c>
      <c r="X4" s="103" t="s">
        <v>203</v>
      </c>
      <c r="Y4" s="103" t="s">
        <v>204</v>
      </c>
      <c r="Z4" s="105" t="s">
        <v>205</v>
      </c>
      <c r="AA4" s="103" t="s">
        <v>206</v>
      </c>
      <c r="AB4" s="103" t="s">
        <v>207</v>
      </c>
      <c r="AC4" s="106" t="s">
        <v>208</v>
      </c>
      <c r="AD4" s="107" t="s">
        <v>209</v>
      </c>
      <c r="AE4" s="108" t="s">
        <v>210</v>
      </c>
      <c r="AF4" s="103" t="s">
        <v>211</v>
      </c>
      <c r="AG4" s="103" t="s">
        <v>212</v>
      </c>
      <c r="AH4" s="103" t="s">
        <v>213</v>
      </c>
      <c r="AI4" s="103" t="s">
        <v>214</v>
      </c>
      <c r="AJ4" s="103" t="s">
        <v>215</v>
      </c>
      <c r="AK4" s="103" t="s">
        <v>216</v>
      </c>
      <c r="AL4" s="103" t="s">
        <v>217</v>
      </c>
      <c r="AM4" s="103" t="s">
        <v>218</v>
      </c>
      <c r="AN4" s="103" t="s">
        <v>219</v>
      </c>
      <c r="AO4" s="103" t="s">
        <v>220</v>
      </c>
      <c r="AP4" s="103" t="s">
        <v>221</v>
      </c>
      <c r="AQ4" s="103" t="s">
        <v>222</v>
      </c>
      <c r="AR4" s="103" t="s">
        <v>223</v>
      </c>
      <c r="AS4" s="103" t="s">
        <v>224</v>
      </c>
      <c r="AT4" s="103" t="s">
        <v>225</v>
      </c>
      <c r="AU4" s="103" t="s">
        <v>226</v>
      </c>
      <c r="AV4" s="103" t="s">
        <v>227</v>
      </c>
      <c r="AW4" s="103" t="s">
        <v>228</v>
      </c>
      <c r="AX4" s="103" t="s">
        <v>229</v>
      </c>
      <c r="AY4" s="103" t="s">
        <v>230</v>
      </c>
      <c r="AZ4" s="103" t="s">
        <v>231</v>
      </c>
      <c r="BA4" s="103" t="s">
        <v>232</v>
      </c>
      <c r="BB4" s="105" t="s">
        <v>233</v>
      </c>
      <c r="BC4" s="103" t="s">
        <v>234</v>
      </c>
      <c r="BD4" s="103" t="s">
        <v>235</v>
      </c>
      <c r="BE4" s="103" t="s">
        <v>236</v>
      </c>
      <c r="BF4" s="103" t="s">
        <v>237</v>
      </c>
      <c r="BG4" s="103" t="s">
        <v>238</v>
      </c>
      <c r="BH4" s="103" t="s">
        <v>239</v>
      </c>
      <c r="BI4" s="109" t="s">
        <v>240</v>
      </c>
      <c r="BJ4" s="103" t="s">
        <v>241</v>
      </c>
      <c r="BK4" s="103" t="s">
        <v>242</v>
      </c>
      <c r="BL4" s="103" t="s">
        <v>243</v>
      </c>
      <c r="BM4" s="103" t="s">
        <v>244</v>
      </c>
      <c r="BN4" s="103" t="s">
        <v>245</v>
      </c>
      <c r="BO4" s="103" t="s">
        <v>246</v>
      </c>
      <c r="BP4" s="103" t="s">
        <v>247</v>
      </c>
      <c r="BQ4" s="103" t="s">
        <v>248</v>
      </c>
      <c r="BR4" s="103" t="s">
        <v>249</v>
      </c>
      <c r="BS4" s="103" t="s">
        <v>250</v>
      </c>
      <c r="BT4" s="103" t="s">
        <v>251</v>
      </c>
      <c r="BU4" s="105" t="s">
        <v>252</v>
      </c>
      <c r="BV4" s="103" t="s">
        <v>253</v>
      </c>
      <c r="BW4" s="103" t="s">
        <v>254</v>
      </c>
      <c r="BX4" s="106" t="s">
        <v>255</v>
      </c>
      <c r="BY4" s="107" t="s">
        <v>256</v>
      </c>
      <c r="BZ4" s="105" t="s">
        <v>257</v>
      </c>
      <c r="CA4" s="110" t="s">
        <v>258</v>
      </c>
      <c r="CB4" s="105" t="s">
        <v>259</v>
      </c>
    </row>
    <row r="5" spans="1:84" s="121" customFormat="1" ht="46">
      <c r="A5" s="112"/>
      <c r="B5" s="112"/>
      <c r="C5" s="112"/>
      <c r="D5" s="113" t="s">
        <v>260</v>
      </c>
      <c r="E5" s="113"/>
      <c r="F5" s="114">
        <v>2020</v>
      </c>
      <c r="G5" s="115"/>
      <c r="H5" s="116"/>
      <c r="I5" s="117" t="s">
        <v>261</v>
      </c>
      <c r="J5" s="117" t="s">
        <v>262</v>
      </c>
      <c r="K5" s="118" t="s">
        <v>263</v>
      </c>
      <c r="L5" s="118" t="s">
        <v>264</v>
      </c>
      <c r="M5" s="118" t="s">
        <v>265</v>
      </c>
      <c r="N5" s="118" t="s">
        <v>266</v>
      </c>
      <c r="O5" s="118" t="s">
        <v>267</v>
      </c>
      <c r="P5" s="118" t="s">
        <v>268</v>
      </c>
      <c r="Q5" s="118" t="s">
        <v>269</v>
      </c>
      <c r="R5" s="118" t="s">
        <v>270</v>
      </c>
      <c r="S5" s="118" t="s">
        <v>271</v>
      </c>
      <c r="T5" s="118" t="s">
        <v>272</v>
      </c>
      <c r="U5" s="117" t="s">
        <v>273</v>
      </c>
      <c r="V5" s="118" t="s">
        <v>274</v>
      </c>
      <c r="W5" s="118" t="s">
        <v>275</v>
      </c>
      <c r="X5" s="118" t="s">
        <v>276</v>
      </c>
      <c r="Y5" s="118" t="s">
        <v>277</v>
      </c>
      <c r="Z5" s="117" t="s">
        <v>278</v>
      </c>
      <c r="AA5" s="118" t="s">
        <v>279</v>
      </c>
      <c r="AB5" s="118" t="s">
        <v>280</v>
      </c>
      <c r="AC5" s="117" t="s">
        <v>281</v>
      </c>
      <c r="AD5" s="117" t="s">
        <v>282</v>
      </c>
      <c r="AE5" s="118" t="s">
        <v>283</v>
      </c>
      <c r="AF5" s="118" t="s">
        <v>284</v>
      </c>
      <c r="AG5" s="118" t="s">
        <v>285</v>
      </c>
      <c r="AH5" s="118" t="s">
        <v>286</v>
      </c>
      <c r="AI5" s="118" t="s">
        <v>287</v>
      </c>
      <c r="AJ5" s="118" t="s">
        <v>288</v>
      </c>
      <c r="AK5" s="118" t="s">
        <v>289</v>
      </c>
      <c r="AL5" s="118" t="s">
        <v>290</v>
      </c>
      <c r="AM5" s="119" t="s">
        <v>291</v>
      </c>
      <c r="AN5" s="118" t="s">
        <v>292</v>
      </c>
      <c r="AO5" s="118" t="s">
        <v>293</v>
      </c>
      <c r="AP5" s="119" t="s">
        <v>294</v>
      </c>
      <c r="AQ5" s="118" t="s">
        <v>295</v>
      </c>
      <c r="AR5" s="118" t="s">
        <v>296</v>
      </c>
      <c r="AS5" s="119" t="s">
        <v>297</v>
      </c>
      <c r="AT5" s="118" t="s">
        <v>298</v>
      </c>
      <c r="AU5" s="119" t="s">
        <v>299</v>
      </c>
      <c r="AV5" s="118" t="s">
        <v>300</v>
      </c>
      <c r="AW5" s="118" t="s">
        <v>301</v>
      </c>
      <c r="AX5" s="118" t="s">
        <v>302</v>
      </c>
      <c r="AY5" s="118" t="s">
        <v>303</v>
      </c>
      <c r="AZ5" s="118" t="s">
        <v>304</v>
      </c>
      <c r="BA5" s="117" t="s">
        <v>305</v>
      </c>
      <c r="BB5" s="117" t="s">
        <v>306</v>
      </c>
      <c r="BC5" s="118" t="s">
        <v>307</v>
      </c>
      <c r="BD5" s="118" t="s">
        <v>308</v>
      </c>
      <c r="BE5" s="118" t="s">
        <v>309</v>
      </c>
      <c r="BF5" s="118" t="s">
        <v>310</v>
      </c>
      <c r="BG5" s="118" t="s">
        <v>311</v>
      </c>
      <c r="BH5" s="118" t="s">
        <v>312</v>
      </c>
      <c r="BI5" s="118" t="s">
        <v>313</v>
      </c>
      <c r="BJ5" s="118" t="s">
        <v>314</v>
      </c>
      <c r="BK5" s="118" t="s">
        <v>315</v>
      </c>
      <c r="BL5" s="118" t="s">
        <v>316</v>
      </c>
      <c r="BM5" s="118" t="s">
        <v>317</v>
      </c>
      <c r="BN5" s="118" t="s">
        <v>318</v>
      </c>
      <c r="BO5" s="118" t="s">
        <v>319</v>
      </c>
      <c r="BP5" s="118" t="s">
        <v>320</v>
      </c>
      <c r="BQ5" s="118" t="s">
        <v>321</v>
      </c>
      <c r="BR5" s="118" t="s">
        <v>322</v>
      </c>
      <c r="BS5" s="118" t="s">
        <v>323</v>
      </c>
      <c r="BT5" s="118" t="s">
        <v>324</v>
      </c>
      <c r="BU5" s="117" t="s">
        <v>325</v>
      </c>
      <c r="BV5" s="118" t="s">
        <v>326</v>
      </c>
      <c r="BW5" s="118" t="s">
        <v>327</v>
      </c>
      <c r="BX5" s="117" t="s">
        <v>328</v>
      </c>
      <c r="BY5" s="117" t="s">
        <v>329</v>
      </c>
      <c r="BZ5" s="117" t="s">
        <v>42</v>
      </c>
      <c r="CA5" s="120" t="s">
        <v>330</v>
      </c>
      <c r="CB5" s="117" t="s">
        <v>331</v>
      </c>
      <c r="CE5" s="37"/>
      <c r="CF5" s="122"/>
    </row>
    <row r="6" spans="1:84" ht="11.25" customHeight="1">
      <c r="A6" s="123" t="s">
        <v>332</v>
      </c>
      <c r="B6" s="124" t="s">
        <v>333</v>
      </c>
      <c r="C6" s="124"/>
      <c r="D6" s="124"/>
      <c r="E6" s="124"/>
      <c r="F6" s="124"/>
      <c r="G6" s="125"/>
      <c r="H6" s="126" t="s">
        <v>334</v>
      </c>
      <c r="I6" s="127">
        <v>32550.846000000001</v>
      </c>
      <c r="J6" s="127">
        <v>6462.37</v>
      </c>
      <c r="K6" s="128">
        <v>0</v>
      </c>
      <c r="L6" s="128">
        <v>3.0000000000000001E-3</v>
      </c>
      <c r="M6" s="128">
        <v>6400.7169999999996</v>
      </c>
      <c r="N6" s="128">
        <v>0</v>
      </c>
      <c r="O6" s="128">
        <v>23.509</v>
      </c>
      <c r="P6" s="128">
        <v>4.3999999999999997E-2</v>
      </c>
      <c r="Q6" s="128">
        <v>36.677999999999997</v>
      </c>
      <c r="R6" s="128">
        <v>0</v>
      </c>
      <c r="S6" s="128">
        <v>0</v>
      </c>
      <c r="T6" s="128">
        <v>1.42</v>
      </c>
      <c r="U6" s="127">
        <v>13.923999999999999</v>
      </c>
      <c r="V6" s="128">
        <v>0</v>
      </c>
      <c r="W6" s="128">
        <v>13.923999999999999</v>
      </c>
      <c r="X6" s="128">
        <v>0</v>
      </c>
      <c r="Y6" s="128">
        <v>0</v>
      </c>
      <c r="Z6" s="127">
        <v>0</v>
      </c>
      <c r="AA6" s="128">
        <v>0</v>
      </c>
      <c r="AB6" s="128">
        <v>0</v>
      </c>
      <c r="AC6" s="129">
        <v>0</v>
      </c>
      <c r="AD6" s="127">
        <v>3409.873</v>
      </c>
      <c r="AE6" s="128">
        <v>0</v>
      </c>
      <c r="AF6" s="128">
        <v>0</v>
      </c>
      <c r="AG6" s="128" t="s">
        <v>335</v>
      </c>
      <c r="AH6" s="128" t="s">
        <v>335</v>
      </c>
      <c r="AI6" s="128" t="s">
        <v>335</v>
      </c>
      <c r="AJ6" s="128">
        <v>0</v>
      </c>
      <c r="AK6" s="128">
        <v>0</v>
      </c>
      <c r="AL6" s="128">
        <v>672.399</v>
      </c>
      <c r="AM6" s="128">
        <v>1.0920000000000001</v>
      </c>
      <c r="AN6" s="128">
        <v>0</v>
      </c>
      <c r="AO6" s="128">
        <v>0</v>
      </c>
      <c r="AP6" s="128">
        <v>0</v>
      </c>
      <c r="AQ6" s="128">
        <v>0.251</v>
      </c>
      <c r="AR6" s="128">
        <v>0</v>
      </c>
      <c r="AS6" s="128">
        <v>2726.3649999999998</v>
      </c>
      <c r="AT6" s="128">
        <v>9.766</v>
      </c>
      <c r="AU6" s="128">
        <v>0</v>
      </c>
      <c r="AV6" s="128">
        <v>0</v>
      </c>
      <c r="AW6" s="128">
        <v>0</v>
      </c>
      <c r="AX6" s="128">
        <v>0</v>
      </c>
      <c r="AY6" s="128">
        <v>0</v>
      </c>
      <c r="AZ6" s="128">
        <v>0</v>
      </c>
      <c r="BA6" s="129">
        <v>5028.6390000000001</v>
      </c>
      <c r="BB6" s="127">
        <v>5990.6880000000001</v>
      </c>
      <c r="BC6" s="128" t="s">
        <v>335</v>
      </c>
      <c r="BD6" s="128" t="s">
        <v>335</v>
      </c>
      <c r="BE6" s="128" t="s">
        <v>335</v>
      </c>
      <c r="BF6" s="128" t="s">
        <v>335</v>
      </c>
      <c r="BG6" s="128">
        <v>80.144000000000005</v>
      </c>
      <c r="BH6" s="128">
        <v>25.64</v>
      </c>
      <c r="BI6" s="128">
        <v>5511.3109999999997</v>
      </c>
      <c r="BJ6" s="128">
        <v>0</v>
      </c>
      <c r="BK6" s="128">
        <v>74.338999999999999</v>
      </c>
      <c r="BL6" s="128">
        <v>0.252</v>
      </c>
      <c r="BM6" s="128">
        <v>0</v>
      </c>
      <c r="BN6" s="128">
        <v>0</v>
      </c>
      <c r="BO6" s="128">
        <v>0</v>
      </c>
      <c r="BP6" s="128">
        <v>0</v>
      </c>
      <c r="BQ6" s="128">
        <v>0</v>
      </c>
      <c r="BR6" s="128">
        <v>0</v>
      </c>
      <c r="BS6" s="128">
        <v>1</v>
      </c>
      <c r="BT6" s="128">
        <v>298.00299999999999</v>
      </c>
      <c r="BU6" s="127">
        <v>33.231999999999999</v>
      </c>
      <c r="BV6" s="128">
        <v>4.0759999999999996</v>
      </c>
      <c r="BW6" s="128">
        <v>29.155000000000001</v>
      </c>
      <c r="BX6" s="129" t="s">
        <v>335</v>
      </c>
      <c r="BY6" s="129">
        <v>4747.0230000000001</v>
      </c>
      <c r="BZ6" s="129">
        <v>6865.0969999999998</v>
      </c>
      <c r="CA6" s="130">
        <v>24944.828000000001</v>
      </c>
      <c r="CB6" s="129">
        <v>6302.6710000000003</v>
      </c>
      <c r="CD6" s="131">
        <f>BZ6*41.868/1000</f>
        <v>287.42788119600004</v>
      </c>
    </row>
    <row r="7" spans="1:84" ht="11.25" customHeight="1">
      <c r="A7" s="132"/>
      <c r="B7" s="123" t="s">
        <v>332</v>
      </c>
      <c r="C7" s="124" t="s">
        <v>336</v>
      </c>
      <c r="D7" s="124"/>
      <c r="E7" s="124"/>
      <c r="F7" s="124"/>
      <c r="G7" s="125"/>
      <c r="H7" s="126" t="s">
        <v>337</v>
      </c>
      <c r="I7" s="127">
        <v>7580.2849999999999</v>
      </c>
      <c r="J7" s="127">
        <v>507.99700000000001</v>
      </c>
      <c r="K7" s="128">
        <v>0</v>
      </c>
      <c r="L7" s="128">
        <v>3.0000000000000001E-3</v>
      </c>
      <c r="M7" s="128">
        <v>496.81</v>
      </c>
      <c r="N7" s="128">
        <v>0</v>
      </c>
      <c r="O7" s="128">
        <v>1.345</v>
      </c>
      <c r="P7" s="128">
        <v>0</v>
      </c>
      <c r="Q7" s="128">
        <v>9.8390000000000004</v>
      </c>
      <c r="R7" s="128">
        <v>0</v>
      </c>
      <c r="S7" s="128">
        <v>0</v>
      </c>
      <c r="T7" s="128">
        <v>0</v>
      </c>
      <c r="U7" s="127">
        <v>13.923999999999999</v>
      </c>
      <c r="V7" s="128">
        <v>0</v>
      </c>
      <c r="W7" s="128">
        <v>13.923999999999999</v>
      </c>
      <c r="X7" s="128">
        <v>0</v>
      </c>
      <c r="Y7" s="128">
        <v>0</v>
      </c>
      <c r="Z7" s="127">
        <v>0</v>
      </c>
      <c r="AA7" s="128">
        <v>0</v>
      </c>
      <c r="AB7" s="128">
        <v>0</v>
      </c>
      <c r="AC7" s="129">
        <v>0</v>
      </c>
      <c r="AD7" s="127">
        <v>386.387</v>
      </c>
      <c r="AE7" s="128">
        <v>0</v>
      </c>
      <c r="AF7" s="128">
        <v>0</v>
      </c>
      <c r="AG7" s="128" t="s">
        <v>335</v>
      </c>
      <c r="AH7" s="128" t="s">
        <v>335</v>
      </c>
      <c r="AI7" s="128" t="s">
        <v>335</v>
      </c>
      <c r="AJ7" s="128">
        <v>0</v>
      </c>
      <c r="AK7" s="128">
        <v>0</v>
      </c>
      <c r="AL7" s="128">
        <v>54.935000000000002</v>
      </c>
      <c r="AM7" s="128">
        <v>0</v>
      </c>
      <c r="AN7" s="128">
        <v>0</v>
      </c>
      <c r="AO7" s="128">
        <v>0</v>
      </c>
      <c r="AP7" s="128">
        <v>0</v>
      </c>
      <c r="AQ7" s="128">
        <v>0.13900000000000001</v>
      </c>
      <c r="AR7" s="128">
        <v>0</v>
      </c>
      <c r="AS7" s="128">
        <v>331.31400000000002</v>
      </c>
      <c r="AT7" s="128">
        <v>0</v>
      </c>
      <c r="AU7" s="128">
        <v>0</v>
      </c>
      <c r="AV7" s="128">
        <v>0</v>
      </c>
      <c r="AW7" s="128">
        <v>0</v>
      </c>
      <c r="AX7" s="128">
        <v>0</v>
      </c>
      <c r="AY7" s="128">
        <v>0</v>
      </c>
      <c r="AZ7" s="128">
        <v>0</v>
      </c>
      <c r="BA7" s="129">
        <v>1144.0830000000001</v>
      </c>
      <c r="BB7" s="127">
        <v>276.82499999999999</v>
      </c>
      <c r="BC7" s="128" t="s">
        <v>335</v>
      </c>
      <c r="BD7" s="128" t="s">
        <v>335</v>
      </c>
      <c r="BE7" s="128" t="s">
        <v>335</v>
      </c>
      <c r="BF7" s="128" t="s">
        <v>335</v>
      </c>
      <c r="BG7" s="128">
        <v>5.609</v>
      </c>
      <c r="BH7" s="128">
        <v>6.41</v>
      </c>
      <c r="BI7" s="128">
        <v>177.96899999999999</v>
      </c>
      <c r="BJ7" s="128">
        <v>0</v>
      </c>
      <c r="BK7" s="128">
        <v>65.492999999999995</v>
      </c>
      <c r="BL7" s="128">
        <v>0.252</v>
      </c>
      <c r="BM7" s="128">
        <v>0</v>
      </c>
      <c r="BN7" s="128">
        <v>0</v>
      </c>
      <c r="BO7" s="128">
        <v>0</v>
      </c>
      <c r="BP7" s="128">
        <v>0</v>
      </c>
      <c r="BQ7" s="128">
        <v>0</v>
      </c>
      <c r="BR7" s="128">
        <v>0</v>
      </c>
      <c r="BS7" s="128">
        <v>1</v>
      </c>
      <c r="BT7" s="128">
        <v>20.093</v>
      </c>
      <c r="BU7" s="127">
        <v>33.231999999999999</v>
      </c>
      <c r="BV7" s="128">
        <v>4.0759999999999996</v>
      </c>
      <c r="BW7" s="128">
        <v>29.155000000000001</v>
      </c>
      <c r="BX7" s="129" t="s">
        <v>335</v>
      </c>
      <c r="BY7" s="129">
        <v>1091.606</v>
      </c>
      <c r="BZ7" s="129">
        <v>4126.2309999999998</v>
      </c>
      <c r="CA7" s="130">
        <v>6463.5349999999999</v>
      </c>
      <c r="CB7" s="129">
        <v>543.99</v>
      </c>
      <c r="CD7" s="131">
        <f t="shared" ref="CD7:CD11" si="0">BZ7*41.868/1000</f>
        <v>172.75703950799999</v>
      </c>
    </row>
    <row r="8" spans="1:84" ht="11.25" customHeight="1">
      <c r="A8" s="132"/>
      <c r="B8" s="123" t="s">
        <v>332</v>
      </c>
      <c r="C8" s="124" t="s">
        <v>338</v>
      </c>
      <c r="D8" s="124"/>
      <c r="E8" s="124"/>
      <c r="F8" s="124"/>
      <c r="G8" s="125"/>
      <c r="H8" s="126" t="s">
        <v>339</v>
      </c>
      <c r="I8" s="127">
        <v>21101.347000000002</v>
      </c>
      <c r="J8" s="127">
        <v>5200.1310000000003</v>
      </c>
      <c r="K8" s="128">
        <v>0</v>
      </c>
      <c r="L8" s="128">
        <v>0</v>
      </c>
      <c r="M8" s="128">
        <v>5159.9579999999996</v>
      </c>
      <c r="N8" s="128">
        <v>0</v>
      </c>
      <c r="O8" s="128">
        <v>17.216000000000001</v>
      </c>
      <c r="P8" s="128">
        <v>0</v>
      </c>
      <c r="Q8" s="128">
        <v>22.957000000000001</v>
      </c>
      <c r="R8" s="128">
        <v>0</v>
      </c>
      <c r="S8" s="128">
        <v>0</v>
      </c>
      <c r="T8" s="128">
        <v>0</v>
      </c>
      <c r="U8" s="127">
        <v>0</v>
      </c>
      <c r="V8" s="128">
        <v>0</v>
      </c>
      <c r="W8" s="128">
        <v>0</v>
      </c>
      <c r="X8" s="128">
        <v>0</v>
      </c>
      <c r="Y8" s="128">
        <v>0</v>
      </c>
      <c r="Z8" s="127">
        <v>0</v>
      </c>
      <c r="AA8" s="128">
        <v>0</v>
      </c>
      <c r="AB8" s="128">
        <v>0</v>
      </c>
      <c r="AC8" s="129">
        <v>0</v>
      </c>
      <c r="AD8" s="127">
        <v>617.13</v>
      </c>
      <c r="AE8" s="128">
        <v>0</v>
      </c>
      <c r="AF8" s="128">
        <v>0</v>
      </c>
      <c r="AG8" s="128" t="s">
        <v>335</v>
      </c>
      <c r="AH8" s="128" t="s">
        <v>335</v>
      </c>
      <c r="AI8" s="128" t="s">
        <v>335</v>
      </c>
      <c r="AJ8" s="128">
        <v>0</v>
      </c>
      <c r="AK8" s="128">
        <v>0</v>
      </c>
      <c r="AL8" s="128">
        <v>549.346</v>
      </c>
      <c r="AM8" s="128">
        <v>0</v>
      </c>
      <c r="AN8" s="128">
        <v>0</v>
      </c>
      <c r="AO8" s="128">
        <v>0</v>
      </c>
      <c r="AP8" s="128">
        <v>0</v>
      </c>
      <c r="AQ8" s="128">
        <v>0</v>
      </c>
      <c r="AR8" s="128">
        <v>0</v>
      </c>
      <c r="AS8" s="128">
        <v>67.784000000000006</v>
      </c>
      <c r="AT8" s="128">
        <v>0</v>
      </c>
      <c r="AU8" s="128">
        <v>0</v>
      </c>
      <c r="AV8" s="128">
        <v>0</v>
      </c>
      <c r="AW8" s="128">
        <v>0</v>
      </c>
      <c r="AX8" s="128">
        <v>0</v>
      </c>
      <c r="AY8" s="128">
        <v>0</v>
      </c>
      <c r="AZ8" s="128">
        <v>0</v>
      </c>
      <c r="BA8" s="129">
        <v>3841.4270000000001</v>
      </c>
      <c r="BB8" s="127">
        <v>5225.7</v>
      </c>
      <c r="BC8" s="128" t="s">
        <v>335</v>
      </c>
      <c r="BD8" s="128" t="s">
        <v>335</v>
      </c>
      <c r="BE8" s="128" t="s">
        <v>335</v>
      </c>
      <c r="BF8" s="128" t="s">
        <v>335</v>
      </c>
      <c r="BG8" s="128">
        <v>74.534999999999997</v>
      </c>
      <c r="BH8" s="128">
        <v>19.23</v>
      </c>
      <c r="BI8" s="128">
        <v>4854.0249999999996</v>
      </c>
      <c r="BJ8" s="128">
        <v>0</v>
      </c>
      <c r="BK8" s="128">
        <v>0</v>
      </c>
      <c r="BL8" s="128">
        <v>0</v>
      </c>
      <c r="BM8" s="128">
        <v>0</v>
      </c>
      <c r="BN8" s="128">
        <v>0</v>
      </c>
      <c r="BO8" s="128">
        <v>0</v>
      </c>
      <c r="BP8" s="128">
        <v>0</v>
      </c>
      <c r="BQ8" s="128">
        <v>0</v>
      </c>
      <c r="BR8" s="128">
        <v>0</v>
      </c>
      <c r="BS8" s="128">
        <v>0</v>
      </c>
      <c r="BT8" s="128">
        <v>277.91000000000003</v>
      </c>
      <c r="BU8" s="127">
        <v>0</v>
      </c>
      <c r="BV8" s="128">
        <v>0</v>
      </c>
      <c r="BW8" s="128">
        <v>0</v>
      </c>
      <c r="BX8" s="129" t="s">
        <v>335</v>
      </c>
      <c r="BY8" s="129">
        <v>3636.9059999999999</v>
      </c>
      <c r="BZ8" s="129">
        <v>2580.0529999999999</v>
      </c>
      <c r="CA8" s="130">
        <v>15130.823</v>
      </c>
      <c r="CB8" s="129">
        <v>5260.7460000000001</v>
      </c>
      <c r="CD8" s="131">
        <f t="shared" si="0"/>
        <v>108.021659004</v>
      </c>
    </row>
    <row r="9" spans="1:84" ht="11.25" customHeight="1">
      <c r="A9" s="132"/>
      <c r="B9" s="123" t="s">
        <v>332</v>
      </c>
      <c r="C9" s="124" t="s">
        <v>340</v>
      </c>
      <c r="D9" s="124"/>
      <c r="E9" s="124"/>
      <c r="F9" s="124"/>
      <c r="G9" s="125"/>
      <c r="H9" s="126" t="s">
        <v>341</v>
      </c>
      <c r="I9" s="127">
        <v>3867.8850000000002</v>
      </c>
      <c r="J9" s="127">
        <v>754.24199999999996</v>
      </c>
      <c r="K9" s="128">
        <v>0</v>
      </c>
      <c r="L9" s="128">
        <v>0</v>
      </c>
      <c r="M9" s="128">
        <v>743.94899999999996</v>
      </c>
      <c r="N9" s="128">
        <v>0</v>
      </c>
      <c r="O9" s="128">
        <v>4.9470000000000001</v>
      </c>
      <c r="P9" s="128">
        <v>4.3999999999999997E-2</v>
      </c>
      <c r="Q9" s="128">
        <v>3.8820000000000001</v>
      </c>
      <c r="R9" s="128">
        <v>0</v>
      </c>
      <c r="S9" s="128">
        <v>0</v>
      </c>
      <c r="T9" s="128">
        <v>1.42</v>
      </c>
      <c r="U9" s="127">
        <v>0</v>
      </c>
      <c r="V9" s="128">
        <v>0</v>
      </c>
      <c r="W9" s="128">
        <v>0</v>
      </c>
      <c r="X9" s="128">
        <v>0</v>
      </c>
      <c r="Y9" s="128">
        <v>0</v>
      </c>
      <c r="Z9" s="127">
        <v>0</v>
      </c>
      <c r="AA9" s="128">
        <v>0</v>
      </c>
      <c r="AB9" s="128">
        <v>0</v>
      </c>
      <c r="AC9" s="129">
        <v>0</v>
      </c>
      <c r="AD9" s="127">
        <v>2406.2429999999999</v>
      </c>
      <c r="AE9" s="128">
        <v>0</v>
      </c>
      <c r="AF9" s="128">
        <v>0</v>
      </c>
      <c r="AG9" s="128" t="s">
        <v>335</v>
      </c>
      <c r="AH9" s="128" t="s">
        <v>335</v>
      </c>
      <c r="AI9" s="128" t="s">
        <v>335</v>
      </c>
      <c r="AJ9" s="128">
        <v>0</v>
      </c>
      <c r="AK9" s="128">
        <v>0</v>
      </c>
      <c r="AL9" s="128">
        <v>68.119</v>
      </c>
      <c r="AM9" s="128">
        <v>1.0920000000000001</v>
      </c>
      <c r="AN9" s="128">
        <v>0</v>
      </c>
      <c r="AO9" s="128">
        <v>0</v>
      </c>
      <c r="AP9" s="128">
        <v>0</v>
      </c>
      <c r="AQ9" s="128">
        <v>0</v>
      </c>
      <c r="AR9" s="128">
        <v>0</v>
      </c>
      <c r="AS9" s="128">
        <v>2327.2669999999998</v>
      </c>
      <c r="AT9" s="128">
        <v>9.766</v>
      </c>
      <c r="AU9" s="128">
        <v>0</v>
      </c>
      <c r="AV9" s="128">
        <v>0</v>
      </c>
      <c r="AW9" s="128">
        <v>0</v>
      </c>
      <c r="AX9" s="128">
        <v>0</v>
      </c>
      <c r="AY9" s="128">
        <v>0</v>
      </c>
      <c r="AZ9" s="128">
        <v>0</v>
      </c>
      <c r="BA9" s="129">
        <v>43.128999999999998</v>
      </c>
      <c r="BB9" s="127">
        <v>488.16300000000001</v>
      </c>
      <c r="BC9" s="128" t="s">
        <v>335</v>
      </c>
      <c r="BD9" s="128" t="s">
        <v>335</v>
      </c>
      <c r="BE9" s="128" t="s">
        <v>335</v>
      </c>
      <c r="BF9" s="128" t="s">
        <v>335</v>
      </c>
      <c r="BG9" s="128">
        <v>0</v>
      </c>
      <c r="BH9" s="128">
        <v>0</v>
      </c>
      <c r="BI9" s="128">
        <v>479.31700000000001</v>
      </c>
      <c r="BJ9" s="128">
        <v>0</v>
      </c>
      <c r="BK9" s="128">
        <v>8.8460000000000001</v>
      </c>
      <c r="BL9" s="128">
        <v>0</v>
      </c>
      <c r="BM9" s="128">
        <v>0</v>
      </c>
      <c r="BN9" s="128">
        <v>0</v>
      </c>
      <c r="BO9" s="128">
        <v>0</v>
      </c>
      <c r="BP9" s="128">
        <v>0</v>
      </c>
      <c r="BQ9" s="128">
        <v>0</v>
      </c>
      <c r="BR9" s="128">
        <v>0</v>
      </c>
      <c r="BS9" s="128">
        <v>0</v>
      </c>
      <c r="BT9" s="133" t="s">
        <v>335</v>
      </c>
      <c r="BU9" s="127">
        <v>0</v>
      </c>
      <c r="BV9" s="128">
        <v>0</v>
      </c>
      <c r="BW9" s="128">
        <v>0</v>
      </c>
      <c r="BX9" s="129" t="s">
        <v>335</v>
      </c>
      <c r="BY9" s="129">
        <v>18.510999999999999</v>
      </c>
      <c r="BZ9" s="129">
        <v>157.59700000000001</v>
      </c>
      <c r="CA9" s="130">
        <v>3349.3649999999998</v>
      </c>
      <c r="CB9" s="129">
        <v>497.87099999999998</v>
      </c>
      <c r="CD9" s="131">
        <f t="shared" si="0"/>
        <v>6.5982711960000007</v>
      </c>
    </row>
    <row r="10" spans="1:84" ht="11.25" customHeight="1">
      <c r="A10" s="132"/>
      <c r="B10" s="123" t="s">
        <v>332</v>
      </c>
      <c r="C10" s="124" t="s">
        <v>342</v>
      </c>
      <c r="D10" s="124"/>
      <c r="E10" s="124"/>
      <c r="F10" s="124"/>
      <c r="G10" s="125"/>
      <c r="H10" s="126" t="s">
        <v>343</v>
      </c>
      <c r="I10" s="127">
        <v>1.2170000000000001</v>
      </c>
      <c r="J10" s="127">
        <v>0</v>
      </c>
      <c r="K10" s="128">
        <v>0</v>
      </c>
      <c r="L10" s="128">
        <v>0</v>
      </c>
      <c r="M10" s="128">
        <v>0</v>
      </c>
      <c r="N10" s="128">
        <v>0</v>
      </c>
      <c r="O10" s="128">
        <v>0</v>
      </c>
      <c r="P10" s="128">
        <v>0</v>
      </c>
      <c r="Q10" s="128">
        <v>0</v>
      </c>
      <c r="R10" s="128">
        <v>0</v>
      </c>
      <c r="S10" s="128">
        <v>0</v>
      </c>
      <c r="T10" s="128">
        <v>0</v>
      </c>
      <c r="U10" s="127">
        <v>0</v>
      </c>
      <c r="V10" s="128">
        <v>0</v>
      </c>
      <c r="W10" s="128">
        <v>0</v>
      </c>
      <c r="X10" s="128">
        <v>0</v>
      </c>
      <c r="Y10" s="128">
        <v>0</v>
      </c>
      <c r="Z10" s="127">
        <v>0</v>
      </c>
      <c r="AA10" s="128">
        <v>0</v>
      </c>
      <c r="AB10" s="128">
        <v>0</v>
      </c>
      <c r="AC10" s="129">
        <v>0</v>
      </c>
      <c r="AD10" s="127">
        <v>0</v>
      </c>
      <c r="AE10" s="128">
        <v>0</v>
      </c>
      <c r="AF10" s="128">
        <v>0</v>
      </c>
      <c r="AG10" s="128" t="s">
        <v>335</v>
      </c>
      <c r="AH10" s="128" t="s">
        <v>335</v>
      </c>
      <c r="AI10" s="128" t="s">
        <v>335</v>
      </c>
      <c r="AJ10" s="128">
        <v>0</v>
      </c>
      <c r="AK10" s="128">
        <v>0</v>
      </c>
      <c r="AL10" s="128">
        <v>0</v>
      </c>
      <c r="AM10" s="128">
        <v>0</v>
      </c>
      <c r="AN10" s="128">
        <v>0</v>
      </c>
      <c r="AO10" s="128">
        <v>0</v>
      </c>
      <c r="AP10" s="128">
        <v>0</v>
      </c>
      <c r="AQ10" s="128">
        <v>0</v>
      </c>
      <c r="AR10" s="128">
        <v>0</v>
      </c>
      <c r="AS10" s="128">
        <v>0</v>
      </c>
      <c r="AT10" s="128">
        <v>0</v>
      </c>
      <c r="AU10" s="128">
        <v>0</v>
      </c>
      <c r="AV10" s="128">
        <v>0</v>
      </c>
      <c r="AW10" s="128">
        <v>0</v>
      </c>
      <c r="AX10" s="128">
        <v>0</v>
      </c>
      <c r="AY10" s="128">
        <v>0</v>
      </c>
      <c r="AZ10" s="128">
        <v>0</v>
      </c>
      <c r="BA10" s="129">
        <v>0</v>
      </c>
      <c r="BB10" s="127">
        <v>0</v>
      </c>
      <c r="BC10" s="128" t="s">
        <v>335</v>
      </c>
      <c r="BD10" s="128" t="s">
        <v>335</v>
      </c>
      <c r="BE10" s="128" t="s">
        <v>335</v>
      </c>
      <c r="BF10" s="128" t="s">
        <v>335</v>
      </c>
      <c r="BG10" s="128">
        <v>0</v>
      </c>
      <c r="BH10" s="128">
        <v>0</v>
      </c>
      <c r="BI10" s="128">
        <v>0</v>
      </c>
      <c r="BJ10" s="128">
        <v>0</v>
      </c>
      <c r="BK10" s="128">
        <v>0</v>
      </c>
      <c r="BL10" s="128">
        <v>0</v>
      </c>
      <c r="BM10" s="128">
        <v>0</v>
      </c>
      <c r="BN10" s="128">
        <v>0</v>
      </c>
      <c r="BO10" s="128">
        <v>0</v>
      </c>
      <c r="BP10" s="128">
        <v>0</v>
      </c>
      <c r="BQ10" s="128">
        <v>0</v>
      </c>
      <c r="BR10" s="128">
        <v>0</v>
      </c>
      <c r="BS10" s="128">
        <v>0</v>
      </c>
      <c r="BT10" s="133" t="s">
        <v>335</v>
      </c>
      <c r="BU10" s="127">
        <v>0</v>
      </c>
      <c r="BV10" s="128">
        <v>0</v>
      </c>
      <c r="BW10" s="128">
        <v>0</v>
      </c>
      <c r="BX10" s="129" t="s">
        <v>335</v>
      </c>
      <c r="BY10" s="129">
        <v>0</v>
      </c>
      <c r="BZ10" s="129">
        <v>1.2170000000000001</v>
      </c>
      <c r="CA10" s="130">
        <v>0.99299999999999999</v>
      </c>
      <c r="CB10" s="129">
        <v>6.4000000000000001E-2</v>
      </c>
      <c r="CD10" s="131">
        <f t="shared" si="0"/>
        <v>5.0953356000000005E-2</v>
      </c>
    </row>
    <row r="11" spans="1:84" ht="11.25" customHeight="1">
      <c r="A11" s="134"/>
      <c r="B11" s="135" t="s">
        <v>332</v>
      </c>
      <c r="C11" s="124" t="s">
        <v>344</v>
      </c>
      <c r="D11" s="136"/>
      <c r="E11" s="136"/>
      <c r="F11" s="136"/>
      <c r="G11" s="137"/>
      <c r="H11" s="138" t="s">
        <v>345</v>
      </c>
      <c r="I11" s="139">
        <v>0.112</v>
      </c>
      <c r="J11" s="139">
        <v>0</v>
      </c>
      <c r="K11" s="140">
        <v>0</v>
      </c>
      <c r="L11" s="140">
        <v>0</v>
      </c>
      <c r="M11" s="140">
        <v>0</v>
      </c>
      <c r="N11" s="140">
        <v>0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40">
        <v>0</v>
      </c>
      <c r="U11" s="139">
        <v>0</v>
      </c>
      <c r="V11" s="140">
        <v>0</v>
      </c>
      <c r="W11" s="140">
        <v>0</v>
      </c>
      <c r="X11" s="140">
        <v>0</v>
      </c>
      <c r="Y11" s="140">
        <v>0</v>
      </c>
      <c r="Z11" s="139">
        <v>0</v>
      </c>
      <c r="AA11" s="140">
        <v>0</v>
      </c>
      <c r="AB11" s="140">
        <v>0</v>
      </c>
      <c r="AC11" s="141">
        <v>0</v>
      </c>
      <c r="AD11" s="139">
        <v>0.112</v>
      </c>
      <c r="AE11" s="140">
        <v>0</v>
      </c>
      <c r="AF11" s="140">
        <v>0</v>
      </c>
      <c r="AG11" s="140" t="s">
        <v>335</v>
      </c>
      <c r="AH11" s="140" t="s">
        <v>335</v>
      </c>
      <c r="AI11" s="140" t="s">
        <v>335</v>
      </c>
      <c r="AJ11" s="140">
        <v>0</v>
      </c>
      <c r="AK11" s="140">
        <v>0</v>
      </c>
      <c r="AL11" s="140">
        <v>0</v>
      </c>
      <c r="AM11" s="140">
        <v>0</v>
      </c>
      <c r="AN11" s="140">
        <v>0</v>
      </c>
      <c r="AO11" s="140">
        <v>0</v>
      </c>
      <c r="AP11" s="140">
        <v>0</v>
      </c>
      <c r="AQ11" s="140">
        <v>0.112</v>
      </c>
      <c r="AR11" s="140">
        <v>0</v>
      </c>
      <c r="AS11" s="140">
        <v>0</v>
      </c>
      <c r="AT11" s="140">
        <v>0</v>
      </c>
      <c r="AU11" s="140">
        <v>0</v>
      </c>
      <c r="AV11" s="140">
        <v>0</v>
      </c>
      <c r="AW11" s="140">
        <v>0</v>
      </c>
      <c r="AX11" s="140">
        <v>0</v>
      </c>
      <c r="AY11" s="140">
        <v>0</v>
      </c>
      <c r="AZ11" s="140">
        <v>0</v>
      </c>
      <c r="BA11" s="141">
        <v>0</v>
      </c>
      <c r="BB11" s="139">
        <v>0</v>
      </c>
      <c r="BC11" s="140" t="s">
        <v>335</v>
      </c>
      <c r="BD11" s="140" t="s">
        <v>335</v>
      </c>
      <c r="BE11" s="140" t="s">
        <v>335</v>
      </c>
      <c r="BF11" s="140" t="s">
        <v>335</v>
      </c>
      <c r="BG11" s="140">
        <v>0</v>
      </c>
      <c r="BH11" s="140">
        <v>0</v>
      </c>
      <c r="BI11" s="140">
        <v>0</v>
      </c>
      <c r="BJ11" s="140">
        <v>0</v>
      </c>
      <c r="BK11" s="140">
        <v>0</v>
      </c>
      <c r="BL11" s="140">
        <v>0</v>
      </c>
      <c r="BM11" s="140">
        <v>0</v>
      </c>
      <c r="BN11" s="140">
        <v>0</v>
      </c>
      <c r="BO11" s="140">
        <v>0</v>
      </c>
      <c r="BP11" s="140">
        <v>0</v>
      </c>
      <c r="BQ11" s="140">
        <v>0</v>
      </c>
      <c r="BR11" s="140">
        <v>0</v>
      </c>
      <c r="BS11" s="140">
        <v>0</v>
      </c>
      <c r="BT11" s="140">
        <v>0</v>
      </c>
      <c r="BU11" s="139">
        <v>0</v>
      </c>
      <c r="BV11" s="140">
        <v>0</v>
      </c>
      <c r="BW11" s="140">
        <v>0</v>
      </c>
      <c r="BX11" s="141" t="s">
        <v>335</v>
      </c>
      <c r="BY11" s="141">
        <v>0</v>
      </c>
      <c r="BZ11" s="141">
        <v>0</v>
      </c>
      <c r="CA11" s="142">
        <v>0.112</v>
      </c>
      <c r="CB11" s="141">
        <v>0</v>
      </c>
      <c r="CD11" s="131">
        <f t="shared" si="0"/>
        <v>0</v>
      </c>
    </row>
    <row r="12" spans="1:84" ht="11.25" customHeight="1">
      <c r="A12" s="143"/>
      <c r="B12" s="143"/>
      <c r="C12" s="143"/>
      <c r="D12" s="143"/>
      <c r="E12" s="143"/>
      <c r="F12" s="143"/>
      <c r="G12" s="144"/>
      <c r="H12" s="145"/>
      <c r="I12" s="146"/>
      <c r="J12" s="147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7"/>
      <c r="V12" s="148"/>
      <c r="W12" s="148"/>
      <c r="X12" s="148"/>
      <c r="Y12" s="148"/>
      <c r="Z12" s="147"/>
      <c r="AA12" s="148"/>
      <c r="AB12" s="148"/>
      <c r="AC12" s="148"/>
      <c r="AD12" s="147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9"/>
      <c r="BB12" s="147"/>
      <c r="BC12" s="149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7"/>
      <c r="BV12" s="149"/>
      <c r="BW12" s="149"/>
      <c r="BX12" s="149"/>
      <c r="BY12" s="149"/>
      <c r="BZ12" s="149"/>
      <c r="CA12" s="149"/>
      <c r="CB12" s="149"/>
    </row>
    <row r="16" spans="1:84">
      <c r="I16" s="151" t="s">
        <v>20</v>
      </c>
      <c r="J16" s="151" t="s">
        <v>24</v>
      </c>
      <c r="K16" s="151" t="s">
        <v>26</v>
      </c>
      <c r="L16" s="151" t="s">
        <v>28</v>
      </c>
      <c r="M16" s="151" t="s">
        <v>30</v>
      </c>
      <c r="N16" s="151" t="s">
        <v>32</v>
      </c>
      <c r="O16" s="151" t="s">
        <v>34</v>
      </c>
      <c r="P16" s="151" t="s">
        <v>36</v>
      </c>
      <c r="Q16" s="151" t="s">
        <v>37</v>
      </c>
      <c r="R16" s="151" t="s">
        <v>39</v>
      </c>
      <c r="S16" s="151" t="s">
        <v>41</v>
      </c>
      <c r="T16" s="151" t="s">
        <v>43</v>
      </c>
      <c r="U16" s="152" t="s">
        <v>45</v>
      </c>
    </row>
    <row r="17" spans="6:24">
      <c r="F17" s="304" t="s">
        <v>260</v>
      </c>
      <c r="H17" s="151" t="str">
        <f>B6</f>
        <v>Other sectors</v>
      </c>
      <c r="I17" s="155">
        <f>K6+L6+M6+N6+P6+Q6+R6+S6+U6+V6+W6+X6+Y6</f>
        <v>6465.2899999999991</v>
      </c>
      <c r="J17" s="152">
        <f>O6+T6</f>
        <v>24.929000000000002</v>
      </c>
      <c r="K17" s="152">
        <f>AM6</f>
        <v>1.0920000000000001</v>
      </c>
      <c r="L17" s="152">
        <f>AS6</f>
        <v>2726.3649999999998</v>
      </c>
      <c r="M17" s="152">
        <f>AL6</f>
        <v>672.399</v>
      </c>
      <c r="N17" s="152">
        <f>AT6</f>
        <v>9.766</v>
      </c>
      <c r="O17" s="152">
        <f>BA6</f>
        <v>5028.6390000000001</v>
      </c>
      <c r="P17" s="152">
        <f>BK6</f>
        <v>74.338999999999999</v>
      </c>
      <c r="Q17" s="152">
        <f>BI6</f>
        <v>5511.3109999999997</v>
      </c>
      <c r="R17" s="152">
        <f>BL6+BW6</f>
        <v>29.407</v>
      </c>
      <c r="S17" s="152">
        <f>BZ6</f>
        <v>6865.0969999999998</v>
      </c>
      <c r="T17" s="152">
        <f>BY6</f>
        <v>4747.0230000000001</v>
      </c>
      <c r="U17" s="152">
        <f>AQ6+BG6+BH6+BS6+BT6+BU6+BV6</f>
        <v>442.346</v>
      </c>
      <c r="W17" s="153">
        <f>SUM(I17:U17)</f>
        <v>32598.003000000001</v>
      </c>
      <c r="X17" s="153">
        <f>W17-I6</f>
        <v>47.156999999999243</v>
      </c>
    </row>
    <row r="18" spans="6:24">
      <c r="F18" s="304"/>
      <c r="H18" s="151" t="str">
        <f>C7</f>
        <v>Commercial &amp; public services</v>
      </c>
      <c r="I18" s="155">
        <f t="shared" ref="I18:I21" si="1">K7+L7+M7+N7+P7+Q7+R7+S7+U7+V7+W7+X7+Y7</f>
        <v>534.5</v>
      </c>
      <c r="J18" s="152">
        <f t="shared" ref="J18:J21" si="2">O7+T7</f>
        <v>1.345</v>
      </c>
      <c r="K18" s="152">
        <f t="shared" ref="K18:K21" si="3">AM7</f>
        <v>0</v>
      </c>
      <c r="L18" s="152">
        <f t="shared" ref="L18:L21" si="4">AS7</f>
        <v>331.31400000000002</v>
      </c>
      <c r="M18" s="152">
        <f t="shared" ref="M18:M21" si="5">AL7</f>
        <v>54.935000000000002</v>
      </c>
      <c r="N18" s="152">
        <f t="shared" ref="N18:N21" si="6">AT7</f>
        <v>0</v>
      </c>
      <c r="O18" s="152">
        <f t="shared" ref="O18:O21" si="7">BA7</f>
        <v>1144.0830000000001</v>
      </c>
      <c r="P18" s="152">
        <f t="shared" ref="P18:P21" si="8">BK7</f>
        <v>65.492999999999995</v>
      </c>
      <c r="Q18" s="152">
        <f t="shared" ref="Q18:Q21" si="9">BI7</f>
        <v>177.96899999999999</v>
      </c>
      <c r="R18" s="152">
        <f t="shared" ref="R18:R21" si="10">BL7+BW7</f>
        <v>29.407</v>
      </c>
      <c r="S18" s="152">
        <f t="shared" ref="S18:S21" si="11">BZ7</f>
        <v>4126.2309999999998</v>
      </c>
      <c r="T18" s="152">
        <f t="shared" ref="T18:T21" si="12">BY7</f>
        <v>1091.606</v>
      </c>
      <c r="U18" s="152">
        <f t="shared" ref="U18:U19" si="13">AQ7+BG7+BH7+BS7+BT7+BU7+BV7</f>
        <v>70.558999999999997</v>
      </c>
      <c r="W18" s="153">
        <f t="shared" ref="W18:W21" si="14">SUM(I18:U18)</f>
        <v>7627.442</v>
      </c>
      <c r="X18" s="153">
        <f t="shared" ref="X18:X21" si="15">W18-I7</f>
        <v>47.157000000000153</v>
      </c>
    </row>
    <row r="19" spans="6:24">
      <c r="F19" s="304"/>
      <c r="H19" s="151" t="str">
        <f t="shared" ref="H19:H21" si="16">C8</f>
        <v>Households</v>
      </c>
      <c r="I19" s="155">
        <f t="shared" si="1"/>
        <v>5182.915</v>
      </c>
      <c r="J19" s="152">
        <f t="shared" si="2"/>
        <v>17.216000000000001</v>
      </c>
      <c r="K19" s="152">
        <f t="shared" si="3"/>
        <v>0</v>
      </c>
      <c r="L19" s="152">
        <f t="shared" si="4"/>
        <v>67.784000000000006</v>
      </c>
      <c r="M19" s="152">
        <f t="shared" si="5"/>
        <v>549.346</v>
      </c>
      <c r="N19" s="152">
        <f t="shared" si="6"/>
        <v>0</v>
      </c>
      <c r="O19" s="152">
        <f t="shared" si="7"/>
        <v>3841.4270000000001</v>
      </c>
      <c r="P19" s="152">
        <f t="shared" si="8"/>
        <v>0</v>
      </c>
      <c r="Q19" s="152">
        <f t="shared" si="9"/>
        <v>4854.0249999999996</v>
      </c>
      <c r="R19" s="152">
        <f t="shared" si="10"/>
        <v>0</v>
      </c>
      <c r="S19" s="152">
        <f t="shared" si="11"/>
        <v>2580.0529999999999</v>
      </c>
      <c r="T19" s="152">
        <f t="shared" si="12"/>
        <v>3636.9059999999999</v>
      </c>
      <c r="U19" s="152">
        <f t="shared" si="13"/>
        <v>371.67500000000001</v>
      </c>
      <c r="W19" s="153">
        <f t="shared" si="14"/>
        <v>21101.346999999998</v>
      </c>
      <c r="X19" s="153">
        <f t="shared" si="15"/>
        <v>0</v>
      </c>
    </row>
    <row r="20" spans="6:24">
      <c r="F20" s="304"/>
      <c r="H20" s="151" t="str">
        <f t="shared" si="16"/>
        <v>Agriculture &amp; forestry</v>
      </c>
      <c r="I20" s="155">
        <f t="shared" si="1"/>
        <v>747.87499999999989</v>
      </c>
      <c r="J20" s="152">
        <f t="shared" si="2"/>
        <v>6.367</v>
      </c>
      <c r="K20" s="152">
        <f t="shared" si="3"/>
        <v>1.0920000000000001</v>
      </c>
      <c r="L20" s="152">
        <f t="shared" si="4"/>
        <v>2327.2669999999998</v>
      </c>
      <c r="M20" s="152">
        <f t="shared" si="5"/>
        <v>68.119</v>
      </c>
      <c r="N20" s="152">
        <f t="shared" si="6"/>
        <v>9.766</v>
      </c>
      <c r="O20" s="152">
        <f t="shared" si="7"/>
        <v>43.128999999999998</v>
      </c>
      <c r="P20" s="152">
        <f t="shared" si="8"/>
        <v>8.8460000000000001</v>
      </c>
      <c r="Q20" s="152">
        <f t="shared" si="9"/>
        <v>479.31700000000001</v>
      </c>
      <c r="R20" s="152">
        <f t="shared" si="10"/>
        <v>0</v>
      </c>
      <c r="S20" s="152">
        <f t="shared" si="11"/>
        <v>157.59700000000001</v>
      </c>
      <c r="T20" s="152">
        <f t="shared" si="12"/>
        <v>18.510999999999999</v>
      </c>
      <c r="U20" s="152">
        <f>AQ9+BG9+BH9+BS9+BU9+BV9</f>
        <v>0</v>
      </c>
      <c r="W20" s="153">
        <f t="shared" si="14"/>
        <v>3867.886</v>
      </c>
      <c r="X20" s="153">
        <f t="shared" si="15"/>
        <v>9.9999999974897946E-4</v>
      </c>
    </row>
    <row r="21" spans="6:24">
      <c r="F21" s="304"/>
      <c r="H21" s="151" t="str">
        <f t="shared" si="16"/>
        <v>Fishing</v>
      </c>
      <c r="I21" s="155">
        <f t="shared" si="1"/>
        <v>0</v>
      </c>
      <c r="J21" s="152">
        <f t="shared" si="2"/>
        <v>0</v>
      </c>
      <c r="K21" s="152">
        <f t="shared" si="3"/>
        <v>0</v>
      </c>
      <c r="L21" s="152">
        <f t="shared" si="4"/>
        <v>0</v>
      </c>
      <c r="M21" s="152">
        <f t="shared" si="5"/>
        <v>0</v>
      </c>
      <c r="N21" s="152">
        <f t="shared" si="6"/>
        <v>0</v>
      </c>
      <c r="O21" s="152">
        <f t="shared" si="7"/>
        <v>0</v>
      </c>
      <c r="P21" s="152">
        <f t="shared" si="8"/>
        <v>0</v>
      </c>
      <c r="Q21" s="152">
        <f t="shared" si="9"/>
        <v>0</v>
      </c>
      <c r="R21" s="152">
        <f t="shared" si="10"/>
        <v>0</v>
      </c>
      <c r="S21" s="152">
        <f t="shared" si="11"/>
        <v>1.2170000000000001</v>
      </c>
      <c r="T21" s="152">
        <f t="shared" si="12"/>
        <v>0</v>
      </c>
      <c r="U21" s="152">
        <f>AQ10+BG10+BH10+BS10+BU10+BV10</f>
        <v>0</v>
      </c>
      <c r="W21" s="153">
        <f t="shared" si="14"/>
        <v>1.2170000000000001</v>
      </c>
      <c r="X21" s="153">
        <f t="shared" si="15"/>
        <v>0</v>
      </c>
    </row>
    <row r="22" spans="6:24">
      <c r="H22" s="151" t="str">
        <f>C11</f>
        <v>Not elsewhere specified (other)</v>
      </c>
      <c r="I22" s="155">
        <f t="shared" ref="I22" si="17">K11+L11+M11+N11+P11+Q11+R11+S11+U11+V11+W11+X11+Y11</f>
        <v>0</v>
      </c>
      <c r="J22" s="152">
        <f t="shared" ref="J22" si="18">O11+T11</f>
        <v>0</v>
      </c>
      <c r="K22" s="152">
        <f t="shared" ref="K22" si="19">AM11</f>
        <v>0</v>
      </c>
      <c r="L22" s="152">
        <f t="shared" ref="L22" si="20">AS11</f>
        <v>0</v>
      </c>
      <c r="M22" s="152">
        <f t="shared" ref="M22" si="21">AL11</f>
        <v>0</v>
      </c>
      <c r="N22" s="152">
        <f t="shared" ref="N22" si="22">AT11</f>
        <v>0</v>
      </c>
      <c r="O22" s="152">
        <f t="shared" ref="O22" si="23">BA11</f>
        <v>0</v>
      </c>
      <c r="P22" s="152">
        <f t="shared" ref="P22" si="24">BK11</f>
        <v>0</v>
      </c>
      <c r="Q22" s="152">
        <f t="shared" ref="Q22" si="25">BI11</f>
        <v>0</v>
      </c>
      <c r="R22" s="152">
        <f t="shared" ref="R22" si="26">BL11+BW11</f>
        <v>0</v>
      </c>
      <c r="S22" s="152">
        <f t="shared" ref="S22" si="27">BZ11</f>
        <v>0</v>
      </c>
      <c r="T22" s="152">
        <f t="shared" ref="T22" si="28">BY11</f>
        <v>0</v>
      </c>
      <c r="U22" s="152">
        <f>AQ11+BG11+BH11+BS11+BU11+BV11</f>
        <v>0.112</v>
      </c>
    </row>
    <row r="24" spans="6:24">
      <c r="I24" s="151" t="str">
        <f>I16</f>
        <v>AGR_HC</v>
      </c>
      <c r="J24" s="151" t="str">
        <f t="shared" ref="J24:U24" si="29">J16</f>
        <v>AGR_BC</v>
      </c>
      <c r="K24" s="151" t="str">
        <f t="shared" si="29"/>
        <v>AGR_OIL_GSL</v>
      </c>
      <c r="L24" s="151" t="str">
        <f t="shared" si="29"/>
        <v>AGR_OIL_DSL</v>
      </c>
      <c r="M24" s="151" t="str">
        <f t="shared" si="29"/>
        <v>AGR_OIL_LPG</v>
      </c>
      <c r="N24" s="151" t="str">
        <f t="shared" si="29"/>
        <v>AGR_OIL_FUE</v>
      </c>
      <c r="O24" s="151" t="str">
        <f t="shared" si="29"/>
        <v>AGR_NAT_GAS</v>
      </c>
      <c r="P24" s="151" t="str">
        <f t="shared" si="29"/>
        <v>AGR_BIOG</v>
      </c>
      <c r="Q24" s="151" t="str">
        <f t="shared" si="29"/>
        <v>AGR_BIOM</v>
      </c>
      <c r="R24" s="151" t="str">
        <f t="shared" si="29"/>
        <v>AGR_RDF</v>
      </c>
      <c r="S24" s="151" t="str">
        <f t="shared" si="29"/>
        <v>AGR_ELC</v>
      </c>
      <c r="T24" s="151" t="str">
        <f t="shared" si="29"/>
        <v>AGR_DH</v>
      </c>
      <c r="U24" s="151" t="str">
        <f t="shared" si="29"/>
        <v>AGR_OTH_FUE</v>
      </c>
    </row>
    <row r="25" spans="6:24">
      <c r="F25" s="304" t="s">
        <v>22</v>
      </c>
      <c r="H25" s="151" t="s">
        <v>346</v>
      </c>
      <c r="I25" s="151">
        <f>I18*41.868/1000</f>
        <v>22.378446</v>
      </c>
      <c r="J25" s="151">
        <f t="shared" ref="J25:U25" si="30">J18*41.868/1000</f>
        <v>5.6312460000000002E-2</v>
      </c>
      <c r="K25" s="151">
        <f t="shared" si="30"/>
        <v>0</v>
      </c>
      <c r="L25" s="151">
        <f t="shared" si="30"/>
        <v>13.871454552000001</v>
      </c>
      <c r="M25" s="151">
        <f t="shared" si="30"/>
        <v>2.3000185800000006</v>
      </c>
      <c r="N25" s="151">
        <f t="shared" si="30"/>
        <v>0</v>
      </c>
      <c r="O25" s="151">
        <f t="shared" si="30"/>
        <v>47.900467044000003</v>
      </c>
      <c r="P25" s="151">
        <f t="shared" si="30"/>
        <v>2.742060924</v>
      </c>
      <c r="Q25" s="151">
        <f t="shared" si="30"/>
        <v>7.4512060920000005</v>
      </c>
      <c r="R25" s="151">
        <f t="shared" si="30"/>
        <v>1.2312122759999999</v>
      </c>
      <c r="S25" s="151">
        <f t="shared" si="30"/>
        <v>172.75703950799999</v>
      </c>
      <c r="T25" s="151">
        <f t="shared" si="30"/>
        <v>45.703360008000004</v>
      </c>
      <c r="U25" s="151">
        <f t="shared" si="30"/>
        <v>2.9541642120000002</v>
      </c>
      <c r="W25" s="153">
        <f t="shared" ref="W25:W26" si="31">SUM(I25:U25)</f>
        <v>319.34574165600003</v>
      </c>
    </row>
    <row r="26" spans="6:24">
      <c r="F26" s="304"/>
      <c r="H26" s="151" t="s">
        <v>347</v>
      </c>
      <c r="I26" s="151">
        <f>I20*41.868/1000</f>
        <v>31.312030499999999</v>
      </c>
      <c r="J26" s="151">
        <f t="shared" ref="J26:U26" si="32">J20*41.868/1000</f>
        <v>0.26657355599999999</v>
      </c>
      <c r="K26" s="151">
        <f t="shared" si="32"/>
        <v>4.571985600000001E-2</v>
      </c>
      <c r="L26" s="151">
        <f t="shared" si="32"/>
        <v>97.438014756000001</v>
      </c>
      <c r="M26" s="151">
        <f t="shared" si="32"/>
        <v>2.852006292</v>
      </c>
      <c r="N26" s="151">
        <f t="shared" si="32"/>
        <v>0.40888288800000006</v>
      </c>
      <c r="O26" s="151">
        <f t="shared" si="32"/>
        <v>1.8057249719999999</v>
      </c>
      <c r="P26" s="151">
        <f t="shared" si="32"/>
        <v>0.37036432800000002</v>
      </c>
      <c r="Q26" s="151">
        <f t="shared" si="32"/>
        <v>20.068044155999999</v>
      </c>
      <c r="R26" s="151">
        <f t="shared" si="32"/>
        <v>0</v>
      </c>
      <c r="S26" s="151">
        <f t="shared" si="32"/>
        <v>6.5982711960000007</v>
      </c>
      <c r="T26" s="151">
        <f t="shared" si="32"/>
        <v>0.77501854800000003</v>
      </c>
      <c r="U26" s="151">
        <f t="shared" si="32"/>
        <v>0</v>
      </c>
      <c r="W26" s="153">
        <f t="shared" si="31"/>
        <v>161.94065104799998</v>
      </c>
    </row>
  </sheetData>
  <mergeCells count="2">
    <mergeCell ref="F17:F21"/>
    <mergeCell ref="F25:F2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4E30A-6C6B-43E6-8901-D0E11A04DD55}">
  <dimension ref="A1:F133"/>
  <sheetViews>
    <sheetView topLeftCell="A109" zoomScaleNormal="100" workbookViewId="0">
      <selection activeCell="C128" sqref="C128"/>
    </sheetView>
  </sheetViews>
  <sheetFormatPr defaultColWidth="62.1796875" defaultRowHeight="23.25" customHeight="1"/>
  <cols>
    <col min="2" max="6" width="16.26953125" customWidth="1"/>
  </cols>
  <sheetData>
    <row r="1" spans="1:6" ht="23.25" customHeight="1">
      <c r="A1" s="54" t="s">
        <v>348</v>
      </c>
    </row>
    <row r="2" spans="1:6" ht="23.25" customHeight="1">
      <c r="A2" s="54" t="s">
        <v>349</v>
      </c>
    </row>
    <row r="3" spans="1:6" ht="23.25" customHeight="1">
      <c r="A3" s="55" t="s">
        <v>350</v>
      </c>
      <c r="B3" s="56" t="s">
        <v>351</v>
      </c>
      <c r="C3" s="56" t="s">
        <v>352</v>
      </c>
      <c r="D3" s="56" t="s">
        <v>351</v>
      </c>
      <c r="E3" s="56" t="s">
        <v>352</v>
      </c>
    </row>
    <row r="4" spans="1:6" ht="23.25" customHeight="1">
      <c r="A4" s="305" t="s">
        <v>353</v>
      </c>
      <c r="B4" s="57" t="s">
        <v>329</v>
      </c>
      <c r="C4" s="57" t="s">
        <v>42</v>
      </c>
      <c r="D4" s="57" t="s">
        <v>329</v>
      </c>
      <c r="E4" s="57" t="s">
        <v>42</v>
      </c>
    </row>
    <row r="5" spans="1:6" ht="23.25" customHeight="1">
      <c r="A5" s="306"/>
      <c r="B5" s="307" t="s">
        <v>22</v>
      </c>
      <c r="C5" s="308"/>
      <c r="D5" s="307" t="s">
        <v>354</v>
      </c>
      <c r="E5" s="308"/>
    </row>
    <row r="6" spans="1:6" ht="9" customHeight="1">
      <c r="A6" s="58" t="s">
        <v>355</v>
      </c>
      <c r="B6" s="59">
        <v>1.1304360000000002</v>
      </c>
      <c r="C6" s="59" t="s">
        <v>356</v>
      </c>
      <c r="D6" s="59">
        <f>IF(B6&lt;&gt;"",B6/3.6,"")</f>
        <v>0.31401000000000007</v>
      </c>
      <c r="E6" s="59" t="str">
        <f>IF(C6&lt;&gt;"",C6/3.6,"")</f>
        <v/>
      </c>
      <c r="F6" t="str">
        <f t="shared" ref="F6" si="0">IF(C6&lt;&gt;"",C6/3.6,"")</f>
        <v/>
      </c>
    </row>
    <row r="7" spans="1:6" ht="9" customHeight="1">
      <c r="A7" s="58" t="s">
        <v>357</v>
      </c>
      <c r="B7" s="59" t="s">
        <v>356</v>
      </c>
      <c r="C7" s="59" t="s">
        <v>356</v>
      </c>
      <c r="D7" s="59" t="str">
        <f t="shared" ref="D7:D70" si="1">IF(B7&lt;&gt;"",B7/3.6,"")</f>
        <v/>
      </c>
      <c r="E7" s="59" t="str">
        <f t="shared" ref="E7:E70" si="2">IF(C7&lt;&gt;"",C7/3.6,"")</f>
        <v/>
      </c>
    </row>
    <row r="8" spans="1:6" ht="9" customHeight="1">
      <c r="A8" s="58" t="s">
        <v>358</v>
      </c>
      <c r="B8" s="59" t="s">
        <v>356</v>
      </c>
      <c r="C8" s="59">
        <v>74.231964000000005</v>
      </c>
      <c r="D8" s="59" t="str">
        <f t="shared" si="1"/>
        <v/>
      </c>
      <c r="E8" s="59">
        <f t="shared" si="2"/>
        <v>20.619990000000001</v>
      </c>
    </row>
    <row r="9" spans="1:6" ht="9" customHeight="1">
      <c r="A9" s="58" t="s">
        <v>359</v>
      </c>
      <c r="B9" s="59" t="s">
        <v>356</v>
      </c>
      <c r="C9" s="59">
        <v>26.502444000000004</v>
      </c>
      <c r="D9" s="59" t="str">
        <f t="shared" si="1"/>
        <v/>
      </c>
      <c r="E9" s="59">
        <f t="shared" si="2"/>
        <v>7.3617900000000009</v>
      </c>
    </row>
    <row r="10" spans="1:6" ht="9" customHeight="1">
      <c r="A10" s="58" t="s">
        <v>360</v>
      </c>
      <c r="B10" s="59" t="s">
        <v>356</v>
      </c>
      <c r="C10" s="59" t="s">
        <v>356</v>
      </c>
      <c r="D10" s="59" t="str">
        <f t="shared" si="1"/>
        <v/>
      </c>
      <c r="E10" s="59" t="str">
        <f t="shared" si="2"/>
        <v/>
      </c>
    </row>
    <row r="11" spans="1:6" ht="9" customHeight="1">
      <c r="A11" s="58" t="s">
        <v>361</v>
      </c>
      <c r="B11" s="59">
        <v>1.1304360000000002</v>
      </c>
      <c r="C11" s="59">
        <v>47.771388000000002</v>
      </c>
      <c r="D11" s="59">
        <f t="shared" si="1"/>
        <v>0.31401000000000007</v>
      </c>
      <c r="E11" s="59">
        <f t="shared" si="2"/>
        <v>13.269830000000001</v>
      </c>
    </row>
    <row r="12" spans="1:6" ht="9" customHeight="1">
      <c r="A12" s="58" t="s">
        <v>362</v>
      </c>
      <c r="B12" s="59" t="s">
        <v>356</v>
      </c>
      <c r="C12" s="59" t="s">
        <v>356</v>
      </c>
      <c r="D12" s="59" t="str">
        <f t="shared" si="1"/>
        <v/>
      </c>
      <c r="E12" s="59" t="str">
        <f t="shared" si="2"/>
        <v/>
      </c>
    </row>
    <row r="13" spans="1:6" ht="9" customHeight="1">
      <c r="A13" s="58" t="s">
        <v>363</v>
      </c>
      <c r="B13" s="59">
        <v>1.1304360000000002</v>
      </c>
      <c r="C13" s="59">
        <v>47.771388000000002</v>
      </c>
      <c r="D13" s="59">
        <f t="shared" si="1"/>
        <v>0.31401000000000007</v>
      </c>
      <c r="E13" s="59">
        <f t="shared" si="2"/>
        <v>13.269830000000001</v>
      </c>
    </row>
    <row r="14" spans="1:6" ht="9" customHeight="1">
      <c r="A14" s="58" t="s">
        <v>364</v>
      </c>
      <c r="B14" s="59" t="s">
        <v>356</v>
      </c>
      <c r="C14" s="59" t="s">
        <v>356</v>
      </c>
      <c r="D14" s="59" t="str">
        <f t="shared" si="1"/>
        <v/>
      </c>
      <c r="E14" s="59" t="str">
        <f t="shared" si="2"/>
        <v/>
      </c>
    </row>
    <row r="15" spans="1:6" ht="9" customHeight="1">
      <c r="A15" s="58" t="s">
        <v>365</v>
      </c>
      <c r="B15" s="59">
        <v>1.1304360000000002</v>
      </c>
      <c r="C15" s="59">
        <v>47.771388000000002</v>
      </c>
      <c r="D15" s="59">
        <f t="shared" si="1"/>
        <v>0.31401000000000007</v>
      </c>
      <c r="E15" s="59">
        <f t="shared" si="2"/>
        <v>13.269830000000001</v>
      </c>
    </row>
    <row r="16" spans="1:6" ht="9" customHeight="1">
      <c r="A16" s="58" t="s">
        <v>366</v>
      </c>
      <c r="B16" s="59" t="s">
        <v>356</v>
      </c>
      <c r="C16" s="59" t="s">
        <v>356</v>
      </c>
      <c r="D16" s="59" t="str">
        <f t="shared" si="1"/>
        <v/>
      </c>
      <c r="E16" s="59" t="str">
        <f t="shared" si="2"/>
        <v/>
      </c>
    </row>
    <row r="17" spans="1:5" ht="9" customHeight="1">
      <c r="A17" s="58" t="s">
        <v>367</v>
      </c>
      <c r="B17" s="59" t="s">
        <v>356</v>
      </c>
      <c r="C17" s="59" t="s">
        <v>356</v>
      </c>
      <c r="D17" s="59" t="str">
        <f t="shared" si="1"/>
        <v/>
      </c>
      <c r="E17" s="59" t="str">
        <f t="shared" si="2"/>
        <v/>
      </c>
    </row>
    <row r="18" spans="1:5" ht="9" customHeight="1">
      <c r="A18" s="58" t="s">
        <v>368</v>
      </c>
      <c r="B18" s="59" t="s">
        <v>356</v>
      </c>
      <c r="C18" s="59" t="s">
        <v>356</v>
      </c>
      <c r="D18" s="59" t="str">
        <f t="shared" si="1"/>
        <v/>
      </c>
      <c r="E18" s="59" t="str">
        <f t="shared" si="2"/>
        <v/>
      </c>
    </row>
    <row r="19" spans="1:5" ht="9" customHeight="1">
      <c r="A19" s="58" t="s">
        <v>369</v>
      </c>
      <c r="B19" s="59">
        <v>1.7584560000000002</v>
      </c>
      <c r="C19" s="59">
        <v>4.2705359999999999</v>
      </c>
      <c r="D19" s="59">
        <f t="shared" si="1"/>
        <v>0.48846000000000006</v>
      </c>
      <c r="E19" s="59">
        <f t="shared" si="2"/>
        <v>1.1862599999999999</v>
      </c>
    </row>
    <row r="20" spans="1:5" ht="9" customHeight="1">
      <c r="A20" s="58" t="s">
        <v>370</v>
      </c>
      <c r="B20" s="59">
        <v>1.7584560000000002</v>
      </c>
      <c r="C20" s="59">
        <v>4.2705359999999999</v>
      </c>
      <c r="D20" s="59">
        <f t="shared" si="1"/>
        <v>0.48846000000000006</v>
      </c>
      <c r="E20" s="59">
        <f t="shared" si="2"/>
        <v>1.1862599999999999</v>
      </c>
    </row>
    <row r="21" spans="1:5" ht="9" customHeight="1">
      <c r="A21" s="58" t="s">
        <v>371</v>
      </c>
      <c r="B21" s="59" t="s">
        <v>356</v>
      </c>
      <c r="C21" s="59" t="s">
        <v>356</v>
      </c>
      <c r="D21" s="59" t="str">
        <f t="shared" si="1"/>
        <v/>
      </c>
      <c r="E21" s="59" t="str">
        <f t="shared" si="2"/>
        <v/>
      </c>
    </row>
    <row r="22" spans="1:5" ht="9" customHeight="1">
      <c r="A22" s="58" t="s">
        <v>372</v>
      </c>
      <c r="B22" s="59" t="s">
        <v>356</v>
      </c>
      <c r="C22" s="59" t="s">
        <v>356</v>
      </c>
      <c r="D22" s="59" t="str">
        <f t="shared" si="1"/>
        <v/>
      </c>
      <c r="E22" s="59" t="str">
        <f t="shared" si="2"/>
        <v/>
      </c>
    </row>
    <row r="23" spans="1:5" ht="9" customHeight="1">
      <c r="A23" s="58" t="s">
        <v>373</v>
      </c>
      <c r="B23" s="59" t="s">
        <v>356</v>
      </c>
      <c r="C23" s="59" t="s">
        <v>356</v>
      </c>
      <c r="D23" s="59" t="str">
        <f t="shared" si="1"/>
        <v/>
      </c>
      <c r="E23" s="59" t="str">
        <f t="shared" si="2"/>
        <v/>
      </c>
    </row>
    <row r="24" spans="1:5" ht="9" customHeight="1">
      <c r="A24" s="58" t="s">
        <v>374</v>
      </c>
      <c r="B24" s="59" t="s">
        <v>356</v>
      </c>
      <c r="C24" s="59" t="s">
        <v>356</v>
      </c>
      <c r="D24" s="59" t="str">
        <f t="shared" si="1"/>
        <v/>
      </c>
      <c r="E24" s="59" t="str">
        <f t="shared" si="2"/>
        <v/>
      </c>
    </row>
    <row r="25" spans="1:5" ht="9" customHeight="1">
      <c r="A25" s="58" t="s">
        <v>375</v>
      </c>
      <c r="B25" s="59">
        <v>1.1304360000000002</v>
      </c>
      <c r="C25" s="59" t="s">
        <v>356</v>
      </c>
      <c r="D25" s="59">
        <f t="shared" si="1"/>
        <v>0.31401000000000007</v>
      </c>
      <c r="E25" s="59" t="str">
        <f t="shared" si="2"/>
        <v/>
      </c>
    </row>
    <row r="26" spans="1:5" ht="9" customHeight="1">
      <c r="A26" s="58" t="s">
        <v>376</v>
      </c>
      <c r="B26" s="59" t="s">
        <v>356</v>
      </c>
      <c r="C26" s="59" t="s">
        <v>356</v>
      </c>
      <c r="D26" s="59" t="str">
        <f t="shared" si="1"/>
        <v/>
      </c>
      <c r="E26" s="59" t="str">
        <f t="shared" si="2"/>
        <v/>
      </c>
    </row>
    <row r="27" spans="1:5" ht="9" customHeight="1">
      <c r="A27" s="58" t="s">
        <v>377</v>
      </c>
      <c r="B27" s="59" t="s">
        <v>356</v>
      </c>
      <c r="C27" s="59">
        <v>0</v>
      </c>
      <c r="D27" s="59" t="str">
        <f t="shared" si="1"/>
        <v/>
      </c>
      <c r="E27" s="59">
        <f t="shared" si="2"/>
        <v>0</v>
      </c>
    </row>
    <row r="28" spans="1:5" ht="9" customHeight="1">
      <c r="A28" s="58" t="s">
        <v>378</v>
      </c>
      <c r="B28" s="59" t="s">
        <v>356</v>
      </c>
      <c r="C28" s="59" t="s">
        <v>356</v>
      </c>
      <c r="D28" s="59" t="str">
        <f t="shared" si="1"/>
        <v/>
      </c>
      <c r="E28" s="59" t="str">
        <f t="shared" si="2"/>
        <v/>
      </c>
    </row>
    <row r="29" spans="1:5" ht="9" customHeight="1">
      <c r="A29" s="58" t="s">
        <v>379</v>
      </c>
      <c r="B29" s="59" t="s">
        <v>356</v>
      </c>
      <c r="C29" s="59">
        <v>4.2705359999999999</v>
      </c>
      <c r="D29" s="59" t="str">
        <f t="shared" si="1"/>
        <v/>
      </c>
      <c r="E29" s="59">
        <f t="shared" si="2"/>
        <v>1.1862599999999999</v>
      </c>
    </row>
    <row r="30" spans="1:5" ht="9" customHeight="1">
      <c r="A30" s="58" t="s">
        <v>380</v>
      </c>
      <c r="B30" s="59">
        <v>0.62802000000000002</v>
      </c>
      <c r="C30" s="59" t="s">
        <v>356</v>
      </c>
      <c r="D30" s="59">
        <f t="shared" si="1"/>
        <v>0.17444999999999999</v>
      </c>
      <c r="E30" s="59" t="str">
        <f t="shared" si="2"/>
        <v/>
      </c>
    </row>
    <row r="31" spans="1:5" ht="9" customHeight="1">
      <c r="A31" s="58" t="s">
        <v>381</v>
      </c>
      <c r="B31" s="59" t="s">
        <v>356</v>
      </c>
      <c r="C31" s="59" t="s">
        <v>356</v>
      </c>
      <c r="D31" s="59" t="str">
        <f t="shared" si="1"/>
        <v/>
      </c>
      <c r="E31" s="59" t="str">
        <f t="shared" si="2"/>
        <v/>
      </c>
    </row>
    <row r="32" spans="1:5" ht="9" customHeight="1">
      <c r="A32" s="58" t="s">
        <v>382</v>
      </c>
      <c r="B32" s="59" t="s">
        <v>356</v>
      </c>
      <c r="C32" s="59" t="s">
        <v>356</v>
      </c>
      <c r="D32" s="59" t="str">
        <f t="shared" si="1"/>
        <v/>
      </c>
      <c r="E32" s="59" t="str">
        <f t="shared" si="2"/>
        <v/>
      </c>
    </row>
    <row r="33" spans="1:5" ht="9" customHeight="1">
      <c r="A33" s="58" t="s">
        <v>383</v>
      </c>
      <c r="B33" s="59" t="s">
        <v>356</v>
      </c>
      <c r="C33" s="59" t="s">
        <v>356</v>
      </c>
      <c r="D33" s="59" t="str">
        <f t="shared" si="1"/>
        <v/>
      </c>
      <c r="E33" s="59" t="str">
        <f t="shared" si="2"/>
        <v/>
      </c>
    </row>
    <row r="34" spans="1:5" ht="9" customHeight="1">
      <c r="A34" s="58" t="s">
        <v>384</v>
      </c>
      <c r="B34" s="59" t="s">
        <v>356</v>
      </c>
      <c r="C34" s="59" t="s">
        <v>356</v>
      </c>
      <c r="D34" s="59" t="str">
        <f t="shared" si="1"/>
        <v/>
      </c>
      <c r="E34" s="59" t="str">
        <f t="shared" si="2"/>
        <v/>
      </c>
    </row>
    <row r="35" spans="1:5" ht="9" customHeight="1">
      <c r="A35" s="60" t="s">
        <v>385</v>
      </c>
      <c r="B35" s="61" t="s">
        <v>356</v>
      </c>
      <c r="C35" s="61" t="s">
        <v>356</v>
      </c>
      <c r="D35" s="61" t="str">
        <f t="shared" si="1"/>
        <v/>
      </c>
      <c r="E35" s="61" t="str">
        <f t="shared" si="2"/>
        <v/>
      </c>
    </row>
    <row r="36" spans="1:5" ht="9" customHeight="1">
      <c r="A36" s="58" t="s">
        <v>386</v>
      </c>
      <c r="B36" s="59" t="s">
        <v>356</v>
      </c>
      <c r="C36" s="59" t="s">
        <v>356</v>
      </c>
      <c r="D36" s="59" t="str">
        <f t="shared" si="1"/>
        <v/>
      </c>
      <c r="E36" s="59" t="str">
        <f t="shared" si="2"/>
        <v/>
      </c>
    </row>
    <row r="37" spans="1:5" ht="9" customHeight="1">
      <c r="A37" s="58" t="s">
        <v>387</v>
      </c>
      <c r="B37" s="59" t="s">
        <v>356</v>
      </c>
      <c r="C37" s="59" t="s">
        <v>356</v>
      </c>
      <c r="D37" s="59" t="str">
        <f t="shared" si="1"/>
        <v/>
      </c>
      <c r="E37" s="59" t="str">
        <f t="shared" si="2"/>
        <v/>
      </c>
    </row>
    <row r="38" spans="1:5" ht="9" customHeight="1">
      <c r="A38" s="58" t="s">
        <v>388</v>
      </c>
      <c r="B38" s="59" t="s">
        <v>356</v>
      </c>
      <c r="C38" s="59" t="s">
        <v>356</v>
      </c>
      <c r="D38" s="59" t="str">
        <f t="shared" si="1"/>
        <v/>
      </c>
      <c r="E38" s="59" t="str">
        <f t="shared" si="2"/>
        <v/>
      </c>
    </row>
    <row r="39" spans="1:5" ht="9" customHeight="1">
      <c r="A39" s="58" t="s">
        <v>389</v>
      </c>
      <c r="B39" s="59" t="s">
        <v>356</v>
      </c>
      <c r="C39" s="59" t="s">
        <v>356</v>
      </c>
      <c r="D39" s="59" t="str">
        <f t="shared" si="1"/>
        <v/>
      </c>
      <c r="E39" s="59" t="str">
        <f t="shared" si="2"/>
        <v/>
      </c>
    </row>
    <row r="40" spans="1:5" ht="9" customHeight="1">
      <c r="A40" s="58" t="s">
        <v>390</v>
      </c>
      <c r="B40" s="59" t="s">
        <v>356</v>
      </c>
      <c r="C40" s="59" t="s">
        <v>356</v>
      </c>
      <c r="D40" s="59" t="str">
        <f t="shared" si="1"/>
        <v/>
      </c>
      <c r="E40" s="59" t="str">
        <f t="shared" si="2"/>
        <v/>
      </c>
    </row>
    <row r="41" spans="1:5" ht="9" customHeight="1">
      <c r="A41" s="58" t="s">
        <v>391</v>
      </c>
      <c r="B41" s="59" t="s">
        <v>356</v>
      </c>
      <c r="C41" s="59" t="s">
        <v>356</v>
      </c>
      <c r="D41" s="59" t="str">
        <f t="shared" si="1"/>
        <v/>
      </c>
      <c r="E41" s="59" t="str">
        <f t="shared" si="2"/>
        <v/>
      </c>
    </row>
    <row r="42" spans="1:5" ht="9" customHeight="1">
      <c r="A42" s="58" t="s">
        <v>392</v>
      </c>
      <c r="B42" s="59" t="s">
        <v>356</v>
      </c>
      <c r="C42" s="59" t="s">
        <v>356</v>
      </c>
      <c r="D42" s="59" t="str">
        <f t="shared" si="1"/>
        <v/>
      </c>
      <c r="E42" s="59" t="str">
        <f t="shared" si="2"/>
        <v/>
      </c>
    </row>
    <row r="43" spans="1:5" ht="9" customHeight="1">
      <c r="A43" s="58" t="s">
        <v>393</v>
      </c>
      <c r="B43" s="59" t="s">
        <v>356</v>
      </c>
      <c r="C43" s="59" t="s">
        <v>356</v>
      </c>
      <c r="D43" s="59" t="str">
        <f t="shared" si="1"/>
        <v/>
      </c>
      <c r="E43" s="59" t="str">
        <f t="shared" si="2"/>
        <v/>
      </c>
    </row>
    <row r="44" spans="1:5" ht="9" customHeight="1">
      <c r="A44" s="58" t="s">
        <v>394</v>
      </c>
      <c r="B44" s="59" t="s">
        <v>356</v>
      </c>
      <c r="C44" s="59" t="s">
        <v>356</v>
      </c>
      <c r="D44" s="59" t="str">
        <f t="shared" si="1"/>
        <v/>
      </c>
      <c r="E44" s="59" t="str">
        <f t="shared" si="2"/>
        <v/>
      </c>
    </row>
    <row r="45" spans="1:5" ht="9" customHeight="1">
      <c r="A45" s="58" t="s">
        <v>395</v>
      </c>
      <c r="B45" s="59" t="s">
        <v>356</v>
      </c>
      <c r="C45" s="59" t="s">
        <v>356</v>
      </c>
      <c r="D45" s="59" t="str">
        <f t="shared" si="1"/>
        <v/>
      </c>
      <c r="E45" s="59" t="str">
        <f t="shared" si="2"/>
        <v/>
      </c>
    </row>
    <row r="46" spans="1:5" ht="9" customHeight="1">
      <c r="A46" s="58" t="s">
        <v>396</v>
      </c>
      <c r="B46" s="59" t="s">
        <v>356</v>
      </c>
      <c r="C46" s="59" t="s">
        <v>356</v>
      </c>
      <c r="D46" s="59" t="str">
        <f t="shared" si="1"/>
        <v/>
      </c>
      <c r="E46" s="59" t="str">
        <f t="shared" si="2"/>
        <v/>
      </c>
    </row>
    <row r="47" spans="1:5" ht="9" customHeight="1">
      <c r="A47" s="58" t="s">
        <v>397</v>
      </c>
      <c r="B47" s="59" t="s">
        <v>356</v>
      </c>
      <c r="C47" s="59" t="s">
        <v>356</v>
      </c>
      <c r="D47" s="59" t="str">
        <f t="shared" si="1"/>
        <v/>
      </c>
      <c r="E47" s="59" t="str">
        <f t="shared" si="2"/>
        <v/>
      </c>
    </row>
    <row r="48" spans="1:5" ht="9" customHeight="1">
      <c r="A48" s="58" t="s">
        <v>398</v>
      </c>
      <c r="B48" s="59" t="s">
        <v>356</v>
      </c>
      <c r="C48" s="59" t="s">
        <v>356</v>
      </c>
      <c r="D48" s="59" t="str">
        <f t="shared" si="1"/>
        <v/>
      </c>
      <c r="E48" s="59" t="str">
        <f t="shared" si="2"/>
        <v/>
      </c>
    </row>
    <row r="49" spans="1:5" ht="9" customHeight="1">
      <c r="A49" s="58" t="s">
        <v>399</v>
      </c>
      <c r="B49" s="59">
        <v>285.87470400000001</v>
      </c>
      <c r="C49" s="59">
        <v>568.94425200000001</v>
      </c>
      <c r="D49" s="59">
        <f t="shared" si="1"/>
        <v>79.409639999999996</v>
      </c>
      <c r="E49" s="59">
        <f t="shared" si="2"/>
        <v>158.04006999999999</v>
      </c>
    </row>
    <row r="50" spans="1:5" ht="9" customHeight="1">
      <c r="A50" s="58" t="s">
        <v>370</v>
      </c>
      <c r="B50" s="59">
        <v>285.87470400000001</v>
      </c>
      <c r="C50" s="59">
        <v>568.94425200000001</v>
      </c>
      <c r="D50" s="59">
        <f t="shared" si="1"/>
        <v>79.409639999999996</v>
      </c>
      <c r="E50" s="59">
        <f t="shared" si="2"/>
        <v>158.04006999999999</v>
      </c>
    </row>
    <row r="51" spans="1:5" ht="9" customHeight="1">
      <c r="A51" s="58" t="s">
        <v>371</v>
      </c>
      <c r="B51" s="59" t="s">
        <v>356</v>
      </c>
      <c r="C51" s="59">
        <v>82.521828000000014</v>
      </c>
      <c r="D51" s="59" t="str">
        <f t="shared" si="1"/>
        <v/>
      </c>
      <c r="E51" s="59">
        <f t="shared" si="2"/>
        <v>22.922730000000005</v>
      </c>
    </row>
    <row r="52" spans="1:5" ht="9" customHeight="1">
      <c r="A52" s="58" t="s">
        <v>372</v>
      </c>
      <c r="B52" s="59">
        <v>169.816608</v>
      </c>
      <c r="C52" s="59">
        <v>415.79110800000001</v>
      </c>
      <c r="D52" s="59">
        <f t="shared" si="1"/>
        <v>47.171280000000003</v>
      </c>
      <c r="E52" s="59">
        <f t="shared" si="2"/>
        <v>115.49753</v>
      </c>
    </row>
    <row r="53" spans="1:5" ht="9" customHeight="1">
      <c r="A53" s="58" t="s">
        <v>373</v>
      </c>
      <c r="B53" s="59">
        <v>93.909924000000004</v>
      </c>
      <c r="C53" s="59" t="s">
        <v>356</v>
      </c>
      <c r="D53" s="59">
        <f t="shared" si="1"/>
        <v>26.086089999999999</v>
      </c>
      <c r="E53" s="59" t="str">
        <f t="shared" si="2"/>
        <v/>
      </c>
    </row>
    <row r="54" spans="1:5" ht="9" customHeight="1">
      <c r="A54" s="58" t="s">
        <v>374</v>
      </c>
      <c r="B54" s="59" t="s">
        <v>356</v>
      </c>
      <c r="C54" s="59">
        <v>7.0756920000000001</v>
      </c>
      <c r="D54" s="59" t="str">
        <f t="shared" si="1"/>
        <v/>
      </c>
      <c r="E54" s="59">
        <f t="shared" si="2"/>
        <v>1.9654700000000001</v>
      </c>
    </row>
    <row r="55" spans="1:5" ht="9" customHeight="1">
      <c r="A55" s="58" t="s">
        <v>375</v>
      </c>
      <c r="B55" s="59">
        <v>16.579727999999999</v>
      </c>
      <c r="C55" s="59">
        <v>60.248052000000001</v>
      </c>
      <c r="D55" s="59">
        <f t="shared" si="1"/>
        <v>4.60548</v>
      </c>
      <c r="E55" s="59">
        <f t="shared" si="2"/>
        <v>16.735569999999999</v>
      </c>
    </row>
    <row r="56" spans="1:5" ht="9" customHeight="1">
      <c r="A56" s="58" t="s">
        <v>376</v>
      </c>
      <c r="B56" s="59">
        <v>4.8985560000000001</v>
      </c>
      <c r="C56" s="59" t="s">
        <v>356</v>
      </c>
      <c r="D56" s="59">
        <f t="shared" si="1"/>
        <v>1.3607100000000001</v>
      </c>
      <c r="E56" s="59" t="str">
        <f t="shared" si="2"/>
        <v/>
      </c>
    </row>
    <row r="57" spans="1:5" ht="9" customHeight="1">
      <c r="A57" s="58" t="s">
        <v>377</v>
      </c>
      <c r="B57" s="59">
        <v>0</v>
      </c>
      <c r="C57" s="59" t="s">
        <v>356</v>
      </c>
      <c r="D57" s="59">
        <f t="shared" si="1"/>
        <v>0</v>
      </c>
      <c r="E57" s="59" t="str">
        <f t="shared" si="2"/>
        <v/>
      </c>
    </row>
    <row r="58" spans="1:5" ht="9" customHeight="1">
      <c r="A58" s="58" t="s">
        <v>378</v>
      </c>
      <c r="B58" s="59" t="s">
        <v>356</v>
      </c>
      <c r="C58" s="59" t="s">
        <v>356</v>
      </c>
      <c r="D58" s="59" t="str">
        <f t="shared" si="1"/>
        <v/>
      </c>
      <c r="E58" s="59" t="str">
        <f t="shared" si="2"/>
        <v/>
      </c>
    </row>
    <row r="59" spans="1:5" ht="9" customHeight="1">
      <c r="A59" s="58" t="s">
        <v>379</v>
      </c>
      <c r="B59" s="59" t="s">
        <v>356</v>
      </c>
      <c r="C59" s="59">
        <v>2.9307600000000003</v>
      </c>
      <c r="D59" s="59" t="str">
        <f t="shared" si="1"/>
        <v/>
      </c>
      <c r="E59" s="59">
        <f t="shared" si="2"/>
        <v>0.81410000000000005</v>
      </c>
    </row>
    <row r="60" spans="1:5" ht="9" customHeight="1">
      <c r="A60" s="58" t="s">
        <v>380</v>
      </c>
      <c r="B60" s="59">
        <v>0.62802000000000002</v>
      </c>
      <c r="C60" s="59">
        <v>0.33494400000000002</v>
      </c>
      <c r="D60" s="59">
        <f t="shared" si="1"/>
        <v>0.17444999999999999</v>
      </c>
      <c r="E60" s="59">
        <f t="shared" si="2"/>
        <v>9.3039999999999998E-2</v>
      </c>
    </row>
    <row r="61" spans="1:5" ht="9" customHeight="1">
      <c r="A61" s="58" t="s">
        <v>381</v>
      </c>
      <c r="B61" s="59" t="s">
        <v>356</v>
      </c>
      <c r="C61" s="59" t="s">
        <v>356</v>
      </c>
      <c r="D61" s="59" t="str">
        <f t="shared" si="1"/>
        <v/>
      </c>
      <c r="E61" s="59" t="str">
        <f t="shared" si="2"/>
        <v/>
      </c>
    </row>
    <row r="62" spans="1:5" ht="9" customHeight="1">
      <c r="A62" s="58" t="s">
        <v>382</v>
      </c>
      <c r="B62" s="59" t="s">
        <v>356</v>
      </c>
      <c r="C62" s="59" t="s">
        <v>356</v>
      </c>
      <c r="D62" s="59" t="str">
        <f t="shared" si="1"/>
        <v/>
      </c>
      <c r="E62" s="59" t="str">
        <f t="shared" si="2"/>
        <v/>
      </c>
    </row>
    <row r="63" spans="1:5" ht="9" customHeight="1">
      <c r="A63" s="58" t="s">
        <v>383</v>
      </c>
      <c r="B63" s="59" t="s">
        <v>356</v>
      </c>
      <c r="C63" s="59" t="s">
        <v>356</v>
      </c>
      <c r="D63" s="59" t="str">
        <f t="shared" si="1"/>
        <v/>
      </c>
      <c r="E63" s="59" t="str">
        <f t="shared" si="2"/>
        <v/>
      </c>
    </row>
    <row r="64" spans="1:5" ht="9" customHeight="1">
      <c r="A64" s="58" t="s">
        <v>384</v>
      </c>
      <c r="B64" s="59" t="s">
        <v>356</v>
      </c>
      <c r="C64" s="59" t="s">
        <v>356</v>
      </c>
      <c r="D64" s="59" t="str">
        <f t="shared" si="1"/>
        <v/>
      </c>
      <c r="E64" s="59" t="str">
        <f t="shared" si="2"/>
        <v/>
      </c>
    </row>
    <row r="65" spans="1:5" ht="9" customHeight="1">
      <c r="A65" s="60" t="s">
        <v>400</v>
      </c>
      <c r="B65" s="61" t="s">
        <v>356</v>
      </c>
      <c r="C65" s="61" t="s">
        <v>356</v>
      </c>
      <c r="D65" s="61" t="str">
        <f t="shared" si="1"/>
        <v/>
      </c>
      <c r="E65" s="61" t="str">
        <f t="shared" si="2"/>
        <v/>
      </c>
    </row>
    <row r="66" spans="1:5" ht="9" customHeight="1">
      <c r="A66" s="58" t="s">
        <v>401</v>
      </c>
      <c r="B66" s="59" t="s">
        <v>356</v>
      </c>
      <c r="C66" s="59" t="s">
        <v>356</v>
      </c>
      <c r="D66" s="59" t="str">
        <f t="shared" si="1"/>
        <v/>
      </c>
      <c r="E66" s="59" t="str">
        <f t="shared" si="2"/>
        <v/>
      </c>
    </row>
    <row r="67" spans="1:5" ht="9" customHeight="1">
      <c r="A67" s="58" t="s">
        <v>387</v>
      </c>
      <c r="B67" s="59" t="s">
        <v>356</v>
      </c>
      <c r="C67" s="59" t="s">
        <v>356</v>
      </c>
      <c r="D67" s="59" t="str">
        <f t="shared" si="1"/>
        <v/>
      </c>
      <c r="E67" s="59" t="str">
        <f t="shared" si="2"/>
        <v/>
      </c>
    </row>
    <row r="68" spans="1:5" ht="9" customHeight="1">
      <c r="A68" s="58" t="s">
        <v>388</v>
      </c>
      <c r="B68" s="59" t="s">
        <v>356</v>
      </c>
      <c r="C68" s="59" t="s">
        <v>356</v>
      </c>
      <c r="D68" s="59" t="str">
        <f t="shared" si="1"/>
        <v/>
      </c>
      <c r="E68" s="59" t="str">
        <f t="shared" si="2"/>
        <v/>
      </c>
    </row>
    <row r="69" spans="1:5" ht="9" customHeight="1">
      <c r="A69" s="58" t="s">
        <v>402</v>
      </c>
      <c r="B69" s="59" t="s">
        <v>356</v>
      </c>
      <c r="C69" s="59" t="s">
        <v>356</v>
      </c>
      <c r="D69" s="59" t="str">
        <f t="shared" si="1"/>
        <v/>
      </c>
      <c r="E69" s="59" t="str">
        <f t="shared" si="2"/>
        <v/>
      </c>
    </row>
    <row r="70" spans="1:5" ht="9" customHeight="1">
      <c r="A70" s="58" t="s">
        <v>403</v>
      </c>
      <c r="B70" s="59" t="s">
        <v>356</v>
      </c>
      <c r="C70" s="59" t="s">
        <v>356</v>
      </c>
      <c r="D70" s="59" t="str">
        <f t="shared" si="1"/>
        <v/>
      </c>
      <c r="E70" s="59" t="str">
        <f t="shared" si="2"/>
        <v/>
      </c>
    </row>
    <row r="71" spans="1:5" ht="9" customHeight="1">
      <c r="A71" s="58" t="s">
        <v>391</v>
      </c>
      <c r="B71" s="59" t="s">
        <v>356</v>
      </c>
      <c r="C71" s="59" t="s">
        <v>356</v>
      </c>
      <c r="D71" s="59" t="str">
        <f t="shared" ref="D71:D133" si="3">IF(B71&lt;&gt;"",B71/3.6,"")</f>
        <v/>
      </c>
      <c r="E71" s="59" t="str">
        <f t="shared" ref="E71:E133" si="4">IF(C71&lt;&gt;"",C71/3.6,"")</f>
        <v/>
      </c>
    </row>
    <row r="72" spans="1:5" ht="9" customHeight="1">
      <c r="A72" s="58" t="s">
        <v>392</v>
      </c>
      <c r="B72" s="59" t="s">
        <v>356</v>
      </c>
      <c r="C72" s="59" t="s">
        <v>356</v>
      </c>
      <c r="D72" s="59" t="str">
        <f t="shared" si="3"/>
        <v/>
      </c>
      <c r="E72" s="59" t="str">
        <f t="shared" si="4"/>
        <v/>
      </c>
    </row>
    <row r="73" spans="1:5" ht="9" customHeight="1">
      <c r="A73" s="58" t="s">
        <v>393</v>
      </c>
      <c r="B73" s="59" t="s">
        <v>356</v>
      </c>
      <c r="C73" s="59" t="s">
        <v>356</v>
      </c>
      <c r="D73" s="59" t="str">
        <f t="shared" si="3"/>
        <v/>
      </c>
      <c r="E73" s="59" t="str">
        <f t="shared" si="4"/>
        <v/>
      </c>
    </row>
    <row r="74" spans="1:5" ht="9" customHeight="1">
      <c r="A74" s="58" t="s">
        <v>394</v>
      </c>
      <c r="B74" s="59" t="s">
        <v>356</v>
      </c>
      <c r="C74" s="59" t="s">
        <v>356</v>
      </c>
      <c r="D74" s="59" t="str">
        <f t="shared" si="3"/>
        <v/>
      </c>
      <c r="E74" s="59" t="str">
        <f t="shared" si="4"/>
        <v/>
      </c>
    </row>
    <row r="75" spans="1:5" ht="9" customHeight="1">
      <c r="A75" s="58" t="s">
        <v>395</v>
      </c>
      <c r="B75" s="59" t="s">
        <v>356</v>
      </c>
      <c r="C75" s="59" t="s">
        <v>356</v>
      </c>
      <c r="D75" s="59" t="str">
        <f t="shared" si="3"/>
        <v/>
      </c>
      <c r="E75" s="59" t="str">
        <f t="shared" si="4"/>
        <v/>
      </c>
    </row>
    <row r="76" spans="1:5" ht="9" customHeight="1">
      <c r="A76" s="58" t="s">
        <v>396</v>
      </c>
      <c r="B76" s="59" t="s">
        <v>356</v>
      </c>
      <c r="C76" s="59" t="s">
        <v>356</v>
      </c>
      <c r="D76" s="59" t="str">
        <f t="shared" si="3"/>
        <v/>
      </c>
      <c r="E76" s="59" t="str">
        <f t="shared" si="4"/>
        <v/>
      </c>
    </row>
    <row r="77" spans="1:5" ht="9" customHeight="1">
      <c r="A77" s="58" t="s">
        <v>397</v>
      </c>
      <c r="B77" s="59" t="s">
        <v>356</v>
      </c>
      <c r="C77" s="59" t="s">
        <v>356</v>
      </c>
      <c r="D77" s="59" t="str">
        <f t="shared" si="3"/>
        <v/>
      </c>
      <c r="E77" s="59" t="str">
        <f t="shared" si="4"/>
        <v/>
      </c>
    </row>
    <row r="78" spans="1:5" ht="9" customHeight="1">
      <c r="A78" s="58" t="s">
        <v>398</v>
      </c>
      <c r="B78" s="59" t="s">
        <v>356</v>
      </c>
      <c r="C78" s="59" t="s">
        <v>356</v>
      </c>
      <c r="D78" s="59" t="str">
        <f t="shared" si="3"/>
        <v/>
      </c>
      <c r="E78" s="59" t="str">
        <f t="shared" si="4"/>
        <v/>
      </c>
    </row>
    <row r="79" spans="1:5" ht="9" customHeight="1">
      <c r="A79" s="58" t="s">
        <v>404</v>
      </c>
      <c r="B79" s="59">
        <v>25.288271999999999</v>
      </c>
      <c r="C79" s="59">
        <v>87.504120000000015</v>
      </c>
      <c r="D79" s="59">
        <f t="shared" si="3"/>
        <v>7.0245199999999999</v>
      </c>
      <c r="E79" s="59">
        <f t="shared" si="4"/>
        <v>24.306700000000003</v>
      </c>
    </row>
    <row r="80" spans="1:5" ht="9" customHeight="1">
      <c r="A80" s="58" t="s">
        <v>405</v>
      </c>
      <c r="B80" s="59">
        <v>5.7777840000000005</v>
      </c>
      <c r="C80" s="59">
        <v>42.830964000000002</v>
      </c>
      <c r="D80" s="59">
        <f t="shared" si="3"/>
        <v>1.60494</v>
      </c>
      <c r="E80" s="59">
        <f t="shared" si="4"/>
        <v>11.897489999999999</v>
      </c>
    </row>
    <row r="81" spans="1:5" ht="9" customHeight="1">
      <c r="A81" s="58" t="s">
        <v>406</v>
      </c>
      <c r="B81" s="59">
        <v>2.9726280000000003</v>
      </c>
      <c r="C81" s="59">
        <v>16.998407999999998</v>
      </c>
      <c r="D81" s="59">
        <f t="shared" si="3"/>
        <v>0.82573000000000008</v>
      </c>
      <c r="E81" s="59">
        <f t="shared" si="4"/>
        <v>4.721779999999999</v>
      </c>
    </row>
    <row r="82" spans="1:5" ht="9" customHeight="1">
      <c r="A82" s="58" t="s">
        <v>407</v>
      </c>
      <c r="B82" s="59">
        <v>4.1868000000000002E-2</v>
      </c>
      <c r="C82" s="59">
        <v>1.25604</v>
      </c>
      <c r="D82" s="59">
        <f t="shared" si="3"/>
        <v>1.163E-2</v>
      </c>
      <c r="E82" s="59">
        <f t="shared" si="4"/>
        <v>0.34889999999999999</v>
      </c>
    </row>
    <row r="83" spans="1:5" ht="9" customHeight="1">
      <c r="A83" s="58" t="s">
        <v>391</v>
      </c>
      <c r="B83" s="59" t="s">
        <v>356</v>
      </c>
      <c r="C83" s="59">
        <v>0</v>
      </c>
      <c r="D83" s="59" t="str">
        <f t="shared" si="3"/>
        <v/>
      </c>
      <c r="E83" s="59">
        <f t="shared" si="4"/>
        <v>0</v>
      </c>
    </row>
    <row r="84" spans="1:5" ht="9" customHeight="1">
      <c r="A84" s="58" t="s">
        <v>381</v>
      </c>
      <c r="B84" s="59">
        <v>0.79549200000000009</v>
      </c>
      <c r="C84" s="59">
        <v>2.386476</v>
      </c>
      <c r="D84" s="59">
        <f t="shared" si="3"/>
        <v>0.22097000000000003</v>
      </c>
      <c r="E84" s="59">
        <f t="shared" si="4"/>
        <v>0.66291</v>
      </c>
    </row>
    <row r="85" spans="1:5" ht="9" customHeight="1">
      <c r="A85" s="58" t="s">
        <v>392</v>
      </c>
      <c r="B85" s="59" t="s">
        <v>356</v>
      </c>
      <c r="C85" s="59" t="s">
        <v>356</v>
      </c>
      <c r="D85" s="59" t="str">
        <f t="shared" si="3"/>
        <v/>
      </c>
      <c r="E85" s="59" t="str">
        <f t="shared" si="4"/>
        <v/>
      </c>
    </row>
    <row r="86" spans="1:5" ht="9" customHeight="1">
      <c r="A86" s="58" t="s">
        <v>383</v>
      </c>
      <c r="B86" s="59">
        <v>0</v>
      </c>
      <c r="C86" s="59">
        <v>0.46054800000000001</v>
      </c>
      <c r="D86" s="59">
        <f t="shared" si="3"/>
        <v>0</v>
      </c>
      <c r="E86" s="59">
        <f t="shared" si="4"/>
        <v>0.12792999999999999</v>
      </c>
    </row>
    <row r="87" spans="1:5" ht="9" customHeight="1">
      <c r="A87" s="58" t="s">
        <v>382</v>
      </c>
      <c r="B87" s="59" t="s">
        <v>356</v>
      </c>
      <c r="C87" s="59" t="s">
        <v>356</v>
      </c>
      <c r="D87" s="59" t="str">
        <f t="shared" si="3"/>
        <v/>
      </c>
      <c r="E87" s="59" t="str">
        <f t="shared" si="4"/>
        <v/>
      </c>
    </row>
    <row r="88" spans="1:5" ht="9" customHeight="1">
      <c r="A88" s="60" t="s">
        <v>408</v>
      </c>
      <c r="B88" s="62">
        <v>0.33494400000000002</v>
      </c>
      <c r="C88" s="62">
        <v>6.1127279999999997</v>
      </c>
      <c r="D88" s="62">
        <f t="shared" si="3"/>
        <v>9.3039999999999998E-2</v>
      </c>
      <c r="E88" s="62">
        <f t="shared" si="4"/>
        <v>1.6979799999999998</v>
      </c>
    </row>
    <row r="89" spans="1:5" ht="9" customHeight="1">
      <c r="A89" s="58" t="s">
        <v>409</v>
      </c>
      <c r="B89" s="59" t="s">
        <v>356</v>
      </c>
      <c r="C89" s="59" t="s">
        <v>356</v>
      </c>
      <c r="D89" s="59" t="str">
        <f t="shared" si="3"/>
        <v/>
      </c>
      <c r="E89" s="59" t="str">
        <f t="shared" si="4"/>
        <v/>
      </c>
    </row>
    <row r="90" spans="1:5" ht="9" customHeight="1">
      <c r="A90" s="58" t="s">
        <v>393</v>
      </c>
      <c r="B90" s="59" t="s">
        <v>356</v>
      </c>
      <c r="C90" s="59" t="s">
        <v>356</v>
      </c>
      <c r="D90" s="59" t="str">
        <f t="shared" si="3"/>
        <v/>
      </c>
      <c r="E90" s="59" t="str">
        <f t="shared" si="4"/>
        <v/>
      </c>
    </row>
    <row r="91" spans="1:5" ht="9" customHeight="1">
      <c r="A91" s="58" t="s">
        <v>410</v>
      </c>
      <c r="B91" s="59" t="s">
        <v>356</v>
      </c>
      <c r="C91" s="59">
        <v>0.12560400000000002</v>
      </c>
      <c r="D91" s="59" t="str">
        <f t="shared" si="3"/>
        <v/>
      </c>
      <c r="E91" s="59">
        <f t="shared" si="4"/>
        <v>3.4890000000000004E-2</v>
      </c>
    </row>
    <row r="92" spans="1:5" ht="9" customHeight="1">
      <c r="A92" s="58" t="s">
        <v>411</v>
      </c>
      <c r="B92" s="59" t="s">
        <v>356</v>
      </c>
      <c r="C92" s="59" t="s">
        <v>356</v>
      </c>
      <c r="D92" s="59" t="str">
        <f t="shared" si="3"/>
        <v/>
      </c>
      <c r="E92" s="59" t="str">
        <f t="shared" si="4"/>
        <v/>
      </c>
    </row>
    <row r="93" spans="1:5" ht="9" customHeight="1">
      <c r="A93" s="58" t="s">
        <v>412</v>
      </c>
      <c r="B93" s="59" t="s">
        <v>356</v>
      </c>
      <c r="C93" s="59" t="s">
        <v>356</v>
      </c>
      <c r="D93" s="59" t="str">
        <f t="shared" si="3"/>
        <v/>
      </c>
      <c r="E93" s="59" t="str">
        <f t="shared" si="4"/>
        <v/>
      </c>
    </row>
    <row r="94" spans="1:5" ht="9" customHeight="1">
      <c r="A94" s="58" t="s">
        <v>396</v>
      </c>
      <c r="B94" s="59" t="s">
        <v>356</v>
      </c>
      <c r="C94" s="59" t="s">
        <v>356</v>
      </c>
      <c r="D94" s="59" t="str">
        <f t="shared" si="3"/>
        <v/>
      </c>
      <c r="E94" s="59" t="str">
        <f t="shared" si="4"/>
        <v/>
      </c>
    </row>
    <row r="95" spans="1:5" ht="9" customHeight="1">
      <c r="A95" s="58" t="s">
        <v>413</v>
      </c>
      <c r="B95" s="59">
        <v>15.365556</v>
      </c>
      <c r="C95" s="59">
        <v>17.291484000000001</v>
      </c>
      <c r="D95" s="59">
        <f t="shared" si="3"/>
        <v>4.2682099999999998</v>
      </c>
      <c r="E95" s="59">
        <f t="shared" si="4"/>
        <v>4.8031899999999998</v>
      </c>
    </row>
    <row r="96" spans="1:5" ht="9" customHeight="1">
      <c r="A96" s="58" t="s">
        <v>414</v>
      </c>
      <c r="B96" s="59">
        <v>25.372008000000001</v>
      </c>
      <c r="C96" s="59">
        <v>35.964612000000002</v>
      </c>
      <c r="D96" s="59">
        <f t="shared" si="3"/>
        <v>7.0477800000000004</v>
      </c>
      <c r="E96" s="59">
        <f t="shared" si="4"/>
        <v>9.9901700000000009</v>
      </c>
    </row>
    <row r="97" spans="1:5" ht="9" customHeight="1">
      <c r="A97" s="58" t="s">
        <v>415</v>
      </c>
      <c r="B97" s="59">
        <v>234.54453600000002</v>
      </c>
      <c r="C97" s="59">
        <v>488.97637200000003</v>
      </c>
      <c r="D97" s="59">
        <f t="shared" si="3"/>
        <v>65.151260000000008</v>
      </c>
      <c r="E97" s="59">
        <f t="shared" si="4"/>
        <v>135.82677000000001</v>
      </c>
    </row>
    <row r="98" spans="1:5" ht="9" customHeight="1">
      <c r="A98" s="58" t="s">
        <v>416</v>
      </c>
      <c r="B98" s="59" t="s">
        <v>356</v>
      </c>
      <c r="C98" s="59" t="s">
        <v>356</v>
      </c>
      <c r="D98" s="59" t="str">
        <f t="shared" si="3"/>
        <v/>
      </c>
      <c r="E98" s="59" t="str">
        <f t="shared" si="4"/>
        <v/>
      </c>
    </row>
    <row r="99" spans="1:5" ht="9" customHeight="1">
      <c r="A99" s="58" t="s">
        <v>417</v>
      </c>
      <c r="B99" s="59" t="s">
        <v>356</v>
      </c>
      <c r="C99" s="59" t="s">
        <v>356</v>
      </c>
      <c r="D99" s="59" t="str">
        <f t="shared" si="3"/>
        <v/>
      </c>
      <c r="E99" s="59" t="str">
        <f t="shared" si="4"/>
        <v/>
      </c>
    </row>
    <row r="100" spans="1:5" ht="9" customHeight="1">
      <c r="A100" s="58" t="s">
        <v>418</v>
      </c>
      <c r="B100" s="59" t="s">
        <v>356</v>
      </c>
      <c r="C100" s="59" t="s">
        <v>356</v>
      </c>
      <c r="D100" s="59" t="str">
        <f t="shared" si="3"/>
        <v/>
      </c>
      <c r="E100" s="59" t="str">
        <f t="shared" si="4"/>
        <v/>
      </c>
    </row>
    <row r="101" spans="1:5" ht="9" customHeight="1">
      <c r="A101" s="58" t="s">
        <v>419</v>
      </c>
      <c r="B101" s="59" t="s">
        <v>356</v>
      </c>
      <c r="C101" s="59" t="s">
        <v>356</v>
      </c>
      <c r="D101" s="59" t="str">
        <f t="shared" si="3"/>
        <v/>
      </c>
      <c r="E101" s="59" t="str">
        <f t="shared" si="4"/>
        <v/>
      </c>
    </row>
    <row r="102" spans="1:5" ht="9" customHeight="1">
      <c r="A102" s="58" t="s">
        <v>420</v>
      </c>
      <c r="B102" s="59" t="s">
        <v>356</v>
      </c>
      <c r="C102" s="59" t="s">
        <v>356</v>
      </c>
      <c r="D102" s="59" t="str">
        <f t="shared" si="3"/>
        <v/>
      </c>
      <c r="E102" s="59" t="str">
        <f t="shared" si="4"/>
        <v/>
      </c>
    </row>
    <row r="103" spans="1:5" ht="9" customHeight="1">
      <c r="A103" s="58" t="s">
        <v>421</v>
      </c>
      <c r="B103" s="59" t="s">
        <v>356</v>
      </c>
      <c r="C103" s="59" t="s">
        <v>356</v>
      </c>
      <c r="D103" s="59" t="str">
        <f t="shared" si="3"/>
        <v/>
      </c>
      <c r="E103" s="59" t="str">
        <f t="shared" si="4"/>
        <v/>
      </c>
    </row>
    <row r="104" spans="1:5" ht="9" customHeight="1">
      <c r="A104" s="58" t="s">
        <v>422</v>
      </c>
      <c r="B104" s="59" t="s">
        <v>356</v>
      </c>
      <c r="C104" s="59" t="s">
        <v>356</v>
      </c>
      <c r="D104" s="59" t="str">
        <f t="shared" si="3"/>
        <v/>
      </c>
      <c r="E104" s="59" t="str">
        <f t="shared" si="4"/>
        <v/>
      </c>
    </row>
    <row r="105" spans="1:5" s="53" customFormat="1" ht="23.25" customHeight="1">
      <c r="A105" s="60" t="s">
        <v>423</v>
      </c>
      <c r="B105" s="61">
        <v>234.54453600000002</v>
      </c>
      <c r="C105" s="61">
        <v>488.97637200000003</v>
      </c>
      <c r="D105" s="61">
        <f t="shared" si="3"/>
        <v>65.151260000000008</v>
      </c>
      <c r="E105" s="61">
        <f t="shared" si="4"/>
        <v>135.82677000000001</v>
      </c>
    </row>
    <row r="106" spans="1:5" ht="23.25" customHeight="1">
      <c r="A106" s="58" t="s">
        <v>424</v>
      </c>
      <c r="B106" s="59">
        <v>35.797139999999999</v>
      </c>
      <c r="C106" s="59">
        <v>195.52356</v>
      </c>
      <c r="D106" s="59">
        <f t="shared" si="3"/>
        <v>9.9436499999999999</v>
      </c>
      <c r="E106" s="59">
        <f t="shared" si="4"/>
        <v>54.312100000000001</v>
      </c>
    </row>
    <row r="107" spans="1:5" ht="23.25" customHeight="1">
      <c r="A107" s="58" t="s">
        <v>425</v>
      </c>
      <c r="B107" s="59">
        <v>2.9307600000000003</v>
      </c>
      <c r="C107" s="59">
        <v>20.054772</v>
      </c>
      <c r="D107" s="59">
        <f t="shared" si="3"/>
        <v>0.81410000000000005</v>
      </c>
      <c r="E107" s="59">
        <f t="shared" si="4"/>
        <v>5.5707699999999996</v>
      </c>
    </row>
    <row r="108" spans="1:5" ht="23.25" customHeight="1">
      <c r="A108" s="58" t="s">
        <v>426</v>
      </c>
      <c r="B108" s="59">
        <v>14.611932000000001</v>
      </c>
      <c r="C108" s="59">
        <v>33.033851999999996</v>
      </c>
      <c r="D108" s="59">
        <f t="shared" si="3"/>
        <v>4.0588700000000006</v>
      </c>
      <c r="E108" s="59">
        <f t="shared" si="4"/>
        <v>9.1760699999999993</v>
      </c>
    </row>
    <row r="109" spans="1:5" ht="23.25" customHeight="1">
      <c r="A109" s="58" t="s">
        <v>427</v>
      </c>
      <c r="B109" s="59">
        <v>0.92109600000000003</v>
      </c>
      <c r="C109" s="59">
        <v>8.2061280000000014</v>
      </c>
      <c r="D109" s="59">
        <f t="shared" si="3"/>
        <v>0.25585999999999998</v>
      </c>
      <c r="E109" s="59">
        <f t="shared" si="4"/>
        <v>2.2794800000000004</v>
      </c>
    </row>
    <row r="110" spans="1:5" ht="23.25" customHeight="1">
      <c r="A110" s="58" t="s">
        <v>428</v>
      </c>
      <c r="B110" s="59">
        <v>1.0467</v>
      </c>
      <c r="C110" s="59">
        <v>20.012904000000002</v>
      </c>
      <c r="D110" s="59">
        <f t="shared" si="3"/>
        <v>0.29075000000000001</v>
      </c>
      <c r="E110" s="59">
        <f t="shared" si="4"/>
        <v>5.5591400000000002</v>
      </c>
    </row>
    <row r="111" spans="1:5" ht="23.25" customHeight="1">
      <c r="A111" s="58" t="s">
        <v>429</v>
      </c>
      <c r="B111" s="59">
        <v>1.7165880000000002</v>
      </c>
      <c r="C111" s="59">
        <v>10.67634</v>
      </c>
      <c r="D111" s="59">
        <f t="shared" si="3"/>
        <v>0.47683000000000003</v>
      </c>
      <c r="E111" s="59">
        <f t="shared" si="4"/>
        <v>2.9656499999999997</v>
      </c>
    </row>
    <row r="112" spans="1:5" ht="23.25" customHeight="1">
      <c r="A112" s="58" t="s">
        <v>430</v>
      </c>
      <c r="B112" s="59">
        <v>2.0096640000000003</v>
      </c>
      <c r="C112" s="59">
        <v>16.998407999999998</v>
      </c>
      <c r="D112" s="59">
        <f t="shared" si="3"/>
        <v>0.55824000000000007</v>
      </c>
      <c r="E112" s="59">
        <f t="shared" si="4"/>
        <v>4.721779999999999</v>
      </c>
    </row>
    <row r="113" spans="1:5" ht="23.25" customHeight="1">
      <c r="A113" s="58" t="s">
        <v>431</v>
      </c>
      <c r="B113" s="59">
        <v>2.4702120000000001</v>
      </c>
      <c r="C113" s="59">
        <v>9.9645840000000003</v>
      </c>
      <c r="D113" s="59">
        <f t="shared" si="3"/>
        <v>0.68617000000000006</v>
      </c>
      <c r="E113" s="59">
        <f t="shared" si="4"/>
        <v>2.7679399999999998</v>
      </c>
    </row>
    <row r="114" spans="1:5" ht="23.25" customHeight="1">
      <c r="A114" s="58" t="s">
        <v>432</v>
      </c>
      <c r="B114" s="59">
        <v>2.386476</v>
      </c>
      <c r="C114" s="59">
        <v>26.753652000000002</v>
      </c>
      <c r="D114" s="59">
        <f t="shared" si="3"/>
        <v>0.66291</v>
      </c>
      <c r="E114" s="59">
        <f t="shared" si="4"/>
        <v>7.4315700000000007</v>
      </c>
    </row>
    <row r="115" spans="1:5" ht="23.25" customHeight="1">
      <c r="A115" s="58" t="s">
        <v>433</v>
      </c>
      <c r="B115" s="59">
        <v>3.0563639999999999</v>
      </c>
      <c r="C115" s="59">
        <v>17.710163999999999</v>
      </c>
      <c r="D115" s="59">
        <f t="shared" si="3"/>
        <v>0.84898999999999991</v>
      </c>
      <c r="E115" s="59">
        <f t="shared" si="4"/>
        <v>4.9194899999999997</v>
      </c>
    </row>
    <row r="116" spans="1:5" ht="23.25" customHeight="1">
      <c r="A116" s="58" t="s">
        <v>434</v>
      </c>
      <c r="B116" s="59">
        <v>3.0144960000000003</v>
      </c>
      <c r="C116" s="59">
        <v>8.7922799999999999</v>
      </c>
      <c r="D116" s="59">
        <f t="shared" si="3"/>
        <v>0.8373600000000001</v>
      </c>
      <c r="E116" s="59">
        <f t="shared" si="4"/>
        <v>2.4422999999999999</v>
      </c>
    </row>
    <row r="117" spans="1:5" ht="23.25" customHeight="1">
      <c r="A117" s="58" t="s">
        <v>435</v>
      </c>
      <c r="B117" s="59">
        <v>0.293076</v>
      </c>
      <c r="C117" s="59">
        <v>1.3816440000000001</v>
      </c>
      <c r="D117" s="59">
        <f t="shared" si="3"/>
        <v>8.1409999999999996E-2</v>
      </c>
      <c r="E117" s="59">
        <f t="shared" si="4"/>
        <v>0.38379000000000002</v>
      </c>
    </row>
    <row r="118" spans="1:5" ht="23.25" customHeight="1">
      <c r="A118" s="58" t="s">
        <v>436</v>
      </c>
      <c r="B118" s="59">
        <v>0.293076</v>
      </c>
      <c r="C118" s="59">
        <v>2.0933999999999999</v>
      </c>
      <c r="D118" s="59">
        <f t="shared" si="3"/>
        <v>8.1409999999999996E-2</v>
      </c>
      <c r="E118" s="59">
        <f t="shared" si="4"/>
        <v>0.58150000000000002</v>
      </c>
    </row>
    <row r="119" spans="1:5" ht="23.25" customHeight="1">
      <c r="A119" s="58" t="s">
        <v>437</v>
      </c>
      <c r="B119" s="59">
        <v>1.0048320000000002</v>
      </c>
      <c r="C119" s="59">
        <v>19.803564000000001</v>
      </c>
      <c r="D119" s="59">
        <f t="shared" si="3"/>
        <v>0.27912000000000003</v>
      </c>
      <c r="E119" s="59">
        <f t="shared" si="4"/>
        <v>5.5009900000000007</v>
      </c>
    </row>
    <row r="120" spans="1:5" ht="23.25" customHeight="1">
      <c r="A120" s="58" t="s">
        <v>438</v>
      </c>
      <c r="B120" s="59" t="s">
        <v>356</v>
      </c>
      <c r="C120" s="59">
        <v>11.429964</v>
      </c>
      <c r="D120" s="59" t="str">
        <f t="shared" si="3"/>
        <v/>
      </c>
      <c r="E120" s="59">
        <f t="shared" si="4"/>
        <v>3.1749899999999998</v>
      </c>
    </row>
    <row r="121" spans="1:5" ht="23.25" customHeight="1">
      <c r="A121" s="58" t="s">
        <v>439</v>
      </c>
      <c r="B121" s="59" t="s">
        <v>356</v>
      </c>
      <c r="C121" s="59">
        <v>10.425132000000001</v>
      </c>
      <c r="D121" s="59" t="str">
        <f t="shared" si="3"/>
        <v/>
      </c>
      <c r="E121" s="59">
        <f t="shared" si="4"/>
        <v>2.8958700000000004</v>
      </c>
    </row>
    <row r="122" spans="1:5" ht="23.25" customHeight="1">
      <c r="A122" s="58" t="s">
        <v>440</v>
      </c>
      <c r="B122" s="59" t="s">
        <v>356</v>
      </c>
      <c r="C122" s="59">
        <v>0.25120800000000004</v>
      </c>
      <c r="D122" s="59" t="str">
        <f t="shared" si="3"/>
        <v/>
      </c>
      <c r="E122" s="59">
        <f t="shared" si="4"/>
        <v>6.9780000000000009E-2</v>
      </c>
    </row>
    <row r="123" spans="1:5" ht="23.25" customHeight="1">
      <c r="A123" s="58" t="s">
        <v>441</v>
      </c>
      <c r="B123" s="59" t="s">
        <v>356</v>
      </c>
      <c r="C123" s="59" t="s">
        <v>356</v>
      </c>
      <c r="D123" s="59" t="str">
        <f t="shared" si="3"/>
        <v/>
      </c>
      <c r="E123" s="59" t="str">
        <f t="shared" si="4"/>
        <v/>
      </c>
    </row>
    <row r="124" spans="1:5" ht="23.25" customHeight="1">
      <c r="A124" s="58" t="s">
        <v>442</v>
      </c>
      <c r="B124" s="59" t="s">
        <v>356</v>
      </c>
      <c r="C124" s="59" t="s">
        <v>356</v>
      </c>
      <c r="D124" s="59" t="str">
        <f t="shared" si="3"/>
        <v/>
      </c>
      <c r="E124" s="59" t="str">
        <f t="shared" si="4"/>
        <v/>
      </c>
    </row>
    <row r="125" spans="1:5" ht="23.25" customHeight="1">
      <c r="A125" s="58" t="s">
        <v>443</v>
      </c>
      <c r="B125" s="59" t="s">
        <v>356</v>
      </c>
      <c r="C125" s="59">
        <v>0.75362400000000007</v>
      </c>
      <c r="D125" s="59" t="str">
        <f t="shared" si="3"/>
        <v/>
      </c>
      <c r="E125" s="59">
        <f t="shared" si="4"/>
        <v>0.20934000000000003</v>
      </c>
    </row>
    <row r="126" spans="1:5" ht="23.25" customHeight="1">
      <c r="A126" s="58" t="s">
        <v>444</v>
      </c>
      <c r="B126" s="59" t="s">
        <v>356</v>
      </c>
      <c r="C126" s="59" t="s">
        <v>356</v>
      </c>
      <c r="D126" s="59" t="str">
        <f t="shared" si="3"/>
        <v/>
      </c>
      <c r="E126" s="59" t="str">
        <f t="shared" si="4"/>
        <v/>
      </c>
    </row>
    <row r="127" spans="1:5" ht="23.25" customHeight="1">
      <c r="A127" s="58" t="s">
        <v>445</v>
      </c>
      <c r="B127" s="59">
        <v>198.74739600000001</v>
      </c>
      <c r="C127" s="59">
        <v>282.06471600000003</v>
      </c>
      <c r="D127" s="59">
        <f t="shared" si="3"/>
        <v>55.207610000000003</v>
      </c>
      <c r="E127" s="59">
        <f t="shared" si="4"/>
        <v>78.351310000000012</v>
      </c>
    </row>
    <row r="128" spans="1:5" ht="23.25" customHeight="1">
      <c r="A128" s="58" t="s">
        <v>446</v>
      </c>
      <c r="B128" s="59">
        <v>45.719856</v>
      </c>
      <c r="C128" s="59">
        <v>167.38826399999999</v>
      </c>
      <c r="D128" s="59">
        <f t="shared" si="3"/>
        <v>12.699959999999999</v>
      </c>
      <c r="E128" s="59">
        <f t="shared" si="4"/>
        <v>46.496739999999996</v>
      </c>
    </row>
    <row r="129" spans="1:5" ht="23.25" customHeight="1">
      <c r="A129" s="58" t="s">
        <v>447</v>
      </c>
      <c r="B129" s="59">
        <v>152.27391599999999</v>
      </c>
      <c r="C129" s="59">
        <v>108.01944</v>
      </c>
      <c r="D129" s="59">
        <f t="shared" si="3"/>
        <v>42.298309999999994</v>
      </c>
      <c r="E129" s="59">
        <f t="shared" si="4"/>
        <v>30.005400000000002</v>
      </c>
    </row>
    <row r="130" spans="1:5" ht="23.25" customHeight="1">
      <c r="A130" s="58" t="s">
        <v>448</v>
      </c>
      <c r="B130" s="59">
        <v>0.79549200000000009</v>
      </c>
      <c r="C130" s="59">
        <v>6.6151439999999999</v>
      </c>
      <c r="D130" s="59">
        <f t="shared" si="3"/>
        <v>0.22097000000000003</v>
      </c>
      <c r="E130" s="59">
        <f t="shared" si="4"/>
        <v>1.83754</v>
      </c>
    </row>
    <row r="131" spans="1:5" ht="23.25" customHeight="1">
      <c r="A131" s="58" t="s">
        <v>449</v>
      </c>
      <c r="B131" s="59" t="s">
        <v>356</v>
      </c>
      <c r="C131" s="59">
        <v>4.1868000000000002E-2</v>
      </c>
      <c r="D131" s="59" t="str">
        <f t="shared" si="3"/>
        <v/>
      </c>
      <c r="E131" s="59">
        <f t="shared" si="4"/>
        <v>1.163E-2</v>
      </c>
    </row>
    <row r="132" spans="1:5" ht="23.25" customHeight="1">
      <c r="A132" s="58" t="s">
        <v>450</v>
      </c>
      <c r="B132" s="59" t="s">
        <v>356</v>
      </c>
      <c r="C132" s="59" t="s">
        <v>356</v>
      </c>
      <c r="D132" s="59" t="str">
        <f t="shared" si="3"/>
        <v/>
      </c>
      <c r="E132" s="59" t="str">
        <f t="shared" si="4"/>
        <v/>
      </c>
    </row>
    <row r="133" spans="1:5" ht="23.25" customHeight="1">
      <c r="A133" s="58" t="s">
        <v>451</v>
      </c>
      <c r="B133" s="59">
        <v>0</v>
      </c>
      <c r="C133" s="59" t="s">
        <v>356</v>
      </c>
      <c r="D133" s="59">
        <f t="shared" si="3"/>
        <v>0</v>
      </c>
      <c r="E133" s="59" t="str">
        <f t="shared" si="4"/>
        <v/>
      </c>
    </row>
  </sheetData>
  <mergeCells count="3">
    <mergeCell ref="A4:A5"/>
    <mergeCell ref="D5:E5"/>
    <mergeCell ref="B5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E646B-3034-44F3-AAB9-2110DBA5B5E4}">
  <dimension ref="A1:I40"/>
  <sheetViews>
    <sheetView workbookViewId="0">
      <selection activeCell="B2" sqref="B2"/>
    </sheetView>
  </sheetViews>
  <sheetFormatPr defaultColWidth="9.1796875" defaultRowHeight="12.5"/>
  <cols>
    <col min="1" max="3" width="4" style="211" customWidth="1"/>
    <col min="4" max="4" width="17.1796875" style="211" customWidth="1"/>
    <col min="5" max="5" width="24.26953125" style="211" customWidth="1"/>
    <col min="6" max="6" width="44.26953125" style="211" customWidth="1"/>
    <col min="7" max="9" width="4" style="211" customWidth="1"/>
    <col min="10" max="16384" width="9.1796875" style="211"/>
  </cols>
  <sheetData>
    <row r="1" spans="1:9" ht="22.5" customHeight="1">
      <c r="A1" s="36"/>
      <c r="B1" s="36"/>
      <c r="C1" s="36"/>
      <c r="D1" s="36"/>
      <c r="E1" s="36"/>
      <c r="F1" s="36"/>
      <c r="G1" s="36"/>
      <c r="H1" s="36"/>
      <c r="I1" s="36"/>
    </row>
    <row r="2" spans="1:9" ht="22.5" customHeight="1">
      <c r="A2" s="36"/>
      <c r="B2" s="34"/>
      <c r="C2" s="33"/>
      <c r="D2" s="33"/>
      <c r="E2" s="33"/>
      <c r="F2" s="33"/>
      <c r="G2" s="33"/>
      <c r="H2" s="32"/>
      <c r="I2" s="36"/>
    </row>
    <row r="3" spans="1:9" ht="18.5">
      <c r="A3" s="36"/>
      <c r="B3" s="31"/>
      <c r="C3" s="30"/>
      <c r="D3" s="29"/>
      <c r="E3" s="29"/>
      <c r="F3" s="29"/>
      <c r="G3" s="28"/>
      <c r="H3" s="27"/>
      <c r="I3" s="36"/>
    </row>
    <row r="4" spans="1:9" ht="18.5">
      <c r="A4" s="36"/>
      <c r="B4" s="31"/>
      <c r="C4" s="26"/>
      <c r="D4" s="300" t="s">
        <v>486</v>
      </c>
      <c r="E4" s="300"/>
      <c r="F4" s="300"/>
      <c r="G4" s="25"/>
      <c r="H4" s="27"/>
      <c r="I4" s="36"/>
    </row>
    <row r="5" spans="1:9" ht="18.5">
      <c r="A5" s="36"/>
      <c r="B5" s="31"/>
      <c r="C5" s="26"/>
      <c r="D5" s="13"/>
      <c r="E5" s="13"/>
      <c r="F5" s="13"/>
      <c r="G5" s="25"/>
      <c r="H5" s="27"/>
      <c r="I5" s="36"/>
    </row>
    <row r="6" spans="1:9" ht="18.5">
      <c r="A6" s="36"/>
      <c r="B6" s="31"/>
      <c r="C6" s="26"/>
      <c r="D6" s="12" t="s">
        <v>650</v>
      </c>
      <c r="E6" s="11"/>
      <c r="F6" s="11"/>
      <c r="G6" s="25"/>
      <c r="H6" s="27"/>
      <c r="I6" s="36"/>
    </row>
    <row r="7" spans="1:9" ht="18.5">
      <c r="A7" s="36"/>
      <c r="B7" s="31"/>
      <c r="C7" s="26"/>
      <c r="D7" s="10"/>
      <c r="E7" s="9"/>
      <c r="F7" s="9"/>
      <c r="G7" s="25"/>
      <c r="H7" s="27"/>
      <c r="I7" s="36"/>
    </row>
    <row r="8" spans="1:9" ht="18.5">
      <c r="A8" s="36"/>
      <c r="B8" s="31"/>
      <c r="C8" s="26"/>
      <c r="D8" s="10"/>
      <c r="E8" s="8"/>
      <c r="F8" s="9"/>
      <c r="G8" s="25"/>
      <c r="H8" s="27"/>
      <c r="I8" s="36"/>
    </row>
    <row r="9" spans="1:9" ht="18.5">
      <c r="A9" s="36"/>
      <c r="B9" s="31"/>
      <c r="C9" s="26"/>
      <c r="D9" s="7"/>
      <c r="E9" s="6"/>
      <c r="F9" s="6"/>
      <c r="G9" s="25"/>
      <c r="H9" s="27"/>
      <c r="I9" s="36"/>
    </row>
    <row r="10" spans="1:9" ht="18.5">
      <c r="A10" s="36"/>
      <c r="B10" s="31"/>
      <c r="C10" s="26"/>
      <c r="D10" s="7"/>
      <c r="E10" s="6"/>
      <c r="F10" s="6"/>
      <c r="G10" s="25"/>
      <c r="H10" s="27"/>
      <c r="I10" s="36"/>
    </row>
    <row r="11" spans="1:9" ht="18.5">
      <c r="A11" s="36"/>
      <c r="B11" s="31"/>
      <c r="C11" s="26"/>
      <c r="D11" s="7"/>
      <c r="E11" s="6"/>
      <c r="F11" s="6"/>
      <c r="G11" s="25"/>
      <c r="H11" s="27"/>
      <c r="I11" s="36"/>
    </row>
    <row r="12" spans="1:9" ht="18.5">
      <c r="A12" s="36"/>
      <c r="B12" s="31"/>
      <c r="C12" s="26"/>
      <c r="D12" s="7"/>
      <c r="E12" s="6"/>
      <c r="F12" s="6"/>
      <c r="G12" s="25"/>
      <c r="H12" s="27"/>
      <c r="I12" s="36"/>
    </row>
    <row r="13" spans="1:9" ht="18.5">
      <c r="A13" s="36"/>
      <c r="B13" s="31"/>
      <c r="C13" s="26"/>
      <c r="D13" s="7"/>
      <c r="E13" s="6"/>
      <c r="F13" s="6"/>
      <c r="G13" s="25"/>
      <c r="H13" s="27"/>
      <c r="I13" s="36"/>
    </row>
    <row r="14" spans="1:9" ht="18.5">
      <c r="A14" s="36"/>
      <c r="B14" s="31"/>
      <c r="C14" s="26"/>
      <c r="D14" s="5"/>
      <c r="E14" s="6"/>
      <c r="F14" s="6"/>
      <c r="G14" s="25"/>
      <c r="H14" s="27"/>
      <c r="I14" s="36"/>
    </row>
    <row r="15" spans="1:9" ht="18.5">
      <c r="A15" s="36"/>
      <c r="B15" s="31"/>
      <c r="C15" s="26"/>
      <c r="D15" s="4"/>
      <c r="E15" s="6"/>
      <c r="F15" s="6"/>
      <c r="G15" s="25"/>
      <c r="H15" s="27"/>
      <c r="I15" s="36"/>
    </row>
    <row r="16" spans="1:9" ht="18.5">
      <c r="A16" s="36"/>
      <c r="B16" s="31"/>
      <c r="C16" s="26"/>
      <c r="D16" s="7"/>
      <c r="E16" s="6"/>
      <c r="F16" s="6"/>
      <c r="G16" s="25"/>
      <c r="H16" s="27"/>
      <c r="I16" s="36"/>
    </row>
    <row r="17" spans="1:9" ht="18.5">
      <c r="A17" s="36"/>
      <c r="B17" s="31"/>
      <c r="C17" s="26"/>
      <c r="D17" s="7"/>
      <c r="E17" s="6"/>
      <c r="F17" s="6"/>
      <c r="G17" s="25"/>
      <c r="H17" s="27"/>
      <c r="I17" s="36"/>
    </row>
    <row r="18" spans="1:9" ht="18.5">
      <c r="A18" s="36"/>
      <c r="B18" s="31"/>
      <c r="C18" s="26"/>
      <c r="D18" s="5"/>
      <c r="E18" s="6"/>
      <c r="F18" s="6"/>
      <c r="G18" s="25"/>
      <c r="H18" s="27"/>
      <c r="I18" s="36"/>
    </row>
    <row r="19" spans="1:9" ht="18.5">
      <c r="A19" s="36"/>
      <c r="B19" s="31"/>
      <c r="C19" s="26"/>
      <c r="D19" s="4"/>
      <c r="E19" s="6"/>
      <c r="F19" s="6"/>
      <c r="G19" s="25"/>
      <c r="H19" s="27"/>
      <c r="I19" s="36"/>
    </row>
    <row r="20" spans="1:9" ht="18.5">
      <c r="A20" s="36"/>
      <c r="B20" s="31"/>
      <c r="C20" s="26"/>
      <c r="D20" s="4"/>
      <c r="E20" s="6"/>
      <c r="F20" s="6"/>
      <c r="G20" s="25"/>
      <c r="H20" s="27"/>
      <c r="I20" s="36"/>
    </row>
    <row r="21" spans="1:9" ht="18.5">
      <c r="A21" s="36"/>
      <c r="B21" s="31"/>
      <c r="C21" s="26"/>
      <c r="D21" s="7"/>
      <c r="E21" s="6"/>
      <c r="F21" s="6"/>
      <c r="G21" s="25"/>
      <c r="H21" s="27"/>
      <c r="I21" s="36"/>
    </row>
    <row r="22" spans="1:9" ht="18.5">
      <c r="A22" s="36"/>
      <c r="B22" s="31"/>
      <c r="C22" s="26"/>
      <c r="D22" s="5"/>
      <c r="E22" s="6"/>
      <c r="F22" s="6"/>
      <c r="G22" s="25"/>
      <c r="H22" s="27"/>
      <c r="I22" s="36"/>
    </row>
    <row r="23" spans="1:9" ht="18.5">
      <c r="A23" s="36"/>
      <c r="B23" s="31"/>
      <c r="C23" s="26"/>
      <c r="D23" s="4"/>
      <c r="E23" s="6"/>
      <c r="F23" s="6"/>
      <c r="G23" s="25"/>
      <c r="H23" s="27"/>
      <c r="I23" s="36"/>
    </row>
    <row r="24" spans="1:9" ht="18.5">
      <c r="A24" s="36"/>
      <c r="B24" s="31"/>
      <c r="C24" s="26"/>
      <c r="D24" s="4"/>
      <c r="E24" s="6"/>
      <c r="F24" s="6"/>
      <c r="G24" s="25"/>
      <c r="H24" s="27"/>
      <c r="I24" s="36"/>
    </row>
    <row r="25" spans="1:9" ht="18.5">
      <c r="A25" s="36"/>
      <c r="B25" s="31"/>
      <c r="C25" s="26"/>
      <c r="D25" s="4"/>
      <c r="E25" s="6"/>
      <c r="F25" s="6"/>
      <c r="G25" s="25"/>
      <c r="H25" s="27"/>
      <c r="I25" s="36"/>
    </row>
    <row r="26" spans="1:9" ht="18.5">
      <c r="A26" s="36"/>
      <c r="B26" s="31"/>
      <c r="C26" s="26"/>
      <c r="D26" s="4"/>
      <c r="E26" s="6"/>
      <c r="F26" s="6"/>
      <c r="G26" s="25"/>
      <c r="H26" s="27"/>
      <c r="I26" s="36"/>
    </row>
    <row r="27" spans="1:9" ht="18.5">
      <c r="A27" s="36"/>
      <c r="B27" s="31"/>
      <c r="C27" s="26"/>
      <c r="D27" s="7"/>
      <c r="E27" s="6"/>
      <c r="F27" s="6"/>
      <c r="G27" s="25"/>
      <c r="H27" s="27"/>
      <c r="I27" s="36"/>
    </row>
    <row r="28" spans="1:9" ht="18.5">
      <c r="A28" s="36"/>
      <c r="B28" s="31"/>
      <c r="C28" s="26"/>
      <c r="D28" s="5"/>
      <c r="E28" s="6"/>
      <c r="F28" s="6"/>
      <c r="G28" s="25"/>
      <c r="H28" s="27"/>
      <c r="I28" s="36"/>
    </row>
    <row r="29" spans="1:9" ht="18.5">
      <c r="A29" s="36"/>
      <c r="B29" s="31"/>
      <c r="C29" s="26"/>
      <c r="D29" s="7"/>
      <c r="E29" s="6"/>
      <c r="F29" s="6"/>
      <c r="G29" s="25"/>
      <c r="H29" s="27"/>
      <c r="I29" s="36"/>
    </row>
    <row r="30" spans="1:9" ht="18.5">
      <c r="A30" s="36"/>
      <c r="B30" s="31"/>
      <c r="C30" s="26"/>
      <c r="D30" s="7"/>
      <c r="E30" s="6"/>
      <c r="F30" s="6"/>
      <c r="G30" s="25"/>
      <c r="H30" s="27"/>
      <c r="I30" s="36"/>
    </row>
    <row r="31" spans="1:9" ht="18.5">
      <c r="A31" s="36"/>
      <c r="B31" s="31"/>
      <c r="C31" s="26"/>
      <c r="D31" s="7"/>
      <c r="E31" s="6"/>
      <c r="F31" s="6"/>
      <c r="G31" s="25"/>
      <c r="H31" s="27"/>
      <c r="I31" s="36"/>
    </row>
    <row r="32" spans="1:9" ht="18.5">
      <c r="A32" s="36"/>
      <c r="B32" s="31"/>
      <c r="C32" s="26"/>
      <c r="D32" s="5"/>
      <c r="E32" s="6"/>
      <c r="F32" s="6"/>
      <c r="G32" s="25"/>
      <c r="H32" s="27"/>
      <c r="I32" s="36"/>
    </row>
    <row r="33" spans="1:9" ht="18.5">
      <c r="A33" s="36"/>
      <c r="B33" s="31"/>
      <c r="C33" s="26"/>
      <c r="D33" s="7"/>
      <c r="E33" s="6"/>
      <c r="F33" s="6"/>
      <c r="G33" s="25"/>
      <c r="H33" s="27"/>
      <c r="I33" s="36"/>
    </row>
    <row r="34" spans="1:9" ht="18.5">
      <c r="A34" s="36"/>
      <c r="B34" s="31"/>
      <c r="C34" s="26"/>
      <c r="D34" s="7"/>
      <c r="E34" s="6"/>
      <c r="F34" s="6"/>
      <c r="G34" s="25"/>
      <c r="H34" s="27"/>
      <c r="I34" s="36"/>
    </row>
    <row r="35" spans="1:9" ht="18.5">
      <c r="A35" s="36"/>
      <c r="B35" s="31"/>
      <c r="C35" s="26"/>
      <c r="D35" s="7"/>
      <c r="E35" s="6"/>
      <c r="F35" s="6"/>
      <c r="G35" s="25"/>
      <c r="H35" s="27"/>
      <c r="I35" s="36"/>
    </row>
    <row r="36" spans="1:9" ht="18.5">
      <c r="A36" s="36"/>
      <c r="B36" s="31"/>
      <c r="C36" s="26"/>
      <c r="D36" s="7"/>
      <c r="E36" s="6"/>
      <c r="F36" s="6"/>
      <c r="G36" s="25"/>
      <c r="H36" s="27"/>
      <c r="I36" s="36"/>
    </row>
    <row r="37" spans="1:9" ht="18.5">
      <c r="A37" s="36"/>
      <c r="B37" s="31"/>
      <c r="C37" s="26"/>
      <c r="D37" s="7"/>
      <c r="E37" s="6"/>
      <c r="F37" s="6"/>
      <c r="G37" s="25"/>
      <c r="H37" s="27"/>
      <c r="I37" s="36"/>
    </row>
    <row r="38" spans="1:9" ht="18.5">
      <c r="A38" s="36"/>
      <c r="B38" s="31"/>
      <c r="C38" s="19"/>
      <c r="D38" s="3"/>
      <c r="E38" s="3"/>
      <c r="F38" s="3"/>
      <c r="G38" s="17"/>
      <c r="H38" s="27"/>
      <c r="I38" s="36"/>
    </row>
    <row r="39" spans="1:9" ht="22.5" customHeight="1">
      <c r="A39" s="36"/>
      <c r="B39" s="16"/>
      <c r="C39" s="15"/>
      <c r="D39" s="15"/>
      <c r="E39" s="15"/>
      <c r="F39" s="15"/>
      <c r="G39" s="15"/>
      <c r="H39" s="14"/>
      <c r="I39" s="36"/>
    </row>
    <row r="40" spans="1:9" ht="22.5" customHeight="1">
      <c r="A40" s="36"/>
      <c r="B40" s="36"/>
      <c r="C40" s="36"/>
      <c r="D40" s="36"/>
      <c r="E40" s="36"/>
      <c r="F40" s="36"/>
      <c r="G40" s="36"/>
      <c r="H40" s="36"/>
      <c r="I40" s="36"/>
    </row>
  </sheetData>
  <mergeCells count="1">
    <mergeCell ref="D4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J91"/>
  <sheetViews>
    <sheetView topLeftCell="A8" zoomScale="60" zoomScaleNormal="100" workbookViewId="0">
      <selection activeCell="B17" sqref="B17"/>
    </sheetView>
  </sheetViews>
  <sheetFormatPr defaultRowHeight="12.5"/>
  <cols>
    <col min="1" max="1" width="2.81640625" customWidth="1"/>
    <col min="2" max="3" width="15" customWidth="1"/>
    <col min="4" max="4" width="26.7265625" customWidth="1"/>
    <col min="5" max="5" width="36" customWidth="1"/>
    <col min="6" max="6" width="10" customWidth="1"/>
    <col min="7" max="7" width="11.453125" bestFit="1" customWidth="1"/>
    <col min="8" max="8" width="12" customWidth="1"/>
    <col min="9" max="9" width="14.26953125" customWidth="1"/>
    <col min="10" max="10" width="12.81640625" customWidth="1"/>
    <col min="11" max="11" width="10.453125" customWidth="1"/>
    <col min="12" max="13" width="10.7265625" bestFit="1" customWidth="1"/>
  </cols>
  <sheetData>
    <row r="2" spans="2:10" ht="15.5">
      <c r="B2" s="39" t="s">
        <v>0</v>
      </c>
      <c r="C2" s="39"/>
    </row>
    <row r="4" spans="2:10" ht="17.5">
      <c r="B4" s="41" t="s">
        <v>1</v>
      </c>
      <c r="C4" s="41"/>
      <c r="D4" s="42"/>
      <c r="E4" s="43"/>
      <c r="F4" s="43"/>
      <c r="G4" s="43"/>
      <c r="H4" s="43"/>
      <c r="I4" s="43"/>
      <c r="J4" s="43"/>
    </row>
    <row r="5" spans="2:10" ht="12.75" customHeight="1">
      <c r="B5" s="44"/>
      <c r="C5" s="44"/>
      <c r="D5" s="43"/>
      <c r="E5" s="43"/>
      <c r="F5" s="43"/>
      <c r="G5" s="43"/>
      <c r="H5" s="43"/>
      <c r="I5" s="43"/>
      <c r="J5" s="43"/>
    </row>
    <row r="6" spans="2:10" ht="17.5" customHeight="1">
      <c r="B6" s="44" t="s">
        <v>2</v>
      </c>
      <c r="C6" s="44"/>
      <c r="D6" s="43"/>
      <c r="E6" s="43"/>
      <c r="F6" s="43"/>
      <c r="G6" s="43"/>
      <c r="H6" s="43"/>
      <c r="I6" s="43"/>
      <c r="J6" s="43"/>
    </row>
    <row r="7" spans="2:10" ht="15.75" customHeight="1">
      <c r="B7" s="48" t="s">
        <v>3</v>
      </c>
      <c r="C7" s="51" t="s">
        <v>76</v>
      </c>
      <c r="D7" s="51" t="s">
        <v>4</v>
      </c>
      <c r="E7" s="51" t="s">
        <v>5</v>
      </c>
      <c r="F7" s="51" t="s">
        <v>6</v>
      </c>
      <c r="G7" s="51" t="s">
        <v>7</v>
      </c>
      <c r="H7" s="51" t="s">
        <v>8</v>
      </c>
      <c r="I7" s="51" t="s">
        <v>9</v>
      </c>
      <c r="J7" s="51" t="s">
        <v>10</v>
      </c>
    </row>
    <row r="8" spans="2:10" ht="38" thickBot="1">
      <c r="B8" s="46" t="s">
        <v>11</v>
      </c>
      <c r="C8" s="46" t="s">
        <v>76</v>
      </c>
      <c r="D8" s="50" t="s">
        <v>12</v>
      </c>
      <c r="E8" s="50" t="s">
        <v>13</v>
      </c>
      <c r="F8" s="50" t="s">
        <v>14</v>
      </c>
      <c r="G8" s="50" t="s">
        <v>15</v>
      </c>
      <c r="H8" s="50" t="s">
        <v>16</v>
      </c>
      <c r="I8" s="50" t="s">
        <v>17</v>
      </c>
      <c r="J8" s="50" t="s">
        <v>18</v>
      </c>
    </row>
    <row r="9" spans="2:10" ht="15.75" customHeight="1">
      <c r="B9" s="75" t="s">
        <v>19</v>
      </c>
      <c r="C9" s="75" t="s">
        <v>94</v>
      </c>
      <c r="D9" s="75" t="s">
        <v>20</v>
      </c>
      <c r="E9" s="76" t="s">
        <v>21</v>
      </c>
      <c r="F9" s="76" t="s">
        <v>22</v>
      </c>
      <c r="G9" s="75"/>
      <c r="H9" s="75" t="s">
        <v>23</v>
      </c>
      <c r="I9" s="75"/>
      <c r="J9" s="75"/>
    </row>
    <row r="10" spans="2:10" ht="15.75" customHeight="1">
      <c r="B10" s="77" t="s">
        <v>19</v>
      </c>
      <c r="C10" s="77" t="s">
        <v>94</v>
      </c>
      <c r="D10" s="77" t="s">
        <v>24</v>
      </c>
      <c r="E10" s="78" t="s">
        <v>25</v>
      </c>
      <c r="F10" s="78" t="s">
        <v>22</v>
      </c>
      <c r="G10" s="77"/>
      <c r="H10" s="77" t="s">
        <v>23</v>
      </c>
      <c r="I10" s="77"/>
      <c r="J10" s="77"/>
    </row>
    <row r="11" spans="2:10" ht="15.75" customHeight="1">
      <c r="B11" s="79" t="s">
        <v>19</v>
      </c>
      <c r="C11" s="79" t="s">
        <v>94</v>
      </c>
      <c r="D11" s="79" t="s">
        <v>26</v>
      </c>
      <c r="E11" s="80" t="s">
        <v>27</v>
      </c>
      <c r="F11" s="80" t="s">
        <v>22</v>
      </c>
      <c r="G11" s="79"/>
      <c r="H11" s="79" t="s">
        <v>23</v>
      </c>
      <c r="I11" s="79"/>
      <c r="J11" s="79"/>
    </row>
    <row r="12" spans="2:10" ht="15.75" customHeight="1">
      <c r="B12" s="77" t="s">
        <v>19</v>
      </c>
      <c r="C12" s="77" t="s">
        <v>94</v>
      </c>
      <c r="D12" s="78" t="s">
        <v>28</v>
      </c>
      <c r="E12" s="78" t="s">
        <v>29</v>
      </c>
      <c r="F12" s="78" t="s">
        <v>22</v>
      </c>
      <c r="G12" s="77"/>
      <c r="H12" s="77" t="s">
        <v>23</v>
      </c>
      <c r="I12" s="78"/>
      <c r="J12" s="78"/>
    </row>
    <row r="13" spans="2:10" ht="15.75" customHeight="1">
      <c r="B13" s="79" t="s">
        <v>19</v>
      </c>
      <c r="C13" s="79" t="s">
        <v>94</v>
      </c>
      <c r="D13" s="80" t="s">
        <v>30</v>
      </c>
      <c r="E13" s="80" t="s">
        <v>31</v>
      </c>
      <c r="F13" s="80" t="s">
        <v>22</v>
      </c>
      <c r="G13" s="79"/>
      <c r="H13" s="79" t="s">
        <v>23</v>
      </c>
      <c r="I13" s="80"/>
      <c r="J13" s="80"/>
    </row>
    <row r="14" spans="2:10" ht="15.75" customHeight="1">
      <c r="B14" s="77" t="s">
        <v>19</v>
      </c>
      <c r="C14" s="77" t="s">
        <v>94</v>
      </c>
      <c r="D14" s="78" t="s">
        <v>32</v>
      </c>
      <c r="E14" s="78" t="s">
        <v>33</v>
      </c>
      <c r="F14" s="78" t="s">
        <v>22</v>
      </c>
      <c r="G14" s="77"/>
      <c r="H14" s="77" t="s">
        <v>23</v>
      </c>
      <c r="I14" s="78"/>
      <c r="J14" s="78"/>
    </row>
    <row r="15" spans="2:10" ht="15.75" customHeight="1">
      <c r="B15" s="79" t="s">
        <v>19</v>
      </c>
      <c r="C15" s="79" t="s">
        <v>94</v>
      </c>
      <c r="D15" s="80" t="s">
        <v>34</v>
      </c>
      <c r="E15" s="80" t="s">
        <v>35</v>
      </c>
      <c r="F15" s="80" t="s">
        <v>22</v>
      </c>
      <c r="G15" s="79"/>
      <c r="H15" s="79" t="s">
        <v>23</v>
      </c>
      <c r="I15" s="80"/>
      <c r="J15" s="80"/>
    </row>
    <row r="16" spans="2:10" ht="15.5" customHeight="1">
      <c r="B16" s="77" t="s">
        <v>47</v>
      </c>
      <c r="C16" s="77" t="s">
        <v>94</v>
      </c>
      <c r="D16" s="78" t="s">
        <v>36</v>
      </c>
      <c r="E16" s="78" t="s">
        <v>454</v>
      </c>
      <c r="F16" s="78" t="s">
        <v>22</v>
      </c>
      <c r="G16" s="77"/>
      <c r="H16" s="77" t="s">
        <v>23</v>
      </c>
      <c r="I16" s="78"/>
      <c r="J16" s="78"/>
    </row>
    <row r="17" spans="2:10" ht="15.75" customHeight="1">
      <c r="B17" s="79" t="s">
        <v>19</v>
      </c>
      <c r="C17" s="79" t="s">
        <v>94</v>
      </c>
      <c r="D17" s="80" t="s">
        <v>37</v>
      </c>
      <c r="E17" s="80" t="s">
        <v>38</v>
      </c>
      <c r="F17" s="80" t="s">
        <v>22</v>
      </c>
      <c r="G17" s="79"/>
      <c r="H17" s="79" t="s">
        <v>23</v>
      </c>
      <c r="I17" s="80"/>
      <c r="J17" s="80"/>
    </row>
    <row r="18" spans="2:10" ht="15.75" customHeight="1">
      <c r="B18" s="77" t="s">
        <v>19</v>
      </c>
      <c r="C18" s="77" t="s">
        <v>94</v>
      </c>
      <c r="D18" s="78" t="s">
        <v>39</v>
      </c>
      <c r="E18" s="78" t="s">
        <v>40</v>
      </c>
      <c r="F18" s="78" t="s">
        <v>22</v>
      </c>
      <c r="G18" s="77"/>
      <c r="H18" s="77" t="s">
        <v>23</v>
      </c>
      <c r="I18" s="78"/>
      <c r="J18" s="78"/>
    </row>
    <row r="19" spans="2:10" ht="15.75" customHeight="1">
      <c r="B19" s="79" t="s">
        <v>19</v>
      </c>
      <c r="C19" s="79" t="s">
        <v>94</v>
      </c>
      <c r="D19" s="80" t="s">
        <v>41</v>
      </c>
      <c r="E19" s="80" t="s">
        <v>42</v>
      </c>
      <c r="F19" s="80" t="s">
        <v>22</v>
      </c>
      <c r="G19" s="79"/>
      <c r="H19" s="79" t="s">
        <v>23</v>
      </c>
      <c r="I19" s="80"/>
      <c r="J19" s="80"/>
    </row>
    <row r="20" spans="2:10" ht="15.75" customHeight="1">
      <c r="B20" s="77" t="s">
        <v>19</v>
      </c>
      <c r="C20" s="77" t="s">
        <v>94</v>
      </c>
      <c r="D20" s="78" t="s">
        <v>43</v>
      </c>
      <c r="E20" s="78" t="s">
        <v>44</v>
      </c>
      <c r="F20" s="78" t="s">
        <v>22</v>
      </c>
      <c r="G20" s="77"/>
      <c r="H20" s="77" t="s">
        <v>23</v>
      </c>
      <c r="I20" s="78"/>
      <c r="J20" s="78"/>
    </row>
    <row r="21" spans="2:10" ht="15.75" customHeight="1">
      <c r="B21" s="79" t="s">
        <v>19</v>
      </c>
      <c r="C21" s="79" t="s">
        <v>94</v>
      </c>
      <c r="D21" s="80" t="s">
        <v>45</v>
      </c>
      <c r="E21" s="80" t="s">
        <v>46</v>
      </c>
      <c r="F21" s="80" t="s">
        <v>22</v>
      </c>
      <c r="G21" s="79"/>
      <c r="H21" s="79" t="s">
        <v>23</v>
      </c>
      <c r="I21" s="80"/>
      <c r="J21" s="80"/>
    </row>
    <row r="22" spans="2:10" ht="15.75" customHeight="1">
      <c r="B22" s="78" t="s">
        <v>47</v>
      </c>
      <c r="C22" s="78" t="s">
        <v>94</v>
      </c>
      <c r="D22" s="78" t="s">
        <v>48</v>
      </c>
      <c r="E22" s="78" t="s">
        <v>49</v>
      </c>
      <c r="F22" s="78" t="s">
        <v>50</v>
      </c>
      <c r="G22" s="78"/>
      <c r="H22" s="77" t="s">
        <v>23</v>
      </c>
      <c r="I22" s="78"/>
      <c r="J22" s="78"/>
    </row>
    <row r="23" spans="2:10" ht="15.75" customHeight="1">
      <c r="B23" s="79" t="s">
        <v>51</v>
      </c>
      <c r="C23" s="79" t="s">
        <v>94</v>
      </c>
      <c r="D23" s="79" t="s">
        <v>52</v>
      </c>
      <c r="E23" s="79" t="s">
        <v>53</v>
      </c>
      <c r="F23" s="80" t="s">
        <v>54</v>
      </c>
      <c r="G23" s="80"/>
      <c r="H23" s="80"/>
      <c r="I23" s="80"/>
      <c r="J23" s="80"/>
    </row>
    <row r="24" spans="2:10" ht="15.75" customHeight="1">
      <c r="B24" s="77" t="s">
        <v>51</v>
      </c>
      <c r="C24" s="77" t="s">
        <v>94</v>
      </c>
      <c r="D24" s="78" t="s">
        <v>55</v>
      </c>
      <c r="E24" s="78" t="s">
        <v>56</v>
      </c>
      <c r="F24" s="78" t="s">
        <v>54</v>
      </c>
      <c r="G24" s="78"/>
      <c r="H24" s="78"/>
      <c r="I24" s="78"/>
      <c r="J24" s="78"/>
    </row>
    <row r="25" spans="2:10" ht="15.75" customHeight="1">
      <c r="B25" s="79" t="s">
        <v>51</v>
      </c>
      <c r="C25" s="79" t="s">
        <v>94</v>
      </c>
      <c r="D25" s="80" t="s">
        <v>57</v>
      </c>
      <c r="E25" s="79" t="s">
        <v>58</v>
      </c>
      <c r="F25" s="80" t="s">
        <v>54</v>
      </c>
      <c r="G25" s="80"/>
      <c r="H25" s="80"/>
      <c r="I25" s="80"/>
      <c r="J25" s="80"/>
    </row>
    <row r="26" spans="2:10" ht="15.75" customHeight="1">
      <c r="B26" s="77" t="s">
        <v>51</v>
      </c>
      <c r="C26" s="77" t="s">
        <v>94</v>
      </c>
      <c r="D26" s="78" t="s">
        <v>59</v>
      </c>
      <c r="E26" s="77" t="s">
        <v>60</v>
      </c>
      <c r="F26" s="78"/>
      <c r="G26" s="78"/>
      <c r="H26" s="78"/>
      <c r="I26" s="78"/>
      <c r="J26" s="78"/>
    </row>
    <row r="27" spans="2:10" ht="15.75" customHeight="1">
      <c r="B27" s="79" t="s">
        <v>51</v>
      </c>
      <c r="C27" s="79" t="s">
        <v>94</v>
      </c>
      <c r="D27" s="80" t="s">
        <v>61</v>
      </c>
      <c r="E27" s="80" t="s">
        <v>62</v>
      </c>
      <c r="F27" s="80" t="s">
        <v>54</v>
      </c>
      <c r="G27" s="80"/>
      <c r="H27" s="80"/>
      <c r="I27" s="80"/>
      <c r="J27" s="80"/>
    </row>
    <row r="28" spans="2:10" ht="15.75" customHeight="1">
      <c r="B28" s="77" t="s">
        <v>51</v>
      </c>
      <c r="C28" s="77" t="s">
        <v>94</v>
      </c>
      <c r="D28" s="78" t="s">
        <v>63</v>
      </c>
      <c r="E28" s="77" t="s">
        <v>64</v>
      </c>
      <c r="F28" s="78" t="s">
        <v>54</v>
      </c>
      <c r="G28" s="78"/>
      <c r="H28" s="78"/>
      <c r="I28" s="78"/>
      <c r="J28" s="78"/>
    </row>
    <row r="29" spans="2:10" ht="15.75" customHeight="1">
      <c r="B29" s="79" t="s">
        <v>51</v>
      </c>
      <c r="C29" s="79" t="s">
        <v>94</v>
      </c>
      <c r="D29" s="80" t="s">
        <v>65</v>
      </c>
      <c r="E29" s="80" t="s">
        <v>66</v>
      </c>
      <c r="F29" s="80" t="s">
        <v>54</v>
      </c>
      <c r="G29" s="80"/>
      <c r="H29" s="80"/>
      <c r="I29" s="80"/>
      <c r="J29" s="80"/>
    </row>
    <row r="30" spans="2:10" ht="15.75" customHeight="1">
      <c r="B30" s="78" t="s">
        <v>19</v>
      </c>
      <c r="C30" s="78" t="s">
        <v>94</v>
      </c>
      <c r="D30" s="78" t="s">
        <v>67</v>
      </c>
      <c r="E30" s="78"/>
      <c r="F30" s="78" t="s">
        <v>22</v>
      </c>
      <c r="G30" s="78"/>
      <c r="H30" s="78" t="s">
        <v>68</v>
      </c>
      <c r="I30" s="78"/>
      <c r="J30" s="78" t="s">
        <v>69</v>
      </c>
    </row>
    <row r="31" spans="2:10" ht="15.75" customHeight="1">
      <c r="B31" s="80" t="s">
        <v>19</v>
      </c>
      <c r="C31" s="80" t="s">
        <v>94</v>
      </c>
      <c r="D31" s="80" t="s">
        <v>70</v>
      </c>
      <c r="E31" s="80"/>
      <c r="F31" s="80" t="s">
        <v>22</v>
      </c>
      <c r="G31" s="80"/>
      <c r="H31" s="80" t="s">
        <v>68</v>
      </c>
      <c r="I31" s="80"/>
      <c r="J31" s="80"/>
    </row>
    <row r="32" spans="2:10" ht="15.75" customHeight="1" thickBot="1">
      <c r="B32" s="183" t="s">
        <v>19</v>
      </c>
      <c r="C32" s="183" t="s">
        <v>94</v>
      </c>
      <c r="D32" s="183" t="s">
        <v>71</v>
      </c>
      <c r="E32" s="81"/>
      <c r="F32" s="81" t="s">
        <v>22</v>
      </c>
      <c r="G32" s="81"/>
      <c r="H32" s="81" t="s">
        <v>23</v>
      </c>
      <c r="I32" s="81"/>
      <c r="J32" s="81"/>
    </row>
    <row r="33" spans="2:10" ht="18" customHeight="1">
      <c r="B33" s="214" t="s">
        <v>490</v>
      </c>
      <c r="C33" s="215"/>
      <c r="D33" s="215"/>
      <c r="E33" s="215"/>
      <c r="F33" s="215"/>
      <c r="G33" s="215"/>
      <c r="H33" s="215"/>
      <c r="I33" s="215"/>
      <c r="J33" s="215"/>
    </row>
    <row r="34" spans="2:10" ht="16" customHeight="1">
      <c r="B34" s="80" t="s">
        <v>19</v>
      </c>
      <c r="C34" s="80" t="s">
        <v>94</v>
      </c>
      <c r="D34" s="80" t="s">
        <v>639</v>
      </c>
      <c r="E34" s="80" t="s">
        <v>640</v>
      </c>
      <c r="F34" s="80" t="s">
        <v>22</v>
      </c>
      <c r="G34" s="80"/>
      <c r="H34" s="80"/>
      <c r="I34" s="80"/>
      <c r="J34" s="80"/>
    </row>
    <row r="35" spans="2:10" ht="16" customHeight="1">
      <c r="B35" s="78" t="s">
        <v>51</v>
      </c>
      <c r="C35" s="78" t="s">
        <v>94</v>
      </c>
      <c r="D35" s="78" t="s">
        <v>515</v>
      </c>
      <c r="E35" s="78" t="s">
        <v>516</v>
      </c>
      <c r="F35" s="78" t="s">
        <v>54</v>
      </c>
      <c r="G35" s="78"/>
      <c r="H35" s="78"/>
      <c r="I35" s="78"/>
      <c r="J35" s="78"/>
    </row>
    <row r="36" spans="2:10" ht="16" customHeight="1">
      <c r="B36" s="80" t="s">
        <v>51</v>
      </c>
      <c r="C36" s="80" t="s">
        <v>94</v>
      </c>
      <c r="D36" s="80" t="s">
        <v>491</v>
      </c>
      <c r="E36" s="80" t="s">
        <v>492</v>
      </c>
      <c r="F36" s="80" t="s">
        <v>54</v>
      </c>
      <c r="G36" s="80"/>
      <c r="H36" s="80"/>
      <c r="I36" s="80"/>
      <c r="J36" s="80"/>
    </row>
    <row r="37" spans="2:10" ht="16" customHeight="1">
      <c r="B37" s="78" t="s">
        <v>51</v>
      </c>
      <c r="C37" s="78" t="s">
        <v>94</v>
      </c>
      <c r="D37" s="78" t="s">
        <v>493</v>
      </c>
      <c r="E37" s="78" t="s">
        <v>494</v>
      </c>
      <c r="F37" s="78" t="s">
        <v>54</v>
      </c>
      <c r="G37" s="78"/>
      <c r="H37" s="78"/>
      <c r="I37" s="78"/>
      <c r="J37" s="78"/>
    </row>
    <row r="38" spans="2:10" ht="16" customHeight="1">
      <c r="B38" s="80" t="s">
        <v>51</v>
      </c>
      <c r="C38" s="80" t="s">
        <v>94</v>
      </c>
      <c r="D38" s="80" t="s">
        <v>495</v>
      </c>
      <c r="E38" s="80" t="s">
        <v>496</v>
      </c>
      <c r="F38" s="80" t="s">
        <v>54</v>
      </c>
      <c r="G38" s="80"/>
      <c r="H38" s="80"/>
      <c r="I38" s="80"/>
      <c r="J38" s="80"/>
    </row>
    <row r="39" spans="2:10" ht="16" customHeight="1">
      <c r="B39" s="78" t="s">
        <v>19</v>
      </c>
      <c r="C39" s="78" t="s">
        <v>94</v>
      </c>
      <c r="D39" s="78" t="s">
        <v>497</v>
      </c>
      <c r="E39" s="78" t="s">
        <v>498</v>
      </c>
      <c r="F39" s="78" t="s">
        <v>54</v>
      </c>
      <c r="G39" s="78"/>
      <c r="H39" s="78"/>
      <c r="I39" s="78"/>
      <c r="J39" s="78"/>
    </row>
    <row r="40" spans="2:10" ht="16" customHeight="1">
      <c r="B40" s="80" t="s">
        <v>19</v>
      </c>
      <c r="C40" s="80" t="s">
        <v>94</v>
      </c>
      <c r="D40" s="80" t="s">
        <v>499</v>
      </c>
      <c r="E40" s="80" t="s">
        <v>500</v>
      </c>
      <c r="F40" s="80" t="s">
        <v>54</v>
      </c>
      <c r="G40" s="80"/>
      <c r="H40" s="80"/>
      <c r="I40" s="80"/>
      <c r="J40" s="80"/>
    </row>
    <row r="41" spans="2:10" ht="16" customHeight="1">
      <c r="B41" s="78" t="s">
        <v>19</v>
      </c>
      <c r="C41" s="78" t="s">
        <v>94</v>
      </c>
      <c r="D41" s="78" t="s">
        <v>501</v>
      </c>
      <c r="E41" s="78" t="s">
        <v>502</v>
      </c>
      <c r="F41" s="78" t="s">
        <v>54</v>
      </c>
      <c r="G41" s="78"/>
      <c r="H41" s="78"/>
      <c r="I41" s="78"/>
      <c r="J41" s="78"/>
    </row>
    <row r="42" spans="2:10" ht="16" customHeight="1">
      <c r="B42" s="80" t="s">
        <v>19</v>
      </c>
      <c r="C42" s="80" t="s">
        <v>94</v>
      </c>
      <c r="D42" s="80" t="s">
        <v>503</v>
      </c>
      <c r="E42" s="80" t="s">
        <v>504</v>
      </c>
      <c r="F42" s="80" t="s">
        <v>54</v>
      </c>
      <c r="G42" s="80"/>
      <c r="H42" s="80"/>
      <c r="I42" s="80"/>
      <c r="J42" s="80"/>
    </row>
    <row r="43" spans="2:10" ht="16" customHeight="1">
      <c r="B43" s="78" t="s">
        <v>19</v>
      </c>
      <c r="C43" s="78" t="s">
        <v>94</v>
      </c>
      <c r="D43" s="78" t="s">
        <v>505</v>
      </c>
      <c r="E43" s="78" t="s">
        <v>506</v>
      </c>
      <c r="F43" s="78" t="s">
        <v>54</v>
      </c>
      <c r="G43" s="78"/>
      <c r="H43" s="78"/>
      <c r="I43" s="78"/>
      <c r="J43" s="78"/>
    </row>
    <row r="44" spans="2:10" ht="16" customHeight="1">
      <c r="B44" s="80" t="s">
        <v>19</v>
      </c>
      <c r="C44" s="80" t="s">
        <v>94</v>
      </c>
      <c r="D44" s="80" t="s">
        <v>507</v>
      </c>
      <c r="E44" s="80" t="s">
        <v>508</v>
      </c>
      <c r="F44" s="80" t="s">
        <v>54</v>
      </c>
      <c r="G44" s="80"/>
      <c r="H44" s="80"/>
      <c r="I44" s="80"/>
      <c r="J44" s="80"/>
    </row>
    <row r="45" spans="2:10" ht="16" customHeight="1">
      <c r="B45" s="78" t="s">
        <v>19</v>
      </c>
      <c r="C45" s="78" t="s">
        <v>94</v>
      </c>
      <c r="D45" s="78" t="s">
        <v>509</v>
      </c>
      <c r="E45" s="78" t="s">
        <v>510</v>
      </c>
      <c r="F45" s="78" t="s">
        <v>54</v>
      </c>
      <c r="G45" s="78"/>
      <c r="H45" s="78"/>
      <c r="I45" s="78"/>
      <c r="J45" s="78"/>
    </row>
    <row r="46" spans="2:10" ht="16" customHeight="1">
      <c r="B46" s="80" t="s">
        <v>19</v>
      </c>
      <c r="C46" s="80" t="s">
        <v>94</v>
      </c>
      <c r="D46" s="80" t="s">
        <v>511</v>
      </c>
      <c r="E46" s="80" t="s">
        <v>512</v>
      </c>
      <c r="F46" s="80" t="s">
        <v>54</v>
      </c>
      <c r="G46" s="80"/>
      <c r="H46" s="80"/>
      <c r="I46" s="80"/>
      <c r="J46" s="80"/>
    </row>
    <row r="47" spans="2:10" ht="16" customHeight="1">
      <c r="B47" s="78" t="s">
        <v>19</v>
      </c>
      <c r="C47" s="78" t="s">
        <v>94</v>
      </c>
      <c r="D47" s="78" t="s">
        <v>513</v>
      </c>
      <c r="E47" s="78" t="s">
        <v>514</v>
      </c>
      <c r="F47" s="78" t="s">
        <v>54</v>
      </c>
      <c r="G47" s="78"/>
      <c r="H47" s="78"/>
      <c r="I47" s="78"/>
      <c r="J47" s="78"/>
    </row>
    <row r="48" spans="2:10" ht="16" customHeight="1">
      <c r="B48" s="80" t="s">
        <v>19</v>
      </c>
      <c r="C48" s="80" t="s">
        <v>94</v>
      </c>
      <c r="D48" s="80" t="s">
        <v>622</v>
      </c>
      <c r="E48" s="80" t="s">
        <v>637</v>
      </c>
      <c r="F48" s="80" t="s">
        <v>54</v>
      </c>
      <c r="G48" s="80"/>
      <c r="H48" s="80"/>
      <c r="I48" s="80"/>
      <c r="J48" s="80"/>
    </row>
    <row r="49" spans="2:10" ht="16" customHeight="1">
      <c r="B49" s="78" t="s">
        <v>19</v>
      </c>
      <c r="C49" s="78" t="s">
        <v>94</v>
      </c>
      <c r="D49" s="78" t="s">
        <v>623</v>
      </c>
      <c r="E49" s="78" t="s">
        <v>637</v>
      </c>
      <c r="F49" s="78" t="s">
        <v>54</v>
      </c>
      <c r="G49" s="78"/>
      <c r="H49" s="78"/>
      <c r="I49" s="78"/>
      <c r="J49" s="78"/>
    </row>
    <row r="50" spans="2:10" ht="16" customHeight="1">
      <c r="B50" s="80" t="s">
        <v>19</v>
      </c>
      <c r="C50" s="80" t="s">
        <v>94</v>
      </c>
      <c r="D50" s="80" t="s">
        <v>624</v>
      </c>
      <c r="E50" s="80" t="s">
        <v>637</v>
      </c>
      <c r="F50" s="80" t="s">
        <v>54</v>
      </c>
      <c r="G50" s="80"/>
      <c r="H50" s="80"/>
      <c r="I50" s="80"/>
      <c r="J50" s="80"/>
    </row>
    <row r="51" spans="2:10" ht="16" customHeight="1">
      <c r="B51" s="78" t="s">
        <v>19</v>
      </c>
      <c r="C51" s="78" t="s">
        <v>94</v>
      </c>
      <c r="D51" s="78" t="s">
        <v>625</v>
      </c>
      <c r="E51" s="78" t="s">
        <v>637</v>
      </c>
      <c r="F51" s="78" t="s">
        <v>54</v>
      </c>
      <c r="G51" s="78"/>
      <c r="H51" s="78"/>
      <c r="I51" s="78"/>
      <c r="J51" s="78"/>
    </row>
    <row r="52" spans="2:10" ht="16" customHeight="1">
      <c r="B52" s="80" t="s">
        <v>19</v>
      </c>
      <c r="C52" s="80" t="s">
        <v>94</v>
      </c>
      <c r="D52" s="80" t="s">
        <v>626</v>
      </c>
      <c r="E52" s="80" t="s">
        <v>637</v>
      </c>
      <c r="F52" s="80" t="s">
        <v>54</v>
      </c>
      <c r="G52" s="80"/>
      <c r="H52" s="80"/>
      <c r="I52" s="80"/>
      <c r="J52" s="80"/>
    </row>
    <row r="53" spans="2:10" ht="16" customHeight="1">
      <c r="B53" s="78" t="s">
        <v>19</v>
      </c>
      <c r="C53" s="78" t="s">
        <v>94</v>
      </c>
      <c r="D53" s="78" t="s">
        <v>627</v>
      </c>
      <c r="E53" s="78" t="s">
        <v>637</v>
      </c>
      <c r="F53" s="78" t="s">
        <v>54</v>
      </c>
      <c r="G53" s="78"/>
      <c r="H53" s="78"/>
      <c r="I53" s="78"/>
      <c r="J53" s="78"/>
    </row>
    <row r="54" spans="2:10" ht="16" customHeight="1">
      <c r="B54" s="80" t="s">
        <v>19</v>
      </c>
      <c r="C54" s="80" t="s">
        <v>94</v>
      </c>
      <c r="D54" s="80" t="s">
        <v>628</v>
      </c>
      <c r="E54" s="80" t="s">
        <v>637</v>
      </c>
      <c r="F54" s="80" t="s">
        <v>54</v>
      </c>
      <c r="G54" s="80"/>
      <c r="H54" s="80"/>
      <c r="I54" s="80"/>
      <c r="J54" s="80"/>
    </row>
    <row r="55" spans="2:10" ht="16" customHeight="1">
      <c r="B55" s="78" t="s">
        <v>19</v>
      </c>
      <c r="C55" s="78" t="s">
        <v>94</v>
      </c>
      <c r="D55" s="78" t="s">
        <v>629</v>
      </c>
      <c r="E55" s="78" t="s">
        <v>637</v>
      </c>
      <c r="F55" s="78" t="s">
        <v>54</v>
      </c>
      <c r="G55" s="78"/>
      <c r="H55" s="78"/>
      <c r="I55" s="78"/>
      <c r="J55" s="78"/>
    </row>
    <row r="56" spans="2:10" ht="16" customHeight="1">
      <c r="B56" s="80" t="s">
        <v>19</v>
      </c>
      <c r="C56" s="80" t="s">
        <v>94</v>
      </c>
      <c r="D56" s="80" t="s">
        <v>630</v>
      </c>
      <c r="E56" s="80" t="s">
        <v>637</v>
      </c>
      <c r="F56" s="80" t="s">
        <v>54</v>
      </c>
      <c r="G56" s="80"/>
      <c r="H56" s="80"/>
      <c r="I56" s="80"/>
      <c r="J56" s="80"/>
    </row>
    <row r="57" spans="2:10" ht="16" customHeight="1">
      <c r="B57" s="78" t="s">
        <v>19</v>
      </c>
      <c r="C57" s="78" t="s">
        <v>94</v>
      </c>
      <c r="D57" s="78" t="s">
        <v>631</v>
      </c>
      <c r="E57" s="78" t="s">
        <v>637</v>
      </c>
      <c r="F57" s="78" t="s">
        <v>54</v>
      </c>
      <c r="G57" s="78"/>
      <c r="H57" s="78"/>
      <c r="I57" s="78"/>
      <c r="J57" s="78"/>
    </row>
    <row r="58" spans="2:10" ht="16" customHeight="1">
      <c r="B58" s="80" t="s">
        <v>19</v>
      </c>
      <c r="C58" s="80" t="s">
        <v>94</v>
      </c>
      <c r="D58" s="80" t="s">
        <v>632</v>
      </c>
      <c r="E58" s="80" t="s">
        <v>637</v>
      </c>
      <c r="F58" s="80" t="s">
        <v>54</v>
      </c>
      <c r="G58" s="80"/>
      <c r="H58" s="80"/>
      <c r="I58" s="80"/>
      <c r="J58" s="80"/>
    </row>
    <row r="59" spans="2:10" ht="16" customHeight="1">
      <c r="B59" s="78" t="s">
        <v>19</v>
      </c>
      <c r="C59" s="78" t="s">
        <v>94</v>
      </c>
      <c r="D59" s="78" t="s">
        <v>633</v>
      </c>
      <c r="E59" s="78" t="s">
        <v>637</v>
      </c>
      <c r="F59" s="78" t="s">
        <v>54</v>
      </c>
      <c r="G59" s="78"/>
      <c r="H59" s="78"/>
      <c r="I59" s="78"/>
      <c r="J59" s="78"/>
    </row>
    <row r="60" spans="2:10" ht="16" customHeight="1">
      <c r="B60" s="80" t="s">
        <v>19</v>
      </c>
      <c r="C60" s="80" t="s">
        <v>94</v>
      </c>
      <c r="D60" s="80" t="s">
        <v>634</v>
      </c>
      <c r="E60" s="80" t="s">
        <v>637</v>
      </c>
      <c r="F60" s="80" t="s">
        <v>54</v>
      </c>
      <c r="G60" s="80"/>
      <c r="H60" s="80"/>
      <c r="I60" s="80"/>
      <c r="J60" s="80"/>
    </row>
    <row r="61" spans="2:10" ht="16" customHeight="1">
      <c r="B61" s="78" t="s">
        <v>19</v>
      </c>
      <c r="C61" s="78" t="s">
        <v>94</v>
      </c>
      <c r="D61" s="78" t="s">
        <v>635</v>
      </c>
      <c r="E61" s="78" t="s">
        <v>637</v>
      </c>
      <c r="F61" s="78" t="s">
        <v>54</v>
      </c>
      <c r="G61" s="78"/>
      <c r="H61" s="78"/>
      <c r="I61" s="78"/>
      <c r="J61" s="78"/>
    </row>
    <row r="62" spans="2:10" ht="16" customHeight="1">
      <c r="B62" s="80" t="s">
        <v>19</v>
      </c>
      <c r="C62" s="80" t="s">
        <v>94</v>
      </c>
      <c r="D62" s="80" t="s">
        <v>636</v>
      </c>
      <c r="E62" s="80" t="s">
        <v>637</v>
      </c>
      <c r="F62" s="80" t="s">
        <v>54</v>
      </c>
      <c r="G62" s="80"/>
      <c r="H62" s="80"/>
      <c r="I62" s="80"/>
      <c r="J62" s="80"/>
    </row>
    <row r="63" spans="2:10" ht="16" customHeight="1">
      <c r="B63" s="78" t="s">
        <v>19</v>
      </c>
      <c r="C63" s="78" t="s">
        <v>94</v>
      </c>
      <c r="D63" s="78" t="s">
        <v>653</v>
      </c>
      <c r="E63" s="78" t="s">
        <v>517</v>
      </c>
      <c r="F63" s="78" t="s">
        <v>518</v>
      </c>
      <c r="G63" s="78"/>
      <c r="H63" s="78" t="s">
        <v>23</v>
      </c>
      <c r="I63" s="78"/>
      <c r="J63" s="78"/>
    </row>
    <row r="64" spans="2:10" ht="16" customHeight="1">
      <c r="B64" s="80" t="s">
        <v>670</v>
      </c>
      <c r="C64" s="80" t="s">
        <v>94</v>
      </c>
      <c r="D64" s="80" t="s">
        <v>669</v>
      </c>
      <c r="E64" s="80" t="s">
        <v>517</v>
      </c>
      <c r="F64" s="80" t="s">
        <v>671</v>
      </c>
      <c r="G64" s="80"/>
      <c r="H64" s="80" t="s">
        <v>23</v>
      </c>
      <c r="I64" s="80"/>
      <c r="J64" s="80"/>
    </row>
    <row r="65" spans="2:10" ht="16" customHeight="1">
      <c r="B65" s="78" t="s">
        <v>19</v>
      </c>
      <c r="C65" s="78" t="s">
        <v>94</v>
      </c>
      <c r="D65" s="78" t="s">
        <v>519</v>
      </c>
      <c r="E65" s="78" t="s">
        <v>520</v>
      </c>
      <c r="F65" s="78" t="s">
        <v>518</v>
      </c>
      <c r="G65" s="78"/>
      <c r="H65" s="78" t="s">
        <v>23</v>
      </c>
      <c r="I65" s="78"/>
      <c r="J65" s="78"/>
    </row>
    <row r="66" spans="2:10" ht="16" customHeight="1">
      <c r="B66" s="80" t="s">
        <v>19</v>
      </c>
      <c r="C66" s="80" t="s">
        <v>94</v>
      </c>
      <c r="D66" s="80" t="s">
        <v>521</v>
      </c>
      <c r="E66" s="80" t="s">
        <v>522</v>
      </c>
      <c r="F66" s="80" t="s">
        <v>518</v>
      </c>
      <c r="G66" s="80"/>
      <c r="H66" s="80" t="s">
        <v>23</v>
      </c>
      <c r="I66" s="80"/>
      <c r="J66" s="80"/>
    </row>
    <row r="67" spans="2:10" ht="16" customHeight="1">
      <c r="B67" s="78" t="s">
        <v>47</v>
      </c>
      <c r="C67" s="78" t="s">
        <v>94</v>
      </c>
      <c r="D67" s="78" t="s">
        <v>523</v>
      </c>
      <c r="E67" s="78" t="s">
        <v>523</v>
      </c>
      <c r="F67" s="78" t="s">
        <v>50</v>
      </c>
      <c r="G67" s="78"/>
      <c r="H67" s="78" t="s">
        <v>23</v>
      </c>
      <c r="I67" s="78"/>
      <c r="J67" s="78"/>
    </row>
    <row r="68" spans="2:10" ht="16" customHeight="1">
      <c r="B68" s="80" t="s">
        <v>47</v>
      </c>
      <c r="C68" s="80" t="s">
        <v>94</v>
      </c>
      <c r="D68" s="80" t="s">
        <v>524</v>
      </c>
      <c r="E68" s="80" t="s">
        <v>524</v>
      </c>
      <c r="F68" s="80" t="s">
        <v>50</v>
      </c>
      <c r="G68" s="80"/>
      <c r="H68" s="80" t="s">
        <v>23</v>
      </c>
      <c r="I68" s="80"/>
      <c r="J68" s="80"/>
    </row>
    <row r="69" spans="2:10" ht="16" customHeight="1">
      <c r="B69" s="78" t="s">
        <v>47</v>
      </c>
      <c r="C69" s="78" t="s">
        <v>94</v>
      </c>
      <c r="D69" s="78" t="s">
        <v>525</v>
      </c>
      <c r="E69" s="78" t="s">
        <v>525</v>
      </c>
      <c r="F69" s="78" t="s">
        <v>50</v>
      </c>
      <c r="G69" s="78"/>
      <c r="H69" s="78" t="s">
        <v>23</v>
      </c>
      <c r="I69" s="78"/>
      <c r="J69" s="78"/>
    </row>
    <row r="70" spans="2:10" ht="16" customHeight="1">
      <c r="B70" s="80" t="s">
        <v>47</v>
      </c>
      <c r="C70" s="80" t="s">
        <v>94</v>
      </c>
      <c r="D70" s="80" t="s">
        <v>526</v>
      </c>
      <c r="E70" s="80" t="s">
        <v>526</v>
      </c>
      <c r="F70" s="80" t="s">
        <v>50</v>
      </c>
      <c r="G70" s="80"/>
      <c r="H70" s="80" t="s">
        <v>23</v>
      </c>
      <c r="I70" s="80"/>
      <c r="J70" s="80"/>
    </row>
    <row r="71" spans="2:10" ht="16" customHeight="1">
      <c r="B71" s="78" t="s">
        <v>47</v>
      </c>
      <c r="C71" s="78" t="s">
        <v>94</v>
      </c>
      <c r="D71" s="78" t="s">
        <v>527</v>
      </c>
      <c r="E71" s="78" t="s">
        <v>527</v>
      </c>
      <c r="F71" s="78" t="s">
        <v>50</v>
      </c>
      <c r="G71" s="78"/>
      <c r="H71" s="78" t="s">
        <v>23</v>
      </c>
      <c r="I71" s="78"/>
      <c r="J71" s="78"/>
    </row>
    <row r="72" spans="2:10" ht="16" customHeight="1">
      <c r="B72" s="80" t="s">
        <v>47</v>
      </c>
      <c r="C72" s="80" t="s">
        <v>94</v>
      </c>
      <c r="D72" s="80" t="s">
        <v>528</v>
      </c>
      <c r="E72" s="80" t="s">
        <v>528</v>
      </c>
      <c r="F72" s="80" t="s">
        <v>50</v>
      </c>
      <c r="G72" s="80"/>
      <c r="H72" s="80" t="s">
        <v>23</v>
      </c>
      <c r="I72" s="80"/>
      <c r="J72" s="80"/>
    </row>
    <row r="73" spans="2:10" ht="16" customHeight="1">
      <c r="B73" s="78" t="s">
        <v>47</v>
      </c>
      <c r="C73" s="78" t="s">
        <v>94</v>
      </c>
      <c r="D73" s="78" t="s">
        <v>529</v>
      </c>
      <c r="E73" s="78" t="s">
        <v>529</v>
      </c>
      <c r="F73" s="78" t="s">
        <v>50</v>
      </c>
      <c r="G73" s="78"/>
      <c r="H73" s="78" t="s">
        <v>23</v>
      </c>
      <c r="I73" s="78"/>
      <c r="J73" s="78"/>
    </row>
    <row r="74" spans="2:10" ht="16" customHeight="1">
      <c r="B74" s="80" t="s">
        <v>47</v>
      </c>
      <c r="C74" s="80" t="s">
        <v>94</v>
      </c>
      <c r="D74" s="80" t="s">
        <v>530</v>
      </c>
      <c r="E74" s="80" t="s">
        <v>530</v>
      </c>
      <c r="F74" s="80" t="s">
        <v>50</v>
      </c>
      <c r="G74" s="80"/>
      <c r="H74" s="80" t="s">
        <v>23</v>
      </c>
      <c r="I74" s="80"/>
      <c r="J74" s="80"/>
    </row>
    <row r="75" spans="2:10" ht="16" customHeight="1">
      <c r="B75" s="78" t="s">
        <v>47</v>
      </c>
      <c r="C75" s="78" t="s">
        <v>94</v>
      </c>
      <c r="D75" s="78" t="s">
        <v>531</v>
      </c>
      <c r="E75" s="78" t="s">
        <v>531</v>
      </c>
      <c r="F75" s="78" t="s">
        <v>50</v>
      </c>
      <c r="G75" s="78"/>
      <c r="H75" s="78" t="s">
        <v>23</v>
      </c>
      <c r="I75" s="78"/>
      <c r="J75" s="78"/>
    </row>
    <row r="76" spans="2:10" ht="16" customHeight="1" thickBot="1">
      <c r="B76" s="212" t="s">
        <v>47</v>
      </c>
      <c r="C76" s="212" t="s">
        <v>94</v>
      </c>
      <c r="D76" s="212" t="s">
        <v>532</v>
      </c>
      <c r="E76" s="212" t="s">
        <v>532</v>
      </c>
      <c r="F76" s="212" t="s">
        <v>50</v>
      </c>
      <c r="G76" s="212"/>
      <c r="H76" s="212" t="s">
        <v>23</v>
      </c>
      <c r="I76" s="212"/>
      <c r="J76" s="212"/>
    </row>
    <row r="77" spans="2:10" ht="13" thickBot="1">
      <c r="B77" s="212" t="s">
        <v>47</v>
      </c>
      <c r="C77" s="80" t="s">
        <v>94</v>
      </c>
      <c r="D77" s="80" t="s">
        <v>654</v>
      </c>
      <c r="E77" s="80" t="s">
        <v>637</v>
      </c>
      <c r="F77" s="80" t="s">
        <v>54</v>
      </c>
    </row>
    <row r="78" spans="2:10" ht="13" thickBot="1">
      <c r="B78" s="212" t="s">
        <v>47</v>
      </c>
      <c r="C78" s="78" t="s">
        <v>94</v>
      </c>
      <c r="D78" s="78" t="s">
        <v>655</v>
      </c>
      <c r="E78" s="78" t="s">
        <v>637</v>
      </c>
      <c r="F78" s="78" t="s">
        <v>54</v>
      </c>
    </row>
    <row r="79" spans="2:10" ht="13" thickBot="1">
      <c r="B79" s="212" t="s">
        <v>47</v>
      </c>
      <c r="C79" s="80" t="s">
        <v>94</v>
      </c>
      <c r="D79" s="80" t="s">
        <v>656</v>
      </c>
      <c r="E79" s="80" t="s">
        <v>637</v>
      </c>
      <c r="F79" s="80" t="s">
        <v>54</v>
      </c>
    </row>
    <row r="80" spans="2:10" ht="13" thickBot="1">
      <c r="B80" s="212" t="s">
        <v>47</v>
      </c>
      <c r="C80" s="78" t="s">
        <v>94</v>
      </c>
      <c r="D80" s="78" t="s">
        <v>657</v>
      </c>
      <c r="E80" s="78" t="s">
        <v>637</v>
      </c>
      <c r="F80" s="78" t="s">
        <v>54</v>
      </c>
    </row>
    <row r="81" spans="2:6" ht="13" thickBot="1">
      <c r="B81" s="212" t="s">
        <v>47</v>
      </c>
      <c r="C81" s="80" t="s">
        <v>94</v>
      </c>
      <c r="D81" s="80" t="s">
        <v>658</v>
      </c>
      <c r="E81" s="80" t="s">
        <v>637</v>
      </c>
      <c r="F81" s="80" t="s">
        <v>54</v>
      </c>
    </row>
    <row r="82" spans="2:6" ht="13" thickBot="1">
      <c r="B82" s="212" t="s">
        <v>47</v>
      </c>
      <c r="C82" s="78" t="s">
        <v>94</v>
      </c>
      <c r="D82" s="78" t="s">
        <v>659</v>
      </c>
      <c r="E82" s="78" t="s">
        <v>637</v>
      </c>
      <c r="F82" s="78" t="s">
        <v>54</v>
      </c>
    </row>
    <row r="83" spans="2:6" ht="13" thickBot="1">
      <c r="B83" s="212" t="s">
        <v>47</v>
      </c>
      <c r="C83" s="80" t="s">
        <v>94</v>
      </c>
      <c r="D83" s="80" t="s">
        <v>660</v>
      </c>
      <c r="E83" s="80" t="s">
        <v>637</v>
      </c>
      <c r="F83" s="80" t="s">
        <v>54</v>
      </c>
    </row>
    <row r="84" spans="2:6" ht="13" thickBot="1">
      <c r="B84" s="212" t="s">
        <v>47</v>
      </c>
      <c r="C84" s="78" t="s">
        <v>94</v>
      </c>
      <c r="D84" s="78" t="s">
        <v>661</v>
      </c>
      <c r="E84" s="78" t="s">
        <v>637</v>
      </c>
      <c r="F84" s="78" t="s">
        <v>54</v>
      </c>
    </row>
    <row r="85" spans="2:6" ht="13" thickBot="1">
      <c r="B85" s="212" t="s">
        <v>47</v>
      </c>
      <c r="C85" s="80" t="s">
        <v>94</v>
      </c>
      <c r="D85" s="80" t="s">
        <v>662</v>
      </c>
      <c r="E85" s="80" t="s">
        <v>637</v>
      </c>
      <c r="F85" s="80" t="s">
        <v>54</v>
      </c>
    </row>
    <row r="86" spans="2:6" ht="13" thickBot="1">
      <c r="B86" s="212" t="s">
        <v>47</v>
      </c>
      <c r="C86" s="78" t="s">
        <v>94</v>
      </c>
      <c r="D86" s="78" t="s">
        <v>663</v>
      </c>
      <c r="E86" s="78" t="s">
        <v>637</v>
      </c>
      <c r="F86" s="78" t="s">
        <v>54</v>
      </c>
    </row>
    <row r="87" spans="2:6" ht="13" thickBot="1">
      <c r="B87" s="212" t="s">
        <v>47</v>
      </c>
      <c r="C87" s="80" t="s">
        <v>94</v>
      </c>
      <c r="D87" s="80" t="s">
        <v>664</v>
      </c>
      <c r="E87" s="80" t="s">
        <v>637</v>
      </c>
      <c r="F87" s="80" t="s">
        <v>54</v>
      </c>
    </row>
    <row r="88" spans="2:6" ht="13" thickBot="1">
      <c r="B88" s="212" t="s">
        <v>47</v>
      </c>
      <c r="C88" s="78" t="s">
        <v>94</v>
      </c>
      <c r="D88" s="78" t="s">
        <v>665</v>
      </c>
      <c r="E88" s="78" t="s">
        <v>637</v>
      </c>
      <c r="F88" s="78" t="s">
        <v>54</v>
      </c>
    </row>
    <row r="89" spans="2:6" ht="13" thickBot="1">
      <c r="B89" s="212" t="s">
        <v>47</v>
      </c>
      <c r="C89" s="80" t="s">
        <v>94</v>
      </c>
      <c r="D89" s="80" t="s">
        <v>666</v>
      </c>
      <c r="E89" s="80" t="s">
        <v>637</v>
      </c>
      <c r="F89" s="80" t="s">
        <v>54</v>
      </c>
    </row>
    <row r="90" spans="2:6" ht="13" thickBot="1">
      <c r="B90" s="212" t="s">
        <v>47</v>
      </c>
      <c r="C90" s="78" t="s">
        <v>94</v>
      </c>
      <c r="D90" s="78" t="s">
        <v>667</v>
      </c>
      <c r="E90" s="78" t="s">
        <v>637</v>
      </c>
      <c r="F90" s="78" t="s">
        <v>54</v>
      </c>
    </row>
    <row r="91" spans="2:6" ht="13" thickBot="1">
      <c r="B91" s="212" t="s">
        <v>47</v>
      </c>
      <c r="C91" s="80" t="s">
        <v>94</v>
      </c>
      <c r="D91" s="80" t="s">
        <v>668</v>
      </c>
      <c r="E91" s="80" t="s">
        <v>637</v>
      </c>
      <c r="F91" s="80" t="s">
        <v>54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rkusz1"/>
  <dimension ref="B2:N69"/>
  <sheetViews>
    <sheetView topLeftCell="A18" zoomScale="77" workbookViewId="0">
      <selection activeCell="B27" sqref="B27"/>
    </sheetView>
  </sheetViews>
  <sheetFormatPr defaultRowHeight="12.5"/>
  <cols>
    <col min="1" max="1" width="2.81640625" customWidth="1"/>
    <col min="2" max="2" width="20.81640625" customWidth="1"/>
    <col min="3" max="3" width="22.26953125" bestFit="1" customWidth="1"/>
    <col min="4" max="4" width="33.453125" customWidth="1"/>
    <col min="5" max="5" width="45.7265625" customWidth="1"/>
    <col min="6" max="6" width="11" customWidth="1"/>
    <col min="7" max="7" width="16" customWidth="1"/>
    <col min="8" max="8" width="11" customWidth="1"/>
    <col min="9" max="9" width="14.1796875" customWidth="1"/>
    <col min="10" max="10" width="11" customWidth="1"/>
  </cols>
  <sheetData>
    <row r="2" spans="2:14" ht="15.75" customHeight="1">
      <c r="B2" s="47" t="s">
        <v>72</v>
      </c>
      <c r="C2" s="39"/>
      <c r="D2" s="39"/>
    </row>
    <row r="4" spans="2:14" ht="17.5">
      <c r="B4" s="41" t="s">
        <v>73</v>
      </c>
      <c r="C4" s="45"/>
      <c r="D4" s="45"/>
      <c r="E4" s="45"/>
      <c r="F4" s="45"/>
      <c r="G4" s="45"/>
      <c r="H4" s="45"/>
      <c r="I4" s="45"/>
      <c r="J4" s="45"/>
    </row>
    <row r="5" spans="2:14" ht="13">
      <c r="B5" s="44"/>
      <c r="C5" s="44"/>
      <c r="D5" s="45"/>
      <c r="E5" s="45"/>
      <c r="F5" s="45"/>
      <c r="G5" s="45"/>
      <c r="H5" s="45"/>
      <c r="I5" s="45"/>
      <c r="J5" s="45"/>
    </row>
    <row r="6" spans="2:14" ht="15.75" customHeight="1">
      <c r="B6" s="44" t="s">
        <v>74</v>
      </c>
      <c r="C6" s="44"/>
      <c r="D6" s="45"/>
      <c r="E6" s="45"/>
      <c r="F6" s="45"/>
      <c r="G6" s="45"/>
      <c r="H6" s="45"/>
      <c r="I6" s="45"/>
      <c r="J6" s="45"/>
    </row>
    <row r="7" spans="2:14" ht="15.75" customHeight="1">
      <c r="B7" s="48" t="s">
        <v>75</v>
      </c>
      <c r="C7" s="48" t="s">
        <v>76</v>
      </c>
      <c r="D7" s="48" t="s">
        <v>77</v>
      </c>
      <c r="E7" s="48" t="s">
        <v>78</v>
      </c>
      <c r="F7" s="48" t="s">
        <v>79</v>
      </c>
      <c r="G7" s="48" t="s">
        <v>80</v>
      </c>
      <c r="H7" s="48" t="s">
        <v>81</v>
      </c>
      <c r="I7" s="48" t="s">
        <v>82</v>
      </c>
      <c r="J7" s="48" t="s">
        <v>83</v>
      </c>
    </row>
    <row r="8" spans="2:14" ht="38" thickBot="1">
      <c r="B8" s="49" t="s">
        <v>84</v>
      </c>
      <c r="C8" s="49" t="s">
        <v>85</v>
      </c>
      <c r="D8" s="49" t="s">
        <v>86</v>
      </c>
      <c r="E8" s="49" t="s">
        <v>87</v>
      </c>
      <c r="F8" s="49" t="s">
        <v>88</v>
      </c>
      <c r="G8" s="49" t="s">
        <v>89</v>
      </c>
      <c r="H8" s="49" t="s">
        <v>90</v>
      </c>
      <c r="I8" s="52" t="s">
        <v>91</v>
      </c>
      <c r="J8" s="52" t="s">
        <v>92</v>
      </c>
    </row>
    <row r="9" spans="2:14" ht="15.75" customHeight="1">
      <c r="B9" s="75" t="s">
        <v>93</v>
      </c>
      <c r="C9" s="76" t="s">
        <v>94</v>
      </c>
      <c r="D9" s="75" t="s">
        <v>95</v>
      </c>
      <c r="E9" s="75" t="s">
        <v>96</v>
      </c>
      <c r="F9" s="75" t="s">
        <v>22</v>
      </c>
      <c r="G9" s="75" t="s">
        <v>97</v>
      </c>
      <c r="H9" s="75"/>
      <c r="I9" s="75"/>
      <c r="J9" s="75"/>
      <c r="N9" s="38"/>
    </row>
    <row r="10" spans="2:14" ht="15.75" customHeight="1">
      <c r="B10" s="77" t="s">
        <v>93</v>
      </c>
      <c r="C10" s="78" t="s">
        <v>94</v>
      </c>
      <c r="D10" s="77" t="s">
        <v>98</v>
      </c>
      <c r="E10" s="77" t="s">
        <v>99</v>
      </c>
      <c r="F10" s="77" t="s">
        <v>22</v>
      </c>
      <c r="G10" s="77" t="s">
        <v>97</v>
      </c>
      <c r="H10" s="77"/>
      <c r="I10" s="77"/>
      <c r="J10" s="77"/>
      <c r="N10" s="38"/>
    </row>
    <row r="11" spans="2:14" ht="15.75" customHeight="1">
      <c r="B11" s="79" t="s">
        <v>93</v>
      </c>
      <c r="C11" s="80" t="s">
        <v>94</v>
      </c>
      <c r="D11" s="79" t="s">
        <v>100</v>
      </c>
      <c r="E11" s="79" t="s">
        <v>101</v>
      </c>
      <c r="F11" s="79" t="s">
        <v>22</v>
      </c>
      <c r="G11" s="79" t="s">
        <v>97</v>
      </c>
      <c r="H11" s="79"/>
      <c r="I11" s="79"/>
      <c r="J11" s="79"/>
      <c r="N11" s="38"/>
    </row>
    <row r="12" spans="2:14" ht="15.75" customHeight="1">
      <c r="B12" s="77" t="s">
        <v>93</v>
      </c>
      <c r="C12" s="78" t="s">
        <v>94</v>
      </c>
      <c r="D12" s="78" t="s">
        <v>102</v>
      </c>
      <c r="E12" s="82" t="s">
        <v>103</v>
      </c>
      <c r="F12" s="77" t="s">
        <v>22</v>
      </c>
      <c r="G12" s="77" t="s">
        <v>97</v>
      </c>
      <c r="H12" s="77"/>
      <c r="I12" s="78"/>
      <c r="J12" s="78"/>
      <c r="N12" s="38"/>
    </row>
    <row r="13" spans="2:14" ht="15.75" customHeight="1">
      <c r="B13" s="79" t="s">
        <v>93</v>
      </c>
      <c r="C13" s="80" t="s">
        <v>94</v>
      </c>
      <c r="D13" s="80" t="s">
        <v>104</v>
      </c>
      <c r="E13" s="80" t="s">
        <v>105</v>
      </c>
      <c r="F13" s="79" t="s">
        <v>22</v>
      </c>
      <c r="G13" s="79" t="s">
        <v>97</v>
      </c>
      <c r="H13" s="79"/>
      <c r="I13" s="80"/>
      <c r="J13" s="80"/>
      <c r="N13" s="38"/>
    </row>
    <row r="14" spans="2:14" ht="15.75" customHeight="1">
      <c r="B14" s="77" t="s">
        <v>93</v>
      </c>
      <c r="C14" s="78" t="s">
        <v>94</v>
      </c>
      <c r="D14" s="78" t="s">
        <v>106</v>
      </c>
      <c r="E14" s="78" t="s">
        <v>107</v>
      </c>
      <c r="F14" s="77" t="s">
        <v>22</v>
      </c>
      <c r="G14" s="77" t="s">
        <v>97</v>
      </c>
      <c r="H14" s="77"/>
      <c r="I14" s="78"/>
      <c r="J14" s="78"/>
      <c r="N14" s="38"/>
    </row>
    <row r="15" spans="2:14" ht="15.75" customHeight="1">
      <c r="B15" s="79" t="s">
        <v>93</v>
      </c>
      <c r="C15" s="80" t="s">
        <v>94</v>
      </c>
      <c r="D15" s="80" t="s">
        <v>108</v>
      </c>
      <c r="E15" s="80" t="s">
        <v>109</v>
      </c>
      <c r="F15" s="79" t="s">
        <v>22</v>
      </c>
      <c r="G15" s="79" t="s">
        <v>97</v>
      </c>
      <c r="H15" s="79"/>
      <c r="I15" s="80"/>
      <c r="J15" s="80"/>
      <c r="N15" s="38"/>
    </row>
    <row r="16" spans="2:14" ht="15.75" customHeight="1">
      <c r="B16" s="77" t="s">
        <v>646</v>
      </c>
      <c r="C16" s="78" t="s">
        <v>94</v>
      </c>
      <c r="D16" s="78" t="s">
        <v>110</v>
      </c>
      <c r="E16" s="78" t="s">
        <v>111</v>
      </c>
      <c r="F16" s="77" t="s">
        <v>22</v>
      </c>
      <c r="G16" s="77" t="s">
        <v>97</v>
      </c>
      <c r="H16" s="77"/>
      <c r="I16" s="78"/>
      <c r="J16" s="78"/>
      <c r="N16" s="38"/>
    </row>
    <row r="17" spans="2:14" ht="15.75" customHeight="1">
      <c r="B17" s="79" t="s">
        <v>93</v>
      </c>
      <c r="C17" s="80" t="s">
        <v>94</v>
      </c>
      <c r="D17" s="80" t="s">
        <v>112</v>
      </c>
      <c r="E17" s="80" t="s">
        <v>113</v>
      </c>
      <c r="F17" s="79" t="s">
        <v>22</v>
      </c>
      <c r="G17" s="79" t="s">
        <v>97</v>
      </c>
      <c r="H17" s="79"/>
      <c r="I17" s="80"/>
      <c r="J17" s="80"/>
      <c r="N17" s="38"/>
    </row>
    <row r="18" spans="2:14" ht="15.75" customHeight="1">
      <c r="B18" s="77" t="s">
        <v>93</v>
      </c>
      <c r="C18" s="78" t="s">
        <v>94</v>
      </c>
      <c r="D18" s="78" t="s">
        <v>114</v>
      </c>
      <c r="E18" s="78" t="s">
        <v>115</v>
      </c>
      <c r="F18" s="77" t="s">
        <v>22</v>
      </c>
      <c r="G18" s="77" t="s">
        <v>97</v>
      </c>
      <c r="H18" s="77"/>
      <c r="I18" s="78"/>
      <c r="J18" s="78"/>
      <c r="N18" s="38"/>
    </row>
    <row r="19" spans="2:14" ht="15.75" customHeight="1">
      <c r="B19" s="79" t="s">
        <v>93</v>
      </c>
      <c r="C19" s="80" t="s">
        <v>94</v>
      </c>
      <c r="D19" s="80" t="s">
        <v>116</v>
      </c>
      <c r="E19" s="80" t="s">
        <v>117</v>
      </c>
      <c r="F19" s="79" t="s">
        <v>22</v>
      </c>
      <c r="G19" s="79" t="s">
        <v>97</v>
      </c>
      <c r="H19" s="79" t="s">
        <v>68</v>
      </c>
      <c r="I19" s="80"/>
      <c r="J19" s="80"/>
      <c r="N19" s="38"/>
    </row>
    <row r="20" spans="2:14" ht="15.75" customHeight="1">
      <c r="B20" s="77" t="s">
        <v>93</v>
      </c>
      <c r="C20" s="78" t="s">
        <v>94</v>
      </c>
      <c r="D20" s="78" t="s">
        <v>118</v>
      </c>
      <c r="E20" s="78" t="s">
        <v>119</v>
      </c>
      <c r="F20" s="77" t="s">
        <v>22</v>
      </c>
      <c r="G20" s="77" t="s">
        <v>97</v>
      </c>
      <c r="H20" s="77" t="s">
        <v>68</v>
      </c>
      <c r="I20" s="78"/>
      <c r="J20" s="78"/>
      <c r="N20" s="38"/>
    </row>
    <row r="21" spans="2:14" ht="15.75" customHeight="1">
      <c r="B21" s="79" t="s">
        <v>93</v>
      </c>
      <c r="C21" s="80" t="s">
        <v>94</v>
      </c>
      <c r="D21" s="80" t="s">
        <v>120</v>
      </c>
      <c r="E21" s="80" t="s">
        <v>121</v>
      </c>
      <c r="F21" s="79" t="s">
        <v>22</v>
      </c>
      <c r="G21" s="79" t="s">
        <v>97</v>
      </c>
      <c r="H21" s="79"/>
      <c r="I21" s="80"/>
      <c r="J21" s="80"/>
      <c r="N21" s="38"/>
    </row>
    <row r="22" spans="2:14">
      <c r="B22" s="164" t="s">
        <v>123</v>
      </c>
      <c r="C22" s="175" t="s">
        <v>94</v>
      </c>
      <c r="D22" s="174" t="s">
        <v>124</v>
      </c>
      <c r="E22" s="174" t="s">
        <v>453</v>
      </c>
      <c r="F22" s="164" t="s">
        <v>22</v>
      </c>
      <c r="G22" s="164" t="s">
        <v>125</v>
      </c>
      <c r="H22" s="164" t="s">
        <v>68</v>
      </c>
      <c r="I22" s="164"/>
      <c r="J22" s="164" t="s">
        <v>126</v>
      </c>
    </row>
    <row r="23" spans="2:14">
      <c r="B23" s="176" t="s">
        <v>93</v>
      </c>
      <c r="C23" s="176" t="s">
        <v>94</v>
      </c>
      <c r="D23" s="176" t="s">
        <v>127</v>
      </c>
      <c r="E23" s="176" t="s">
        <v>128</v>
      </c>
      <c r="F23" s="176" t="s">
        <v>22</v>
      </c>
      <c r="G23" s="176" t="s">
        <v>129</v>
      </c>
      <c r="H23" s="176" t="s">
        <v>68</v>
      </c>
      <c r="I23" s="168"/>
      <c r="J23" s="168"/>
    </row>
    <row r="24" spans="2:14">
      <c r="B24" s="178" t="s">
        <v>93</v>
      </c>
      <c r="C24" s="178" t="s">
        <v>94</v>
      </c>
      <c r="D24" s="178" t="s">
        <v>130</v>
      </c>
      <c r="E24" s="178" t="s">
        <v>131</v>
      </c>
      <c r="F24" s="178" t="s">
        <v>22</v>
      </c>
      <c r="G24" s="178" t="s">
        <v>129</v>
      </c>
      <c r="H24" s="178" t="s">
        <v>68</v>
      </c>
      <c r="I24" s="179"/>
      <c r="J24" s="179"/>
    </row>
    <row r="25" spans="2:14">
      <c r="B25" s="228" t="s">
        <v>533</v>
      </c>
      <c r="C25" s="229"/>
      <c r="D25" s="229"/>
      <c r="E25" s="229"/>
      <c r="F25" s="229"/>
      <c r="G25" s="229"/>
      <c r="H25" s="229"/>
      <c r="I25" s="229"/>
      <c r="J25" s="229"/>
    </row>
    <row r="26" spans="2:14" ht="18.75" customHeight="1">
      <c r="B26" s="237" t="s">
        <v>122</v>
      </c>
      <c r="C26" s="237" t="s">
        <v>94</v>
      </c>
      <c r="D26" s="237" t="s">
        <v>619</v>
      </c>
      <c r="E26" s="237" t="s">
        <v>620</v>
      </c>
      <c r="F26" s="237" t="s">
        <v>22</v>
      </c>
      <c r="G26" s="237" t="s">
        <v>621</v>
      </c>
      <c r="H26" s="237" t="s">
        <v>23</v>
      </c>
      <c r="I26" s="237"/>
      <c r="J26" s="237"/>
    </row>
    <row r="27" spans="2:14" ht="18.75" customHeight="1">
      <c r="B27" s="78" t="s">
        <v>93</v>
      </c>
      <c r="C27" s="78" t="s">
        <v>94</v>
      </c>
      <c r="D27" s="78" t="s">
        <v>638</v>
      </c>
      <c r="E27" s="78" t="s">
        <v>644</v>
      </c>
      <c r="F27" s="78" t="s">
        <v>22</v>
      </c>
      <c r="G27" s="78" t="s">
        <v>97</v>
      </c>
      <c r="H27" s="78" t="s">
        <v>23</v>
      </c>
      <c r="I27" s="78"/>
      <c r="J27" s="78"/>
    </row>
    <row r="28" spans="2:14" ht="18.75" customHeight="1">
      <c r="B28" s="80" t="s">
        <v>534</v>
      </c>
      <c r="C28" s="80" t="s">
        <v>94</v>
      </c>
      <c r="D28" s="80" t="s">
        <v>535</v>
      </c>
      <c r="E28" s="80" t="s">
        <v>536</v>
      </c>
      <c r="F28" s="80" t="s">
        <v>518</v>
      </c>
      <c r="G28" s="80" t="s">
        <v>518</v>
      </c>
      <c r="H28" s="80" t="s">
        <v>23</v>
      </c>
      <c r="I28" s="80"/>
      <c r="J28" s="80"/>
    </row>
    <row r="29" spans="2:14" ht="18.75" customHeight="1">
      <c r="B29" s="78" t="s">
        <v>534</v>
      </c>
      <c r="C29" s="78" t="s">
        <v>94</v>
      </c>
      <c r="D29" s="78" t="s">
        <v>587</v>
      </c>
      <c r="E29" s="78" t="s">
        <v>588</v>
      </c>
      <c r="F29" s="78" t="s">
        <v>54</v>
      </c>
      <c r="G29" s="78" t="s">
        <v>54</v>
      </c>
      <c r="H29" s="78" t="s">
        <v>23</v>
      </c>
      <c r="I29" s="78"/>
      <c r="J29" s="78"/>
    </row>
    <row r="30" spans="2:14" ht="18.75" customHeight="1">
      <c r="B30" s="80" t="s">
        <v>534</v>
      </c>
      <c r="C30" s="80" t="s">
        <v>94</v>
      </c>
      <c r="D30" s="80" t="s">
        <v>537</v>
      </c>
      <c r="E30" s="80" t="s">
        <v>538</v>
      </c>
      <c r="F30" s="80" t="s">
        <v>518</v>
      </c>
      <c r="G30" s="80" t="s">
        <v>518</v>
      </c>
      <c r="H30" s="80" t="s">
        <v>23</v>
      </c>
      <c r="I30" s="80"/>
      <c r="J30" s="80"/>
    </row>
    <row r="31" spans="2:14" ht="18.75" customHeight="1">
      <c r="B31" s="78" t="s">
        <v>122</v>
      </c>
      <c r="C31" s="78" t="s">
        <v>94</v>
      </c>
      <c r="D31" s="78" t="s">
        <v>539</v>
      </c>
      <c r="E31" s="78" t="s">
        <v>540</v>
      </c>
      <c r="F31" s="78" t="s">
        <v>50</v>
      </c>
      <c r="G31" s="78" t="s">
        <v>541</v>
      </c>
      <c r="H31" s="78" t="s">
        <v>23</v>
      </c>
      <c r="I31" s="78"/>
      <c r="J31" s="78"/>
    </row>
    <row r="32" spans="2:14" ht="18.75" customHeight="1">
      <c r="B32" s="78" t="s">
        <v>122</v>
      </c>
      <c r="C32" s="80" t="s">
        <v>94</v>
      </c>
      <c r="D32" s="80" t="s">
        <v>542</v>
      </c>
      <c r="E32" s="80" t="s">
        <v>543</v>
      </c>
      <c r="F32" s="80" t="s">
        <v>50</v>
      </c>
      <c r="G32" s="80" t="s">
        <v>541</v>
      </c>
      <c r="H32" s="80" t="s">
        <v>23</v>
      </c>
      <c r="I32" s="80"/>
      <c r="J32" s="80"/>
    </row>
    <row r="33" spans="2:10" ht="18.75" customHeight="1">
      <c r="B33" s="78" t="s">
        <v>122</v>
      </c>
      <c r="C33" s="78" t="s">
        <v>94</v>
      </c>
      <c r="D33" s="78" t="s">
        <v>544</v>
      </c>
      <c r="E33" s="78" t="s">
        <v>545</v>
      </c>
      <c r="F33" s="78" t="s">
        <v>50</v>
      </c>
      <c r="G33" s="78" t="s">
        <v>541</v>
      </c>
      <c r="H33" s="78" t="s">
        <v>23</v>
      </c>
      <c r="I33" s="78"/>
      <c r="J33" s="78"/>
    </row>
    <row r="34" spans="2:10" ht="18.75" customHeight="1">
      <c r="B34" s="78" t="s">
        <v>122</v>
      </c>
      <c r="C34" s="80" t="s">
        <v>94</v>
      </c>
      <c r="D34" s="80" t="s">
        <v>546</v>
      </c>
      <c r="E34" s="80" t="s">
        <v>547</v>
      </c>
      <c r="F34" s="80" t="s">
        <v>50</v>
      </c>
      <c r="G34" s="80" t="s">
        <v>541</v>
      </c>
      <c r="H34" s="80" t="s">
        <v>23</v>
      </c>
      <c r="I34" s="80"/>
      <c r="J34" s="80"/>
    </row>
    <row r="35" spans="2:10" ht="18.75" customHeight="1">
      <c r="B35" s="78" t="s">
        <v>122</v>
      </c>
      <c r="C35" s="78" t="s">
        <v>94</v>
      </c>
      <c r="D35" s="78" t="s">
        <v>548</v>
      </c>
      <c r="E35" s="78" t="s">
        <v>549</v>
      </c>
      <c r="F35" s="78" t="s">
        <v>50</v>
      </c>
      <c r="G35" s="78" t="s">
        <v>541</v>
      </c>
      <c r="H35" s="78" t="s">
        <v>23</v>
      </c>
      <c r="I35" s="78"/>
      <c r="J35" s="78"/>
    </row>
    <row r="36" spans="2:10" ht="18.75" customHeight="1">
      <c r="B36" s="78" t="s">
        <v>122</v>
      </c>
      <c r="C36" s="80" t="s">
        <v>94</v>
      </c>
      <c r="D36" s="80" t="s">
        <v>550</v>
      </c>
      <c r="E36" s="80" t="s">
        <v>551</v>
      </c>
      <c r="F36" s="80" t="s">
        <v>50</v>
      </c>
      <c r="G36" s="80" t="s">
        <v>541</v>
      </c>
      <c r="H36" s="80" t="s">
        <v>23</v>
      </c>
      <c r="I36" s="80"/>
      <c r="J36" s="80"/>
    </row>
    <row r="37" spans="2:10" ht="18.75" customHeight="1">
      <c r="B37" s="78" t="s">
        <v>122</v>
      </c>
      <c r="C37" s="78" t="s">
        <v>94</v>
      </c>
      <c r="D37" s="78" t="s">
        <v>552</v>
      </c>
      <c r="E37" s="78" t="s">
        <v>553</v>
      </c>
      <c r="F37" s="78" t="s">
        <v>50</v>
      </c>
      <c r="G37" s="78" t="s">
        <v>541</v>
      </c>
      <c r="H37" s="78" t="s">
        <v>23</v>
      </c>
      <c r="I37" s="78"/>
      <c r="J37" s="78"/>
    </row>
    <row r="38" spans="2:10" ht="18.75" customHeight="1">
      <c r="B38" s="78" t="s">
        <v>122</v>
      </c>
      <c r="C38" s="80" t="s">
        <v>94</v>
      </c>
      <c r="D38" s="80" t="s">
        <v>554</v>
      </c>
      <c r="E38" s="80" t="s">
        <v>555</v>
      </c>
      <c r="F38" s="80" t="s">
        <v>50</v>
      </c>
      <c r="G38" s="80" t="s">
        <v>541</v>
      </c>
      <c r="H38" s="80" t="s">
        <v>23</v>
      </c>
      <c r="I38" s="80"/>
      <c r="J38" s="80"/>
    </row>
    <row r="39" spans="2:10" ht="18.75" customHeight="1">
      <c r="B39" s="78" t="s">
        <v>122</v>
      </c>
      <c r="C39" s="78" t="s">
        <v>94</v>
      </c>
      <c r="D39" s="78" t="s">
        <v>556</v>
      </c>
      <c r="E39" s="78" t="s">
        <v>557</v>
      </c>
      <c r="F39" s="78" t="s">
        <v>50</v>
      </c>
      <c r="G39" s="78" t="s">
        <v>541</v>
      </c>
      <c r="H39" s="78" t="s">
        <v>23</v>
      </c>
      <c r="I39" s="78"/>
      <c r="J39" s="78"/>
    </row>
    <row r="40" spans="2:10" ht="18.75" customHeight="1">
      <c r="B40" s="78" t="s">
        <v>122</v>
      </c>
      <c r="C40" s="80" t="s">
        <v>94</v>
      </c>
      <c r="D40" s="80" t="s">
        <v>558</v>
      </c>
      <c r="E40" s="80" t="s">
        <v>558</v>
      </c>
      <c r="F40" s="80" t="s">
        <v>50</v>
      </c>
      <c r="G40" s="80" t="s">
        <v>541</v>
      </c>
      <c r="H40" s="80" t="s">
        <v>23</v>
      </c>
      <c r="I40" s="80"/>
      <c r="J40" s="80"/>
    </row>
    <row r="41" spans="2:10" ht="18.75" customHeight="1">
      <c r="B41" s="78" t="s">
        <v>93</v>
      </c>
      <c r="C41" s="78" t="s">
        <v>94</v>
      </c>
      <c r="D41" s="78" t="s">
        <v>559</v>
      </c>
      <c r="E41" s="78" t="s">
        <v>559</v>
      </c>
      <c r="F41" s="78" t="s">
        <v>54</v>
      </c>
      <c r="G41" s="78" t="s">
        <v>54</v>
      </c>
      <c r="H41" s="78" t="s">
        <v>23</v>
      </c>
      <c r="I41" s="78"/>
      <c r="J41" s="78"/>
    </row>
    <row r="42" spans="2:10" ht="18.75" customHeight="1">
      <c r="B42" s="80" t="s">
        <v>93</v>
      </c>
      <c r="C42" s="80" t="s">
        <v>94</v>
      </c>
      <c r="D42" s="80" t="s">
        <v>560</v>
      </c>
      <c r="E42" s="80" t="s">
        <v>560</v>
      </c>
      <c r="F42" s="80" t="s">
        <v>54</v>
      </c>
      <c r="G42" s="80" t="s">
        <v>54</v>
      </c>
      <c r="H42" s="80" t="s">
        <v>23</v>
      </c>
      <c r="I42" s="80"/>
      <c r="J42" s="80"/>
    </row>
    <row r="43" spans="2:10" ht="18.75" customHeight="1">
      <c r="B43" s="78" t="s">
        <v>93</v>
      </c>
      <c r="C43" s="78" t="s">
        <v>94</v>
      </c>
      <c r="D43" s="78" t="s">
        <v>561</v>
      </c>
      <c r="E43" s="78" t="s">
        <v>561</v>
      </c>
      <c r="F43" s="78" t="s">
        <v>54</v>
      </c>
      <c r="G43" s="78" t="s">
        <v>54</v>
      </c>
      <c r="H43" s="78" t="s">
        <v>23</v>
      </c>
      <c r="I43" s="78"/>
      <c r="J43" s="78"/>
    </row>
    <row r="44" spans="2:10" ht="18.75" customHeight="1">
      <c r="B44" s="80" t="s">
        <v>93</v>
      </c>
      <c r="C44" s="80" t="s">
        <v>94</v>
      </c>
      <c r="D44" s="80" t="s">
        <v>562</v>
      </c>
      <c r="E44" s="80" t="s">
        <v>562</v>
      </c>
      <c r="F44" s="80" t="s">
        <v>54</v>
      </c>
      <c r="G44" s="80" t="s">
        <v>54</v>
      </c>
      <c r="H44" s="80" t="s">
        <v>23</v>
      </c>
      <c r="I44" s="80"/>
      <c r="J44" s="80"/>
    </row>
    <row r="45" spans="2:10" ht="18.75" customHeight="1">
      <c r="B45" s="78" t="s">
        <v>93</v>
      </c>
      <c r="C45" s="78" t="s">
        <v>94</v>
      </c>
      <c r="D45" s="78" t="s">
        <v>563</v>
      </c>
      <c r="E45" s="78" t="s">
        <v>563</v>
      </c>
      <c r="F45" s="78" t="s">
        <v>54</v>
      </c>
      <c r="G45" s="78" t="s">
        <v>54</v>
      </c>
      <c r="H45" s="78" t="s">
        <v>23</v>
      </c>
      <c r="I45" s="78"/>
      <c r="J45" s="78"/>
    </row>
    <row r="46" spans="2:10" ht="18.75" customHeight="1">
      <c r="B46" s="80" t="s">
        <v>93</v>
      </c>
      <c r="C46" s="80" t="s">
        <v>94</v>
      </c>
      <c r="D46" s="80" t="s">
        <v>564</v>
      </c>
      <c r="E46" s="80" t="s">
        <v>564</v>
      </c>
      <c r="F46" s="80" t="s">
        <v>54</v>
      </c>
      <c r="G46" s="80" t="s">
        <v>54</v>
      </c>
      <c r="H46" s="80" t="s">
        <v>23</v>
      </c>
      <c r="I46" s="80"/>
      <c r="J46" s="80"/>
    </row>
    <row r="47" spans="2:10" ht="18.75" customHeight="1">
      <c r="B47" s="78" t="s">
        <v>93</v>
      </c>
      <c r="C47" s="78" t="s">
        <v>94</v>
      </c>
      <c r="D47" s="78" t="s">
        <v>565</v>
      </c>
      <c r="E47" s="78" t="s">
        <v>565</v>
      </c>
      <c r="F47" s="78" t="s">
        <v>54</v>
      </c>
      <c r="G47" s="78" t="s">
        <v>54</v>
      </c>
      <c r="H47" s="78" t="s">
        <v>23</v>
      </c>
      <c r="I47" s="78"/>
      <c r="J47" s="78"/>
    </row>
    <row r="48" spans="2:10" ht="18.75" customHeight="1">
      <c r="B48" s="80" t="s">
        <v>93</v>
      </c>
      <c r="C48" s="80" t="s">
        <v>94</v>
      </c>
      <c r="D48" s="80" t="s">
        <v>566</v>
      </c>
      <c r="E48" s="80" t="s">
        <v>566</v>
      </c>
      <c r="F48" s="80" t="s">
        <v>54</v>
      </c>
      <c r="G48" s="80" t="s">
        <v>54</v>
      </c>
      <c r="H48" s="80" t="s">
        <v>23</v>
      </c>
      <c r="I48" s="80"/>
      <c r="J48" s="80"/>
    </row>
    <row r="49" spans="2:10" ht="18.75" customHeight="1">
      <c r="B49" s="78" t="s">
        <v>93</v>
      </c>
      <c r="C49" s="78" t="s">
        <v>94</v>
      </c>
      <c r="D49" s="78" t="s">
        <v>567</v>
      </c>
      <c r="E49" s="78" t="s">
        <v>567</v>
      </c>
      <c r="F49" s="78" t="s">
        <v>54</v>
      </c>
      <c r="G49" s="78" t="s">
        <v>54</v>
      </c>
      <c r="H49" s="78" t="s">
        <v>23</v>
      </c>
      <c r="I49" s="78"/>
      <c r="J49" s="78"/>
    </row>
    <row r="50" spans="2:10" ht="18.75" customHeight="1">
      <c r="B50" s="80" t="s">
        <v>93</v>
      </c>
      <c r="C50" s="80" t="s">
        <v>94</v>
      </c>
      <c r="D50" s="80" t="s">
        <v>568</v>
      </c>
      <c r="E50" s="80" t="s">
        <v>568</v>
      </c>
      <c r="F50" s="80" t="s">
        <v>54</v>
      </c>
      <c r="G50" s="80" t="s">
        <v>54</v>
      </c>
      <c r="H50" s="80" t="s">
        <v>23</v>
      </c>
      <c r="I50" s="80"/>
      <c r="J50" s="80"/>
    </row>
    <row r="51" spans="2:10" ht="18.75" customHeight="1">
      <c r="B51" s="78" t="s">
        <v>93</v>
      </c>
      <c r="C51" s="78" t="s">
        <v>94</v>
      </c>
      <c r="D51" s="78" t="s">
        <v>569</v>
      </c>
      <c r="E51" s="78" t="s">
        <v>569</v>
      </c>
      <c r="F51" s="78" t="s">
        <v>54</v>
      </c>
      <c r="G51" s="78" t="s">
        <v>54</v>
      </c>
      <c r="H51" s="78" t="s">
        <v>23</v>
      </c>
      <c r="I51" s="78"/>
      <c r="J51" s="78"/>
    </row>
    <row r="52" spans="2:10" ht="18.75" customHeight="1">
      <c r="B52" s="80" t="s">
        <v>93</v>
      </c>
      <c r="C52" s="80" t="s">
        <v>94</v>
      </c>
      <c r="D52" s="80" t="s">
        <v>570</v>
      </c>
      <c r="E52" s="80" t="s">
        <v>570</v>
      </c>
      <c r="F52" s="80" t="s">
        <v>54</v>
      </c>
      <c r="G52" s="80" t="s">
        <v>54</v>
      </c>
      <c r="H52" s="80" t="s">
        <v>23</v>
      </c>
      <c r="I52" s="80"/>
      <c r="J52" s="80"/>
    </row>
    <row r="53" spans="2:10" ht="18.75" customHeight="1">
      <c r="B53" s="78" t="s">
        <v>93</v>
      </c>
      <c r="C53" s="78" t="s">
        <v>94</v>
      </c>
      <c r="D53" s="78" t="s">
        <v>571</v>
      </c>
      <c r="E53" s="78" t="s">
        <v>571</v>
      </c>
      <c r="F53" s="78" t="s">
        <v>54</v>
      </c>
      <c r="G53" s="78" t="s">
        <v>54</v>
      </c>
      <c r="H53" s="78" t="s">
        <v>23</v>
      </c>
      <c r="I53" s="78"/>
      <c r="J53" s="78"/>
    </row>
    <row r="54" spans="2:10" ht="18.75" customHeight="1">
      <c r="B54" s="80" t="s">
        <v>122</v>
      </c>
      <c r="C54" s="80" t="s">
        <v>94</v>
      </c>
      <c r="D54" s="80" t="s">
        <v>572</v>
      </c>
      <c r="E54" s="80" t="s">
        <v>572</v>
      </c>
      <c r="F54" s="80" t="s">
        <v>54</v>
      </c>
      <c r="G54" s="80" t="s">
        <v>54</v>
      </c>
      <c r="H54" s="80" t="s">
        <v>23</v>
      </c>
      <c r="I54" s="80"/>
      <c r="J54" s="80"/>
    </row>
    <row r="55" spans="2:10" ht="18.75" customHeight="1">
      <c r="B55" s="80" t="s">
        <v>122</v>
      </c>
      <c r="C55" s="78" t="s">
        <v>94</v>
      </c>
      <c r="D55" s="78" t="s">
        <v>573</v>
      </c>
      <c r="E55" s="78" t="s">
        <v>573</v>
      </c>
      <c r="F55" s="78" t="s">
        <v>54</v>
      </c>
      <c r="G55" s="78" t="s">
        <v>54</v>
      </c>
      <c r="H55" s="78" t="s">
        <v>23</v>
      </c>
      <c r="I55" s="78"/>
      <c r="J55" s="78"/>
    </row>
    <row r="56" spans="2:10" ht="18.75" customHeight="1">
      <c r="B56" s="80" t="s">
        <v>122</v>
      </c>
      <c r="C56" s="80" t="s">
        <v>94</v>
      </c>
      <c r="D56" s="80" t="s">
        <v>574</v>
      </c>
      <c r="E56" s="80" t="s">
        <v>574</v>
      </c>
      <c r="F56" s="80" t="s">
        <v>54</v>
      </c>
      <c r="G56" s="80" t="s">
        <v>54</v>
      </c>
      <c r="H56" s="80" t="s">
        <v>23</v>
      </c>
      <c r="I56" s="80"/>
      <c r="J56" s="80"/>
    </row>
    <row r="57" spans="2:10" ht="18.75" customHeight="1">
      <c r="B57" s="80" t="s">
        <v>122</v>
      </c>
      <c r="C57" s="78" t="s">
        <v>94</v>
      </c>
      <c r="D57" s="78" t="s">
        <v>575</v>
      </c>
      <c r="E57" s="78" t="s">
        <v>575</v>
      </c>
      <c r="F57" s="78" t="s">
        <v>54</v>
      </c>
      <c r="G57" s="78" t="s">
        <v>54</v>
      </c>
      <c r="H57" s="78" t="s">
        <v>23</v>
      </c>
      <c r="I57" s="78"/>
      <c r="J57" s="78"/>
    </row>
    <row r="58" spans="2:10" ht="18.75" customHeight="1">
      <c r="B58" s="80" t="s">
        <v>122</v>
      </c>
      <c r="C58" s="80" t="s">
        <v>94</v>
      </c>
      <c r="D58" s="80" t="s">
        <v>576</v>
      </c>
      <c r="E58" s="80" t="s">
        <v>576</v>
      </c>
      <c r="F58" s="80" t="s">
        <v>54</v>
      </c>
      <c r="G58" s="80" t="s">
        <v>54</v>
      </c>
      <c r="H58" s="80" t="s">
        <v>23</v>
      </c>
      <c r="I58" s="80"/>
      <c r="J58" s="80"/>
    </row>
    <row r="59" spans="2:10" ht="18.75" customHeight="1">
      <c r="B59" s="80" t="s">
        <v>122</v>
      </c>
      <c r="C59" s="78" t="s">
        <v>94</v>
      </c>
      <c r="D59" s="78" t="s">
        <v>577</v>
      </c>
      <c r="E59" s="78" t="s">
        <v>577</v>
      </c>
      <c r="F59" s="78" t="s">
        <v>54</v>
      </c>
      <c r="G59" s="78" t="s">
        <v>54</v>
      </c>
      <c r="H59" s="78" t="s">
        <v>23</v>
      </c>
      <c r="I59" s="78"/>
      <c r="J59" s="78"/>
    </row>
    <row r="60" spans="2:10" ht="18.75" customHeight="1">
      <c r="B60" s="80" t="s">
        <v>122</v>
      </c>
      <c r="C60" s="80" t="s">
        <v>94</v>
      </c>
      <c r="D60" s="80" t="s">
        <v>578</v>
      </c>
      <c r="E60" s="80" t="s">
        <v>578</v>
      </c>
      <c r="F60" s="80" t="s">
        <v>54</v>
      </c>
      <c r="G60" s="80" t="s">
        <v>54</v>
      </c>
      <c r="H60" s="80" t="s">
        <v>23</v>
      </c>
      <c r="I60" s="80"/>
      <c r="J60" s="80"/>
    </row>
    <row r="61" spans="2:10" ht="18.75" customHeight="1">
      <c r="B61" s="80" t="s">
        <v>122</v>
      </c>
      <c r="C61" s="78" t="s">
        <v>94</v>
      </c>
      <c r="D61" s="78" t="s">
        <v>579</v>
      </c>
      <c r="E61" s="78" t="s">
        <v>579</v>
      </c>
      <c r="F61" s="78" t="s">
        <v>54</v>
      </c>
      <c r="G61" s="78" t="s">
        <v>54</v>
      </c>
      <c r="H61" s="78" t="s">
        <v>23</v>
      </c>
      <c r="I61" s="78"/>
      <c r="J61" s="78"/>
    </row>
    <row r="62" spans="2:10" ht="18.75" customHeight="1">
      <c r="B62" s="80" t="s">
        <v>122</v>
      </c>
      <c r="C62" s="80" t="s">
        <v>94</v>
      </c>
      <c r="D62" s="80" t="s">
        <v>580</v>
      </c>
      <c r="E62" s="80" t="s">
        <v>580</v>
      </c>
      <c r="F62" s="80" t="s">
        <v>54</v>
      </c>
      <c r="G62" s="80" t="s">
        <v>54</v>
      </c>
      <c r="H62" s="80" t="s">
        <v>23</v>
      </c>
      <c r="I62" s="80"/>
      <c r="J62" s="80"/>
    </row>
    <row r="63" spans="2:10" ht="18.75" customHeight="1">
      <c r="B63" s="80" t="s">
        <v>122</v>
      </c>
      <c r="C63" s="78" t="s">
        <v>94</v>
      </c>
      <c r="D63" s="78" t="s">
        <v>581</v>
      </c>
      <c r="E63" s="78" t="s">
        <v>581</v>
      </c>
      <c r="F63" s="78" t="s">
        <v>54</v>
      </c>
      <c r="G63" s="78" t="s">
        <v>54</v>
      </c>
      <c r="H63" s="78" t="s">
        <v>23</v>
      </c>
      <c r="I63" s="78"/>
      <c r="J63" s="78"/>
    </row>
    <row r="64" spans="2:10" ht="18.75" customHeight="1">
      <c r="B64" s="80" t="s">
        <v>122</v>
      </c>
      <c r="C64" s="80" t="s">
        <v>94</v>
      </c>
      <c r="D64" s="80" t="s">
        <v>582</v>
      </c>
      <c r="E64" s="80" t="s">
        <v>582</v>
      </c>
      <c r="F64" s="80" t="s">
        <v>54</v>
      </c>
      <c r="G64" s="80" t="s">
        <v>54</v>
      </c>
      <c r="H64" s="80" t="s">
        <v>23</v>
      </c>
      <c r="I64" s="80"/>
      <c r="J64" s="80"/>
    </row>
    <row r="65" spans="2:10" ht="18.75" customHeight="1">
      <c r="B65" s="80" t="s">
        <v>122</v>
      </c>
      <c r="C65" s="78" t="s">
        <v>94</v>
      </c>
      <c r="D65" s="78" t="s">
        <v>583</v>
      </c>
      <c r="E65" s="78" t="s">
        <v>583</v>
      </c>
      <c r="F65" s="78" t="s">
        <v>54</v>
      </c>
      <c r="G65" s="78" t="s">
        <v>54</v>
      </c>
      <c r="H65" s="78" t="s">
        <v>23</v>
      </c>
      <c r="I65" s="78"/>
      <c r="J65" s="78"/>
    </row>
    <row r="66" spans="2:10" ht="18.75" customHeight="1">
      <c r="B66" s="80" t="s">
        <v>122</v>
      </c>
      <c r="C66" s="80" t="s">
        <v>94</v>
      </c>
      <c r="D66" s="80" t="s">
        <v>584</v>
      </c>
      <c r="E66" s="80" t="s">
        <v>584</v>
      </c>
      <c r="F66" s="80" t="s">
        <v>54</v>
      </c>
      <c r="G66" s="80" t="s">
        <v>54</v>
      </c>
      <c r="H66" s="80" t="s">
        <v>23</v>
      </c>
      <c r="I66" s="80"/>
      <c r="J66" s="80"/>
    </row>
    <row r="67" spans="2:10" ht="18.75" customHeight="1">
      <c r="B67" s="80" t="s">
        <v>122</v>
      </c>
      <c r="C67" s="78" t="s">
        <v>94</v>
      </c>
      <c r="D67" s="78" t="s">
        <v>585</v>
      </c>
      <c r="E67" s="78" t="s">
        <v>585</v>
      </c>
      <c r="F67" s="78" t="s">
        <v>54</v>
      </c>
      <c r="G67" s="78" t="s">
        <v>54</v>
      </c>
      <c r="H67" s="78" t="s">
        <v>23</v>
      </c>
      <c r="I67" s="78"/>
      <c r="J67" s="78"/>
    </row>
    <row r="68" spans="2:10" ht="18.75" customHeight="1">
      <c r="B68" s="80" t="s">
        <v>122</v>
      </c>
      <c r="C68" s="80" t="s">
        <v>94</v>
      </c>
      <c r="D68" s="80" t="s">
        <v>586</v>
      </c>
      <c r="E68" s="80" t="s">
        <v>586</v>
      </c>
      <c r="F68" s="80" t="s">
        <v>54</v>
      </c>
      <c r="G68" s="80" t="s">
        <v>54</v>
      </c>
      <c r="H68" s="80" t="s">
        <v>23</v>
      </c>
      <c r="I68" s="80"/>
      <c r="J68" s="80"/>
    </row>
    <row r="69" spans="2:10" ht="18.75" customHeight="1" thickBot="1">
      <c r="B69" s="81" t="s">
        <v>534</v>
      </c>
      <c r="C69" s="81" t="s">
        <v>94</v>
      </c>
      <c r="D69" s="81" t="s">
        <v>587</v>
      </c>
      <c r="E69" s="81" t="s">
        <v>588</v>
      </c>
      <c r="F69" s="81" t="s">
        <v>54</v>
      </c>
      <c r="G69" s="81" t="s">
        <v>54</v>
      </c>
      <c r="H69" s="81" t="s">
        <v>23</v>
      </c>
      <c r="I69" s="81"/>
      <c r="J69" s="8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5BAC0-4FC6-48F4-97A7-DA1BAE46E2AF}">
  <dimension ref="B1:Z69"/>
  <sheetViews>
    <sheetView topLeftCell="A6" zoomScale="86" zoomScaleNormal="110" zoomScaleSheetLayoutView="50" workbookViewId="0">
      <selection activeCell="Z20" sqref="Z20"/>
    </sheetView>
  </sheetViews>
  <sheetFormatPr defaultRowHeight="12.5"/>
  <cols>
    <col min="1" max="1" width="3.7265625" style="65" customWidth="1"/>
    <col min="2" max="2" width="46.453125" style="65" customWidth="1"/>
    <col min="3" max="3" width="39.453125" style="65" customWidth="1"/>
    <col min="4" max="4" width="20.81640625" style="65" customWidth="1"/>
    <col min="5" max="5" width="19.453125" style="65" customWidth="1"/>
    <col min="6" max="6" width="11.81640625" style="65" customWidth="1"/>
    <col min="7" max="7" width="15" style="65" customWidth="1"/>
    <col min="8" max="14" width="6.26953125" style="65" customWidth="1"/>
    <col min="15" max="21" width="6.1796875" style="65" customWidth="1"/>
    <col min="22" max="22" width="8.7265625" style="65"/>
    <col min="23" max="248" width="9.1796875" style="65"/>
    <col min="249" max="249" width="29.1796875" style="65" customWidth="1"/>
    <col min="250" max="250" width="46.453125" style="65" customWidth="1"/>
    <col min="251" max="251" width="39.453125" style="65" customWidth="1"/>
    <col min="252" max="252" width="20.81640625" style="65" customWidth="1"/>
    <col min="253" max="253" width="19.453125" style="65" customWidth="1"/>
    <col min="254" max="254" width="11.81640625" style="65" customWidth="1"/>
    <col min="255" max="255" width="10.453125" style="65" customWidth="1"/>
    <col min="256" max="256" width="14.453125" style="65" bestFit="1" customWidth="1"/>
    <col min="257" max="257" width="13.1796875" style="65" bestFit="1" customWidth="1"/>
    <col min="258" max="258" width="8.54296875" style="65" bestFit="1" customWidth="1"/>
    <col min="259" max="260" width="8.54296875" style="65" customWidth="1"/>
    <col min="261" max="261" width="9.453125" style="65" customWidth="1"/>
    <col min="262" max="262" width="7.453125" style="65" bestFit="1" customWidth="1"/>
    <col min="263" max="264" width="10.54296875" style="65" bestFit="1" customWidth="1"/>
    <col min="265" max="504" width="9.1796875" style="65"/>
    <col min="505" max="505" width="29.1796875" style="65" customWidth="1"/>
    <col min="506" max="506" width="46.453125" style="65" customWidth="1"/>
    <col min="507" max="507" width="39.453125" style="65" customWidth="1"/>
    <col min="508" max="508" width="20.81640625" style="65" customWidth="1"/>
    <col min="509" max="509" width="19.453125" style="65" customWidth="1"/>
    <col min="510" max="510" width="11.81640625" style="65" customWidth="1"/>
    <col min="511" max="511" width="10.453125" style="65" customWidth="1"/>
    <col min="512" max="512" width="14.453125" style="65" bestFit="1" customWidth="1"/>
    <col min="513" max="513" width="13.1796875" style="65" bestFit="1" customWidth="1"/>
    <col min="514" max="514" width="8.54296875" style="65" bestFit="1" customWidth="1"/>
    <col min="515" max="516" width="8.54296875" style="65" customWidth="1"/>
    <col min="517" max="517" width="9.453125" style="65" customWidth="1"/>
    <col min="518" max="518" width="7.453125" style="65" bestFit="1" customWidth="1"/>
    <col min="519" max="520" width="10.54296875" style="65" bestFit="1" customWidth="1"/>
    <col min="521" max="760" width="9.1796875" style="65"/>
    <col min="761" max="761" width="29.1796875" style="65" customWidth="1"/>
    <col min="762" max="762" width="46.453125" style="65" customWidth="1"/>
    <col min="763" max="763" width="39.453125" style="65" customWidth="1"/>
    <col min="764" max="764" width="20.81640625" style="65" customWidth="1"/>
    <col min="765" max="765" width="19.453125" style="65" customWidth="1"/>
    <col min="766" max="766" width="11.81640625" style="65" customWidth="1"/>
    <col min="767" max="767" width="10.453125" style="65" customWidth="1"/>
    <col min="768" max="768" width="14.453125" style="65" bestFit="1" customWidth="1"/>
    <col min="769" max="769" width="13.1796875" style="65" bestFit="1" customWidth="1"/>
    <col min="770" max="770" width="8.54296875" style="65" bestFit="1" customWidth="1"/>
    <col min="771" max="772" width="8.54296875" style="65" customWidth="1"/>
    <col min="773" max="773" width="9.453125" style="65" customWidth="1"/>
    <col min="774" max="774" width="7.453125" style="65" bestFit="1" customWidth="1"/>
    <col min="775" max="776" width="10.54296875" style="65" bestFit="1" customWidth="1"/>
    <col min="777" max="1016" width="9.1796875" style="65"/>
    <col min="1017" max="1017" width="29.1796875" style="65" customWidth="1"/>
    <col min="1018" max="1018" width="46.453125" style="65" customWidth="1"/>
    <col min="1019" max="1019" width="39.453125" style="65" customWidth="1"/>
    <col min="1020" max="1020" width="20.81640625" style="65" customWidth="1"/>
    <col min="1021" max="1021" width="19.453125" style="65" customWidth="1"/>
    <col min="1022" max="1022" width="11.81640625" style="65" customWidth="1"/>
    <col min="1023" max="1023" width="10.453125" style="65" customWidth="1"/>
    <col min="1024" max="1024" width="14.453125" style="65" bestFit="1" customWidth="1"/>
    <col min="1025" max="1025" width="13.1796875" style="65" bestFit="1" customWidth="1"/>
    <col min="1026" max="1026" width="8.54296875" style="65" bestFit="1" customWidth="1"/>
    <col min="1027" max="1028" width="8.54296875" style="65" customWidth="1"/>
    <col min="1029" max="1029" width="9.453125" style="65" customWidth="1"/>
    <col min="1030" max="1030" width="7.453125" style="65" bestFit="1" customWidth="1"/>
    <col min="1031" max="1032" width="10.54296875" style="65" bestFit="1" customWidth="1"/>
    <col min="1033" max="1272" width="9.1796875" style="65"/>
    <col min="1273" max="1273" width="29.1796875" style="65" customWidth="1"/>
    <col min="1274" max="1274" width="46.453125" style="65" customWidth="1"/>
    <col min="1275" max="1275" width="39.453125" style="65" customWidth="1"/>
    <col min="1276" max="1276" width="20.81640625" style="65" customWidth="1"/>
    <col min="1277" max="1277" width="19.453125" style="65" customWidth="1"/>
    <col min="1278" max="1278" width="11.81640625" style="65" customWidth="1"/>
    <col min="1279" max="1279" width="10.453125" style="65" customWidth="1"/>
    <col min="1280" max="1280" width="14.453125" style="65" bestFit="1" customWidth="1"/>
    <col min="1281" max="1281" width="13.1796875" style="65" bestFit="1" customWidth="1"/>
    <col min="1282" max="1282" width="8.54296875" style="65" bestFit="1" customWidth="1"/>
    <col min="1283" max="1284" width="8.54296875" style="65" customWidth="1"/>
    <col min="1285" max="1285" width="9.453125" style="65" customWidth="1"/>
    <col min="1286" max="1286" width="7.453125" style="65" bestFit="1" customWidth="1"/>
    <col min="1287" max="1288" width="10.54296875" style="65" bestFit="1" customWidth="1"/>
    <col min="1289" max="1528" width="9.1796875" style="65"/>
    <col min="1529" max="1529" width="29.1796875" style="65" customWidth="1"/>
    <col min="1530" max="1530" width="46.453125" style="65" customWidth="1"/>
    <col min="1531" max="1531" width="39.453125" style="65" customWidth="1"/>
    <col min="1532" max="1532" width="20.81640625" style="65" customWidth="1"/>
    <col min="1533" max="1533" width="19.453125" style="65" customWidth="1"/>
    <col min="1534" max="1534" width="11.81640625" style="65" customWidth="1"/>
    <col min="1535" max="1535" width="10.453125" style="65" customWidth="1"/>
    <col min="1536" max="1536" width="14.453125" style="65" bestFit="1" customWidth="1"/>
    <col min="1537" max="1537" width="13.1796875" style="65" bestFit="1" customWidth="1"/>
    <col min="1538" max="1538" width="8.54296875" style="65" bestFit="1" customWidth="1"/>
    <col min="1539" max="1540" width="8.54296875" style="65" customWidth="1"/>
    <col min="1541" max="1541" width="9.453125" style="65" customWidth="1"/>
    <col min="1542" max="1542" width="7.453125" style="65" bestFit="1" customWidth="1"/>
    <col min="1543" max="1544" width="10.54296875" style="65" bestFit="1" customWidth="1"/>
    <col min="1545" max="1784" width="9.1796875" style="65"/>
    <col min="1785" max="1785" width="29.1796875" style="65" customWidth="1"/>
    <col min="1786" max="1786" width="46.453125" style="65" customWidth="1"/>
    <col min="1787" max="1787" width="39.453125" style="65" customWidth="1"/>
    <col min="1788" max="1788" width="20.81640625" style="65" customWidth="1"/>
    <col min="1789" max="1789" width="19.453125" style="65" customWidth="1"/>
    <col min="1790" max="1790" width="11.81640625" style="65" customWidth="1"/>
    <col min="1791" max="1791" width="10.453125" style="65" customWidth="1"/>
    <col min="1792" max="1792" width="14.453125" style="65" bestFit="1" customWidth="1"/>
    <col min="1793" max="1793" width="13.1796875" style="65" bestFit="1" customWidth="1"/>
    <col min="1794" max="1794" width="8.54296875" style="65" bestFit="1" customWidth="1"/>
    <col min="1795" max="1796" width="8.54296875" style="65" customWidth="1"/>
    <col min="1797" max="1797" width="9.453125" style="65" customWidth="1"/>
    <col min="1798" max="1798" width="7.453125" style="65" bestFit="1" customWidth="1"/>
    <col min="1799" max="1800" width="10.54296875" style="65" bestFit="1" customWidth="1"/>
    <col min="1801" max="2040" width="9.1796875" style="65"/>
    <col min="2041" max="2041" width="29.1796875" style="65" customWidth="1"/>
    <col min="2042" max="2042" width="46.453125" style="65" customWidth="1"/>
    <col min="2043" max="2043" width="39.453125" style="65" customWidth="1"/>
    <col min="2044" max="2044" width="20.81640625" style="65" customWidth="1"/>
    <col min="2045" max="2045" width="19.453125" style="65" customWidth="1"/>
    <col min="2046" max="2046" width="11.81640625" style="65" customWidth="1"/>
    <col min="2047" max="2047" width="10.453125" style="65" customWidth="1"/>
    <col min="2048" max="2048" width="14.453125" style="65" bestFit="1" customWidth="1"/>
    <col min="2049" max="2049" width="13.1796875" style="65" bestFit="1" customWidth="1"/>
    <col min="2050" max="2050" width="8.54296875" style="65" bestFit="1" customWidth="1"/>
    <col min="2051" max="2052" width="8.54296875" style="65" customWidth="1"/>
    <col min="2053" max="2053" width="9.453125" style="65" customWidth="1"/>
    <col min="2054" max="2054" width="7.453125" style="65" bestFit="1" customWidth="1"/>
    <col min="2055" max="2056" width="10.54296875" style="65" bestFit="1" customWidth="1"/>
    <col min="2057" max="2296" width="9.1796875" style="65"/>
    <col min="2297" max="2297" width="29.1796875" style="65" customWidth="1"/>
    <col min="2298" max="2298" width="46.453125" style="65" customWidth="1"/>
    <col min="2299" max="2299" width="39.453125" style="65" customWidth="1"/>
    <col min="2300" max="2300" width="20.81640625" style="65" customWidth="1"/>
    <col min="2301" max="2301" width="19.453125" style="65" customWidth="1"/>
    <col min="2302" max="2302" width="11.81640625" style="65" customWidth="1"/>
    <col min="2303" max="2303" width="10.453125" style="65" customWidth="1"/>
    <col min="2304" max="2304" width="14.453125" style="65" bestFit="1" customWidth="1"/>
    <col min="2305" max="2305" width="13.1796875" style="65" bestFit="1" customWidth="1"/>
    <col min="2306" max="2306" width="8.54296875" style="65" bestFit="1" customWidth="1"/>
    <col min="2307" max="2308" width="8.54296875" style="65" customWidth="1"/>
    <col min="2309" max="2309" width="9.453125" style="65" customWidth="1"/>
    <col min="2310" max="2310" width="7.453125" style="65" bestFit="1" customWidth="1"/>
    <col min="2311" max="2312" width="10.54296875" style="65" bestFit="1" customWidth="1"/>
    <col min="2313" max="2552" width="9.1796875" style="65"/>
    <col min="2553" max="2553" width="29.1796875" style="65" customWidth="1"/>
    <col min="2554" max="2554" width="46.453125" style="65" customWidth="1"/>
    <col min="2555" max="2555" width="39.453125" style="65" customWidth="1"/>
    <col min="2556" max="2556" width="20.81640625" style="65" customWidth="1"/>
    <col min="2557" max="2557" width="19.453125" style="65" customWidth="1"/>
    <col min="2558" max="2558" width="11.81640625" style="65" customWidth="1"/>
    <col min="2559" max="2559" width="10.453125" style="65" customWidth="1"/>
    <col min="2560" max="2560" width="14.453125" style="65" bestFit="1" customWidth="1"/>
    <col min="2561" max="2561" width="13.1796875" style="65" bestFit="1" customWidth="1"/>
    <col min="2562" max="2562" width="8.54296875" style="65" bestFit="1" customWidth="1"/>
    <col min="2563" max="2564" width="8.54296875" style="65" customWidth="1"/>
    <col min="2565" max="2565" width="9.453125" style="65" customWidth="1"/>
    <col min="2566" max="2566" width="7.453125" style="65" bestFit="1" customWidth="1"/>
    <col min="2567" max="2568" width="10.54296875" style="65" bestFit="1" customWidth="1"/>
    <col min="2569" max="2808" width="9.1796875" style="65"/>
    <col min="2809" max="2809" width="29.1796875" style="65" customWidth="1"/>
    <col min="2810" max="2810" width="46.453125" style="65" customWidth="1"/>
    <col min="2811" max="2811" width="39.453125" style="65" customWidth="1"/>
    <col min="2812" max="2812" width="20.81640625" style="65" customWidth="1"/>
    <col min="2813" max="2813" width="19.453125" style="65" customWidth="1"/>
    <col min="2814" max="2814" width="11.81640625" style="65" customWidth="1"/>
    <col min="2815" max="2815" width="10.453125" style="65" customWidth="1"/>
    <col min="2816" max="2816" width="14.453125" style="65" bestFit="1" customWidth="1"/>
    <col min="2817" max="2817" width="13.1796875" style="65" bestFit="1" customWidth="1"/>
    <col min="2818" max="2818" width="8.54296875" style="65" bestFit="1" customWidth="1"/>
    <col min="2819" max="2820" width="8.54296875" style="65" customWidth="1"/>
    <col min="2821" max="2821" width="9.453125" style="65" customWidth="1"/>
    <col min="2822" max="2822" width="7.453125" style="65" bestFit="1" customWidth="1"/>
    <col min="2823" max="2824" width="10.54296875" style="65" bestFit="1" customWidth="1"/>
    <col min="2825" max="3064" width="9.1796875" style="65"/>
    <col min="3065" max="3065" width="29.1796875" style="65" customWidth="1"/>
    <col min="3066" max="3066" width="46.453125" style="65" customWidth="1"/>
    <col min="3067" max="3067" width="39.453125" style="65" customWidth="1"/>
    <col min="3068" max="3068" width="20.81640625" style="65" customWidth="1"/>
    <col min="3069" max="3069" width="19.453125" style="65" customWidth="1"/>
    <col min="3070" max="3070" width="11.81640625" style="65" customWidth="1"/>
    <col min="3071" max="3071" width="10.453125" style="65" customWidth="1"/>
    <col min="3072" max="3072" width="14.453125" style="65" bestFit="1" customWidth="1"/>
    <col min="3073" max="3073" width="13.1796875" style="65" bestFit="1" customWidth="1"/>
    <col min="3074" max="3074" width="8.54296875" style="65" bestFit="1" customWidth="1"/>
    <col min="3075" max="3076" width="8.54296875" style="65" customWidth="1"/>
    <col min="3077" max="3077" width="9.453125" style="65" customWidth="1"/>
    <col min="3078" max="3078" width="7.453125" style="65" bestFit="1" customWidth="1"/>
    <col min="3079" max="3080" width="10.54296875" style="65" bestFit="1" customWidth="1"/>
    <col min="3081" max="3320" width="9.1796875" style="65"/>
    <col min="3321" max="3321" width="29.1796875" style="65" customWidth="1"/>
    <col min="3322" max="3322" width="46.453125" style="65" customWidth="1"/>
    <col min="3323" max="3323" width="39.453125" style="65" customWidth="1"/>
    <col min="3324" max="3324" width="20.81640625" style="65" customWidth="1"/>
    <col min="3325" max="3325" width="19.453125" style="65" customWidth="1"/>
    <col min="3326" max="3326" width="11.81640625" style="65" customWidth="1"/>
    <col min="3327" max="3327" width="10.453125" style="65" customWidth="1"/>
    <col min="3328" max="3328" width="14.453125" style="65" bestFit="1" customWidth="1"/>
    <col min="3329" max="3329" width="13.1796875" style="65" bestFit="1" customWidth="1"/>
    <col min="3330" max="3330" width="8.54296875" style="65" bestFit="1" customWidth="1"/>
    <col min="3331" max="3332" width="8.54296875" style="65" customWidth="1"/>
    <col min="3333" max="3333" width="9.453125" style="65" customWidth="1"/>
    <col min="3334" max="3334" width="7.453125" style="65" bestFit="1" customWidth="1"/>
    <col min="3335" max="3336" width="10.54296875" style="65" bestFit="1" customWidth="1"/>
    <col min="3337" max="3576" width="9.1796875" style="65"/>
    <col min="3577" max="3577" width="29.1796875" style="65" customWidth="1"/>
    <col min="3578" max="3578" width="46.453125" style="65" customWidth="1"/>
    <col min="3579" max="3579" width="39.453125" style="65" customWidth="1"/>
    <col min="3580" max="3580" width="20.81640625" style="65" customWidth="1"/>
    <col min="3581" max="3581" width="19.453125" style="65" customWidth="1"/>
    <col min="3582" max="3582" width="11.81640625" style="65" customWidth="1"/>
    <col min="3583" max="3583" width="10.453125" style="65" customWidth="1"/>
    <col min="3584" max="3584" width="14.453125" style="65" bestFit="1" customWidth="1"/>
    <col min="3585" max="3585" width="13.1796875" style="65" bestFit="1" customWidth="1"/>
    <col min="3586" max="3586" width="8.54296875" style="65" bestFit="1" customWidth="1"/>
    <col min="3587" max="3588" width="8.54296875" style="65" customWidth="1"/>
    <col min="3589" max="3589" width="9.453125" style="65" customWidth="1"/>
    <col min="3590" max="3590" width="7.453125" style="65" bestFit="1" customWidth="1"/>
    <col min="3591" max="3592" width="10.54296875" style="65" bestFit="1" customWidth="1"/>
    <col min="3593" max="3832" width="9.1796875" style="65"/>
    <col min="3833" max="3833" width="29.1796875" style="65" customWidth="1"/>
    <col min="3834" max="3834" width="46.453125" style="65" customWidth="1"/>
    <col min="3835" max="3835" width="39.453125" style="65" customWidth="1"/>
    <col min="3836" max="3836" width="20.81640625" style="65" customWidth="1"/>
    <col min="3837" max="3837" width="19.453125" style="65" customWidth="1"/>
    <col min="3838" max="3838" width="11.81640625" style="65" customWidth="1"/>
    <col min="3839" max="3839" width="10.453125" style="65" customWidth="1"/>
    <col min="3840" max="3840" width="14.453125" style="65" bestFit="1" customWidth="1"/>
    <col min="3841" max="3841" width="13.1796875" style="65" bestFit="1" customWidth="1"/>
    <col min="3842" max="3842" width="8.54296875" style="65" bestFit="1" customWidth="1"/>
    <col min="3843" max="3844" width="8.54296875" style="65" customWidth="1"/>
    <col min="3845" max="3845" width="9.453125" style="65" customWidth="1"/>
    <col min="3846" max="3846" width="7.453125" style="65" bestFit="1" customWidth="1"/>
    <col min="3847" max="3848" width="10.54296875" style="65" bestFit="1" customWidth="1"/>
    <col min="3849" max="4088" width="9.1796875" style="65"/>
    <col min="4089" max="4089" width="29.1796875" style="65" customWidth="1"/>
    <col min="4090" max="4090" width="46.453125" style="65" customWidth="1"/>
    <col min="4091" max="4091" width="39.453125" style="65" customWidth="1"/>
    <col min="4092" max="4092" width="20.81640625" style="65" customWidth="1"/>
    <col min="4093" max="4093" width="19.453125" style="65" customWidth="1"/>
    <col min="4094" max="4094" width="11.81640625" style="65" customWidth="1"/>
    <col min="4095" max="4095" width="10.453125" style="65" customWidth="1"/>
    <col min="4096" max="4096" width="14.453125" style="65" bestFit="1" customWidth="1"/>
    <col min="4097" max="4097" width="13.1796875" style="65" bestFit="1" customWidth="1"/>
    <col min="4098" max="4098" width="8.54296875" style="65" bestFit="1" customWidth="1"/>
    <col min="4099" max="4100" width="8.54296875" style="65" customWidth="1"/>
    <col min="4101" max="4101" width="9.453125" style="65" customWidth="1"/>
    <col min="4102" max="4102" width="7.453125" style="65" bestFit="1" customWidth="1"/>
    <col min="4103" max="4104" width="10.54296875" style="65" bestFit="1" customWidth="1"/>
    <col min="4105" max="4344" width="9.1796875" style="65"/>
    <col min="4345" max="4345" width="29.1796875" style="65" customWidth="1"/>
    <col min="4346" max="4346" width="46.453125" style="65" customWidth="1"/>
    <col min="4347" max="4347" width="39.453125" style="65" customWidth="1"/>
    <col min="4348" max="4348" width="20.81640625" style="65" customWidth="1"/>
    <col min="4349" max="4349" width="19.453125" style="65" customWidth="1"/>
    <col min="4350" max="4350" width="11.81640625" style="65" customWidth="1"/>
    <col min="4351" max="4351" width="10.453125" style="65" customWidth="1"/>
    <col min="4352" max="4352" width="14.453125" style="65" bestFit="1" customWidth="1"/>
    <col min="4353" max="4353" width="13.1796875" style="65" bestFit="1" customWidth="1"/>
    <col min="4354" max="4354" width="8.54296875" style="65" bestFit="1" customWidth="1"/>
    <col min="4355" max="4356" width="8.54296875" style="65" customWidth="1"/>
    <col min="4357" max="4357" width="9.453125" style="65" customWidth="1"/>
    <col min="4358" max="4358" width="7.453125" style="65" bestFit="1" customWidth="1"/>
    <col min="4359" max="4360" width="10.54296875" style="65" bestFit="1" customWidth="1"/>
    <col min="4361" max="4600" width="9.1796875" style="65"/>
    <col min="4601" max="4601" width="29.1796875" style="65" customWidth="1"/>
    <col min="4602" max="4602" width="46.453125" style="65" customWidth="1"/>
    <col min="4603" max="4603" width="39.453125" style="65" customWidth="1"/>
    <col min="4604" max="4604" width="20.81640625" style="65" customWidth="1"/>
    <col min="4605" max="4605" width="19.453125" style="65" customWidth="1"/>
    <col min="4606" max="4606" width="11.81640625" style="65" customWidth="1"/>
    <col min="4607" max="4607" width="10.453125" style="65" customWidth="1"/>
    <col min="4608" max="4608" width="14.453125" style="65" bestFit="1" customWidth="1"/>
    <col min="4609" max="4609" width="13.1796875" style="65" bestFit="1" customWidth="1"/>
    <col min="4610" max="4610" width="8.54296875" style="65" bestFit="1" customWidth="1"/>
    <col min="4611" max="4612" width="8.54296875" style="65" customWidth="1"/>
    <col min="4613" max="4613" width="9.453125" style="65" customWidth="1"/>
    <col min="4614" max="4614" width="7.453125" style="65" bestFit="1" customWidth="1"/>
    <col min="4615" max="4616" width="10.54296875" style="65" bestFit="1" customWidth="1"/>
    <col min="4617" max="4856" width="9.1796875" style="65"/>
    <col min="4857" max="4857" width="29.1796875" style="65" customWidth="1"/>
    <col min="4858" max="4858" width="46.453125" style="65" customWidth="1"/>
    <col min="4859" max="4859" width="39.453125" style="65" customWidth="1"/>
    <col min="4860" max="4860" width="20.81640625" style="65" customWidth="1"/>
    <col min="4861" max="4861" width="19.453125" style="65" customWidth="1"/>
    <col min="4862" max="4862" width="11.81640625" style="65" customWidth="1"/>
    <col min="4863" max="4863" width="10.453125" style="65" customWidth="1"/>
    <col min="4864" max="4864" width="14.453125" style="65" bestFit="1" customWidth="1"/>
    <col min="4865" max="4865" width="13.1796875" style="65" bestFit="1" customWidth="1"/>
    <col min="4866" max="4866" width="8.54296875" style="65" bestFit="1" customWidth="1"/>
    <col min="4867" max="4868" width="8.54296875" style="65" customWidth="1"/>
    <col min="4869" max="4869" width="9.453125" style="65" customWidth="1"/>
    <col min="4870" max="4870" width="7.453125" style="65" bestFit="1" customWidth="1"/>
    <col min="4871" max="4872" width="10.54296875" style="65" bestFit="1" customWidth="1"/>
    <col min="4873" max="5112" width="9.1796875" style="65"/>
    <col min="5113" max="5113" width="29.1796875" style="65" customWidth="1"/>
    <col min="5114" max="5114" width="46.453125" style="65" customWidth="1"/>
    <col min="5115" max="5115" width="39.453125" style="65" customWidth="1"/>
    <col min="5116" max="5116" width="20.81640625" style="65" customWidth="1"/>
    <col min="5117" max="5117" width="19.453125" style="65" customWidth="1"/>
    <col min="5118" max="5118" width="11.81640625" style="65" customWidth="1"/>
    <col min="5119" max="5119" width="10.453125" style="65" customWidth="1"/>
    <col min="5120" max="5120" width="14.453125" style="65" bestFit="1" customWidth="1"/>
    <col min="5121" max="5121" width="13.1796875" style="65" bestFit="1" customWidth="1"/>
    <col min="5122" max="5122" width="8.54296875" style="65" bestFit="1" customWidth="1"/>
    <col min="5123" max="5124" width="8.54296875" style="65" customWidth="1"/>
    <col min="5125" max="5125" width="9.453125" style="65" customWidth="1"/>
    <col min="5126" max="5126" width="7.453125" style="65" bestFit="1" customWidth="1"/>
    <col min="5127" max="5128" width="10.54296875" style="65" bestFit="1" customWidth="1"/>
    <col min="5129" max="5368" width="9.1796875" style="65"/>
    <col min="5369" max="5369" width="29.1796875" style="65" customWidth="1"/>
    <col min="5370" max="5370" width="46.453125" style="65" customWidth="1"/>
    <col min="5371" max="5371" width="39.453125" style="65" customWidth="1"/>
    <col min="5372" max="5372" width="20.81640625" style="65" customWidth="1"/>
    <col min="5373" max="5373" width="19.453125" style="65" customWidth="1"/>
    <col min="5374" max="5374" width="11.81640625" style="65" customWidth="1"/>
    <col min="5375" max="5375" width="10.453125" style="65" customWidth="1"/>
    <col min="5376" max="5376" width="14.453125" style="65" bestFit="1" customWidth="1"/>
    <col min="5377" max="5377" width="13.1796875" style="65" bestFit="1" customWidth="1"/>
    <col min="5378" max="5378" width="8.54296875" style="65" bestFit="1" customWidth="1"/>
    <col min="5379" max="5380" width="8.54296875" style="65" customWidth="1"/>
    <col min="5381" max="5381" width="9.453125" style="65" customWidth="1"/>
    <col min="5382" max="5382" width="7.453125" style="65" bestFit="1" customWidth="1"/>
    <col min="5383" max="5384" width="10.54296875" style="65" bestFit="1" customWidth="1"/>
    <col min="5385" max="5624" width="9.1796875" style="65"/>
    <col min="5625" max="5625" width="29.1796875" style="65" customWidth="1"/>
    <col min="5626" max="5626" width="46.453125" style="65" customWidth="1"/>
    <col min="5627" max="5627" width="39.453125" style="65" customWidth="1"/>
    <col min="5628" max="5628" width="20.81640625" style="65" customWidth="1"/>
    <col min="5629" max="5629" width="19.453125" style="65" customWidth="1"/>
    <col min="5630" max="5630" width="11.81640625" style="65" customWidth="1"/>
    <col min="5631" max="5631" width="10.453125" style="65" customWidth="1"/>
    <col min="5632" max="5632" width="14.453125" style="65" bestFit="1" customWidth="1"/>
    <col min="5633" max="5633" width="13.1796875" style="65" bestFit="1" customWidth="1"/>
    <col min="5634" max="5634" width="8.54296875" style="65" bestFit="1" customWidth="1"/>
    <col min="5635" max="5636" width="8.54296875" style="65" customWidth="1"/>
    <col min="5637" max="5637" width="9.453125" style="65" customWidth="1"/>
    <col min="5638" max="5638" width="7.453125" style="65" bestFit="1" customWidth="1"/>
    <col min="5639" max="5640" width="10.54296875" style="65" bestFit="1" customWidth="1"/>
    <col min="5641" max="5880" width="9.1796875" style="65"/>
    <col min="5881" max="5881" width="29.1796875" style="65" customWidth="1"/>
    <col min="5882" max="5882" width="46.453125" style="65" customWidth="1"/>
    <col min="5883" max="5883" width="39.453125" style="65" customWidth="1"/>
    <col min="5884" max="5884" width="20.81640625" style="65" customWidth="1"/>
    <col min="5885" max="5885" width="19.453125" style="65" customWidth="1"/>
    <col min="5886" max="5886" width="11.81640625" style="65" customWidth="1"/>
    <col min="5887" max="5887" width="10.453125" style="65" customWidth="1"/>
    <col min="5888" max="5888" width="14.453125" style="65" bestFit="1" customWidth="1"/>
    <col min="5889" max="5889" width="13.1796875" style="65" bestFit="1" customWidth="1"/>
    <col min="5890" max="5890" width="8.54296875" style="65" bestFit="1" customWidth="1"/>
    <col min="5891" max="5892" width="8.54296875" style="65" customWidth="1"/>
    <col min="5893" max="5893" width="9.453125" style="65" customWidth="1"/>
    <col min="5894" max="5894" width="7.453125" style="65" bestFit="1" customWidth="1"/>
    <col min="5895" max="5896" width="10.54296875" style="65" bestFit="1" customWidth="1"/>
    <col min="5897" max="6136" width="9.1796875" style="65"/>
    <col min="6137" max="6137" width="29.1796875" style="65" customWidth="1"/>
    <col min="6138" max="6138" width="46.453125" style="65" customWidth="1"/>
    <col min="6139" max="6139" width="39.453125" style="65" customWidth="1"/>
    <col min="6140" max="6140" width="20.81640625" style="65" customWidth="1"/>
    <col min="6141" max="6141" width="19.453125" style="65" customWidth="1"/>
    <col min="6142" max="6142" width="11.81640625" style="65" customWidth="1"/>
    <col min="6143" max="6143" width="10.453125" style="65" customWidth="1"/>
    <col min="6144" max="6144" width="14.453125" style="65" bestFit="1" customWidth="1"/>
    <col min="6145" max="6145" width="13.1796875" style="65" bestFit="1" customWidth="1"/>
    <col min="6146" max="6146" width="8.54296875" style="65" bestFit="1" customWidth="1"/>
    <col min="6147" max="6148" width="8.54296875" style="65" customWidth="1"/>
    <col min="6149" max="6149" width="9.453125" style="65" customWidth="1"/>
    <col min="6150" max="6150" width="7.453125" style="65" bestFit="1" customWidth="1"/>
    <col min="6151" max="6152" width="10.54296875" style="65" bestFit="1" customWidth="1"/>
    <col min="6153" max="6392" width="9.1796875" style="65"/>
    <col min="6393" max="6393" width="29.1796875" style="65" customWidth="1"/>
    <col min="6394" max="6394" width="46.453125" style="65" customWidth="1"/>
    <col min="6395" max="6395" width="39.453125" style="65" customWidth="1"/>
    <col min="6396" max="6396" width="20.81640625" style="65" customWidth="1"/>
    <col min="6397" max="6397" width="19.453125" style="65" customWidth="1"/>
    <col min="6398" max="6398" width="11.81640625" style="65" customWidth="1"/>
    <col min="6399" max="6399" width="10.453125" style="65" customWidth="1"/>
    <col min="6400" max="6400" width="14.453125" style="65" bestFit="1" customWidth="1"/>
    <col min="6401" max="6401" width="13.1796875" style="65" bestFit="1" customWidth="1"/>
    <col min="6402" max="6402" width="8.54296875" style="65" bestFit="1" customWidth="1"/>
    <col min="6403" max="6404" width="8.54296875" style="65" customWidth="1"/>
    <col min="6405" max="6405" width="9.453125" style="65" customWidth="1"/>
    <col min="6406" max="6406" width="7.453125" style="65" bestFit="1" customWidth="1"/>
    <col min="6407" max="6408" width="10.54296875" style="65" bestFit="1" customWidth="1"/>
    <col min="6409" max="6648" width="9.1796875" style="65"/>
    <col min="6649" max="6649" width="29.1796875" style="65" customWidth="1"/>
    <col min="6650" max="6650" width="46.453125" style="65" customWidth="1"/>
    <col min="6651" max="6651" width="39.453125" style="65" customWidth="1"/>
    <col min="6652" max="6652" width="20.81640625" style="65" customWidth="1"/>
    <col min="6653" max="6653" width="19.453125" style="65" customWidth="1"/>
    <col min="6654" max="6654" width="11.81640625" style="65" customWidth="1"/>
    <col min="6655" max="6655" width="10.453125" style="65" customWidth="1"/>
    <col min="6656" max="6656" width="14.453125" style="65" bestFit="1" customWidth="1"/>
    <col min="6657" max="6657" width="13.1796875" style="65" bestFit="1" customWidth="1"/>
    <col min="6658" max="6658" width="8.54296875" style="65" bestFit="1" customWidth="1"/>
    <col min="6659" max="6660" width="8.54296875" style="65" customWidth="1"/>
    <col min="6661" max="6661" width="9.453125" style="65" customWidth="1"/>
    <col min="6662" max="6662" width="7.453125" style="65" bestFit="1" customWidth="1"/>
    <col min="6663" max="6664" width="10.54296875" style="65" bestFit="1" customWidth="1"/>
    <col min="6665" max="6904" width="9.1796875" style="65"/>
    <col min="6905" max="6905" width="29.1796875" style="65" customWidth="1"/>
    <col min="6906" max="6906" width="46.453125" style="65" customWidth="1"/>
    <col min="6907" max="6907" width="39.453125" style="65" customWidth="1"/>
    <col min="6908" max="6908" width="20.81640625" style="65" customWidth="1"/>
    <col min="6909" max="6909" width="19.453125" style="65" customWidth="1"/>
    <col min="6910" max="6910" width="11.81640625" style="65" customWidth="1"/>
    <col min="6911" max="6911" width="10.453125" style="65" customWidth="1"/>
    <col min="6912" max="6912" width="14.453125" style="65" bestFit="1" customWidth="1"/>
    <col min="6913" max="6913" width="13.1796875" style="65" bestFit="1" customWidth="1"/>
    <col min="6914" max="6914" width="8.54296875" style="65" bestFit="1" customWidth="1"/>
    <col min="6915" max="6916" width="8.54296875" style="65" customWidth="1"/>
    <col min="6917" max="6917" width="9.453125" style="65" customWidth="1"/>
    <col min="6918" max="6918" width="7.453125" style="65" bestFit="1" customWidth="1"/>
    <col min="6919" max="6920" width="10.54296875" style="65" bestFit="1" customWidth="1"/>
    <col min="6921" max="7160" width="9.1796875" style="65"/>
    <col min="7161" max="7161" width="29.1796875" style="65" customWidth="1"/>
    <col min="7162" max="7162" width="46.453125" style="65" customWidth="1"/>
    <col min="7163" max="7163" width="39.453125" style="65" customWidth="1"/>
    <col min="7164" max="7164" width="20.81640625" style="65" customWidth="1"/>
    <col min="7165" max="7165" width="19.453125" style="65" customWidth="1"/>
    <col min="7166" max="7166" width="11.81640625" style="65" customWidth="1"/>
    <col min="7167" max="7167" width="10.453125" style="65" customWidth="1"/>
    <col min="7168" max="7168" width="14.453125" style="65" bestFit="1" customWidth="1"/>
    <col min="7169" max="7169" width="13.1796875" style="65" bestFit="1" customWidth="1"/>
    <col min="7170" max="7170" width="8.54296875" style="65" bestFit="1" customWidth="1"/>
    <col min="7171" max="7172" width="8.54296875" style="65" customWidth="1"/>
    <col min="7173" max="7173" width="9.453125" style="65" customWidth="1"/>
    <col min="7174" max="7174" width="7.453125" style="65" bestFit="1" customWidth="1"/>
    <col min="7175" max="7176" width="10.54296875" style="65" bestFit="1" customWidth="1"/>
    <col min="7177" max="7416" width="9.1796875" style="65"/>
    <col min="7417" max="7417" width="29.1796875" style="65" customWidth="1"/>
    <col min="7418" max="7418" width="46.453125" style="65" customWidth="1"/>
    <col min="7419" max="7419" width="39.453125" style="65" customWidth="1"/>
    <col min="7420" max="7420" width="20.81640625" style="65" customWidth="1"/>
    <col min="7421" max="7421" width="19.453125" style="65" customWidth="1"/>
    <col min="7422" max="7422" width="11.81640625" style="65" customWidth="1"/>
    <col min="7423" max="7423" width="10.453125" style="65" customWidth="1"/>
    <col min="7424" max="7424" width="14.453125" style="65" bestFit="1" customWidth="1"/>
    <col min="7425" max="7425" width="13.1796875" style="65" bestFit="1" customWidth="1"/>
    <col min="7426" max="7426" width="8.54296875" style="65" bestFit="1" customWidth="1"/>
    <col min="7427" max="7428" width="8.54296875" style="65" customWidth="1"/>
    <col min="7429" max="7429" width="9.453125" style="65" customWidth="1"/>
    <col min="7430" max="7430" width="7.453125" style="65" bestFit="1" customWidth="1"/>
    <col min="7431" max="7432" width="10.54296875" style="65" bestFit="1" customWidth="1"/>
    <col min="7433" max="7672" width="9.1796875" style="65"/>
    <col min="7673" max="7673" width="29.1796875" style="65" customWidth="1"/>
    <col min="7674" max="7674" width="46.453125" style="65" customWidth="1"/>
    <col min="7675" max="7675" width="39.453125" style="65" customWidth="1"/>
    <col min="7676" max="7676" width="20.81640625" style="65" customWidth="1"/>
    <col min="7677" max="7677" width="19.453125" style="65" customWidth="1"/>
    <col min="7678" max="7678" width="11.81640625" style="65" customWidth="1"/>
    <col min="7679" max="7679" width="10.453125" style="65" customWidth="1"/>
    <col min="7680" max="7680" width="14.453125" style="65" bestFit="1" customWidth="1"/>
    <col min="7681" max="7681" width="13.1796875" style="65" bestFit="1" customWidth="1"/>
    <col min="7682" max="7682" width="8.54296875" style="65" bestFit="1" customWidth="1"/>
    <col min="7683" max="7684" width="8.54296875" style="65" customWidth="1"/>
    <col min="7685" max="7685" width="9.453125" style="65" customWidth="1"/>
    <col min="7686" max="7686" width="7.453125" style="65" bestFit="1" customWidth="1"/>
    <col min="7687" max="7688" width="10.54296875" style="65" bestFit="1" customWidth="1"/>
    <col min="7689" max="7928" width="9.1796875" style="65"/>
    <col min="7929" max="7929" width="29.1796875" style="65" customWidth="1"/>
    <col min="7930" max="7930" width="46.453125" style="65" customWidth="1"/>
    <col min="7931" max="7931" width="39.453125" style="65" customWidth="1"/>
    <col min="7932" max="7932" width="20.81640625" style="65" customWidth="1"/>
    <col min="7933" max="7933" width="19.453125" style="65" customWidth="1"/>
    <col min="7934" max="7934" width="11.81640625" style="65" customWidth="1"/>
    <col min="7935" max="7935" width="10.453125" style="65" customWidth="1"/>
    <col min="7936" max="7936" width="14.453125" style="65" bestFit="1" customWidth="1"/>
    <col min="7937" max="7937" width="13.1796875" style="65" bestFit="1" customWidth="1"/>
    <col min="7938" max="7938" width="8.54296875" style="65" bestFit="1" customWidth="1"/>
    <col min="7939" max="7940" width="8.54296875" style="65" customWidth="1"/>
    <col min="7941" max="7941" width="9.453125" style="65" customWidth="1"/>
    <col min="7942" max="7942" width="7.453125" style="65" bestFit="1" customWidth="1"/>
    <col min="7943" max="7944" width="10.54296875" style="65" bestFit="1" customWidth="1"/>
    <col min="7945" max="8184" width="9.1796875" style="65"/>
    <col min="8185" max="8185" width="29.1796875" style="65" customWidth="1"/>
    <col min="8186" max="8186" width="46.453125" style="65" customWidth="1"/>
    <col min="8187" max="8187" width="39.453125" style="65" customWidth="1"/>
    <col min="8188" max="8188" width="20.81640625" style="65" customWidth="1"/>
    <col min="8189" max="8189" width="19.453125" style="65" customWidth="1"/>
    <col min="8190" max="8190" width="11.81640625" style="65" customWidth="1"/>
    <col min="8191" max="8191" width="10.453125" style="65" customWidth="1"/>
    <col min="8192" max="8192" width="14.453125" style="65" bestFit="1" customWidth="1"/>
    <col min="8193" max="8193" width="13.1796875" style="65" bestFit="1" customWidth="1"/>
    <col min="8194" max="8194" width="8.54296875" style="65" bestFit="1" customWidth="1"/>
    <col min="8195" max="8196" width="8.54296875" style="65" customWidth="1"/>
    <col min="8197" max="8197" width="9.453125" style="65" customWidth="1"/>
    <col min="8198" max="8198" width="7.453125" style="65" bestFit="1" customWidth="1"/>
    <col min="8199" max="8200" width="10.54296875" style="65" bestFit="1" customWidth="1"/>
    <col min="8201" max="8440" width="9.1796875" style="65"/>
    <col min="8441" max="8441" width="29.1796875" style="65" customWidth="1"/>
    <col min="8442" max="8442" width="46.453125" style="65" customWidth="1"/>
    <col min="8443" max="8443" width="39.453125" style="65" customWidth="1"/>
    <col min="8444" max="8444" width="20.81640625" style="65" customWidth="1"/>
    <col min="8445" max="8445" width="19.453125" style="65" customWidth="1"/>
    <col min="8446" max="8446" width="11.81640625" style="65" customWidth="1"/>
    <col min="8447" max="8447" width="10.453125" style="65" customWidth="1"/>
    <col min="8448" max="8448" width="14.453125" style="65" bestFit="1" customWidth="1"/>
    <col min="8449" max="8449" width="13.1796875" style="65" bestFit="1" customWidth="1"/>
    <col min="8450" max="8450" width="8.54296875" style="65" bestFit="1" customWidth="1"/>
    <col min="8451" max="8452" width="8.54296875" style="65" customWidth="1"/>
    <col min="8453" max="8453" width="9.453125" style="65" customWidth="1"/>
    <col min="8454" max="8454" width="7.453125" style="65" bestFit="1" customWidth="1"/>
    <col min="8455" max="8456" width="10.54296875" style="65" bestFit="1" customWidth="1"/>
    <col min="8457" max="8696" width="9.1796875" style="65"/>
    <col min="8697" max="8697" width="29.1796875" style="65" customWidth="1"/>
    <col min="8698" max="8698" width="46.453125" style="65" customWidth="1"/>
    <col min="8699" max="8699" width="39.453125" style="65" customWidth="1"/>
    <col min="8700" max="8700" width="20.81640625" style="65" customWidth="1"/>
    <col min="8701" max="8701" width="19.453125" style="65" customWidth="1"/>
    <col min="8702" max="8702" width="11.81640625" style="65" customWidth="1"/>
    <col min="8703" max="8703" width="10.453125" style="65" customWidth="1"/>
    <col min="8704" max="8704" width="14.453125" style="65" bestFit="1" customWidth="1"/>
    <col min="8705" max="8705" width="13.1796875" style="65" bestFit="1" customWidth="1"/>
    <col min="8706" max="8706" width="8.54296875" style="65" bestFit="1" customWidth="1"/>
    <col min="8707" max="8708" width="8.54296875" style="65" customWidth="1"/>
    <col min="8709" max="8709" width="9.453125" style="65" customWidth="1"/>
    <col min="8710" max="8710" width="7.453125" style="65" bestFit="1" customWidth="1"/>
    <col min="8711" max="8712" width="10.54296875" style="65" bestFit="1" customWidth="1"/>
    <col min="8713" max="8952" width="9.1796875" style="65"/>
    <col min="8953" max="8953" width="29.1796875" style="65" customWidth="1"/>
    <col min="8954" max="8954" width="46.453125" style="65" customWidth="1"/>
    <col min="8955" max="8955" width="39.453125" style="65" customWidth="1"/>
    <col min="8956" max="8956" width="20.81640625" style="65" customWidth="1"/>
    <col min="8957" max="8957" width="19.453125" style="65" customWidth="1"/>
    <col min="8958" max="8958" width="11.81640625" style="65" customWidth="1"/>
    <col min="8959" max="8959" width="10.453125" style="65" customWidth="1"/>
    <col min="8960" max="8960" width="14.453125" style="65" bestFit="1" customWidth="1"/>
    <col min="8961" max="8961" width="13.1796875" style="65" bestFit="1" customWidth="1"/>
    <col min="8962" max="8962" width="8.54296875" style="65" bestFit="1" customWidth="1"/>
    <col min="8963" max="8964" width="8.54296875" style="65" customWidth="1"/>
    <col min="8965" max="8965" width="9.453125" style="65" customWidth="1"/>
    <col min="8966" max="8966" width="7.453125" style="65" bestFit="1" customWidth="1"/>
    <col min="8967" max="8968" width="10.54296875" style="65" bestFit="1" customWidth="1"/>
    <col min="8969" max="9208" width="9.1796875" style="65"/>
    <col min="9209" max="9209" width="29.1796875" style="65" customWidth="1"/>
    <col min="9210" max="9210" width="46.453125" style="65" customWidth="1"/>
    <col min="9211" max="9211" width="39.453125" style="65" customWidth="1"/>
    <col min="9212" max="9212" width="20.81640625" style="65" customWidth="1"/>
    <col min="9213" max="9213" width="19.453125" style="65" customWidth="1"/>
    <col min="9214" max="9214" width="11.81640625" style="65" customWidth="1"/>
    <col min="9215" max="9215" width="10.453125" style="65" customWidth="1"/>
    <col min="9216" max="9216" width="14.453125" style="65" bestFit="1" customWidth="1"/>
    <col min="9217" max="9217" width="13.1796875" style="65" bestFit="1" customWidth="1"/>
    <col min="9218" max="9218" width="8.54296875" style="65" bestFit="1" customWidth="1"/>
    <col min="9219" max="9220" width="8.54296875" style="65" customWidth="1"/>
    <col min="9221" max="9221" width="9.453125" style="65" customWidth="1"/>
    <col min="9222" max="9222" width="7.453125" style="65" bestFit="1" customWidth="1"/>
    <col min="9223" max="9224" width="10.54296875" style="65" bestFit="1" customWidth="1"/>
    <col min="9225" max="9464" width="9.1796875" style="65"/>
    <col min="9465" max="9465" width="29.1796875" style="65" customWidth="1"/>
    <col min="9466" max="9466" width="46.453125" style="65" customWidth="1"/>
    <col min="9467" max="9467" width="39.453125" style="65" customWidth="1"/>
    <col min="9468" max="9468" width="20.81640625" style="65" customWidth="1"/>
    <col min="9469" max="9469" width="19.453125" style="65" customWidth="1"/>
    <col min="9470" max="9470" width="11.81640625" style="65" customWidth="1"/>
    <col min="9471" max="9471" width="10.453125" style="65" customWidth="1"/>
    <col min="9472" max="9472" width="14.453125" style="65" bestFit="1" customWidth="1"/>
    <col min="9473" max="9473" width="13.1796875" style="65" bestFit="1" customWidth="1"/>
    <col min="9474" max="9474" width="8.54296875" style="65" bestFit="1" customWidth="1"/>
    <col min="9475" max="9476" width="8.54296875" style="65" customWidth="1"/>
    <col min="9477" max="9477" width="9.453125" style="65" customWidth="1"/>
    <col min="9478" max="9478" width="7.453125" style="65" bestFit="1" customWidth="1"/>
    <col min="9479" max="9480" width="10.54296875" style="65" bestFit="1" customWidth="1"/>
    <col min="9481" max="9720" width="9.1796875" style="65"/>
    <col min="9721" max="9721" width="29.1796875" style="65" customWidth="1"/>
    <col min="9722" max="9722" width="46.453125" style="65" customWidth="1"/>
    <col min="9723" max="9723" width="39.453125" style="65" customWidth="1"/>
    <col min="9724" max="9724" width="20.81640625" style="65" customWidth="1"/>
    <col min="9725" max="9725" width="19.453125" style="65" customWidth="1"/>
    <col min="9726" max="9726" width="11.81640625" style="65" customWidth="1"/>
    <col min="9727" max="9727" width="10.453125" style="65" customWidth="1"/>
    <col min="9728" max="9728" width="14.453125" style="65" bestFit="1" customWidth="1"/>
    <col min="9729" max="9729" width="13.1796875" style="65" bestFit="1" customWidth="1"/>
    <col min="9730" max="9730" width="8.54296875" style="65" bestFit="1" customWidth="1"/>
    <col min="9731" max="9732" width="8.54296875" style="65" customWidth="1"/>
    <col min="9733" max="9733" width="9.453125" style="65" customWidth="1"/>
    <col min="9734" max="9734" width="7.453125" style="65" bestFit="1" customWidth="1"/>
    <col min="9735" max="9736" width="10.54296875" style="65" bestFit="1" customWidth="1"/>
    <col min="9737" max="9976" width="9.1796875" style="65"/>
    <col min="9977" max="9977" width="29.1796875" style="65" customWidth="1"/>
    <col min="9978" max="9978" width="46.453125" style="65" customWidth="1"/>
    <col min="9979" max="9979" width="39.453125" style="65" customWidth="1"/>
    <col min="9980" max="9980" width="20.81640625" style="65" customWidth="1"/>
    <col min="9981" max="9981" width="19.453125" style="65" customWidth="1"/>
    <col min="9982" max="9982" width="11.81640625" style="65" customWidth="1"/>
    <col min="9983" max="9983" width="10.453125" style="65" customWidth="1"/>
    <col min="9984" max="9984" width="14.453125" style="65" bestFit="1" customWidth="1"/>
    <col min="9985" max="9985" width="13.1796875" style="65" bestFit="1" customWidth="1"/>
    <col min="9986" max="9986" width="8.54296875" style="65" bestFit="1" customWidth="1"/>
    <col min="9987" max="9988" width="8.54296875" style="65" customWidth="1"/>
    <col min="9989" max="9989" width="9.453125" style="65" customWidth="1"/>
    <col min="9990" max="9990" width="7.453125" style="65" bestFit="1" customWidth="1"/>
    <col min="9991" max="9992" width="10.54296875" style="65" bestFit="1" customWidth="1"/>
    <col min="9993" max="10232" width="9.1796875" style="65"/>
    <col min="10233" max="10233" width="29.1796875" style="65" customWidth="1"/>
    <col min="10234" max="10234" width="46.453125" style="65" customWidth="1"/>
    <col min="10235" max="10235" width="39.453125" style="65" customWidth="1"/>
    <col min="10236" max="10236" width="20.81640625" style="65" customWidth="1"/>
    <col min="10237" max="10237" width="19.453125" style="65" customWidth="1"/>
    <col min="10238" max="10238" width="11.81640625" style="65" customWidth="1"/>
    <col min="10239" max="10239" width="10.453125" style="65" customWidth="1"/>
    <col min="10240" max="10240" width="14.453125" style="65" bestFit="1" customWidth="1"/>
    <col min="10241" max="10241" width="13.1796875" style="65" bestFit="1" customWidth="1"/>
    <col min="10242" max="10242" width="8.54296875" style="65" bestFit="1" customWidth="1"/>
    <col min="10243" max="10244" width="8.54296875" style="65" customWidth="1"/>
    <col min="10245" max="10245" width="9.453125" style="65" customWidth="1"/>
    <col min="10246" max="10246" width="7.453125" style="65" bestFit="1" customWidth="1"/>
    <col min="10247" max="10248" width="10.54296875" style="65" bestFit="1" customWidth="1"/>
    <col min="10249" max="10488" width="9.1796875" style="65"/>
    <col min="10489" max="10489" width="29.1796875" style="65" customWidth="1"/>
    <col min="10490" max="10490" width="46.453125" style="65" customWidth="1"/>
    <col min="10491" max="10491" width="39.453125" style="65" customWidth="1"/>
    <col min="10492" max="10492" width="20.81640625" style="65" customWidth="1"/>
    <col min="10493" max="10493" width="19.453125" style="65" customWidth="1"/>
    <col min="10494" max="10494" width="11.81640625" style="65" customWidth="1"/>
    <col min="10495" max="10495" width="10.453125" style="65" customWidth="1"/>
    <col min="10496" max="10496" width="14.453125" style="65" bestFit="1" customWidth="1"/>
    <col min="10497" max="10497" width="13.1796875" style="65" bestFit="1" customWidth="1"/>
    <col min="10498" max="10498" width="8.54296875" style="65" bestFit="1" customWidth="1"/>
    <col min="10499" max="10500" width="8.54296875" style="65" customWidth="1"/>
    <col min="10501" max="10501" width="9.453125" style="65" customWidth="1"/>
    <col min="10502" max="10502" width="7.453125" style="65" bestFit="1" customWidth="1"/>
    <col min="10503" max="10504" width="10.54296875" style="65" bestFit="1" customWidth="1"/>
    <col min="10505" max="10744" width="9.1796875" style="65"/>
    <col min="10745" max="10745" width="29.1796875" style="65" customWidth="1"/>
    <col min="10746" max="10746" width="46.453125" style="65" customWidth="1"/>
    <col min="10747" max="10747" width="39.453125" style="65" customWidth="1"/>
    <col min="10748" max="10748" width="20.81640625" style="65" customWidth="1"/>
    <col min="10749" max="10749" width="19.453125" style="65" customWidth="1"/>
    <col min="10750" max="10750" width="11.81640625" style="65" customWidth="1"/>
    <col min="10751" max="10751" width="10.453125" style="65" customWidth="1"/>
    <col min="10752" max="10752" width="14.453125" style="65" bestFit="1" customWidth="1"/>
    <col min="10753" max="10753" width="13.1796875" style="65" bestFit="1" customWidth="1"/>
    <col min="10754" max="10754" width="8.54296875" style="65" bestFit="1" customWidth="1"/>
    <col min="10755" max="10756" width="8.54296875" style="65" customWidth="1"/>
    <col min="10757" max="10757" width="9.453125" style="65" customWidth="1"/>
    <col min="10758" max="10758" width="7.453125" style="65" bestFit="1" customWidth="1"/>
    <col min="10759" max="10760" width="10.54296875" style="65" bestFit="1" customWidth="1"/>
    <col min="10761" max="11000" width="9.1796875" style="65"/>
    <col min="11001" max="11001" width="29.1796875" style="65" customWidth="1"/>
    <col min="11002" max="11002" width="46.453125" style="65" customWidth="1"/>
    <col min="11003" max="11003" width="39.453125" style="65" customWidth="1"/>
    <col min="11004" max="11004" width="20.81640625" style="65" customWidth="1"/>
    <col min="11005" max="11005" width="19.453125" style="65" customWidth="1"/>
    <col min="11006" max="11006" width="11.81640625" style="65" customWidth="1"/>
    <col min="11007" max="11007" width="10.453125" style="65" customWidth="1"/>
    <col min="11008" max="11008" width="14.453125" style="65" bestFit="1" customWidth="1"/>
    <col min="11009" max="11009" width="13.1796875" style="65" bestFit="1" customWidth="1"/>
    <col min="11010" max="11010" width="8.54296875" style="65" bestFit="1" customWidth="1"/>
    <col min="11011" max="11012" width="8.54296875" style="65" customWidth="1"/>
    <col min="11013" max="11013" width="9.453125" style="65" customWidth="1"/>
    <col min="11014" max="11014" width="7.453125" style="65" bestFit="1" customWidth="1"/>
    <col min="11015" max="11016" width="10.54296875" style="65" bestFit="1" customWidth="1"/>
    <col min="11017" max="11256" width="9.1796875" style="65"/>
    <col min="11257" max="11257" width="29.1796875" style="65" customWidth="1"/>
    <col min="11258" max="11258" width="46.453125" style="65" customWidth="1"/>
    <col min="11259" max="11259" width="39.453125" style="65" customWidth="1"/>
    <col min="11260" max="11260" width="20.81640625" style="65" customWidth="1"/>
    <col min="11261" max="11261" width="19.453125" style="65" customWidth="1"/>
    <col min="11262" max="11262" width="11.81640625" style="65" customWidth="1"/>
    <col min="11263" max="11263" width="10.453125" style="65" customWidth="1"/>
    <col min="11264" max="11264" width="14.453125" style="65" bestFit="1" customWidth="1"/>
    <col min="11265" max="11265" width="13.1796875" style="65" bestFit="1" customWidth="1"/>
    <col min="11266" max="11266" width="8.54296875" style="65" bestFit="1" customWidth="1"/>
    <col min="11267" max="11268" width="8.54296875" style="65" customWidth="1"/>
    <col min="11269" max="11269" width="9.453125" style="65" customWidth="1"/>
    <col min="11270" max="11270" width="7.453125" style="65" bestFit="1" customWidth="1"/>
    <col min="11271" max="11272" width="10.54296875" style="65" bestFit="1" customWidth="1"/>
    <col min="11273" max="11512" width="9.1796875" style="65"/>
    <col min="11513" max="11513" width="29.1796875" style="65" customWidth="1"/>
    <col min="11514" max="11514" width="46.453125" style="65" customWidth="1"/>
    <col min="11515" max="11515" width="39.453125" style="65" customWidth="1"/>
    <col min="11516" max="11516" width="20.81640625" style="65" customWidth="1"/>
    <col min="11517" max="11517" width="19.453125" style="65" customWidth="1"/>
    <col min="11518" max="11518" width="11.81640625" style="65" customWidth="1"/>
    <col min="11519" max="11519" width="10.453125" style="65" customWidth="1"/>
    <col min="11520" max="11520" width="14.453125" style="65" bestFit="1" customWidth="1"/>
    <col min="11521" max="11521" width="13.1796875" style="65" bestFit="1" customWidth="1"/>
    <col min="11522" max="11522" width="8.54296875" style="65" bestFit="1" customWidth="1"/>
    <col min="11523" max="11524" width="8.54296875" style="65" customWidth="1"/>
    <col min="11525" max="11525" width="9.453125" style="65" customWidth="1"/>
    <col min="11526" max="11526" width="7.453125" style="65" bestFit="1" customWidth="1"/>
    <col min="11527" max="11528" width="10.54296875" style="65" bestFit="1" customWidth="1"/>
    <col min="11529" max="11768" width="9.1796875" style="65"/>
    <col min="11769" max="11769" width="29.1796875" style="65" customWidth="1"/>
    <col min="11770" max="11770" width="46.453125" style="65" customWidth="1"/>
    <col min="11771" max="11771" width="39.453125" style="65" customWidth="1"/>
    <col min="11772" max="11772" width="20.81640625" style="65" customWidth="1"/>
    <col min="11773" max="11773" width="19.453125" style="65" customWidth="1"/>
    <col min="11774" max="11774" width="11.81640625" style="65" customWidth="1"/>
    <col min="11775" max="11775" width="10.453125" style="65" customWidth="1"/>
    <col min="11776" max="11776" width="14.453125" style="65" bestFit="1" customWidth="1"/>
    <col min="11777" max="11777" width="13.1796875" style="65" bestFit="1" customWidth="1"/>
    <col min="11778" max="11778" width="8.54296875" style="65" bestFit="1" customWidth="1"/>
    <col min="11779" max="11780" width="8.54296875" style="65" customWidth="1"/>
    <col min="11781" max="11781" width="9.453125" style="65" customWidth="1"/>
    <col min="11782" max="11782" width="7.453125" style="65" bestFit="1" customWidth="1"/>
    <col min="11783" max="11784" width="10.54296875" style="65" bestFit="1" customWidth="1"/>
    <col min="11785" max="12024" width="9.1796875" style="65"/>
    <col min="12025" max="12025" width="29.1796875" style="65" customWidth="1"/>
    <col min="12026" max="12026" width="46.453125" style="65" customWidth="1"/>
    <col min="12027" max="12027" width="39.453125" style="65" customWidth="1"/>
    <col min="12028" max="12028" width="20.81640625" style="65" customWidth="1"/>
    <col min="12029" max="12029" width="19.453125" style="65" customWidth="1"/>
    <col min="12030" max="12030" width="11.81640625" style="65" customWidth="1"/>
    <col min="12031" max="12031" width="10.453125" style="65" customWidth="1"/>
    <col min="12032" max="12032" width="14.453125" style="65" bestFit="1" customWidth="1"/>
    <col min="12033" max="12033" width="13.1796875" style="65" bestFit="1" customWidth="1"/>
    <col min="12034" max="12034" width="8.54296875" style="65" bestFit="1" customWidth="1"/>
    <col min="12035" max="12036" width="8.54296875" style="65" customWidth="1"/>
    <col min="12037" max="12037" width="9.453125" style="65" customWidth="1"/>
    <col min="12038" max="12038" width="7.453125" style="65" bestFit="1" customWidth="1"/>
    <col min="12039" max="12040" width="10.54296875" style="65" bestFit="1" customWidth="1"/>
    <col min="12041" max="12280" width="9.1796875" style="65"/>
    <col min="12281" max="12281" width="29.1796875" style="65" customWidth="1"/>
    <col min="12282" max="12282" width="46.453125" style="65" customWidth="1"/>
    <col min="12283" max="12283" width="39.453125" style="65" customWidth="1"/>
    <col min="12284" max="12284" width="20.81640625" style="65" customWidth="1"/>
    <col min="12285" max="12285" width="19.453125" style="65" customWidth="1"/>
    <col min="12286" max="12286" width="11.81640625" style="65" customWidth="1"/>
    <col min="12287" max="12287" width="10.453125" style="65" customWidth="1"/>
    <col min="12288" max="12288" width="14.453125" style="65" bestFit="1" customWidth="1"/>
    <col min="12289" max="12289" width="13.1796875" style="65" bestFit="1" customWidth="1"/>
    <col min="12290" max="12290" width="8.54296875" style="65" bestFit="1" customWidth="1"/>
    <col min="12291" max="12292" width="8.54296875" style="65" customWidth="1"/>
    <col min="12293" max="12293" width="9.453125" style="65" customWidth="1"/>
    <col min="12294" max="12294" width="7.453125" style="65" bestFit="1" customWidth="1"/>
    <col min="12295" max="12296" width="10.54296875" style="65" bestFit="1" customWidth="1"/>
    <col min="12297" max="12536" width="9.1796875" style="65"/>
    <col min="12537" max="12537" width="29.1796875" style="65" customWidth="1"/>
    <col min="12538" max="12538" width="46.453125" style="65" customWidth="1"/>
    <col min="12539" max="12539" width="39.453125" style="65" customWidth="1"/>
    <col min="12540" max="12540" width="20.81640625" style="65" customWidth="1"/>
    <col min="12541" max="12541" width="19.453125" style="65" customWidth="1"/>
    <col min="12542" max="12542" width="11.81640625" style="65" customWidth="1"/>
    <col min="12543" max="12543" width="10.453125" style="65" customWidth="1"/>
    <col min="12544" max="12544" width="14.453125" style="65" bestFit="1" customWidth="1"/>
    <col min="12545" max="12545" width="13.1796875" style="65" bestFit="1" customWidth="1"/>
    <col min="12546" max="12546" width="8.54296875" style="65" bestFit="1" customWidth="1"/>
    <col min="12547" max="12548" width="8.54296875" style="65" customWidth="1"/>
    <col min="12549" max="12549" width="9.453125" style="65" customWidth="1"/>
    <col min="12550" max="12550" width="7.453125" style="65" bestFit="1" customWidth="1"/>
    <col min="12551" max="12552" width="10.54296875" style="65" bestFit="1" customWidth="1"/>
    <col min="12553" max="12792" width="9.1796875" style="65"/>
    <col min="12793" max="12793" width="29.1796875" style="65" customWidth="1"/>
    <col min="12794" max="12794" width="46.453125" style="65" customWidth="1"/>
    <col min="12795" max="12795" width="39.453125" style="65" customWidth="1"/>
    <col min="12796" max="12796" width="20.81640625" style="65" customWidth="1"/>
    <col min="12797" max="12797" width="19.453125" style="65" customWidth="1"/>
    <col min="12798" max="12798" width="11.81640625" style="65" customWidth="1"/>
    <col min="12799" max="12799" width="10.453125" style="65" customWidth="1"/>
    <col min="12800" max="12800" width="14.453125" style="65" bestFit="1" customWidth="1"/>
    <col min="12801" max="12801" width="13.1796875" style="65" bestFit="1" customWidth="1"/>
    <col min="12802" max="12802" width="8.54296875" style="65" bestFit="1" customWidth="1"/>
    <col min="12803" max="12804" width="8.54296875" style="65" customWidth="1"/>
    <col min="12805" max="12805" width="9.453125" style="65" customWidth="1"/>
    <col min="12806" max="12806" width="7.453125" style="65" bestFit="1" customWidth="1"/>
    <col min="12807" max="12808" width="10.54296875" style="65" bestFit="1" customWidth="1"/>
    <col min="12809" max="13048" width="9.1796875" style="65"/>
    <col min="13049" max="13049" width="29.1796875" style="65" customWidth="1"/>
    <col min="13050" max="13050" width="46.453125" style="65" customWidth="1"/>
    <col min="13051" max="13051" width="39.453125" style="65" customWidth="1"/>
    <col min="13052" max="13052" width="20.81640625" style="65" customWidth="1"/>
    <col min="13053" max="13053" width="19.453125" style="65" customWidth="1"/>
    <col min="13054" max="13054" width="11.81640625" style="65" customWidth="1"/>
    <col min="13055" max="13055" width="10.453125" style="65" customWidth="1"/>
    <col min="13056" max="13056" width="14.453125" style="65" bestFit="1" customWidth="1"/>
    <col min="13057" max="13057" width="13.1796875" style="65" bestFit="1" customWidth="1"/>
    <col min="13058" max="13058" width="8.54296875" style="65" bestFit="1" customWidth="1"/>
    <col min="13059" max="13060" width="8.54296875" style="65" customWidth="1"/>
    <col min="13061" max="13061" width="9.453125" style="65" customWidth="1"/>
    <col min="13062" max="13062" width="7.453125" style="65" bestFit="1" customWidth="1"/>
    <col min="13063" max="13064" width="10.54296875" style="65" bestFit="1" customWidth="1"/>
    <col min="13065" max="13304" width="9.1796875" style="65"/>
    <col min="13305" max="13305" width="29.1796875" style="65" customWidth="1"/>
    <col min="13306" max="13306" width="46.453125" style="65" customWidth="1"/>
    <col min="13307" max="13307" width="39.453125" style="65" customWidth="1"/>
    <col min="13308" max="13308" width="20.81640625" style="65" customWidth="1"/>
    <col min="13309" max="13309" width="19.453125" style="65" customWidth="1"/>
    <col min="13310" max="13310" width="11.81640625" style="65" customWidth="1"/>
    <col min="13311" max="13311" width="10.453125" style="65" customWidth="1"/>
    <col min="13312" max="13312" width="14.453125" style="65" bestFit="1" customWidth="1"/>
    <col min="13313" max="13313" width="13.1796875" style="65" bestFit="1" customWidth="1"/>
    <col min="13314" max="13314" width="8.54296875" style="65" bestFit="1" customWidth="1"/>
    <col min="13315" max="13316" width="8.54296875" style="65" customWidth="1"/>
    <col min="13317" max="13317" width="9.453125" style="65" customWidth="1"/>
    <col min="13318" max="13318" width="7.453125" style="65" bestFit="1" customWidth="1"/>
    <col min="13319" max="13320" width="10.54296875" style="65" bestFit="1" customWidth="1"/>
    <col min="13321" max="13560" width="9.1796875" style="65"/>
    <col min="13561" max="13561" width="29.1796875" style="65" customWidth="1"/>
    <col min="13562" max="13562" width="46.453125" style="65" customWidth="1"/>
    <col min="13563" max="13563" width="39.453125" style="65" customWidth="1"/>
    <col min="13564" max="13564" width="20.81640625" style="65" customWidth="1"/>
    <col min="13565" max="13565" width="19.453125" style="65" customWidth="1"/>
    <col min="13566" max="13566" width="11.81640625" style="65" customWidth="1"/>
    <col min="13567" max="13567" width="10.453125" style="65" customWidth="1"/>
    <col min="13568" max="13568" width="14.453125" style="65" bestFit="1" customWidth="1"/>
    <col min="13569" max="13569" width="13.1796875" style="65" bestFit="1" customWidth="1"/>
    <col min="13570" max="13570" width="8.54296875" style="65" bestFit="1" customWidth="1"/>
    <col min="13571" max="13572" width="8.54296875" style="65" customWidth="1"/>
    <col min="13573" max="13573" width="9.453125" style="65" customWidth="1"/>
    <col min="13574" max="13574" width="7.453125" style="65" bestFit="1" customWidth="1"/>
    <col min="13575" max="13576" width="10.54296875" style="65" bestFit="1" customWidth="1"/>
    <col min="13577" max="13816" width="9.1796875" style="65"/>
    <col min="13817" max="13817" width="29.1796875" style="65" customWidth="1"/>
    <col min="13818" max="13818" width="46.453125" style="65" customWidth="1"/>
    <col min="13819" max="13819" width="39.453125" style="65" customWidth="1"/>
    <col min="13820" max="13820" width="20.81640625" style="65" customWidth="1"/>
    <col min="13821" max="13821" width="19.453125" style="65" customWidth="1"/>
    <col min="13822" max="13822" width="11.81640625" style="65" customWidth="1"/>
    <col min="13823" max="13823" width="10.453125" style="65" customWidth="1"/>
    <col min="13824" max="13824" width="14.453125" style="65" bestFit="1" customWidth="1"/>
    <col min="13825" max="13825" width="13.1796875" style="65" bestFit="1" customWidth="1"/>
    <col min="13826" max="13826" width="8.54296875" style="65" bestFit="1" customWidth="1"/>
    <col min="13827" max="13828" width="8.54296875" style="65" customWidth="1"/>
    <col min="13829" max="13829" width="9.453125" style="65" customWidth="1"/>
    <col min="13830" max="13830" width="7.453125" style="65" bestFit="1" customWidth="1"/>
    <col min="13831" max="13832" width="10.54296875" style="65" bestFit="1" customWidth="1"/>
    <col min="13833" max="14072" width="9.1796875" style="65"/>
    <col min="14073" max="14073" width="29.1796875" style="65" customWidth="1"/>
    <col min="14074" max="14074" width="46.453125" style="65" customWidth="1"/>
    <col min="14075" max="14075" width="39.453125" style="65" customWidth="1"/>
    <col min="14076" max="14076" width="20.81640625" style="65" customWidth="1"/>
    <col min="14077" max="14077" width="19.453125" style="65" customWidth="1"/>
    <col min="14078" max="14078" width="11.81640625" style="65" customWidth="1"/>
    <col min="14079" max="14079" width="10.453125" style="65" customWidth="1"/>
    <col min="14080" max="14080" width="14.453125" style="65" bestFit="1" customWidth="1"/>
    <col min="14081" max="14081" width="13.1796875" style="65" bestFit="1" customWidth="1"/>
    <col min="14082" max="14082" width="8.54296875" style="65" bestFit="1" customWidth="1"/>
    <col min="14083" max="14084" width="8.54296875" style="65" customWidth="1"/>
    <col min="14085" max="14085" width="9.453125" style="65" customWidth="1"/>
    <col min="14086" max="14086" width="7.453125" style="65" bestFit="1" customWidth="1"/>
    <col min="14087" max="14088" width="10.54296875" style="65" bestFit="1" customWidth="1"/>
    <col min="14089" max="14328" width="9.1796875" style="65"/>
    <col min="14329" max="14329" width="29.1796875" style="65" customWidth="1"/>
    <col min="14330" max="14330" width="46.453125" style="65" customWidth="1"/>
    <col min="14331" max="14331" width="39.453125" style="65" customWidth="1"/>
    <col min="14332" max="14332" width="20.81640625" style="65" customWidth="1"/>
    <col min="14333" max="14333" width="19.453125" style="65" customWidth="1"/>
    <col min="14334" max="14334" width="11.81640625" style="65" customWidth="1"/>
    <col min="14335" max="14335" width="10.453125" style="65" customWidth="1"/>
    <col min="14336" max="14336" width="14.453125" style="65" bestFit="1" customWidth="1"/>
    <col min="14337" max="14337" width="13.1796875" style="65" bestFit="1" customWidth="1"/>
    <col min="14338" max="14338" width="8.54296875" style="65" bestFit="1" customWidth="1"/>
    <col min="14339" max="14340" width="8.54296875" style="65" customWidth="1"/>
    <col min="14341" max="14341" width="9.453125" style="65" customWidth="1"/>
    <col min="14342" max="14342" width="7.453125" style="65" bestFit="1" customWidth="1"/>
    <col min="14343" max="14344" width="10.54296875" style="65" bestFit="1" customWidth="1"/>
    <col min="14345" max="14584" width="9.1796875" style="65"/>
    <col min="14585" max="14585" width="29.1796875" style="65" customWidth="1"/>
    <col min="14586" max="14586" width="46.453125" style="65" customWidth="1"/>
    <col min="14587" max="14587" width="39.453125" style="65" customWidth="1"/>
    <col min="14588" max="14588" width="20.81640625" style="65" customWidth="1"/>
    <col min="14589" max="14589" width="19.453125" style="65" customWidth="1"/>
    <col min="14590" max="14590" width="11.81640625" style="65" customWidth="1"/>
    <col min="14591" max="14591" width="10.453125" style="65" customWidth="1"/>
    <col min="14592" max="14592" width="14.453125" style="65" bestFit="1" customWidth="1"/>
    <col min="14593" max="14593" width="13.1796875" style="65" bestFit="1" customWidth="1"/>
    <col min="14594" max="14594" width="8.54296875" style="65" bestFit="1" customWidth="1"/>
    <col min="14595" max="14596" width="8.54296875" style="65" customWidth="1"/>
    <col min="14597" max="14597" width="9.453125" style="65" customWidth="1"/>
    <col min="14598" max="14598" width="7.453125" style="65" bestFit="1" customWidth="1"/>
    <col min="14599" max="14600" width="10.54296875" style="65" bestFit="1" customWidth="1"/>
    <col min="14601" max="14840" width="9.1796875" style="65"/>
    <col min="14841" max="14841" width="29.1796875" style="65" customWidth="1"/>
    <col min="14842" max="14842" width="46.453125" style="65" customWidth="1"/>
    <col min="14843" max="14843" width="39.453125" style="65" customWidth="1"/>
    <col min="14844" max="14844" width="20.81640625" style="65" customWidth="1"/>
    <col min="14845" max="14845" width="19.453125" style="65" customWidth="1"/>
    <col min="14846" max="14846" width="11.81640625" style="65" customWidth="1"/>
    <col min="14847" max="14847" width="10.453125" style="65" customWidth="1"/>
    <col min="14848" max="14848" width="14.453125" style="65" bestFit="1" customWidth="1"/>
    <col min="14849" max="14849" width="13.1796875" style="65" bestFit="1" customWidth="1"/>
    <col min="14850" max="14850" width="8.54296875" style="65" bestFit="1" customWidth="1"/>
    <col min="14851" max="14852" width="8.54296875" style="65" customWidth="1"/>
    <col min="14853" max="14853" width="9.453125" style="65" customWidth="1"/>
    <col min="14854" max="14854" width="7.453125" style="65" bestFit="1" customWidth="1"/>
    <col min="14855" max="14856" width="10.54296875" style="65" bestFit="1" customWidth="1"/>
    <col min="14857" max="15096" width="9.1796875" style="65"/>
    <col min="15097" max="15097" width="29.1796875" style="65" customWidth="1"/>
    <col min="15098" max="15098" width="46.453125" style="65" customWidth="1"/>
    <col min="15099" max="15099" width="39.453125" style="65" customWidth="1"/>
    <col min="15100" max="15100" width="20.81640625" style="65" customWidth="1"/>
    <col min="15101" max="15101" width="19.453125" style="65" customWidth="1"/>
    <col min="15102" max="15102" width="11.81640625" style="65" customWidth="1"/>
    <col min="15103" max="15103" width="10.453125" style="65" customWidth="1"/>
    <col min="15104" max="15104" width="14.453125" style="65" bestFit="1" customWidth="1"/>
    <col min="15105" max="15105" width="13.1796875" style="65" bestFit="1" customWidth="1"/>
    <col min="15106" max="15106" width="8.54296875" style="65" bestFit="1" customWidth="1"/>
    <col min="15107" max="15108" width="8.54296875" style="65" customWidth="1"/>
    <col min="15109" max="15109" width="9.453125" style="65" customWidth="1"/>
    <col min="15110" max="15110" width="7.453125" style="65" bestFit="1" customWidth="1"/>
    <col min="15111" max="15112" width="10.54296875" style="65" bestFit="1" customWidth="1"/>
    <col min="15113" max="15352" width="9.1796875" style="65"/>
    <col min="15353" max="15353" width="29.1796875" style="65" customWidth="1"/>
    <col min="15354" max="15354" width="46.453125" style="65" customWidth="1"/>
    <col min="15355" max="15355" width="39.453125" style="65" customWidth="1"/>
    <col min="15356" max="15356" width="20.81640625" style="65" customWidth="1"/>
    <col min="15357" max="15357" width="19.453125" style="65" customWidth="1"/>
    <col min="15358" max="15358" width="11.81640625" style="65" customWidth="1"/>
    <col min="15359" max="15359" width="10.453125" style="65" customWidth="1"/>
    <col min="15360" max="15360" width="14.453125" style="65" bestFit="1" customWidth="1"/>
    <col min="15361" max="15361" width="13.1796875" style="65" bestFit="1" customWidth="1"/>
    <col min="15362" max="15362" width="8.54296875" style="65" bestFit="1" customWidth="1"/>
    <col min="15363" max="15364" width="8.54296875" style="65" customWidth="1"/>
    <col min="15365" max="15365" width="9.453125" style="65" customWidth="1"/>
    <col min="15366" max="15366" width="7.453125" style="65" bestFit="1" customWidth="1"/>
    <col min="15367" max="15368" width="10.54296875" style="65" bestFit="1" customWidth="1"/>
    <col min="15369" max="15608" width="9.1796875" style="65"/>
    <col min="15609" max="15609" width="29.1796875" style="65" customWidth="1"/>
    <col min="15610" max="15610" width="46.453125" style="65" customWidth="1"/>
    <col min="15611" max="15611" width="39.453125" style="65" customWidth="1"/>
    <col min="15612" max="15612" width="20.81640625" style="65" customWidth="1"/>
    <col min="15613" max="15613" width="19.453125" style="65" customWidth="1"/>
    <col min="15614" max="15614" width="11.81640625" style="65" customWidth="1"/>
    <col min="15615" max="15615" width="10.453125" style="65" customWidth="1"/>
    <col min="15616" max="15616" width="14.453125" style="65" bestFit="1" customWidth="1"/>
    <col min="15617" max="15617" width="13.1796875" style="65" bestFit="1" customWidth="1"/>
    <col min="15618" max="15618" width="8.54296875" style="65" bestFit="1" customWidth="1"/>
    <col min="15619" max="15620" width="8.54296875" style="65" customWidth="1"/>
    <col min="15621" max="15621" width="9.453125" style="65" customWidth="1"/>
    <col min="15622" max="15622" width="7.453125" style="65" bestFit="1" customWidth="1"/>
    <col min="15623" max="15624" width="10.54296875" style="65" bestFit="1" customWidth="1"/>
    <col min="15625" max="15864" width="9.1796875" style="65"/>
    <col min="15865" max="15865" width="29.1796875" style="65" customWidth="1"/>
    <col min="15866" max="15866" width="46.453125" style="65" customWidth="1"/>
    <col min="15867" max="15867" width="39.453125" style="65" customWidth="1"/>
    <col min="15868" max="15868" width="20.81640625" style="65" customWidth="1"/>
    <col min="15869" max="15869" width="19.453125" style="65" customWidth="1"/>
    <col min="15870" max="15870" width="11.81640625" style="65" customWidth="1"/>
    <col min="15871" max="15871" width="10.453125" style="65" customWidth="1"/>
    <col min="15872" max="15872" width="14.453125" style="65" bestFit="1" customWidth="1"/>
    <col min="15873" max="15873" width="13.1796875" style="65" bestFit="1" customWidth="1"/>
    <col min="15874" max="15874" width="8.54296875" style="65" bestFit="1" customWidth="1"/>
    <col min="15875" max="15876" width="8.54296875" style="65" customWidth="1"/>
    <col min="15877" max="15877" width="9.453125" style="65" customWidth="1"/>
    <col min="15878" max="15878" width="7.453125" style="65" bestFit="1" customWidth="1"/>
    <col min="15879" max="15880" width="10.54296875" style="65" bestFit="1" customWidth="1"/>
    <col min="15881" max="16120" width="9.1796875" style="65"/>
    <col min="16121" max="16121" width="29.1796875" style="65" customWidth="1"/>
    <col min="16122" max="16122" width="46.453125" style="65" customWidth="1"/>
    <col min="16123" max="16123" width="39.453125" style="65" customWidth="1"/>
    <col min="16124" max="16124" width="20.81640625" style="65" customWidth="1"/>
    <col min="16125" max="16125" width="19.453125" style="65" customWidth="1"/>
    <col min="16126" max="16126" width="11.81640625" style="65" customWidth="1"/>
    <col min="16127" max="16127" width="10.453125" style="65" customWidth="1"/>
    <col min="16128" max="16128" width="14.453125" style="65" bestFit="1" customWidth="1"/>
    <col min="16129" max="16129" width="13.1796875" style="65" bestFit="1" customWidth="1"/>
    <col min="16130" max="16130" width="8.54296875" style="65" bestFit="1" customWidth="1"/>
    <col min="16131" max="16132" width="8.54296875" style="65" customWidth="1"/>
    <col min="16133" max="16133" width="9.453125" style="65" customWidth="1"/>
    <col min="16134" max="16134" width="7.453125" style="65" bestFit="1" customWidth="1"/>
    <col min="16135" max="16136" width="10.54296875" style="65" bestFit="1" customWidth="1"/>
    <col min="16137" max="16384" width="9.1796875" style="65"/>
  </cols>
  <sheetData>
    <row r="1" spans="2:22" ht="17.5">
      <c r="B1" s="63" t="s">
        <v>132</v>
      </c>
      <c r="C1" s="63"/>
      <c r="D1" s="63"/>
      <c r="E1" s="64"/>
      <c r="F1" s="64"/>
    </row>
    <row r="2" spans="2:22" ht="13">
      <c r="C2" s="66"/>
      <c r="E2" s="64"/>
      <c r="F2" s="64"/>
    </row>
    <row r="3" spans="2:22" ht="13">
      <c r="E3" s="64" t="s">
        <v>488</v>
      </c>
      <c r="F3" s="64"/>
    </row>
    <row r="4" spans="2:22" ht="39">
      <c r="B4" s="67" t="s">
        <v>77</v>
      </c>
      <c r="C4" s="67" t="s">
        <v>648</v>
      </c>
      <c r="D4" s="67" t="s">
        <v>133</v>
      </c>
      <c r="E4" s="67" t="s">
        <v>134</v>
      </c>
      <c r="F4" s="67" t="s">
        <v>135</v>
      </c>
      <c r="G4" s="67" t="s">
        <v>136</v>
      </c>
      <c r="H4" s="189" t="s">
        <v>461</v>
      </c>
      <c r="I4" s="67" t="s">
        <v>462</v>
      </c>
      <c r="J4" s="67" t="s">
        <v>463</v>
      </c>
      <c r="K4" s="67" t="s">
        <v>464</v>
      </c>
      <c r="L4" s="67" t="s">
        <v>465</v>
      </c>
      <c r="M4" s="67" t="s">
        <v>466</v>
      </c>
      <c r="N4" s="67" t="s">
        <v>467</v>
      </c>
      <c r="O4" s="189" t="s">
        <v>468</v>
      </c>
      <c r="P4" s="67" t="s">
        <v>469</v>
      </c>
      <c r="Q4" s="67" t="s">
        <v>470</v>
      </c>
      <c r="R4" s="67" t="s">
        <v>471</v>
      </c>
      <c r="S4" s="67" t="s">
        <v>472</v>
      </c>
      <c r="T4" s="67" t="s">
        <v>473</v>
      </c>
      <c r="U4" s="67" t="s">
        <v>474</v>
      </c>
      <c r="V4" s="190" t="s">
        <v>475</v>
      </c>
    </row>
    <row r="5" spans="2:22" ht="13" thickBot="1">
      <c r="B5" s="68" t="s">
        <v>137</v>
      </c>
      <c r="C5" s="68"/>
      <c r="D5" s="68"/>
      <c r="E5" s="68"/>
      <c r="F5" s="68"/>
      <c r="G5" s="68"/>
      <c r="H5" s="191" t="s">
        <v>476</v>
      </c>
      <c r="I5" s="68" t="s">
        <v>476</v>
      </c>
      <c r="J5" s="68" t="s">
        <v>476</v>
      </c>
      <c r="K5" s="68" t="s">
        <v>476</v>
      </c>
      <c r="L5" s="68" t="s">
        <v>476</v>
      </c>
      <c r="M5" s="68" t="s">
        <v>476</v>
      </c>
      <c r="N5" s="68" t="s">
        <v>476</v>
      </c>
      <c r="O5" s="191" t="s">
        <v>476</v>
      </c>
      <c r="P5" s="68" t="s">
        <v>476</v>
      </c>
      <c r="Q5" s="68" t="s">
        <v>476</v>
      </c>
      <c r="R5" s="68" t="s">
        <v>476</v>
      </c>
      <c r="S5" s="68" t="s">
        <v>476</v>
      </c>
      <c r="T5" s="68" t="s">
        <v>476</v>
      </c>
      <c r="U5" s="68" t="s">
        <v>476</v>
      </c>
      <c r="V5" s="191" t="s">
        <v>476</v>
      </c>
    </row>
    <row r="6" spans="2:22" ht="17.5" customHeight="1">
      <c r="B6" s="84" t="str">
        <f>SEC_Processes!D9</f>
        <v>SECTF_AGR_HC</v>
      </c>
      <c r="C6" s="84" t="str">
        <f>SEC_Processes!E9</f>
        <v>Sector fuel - Hard Coal</v>
      </c>
      <c r="D6" s="86" t="s">
        <v>138</v>
      </c>
      <c r="F6" s="83">
        <v>1</v>
      </c>
      <c r="G6" s="83"/>
      <c r="H6" s="199"/>
      <c r="I6" s="200"/>
      <c r="J6" s="200"/>
      <c r="K6" s="200"/>
      <c r="L6" s="200"/>
      <c r="M6" s="200"/>
      <c r="N6" s="200"/>
      <c r="O6" s="199"/>
      <c r="P6" s="200"/>
      <c r="Q6" s="200"/>
      <c r="R6" s="200"/>
      <c r="S6" s="200"/>
      <c r="T6" s="200"/>
      <c r="U6" s="200"/>
      <c r="V6" s="192"/>
    </row>
    <row r="7" spans="2:22" ht="17.5" customHeight="1">
      <c r="B7" s="85"/>
      <c r="C7" s="85"/>
      <c r="D7" s="80"/>
      <c r="E7" s="70" t="str">
        <f>SEC_Comm!D9</f>
        <v>AGR_HC</v>
      </c>
      <c r="F7" s="69"/>
      <c r="G7" s="69"/>
      <c r="H7" s="201"/>
      <c r="I7" s="202"/>
      <c r="J7" s="202"/>
      <c r="K7" s="202"/>
      <c r="L7" s="202"/>
      <c r="M7" s="202"/>
      <c r="N7" s="202"/>
      <c r="O7" s="201">
        <v>7.81</v>
      </c>
      <c r="P7" s="202">
        <f>O7</f>
        <v>7.81</v>
      </c>
      <c r="Q7" s="202">
        <f t="shared" ref="Q7:U7" si="0">P7</f>
        <v>7.81</v>
      </c>
      <c r="R7" s="202">
        <f t="shared" si="0"/>
        <v>7.81</v>
      </c>
      <c r="S7" s="202">
        <f t="shared" si="0"/>
        <v>7.81</v>
      </c>
      <c r="T7" s="202">
        <f t="shared" si="0"/>
        <v>7.81</v>
      </c>
      <c r="U7" s="202">
        <f t="shared" si="0"/>
        <v>7.81</v>
      </c>
      <c r="V7" s="193"/>
    </row>
    <row r="8" spans="2:22" ht="17.5" customHeight="1">
      <c r="B8" s="87" t="str">
        <f>SEC_Processes!D10</f>
        <v>SECTF_AGR_BC</v>
      </c>
      <c r="C8" s="87" t="str">
        <f>SEC_Processes!E10</f>
        <v>Sector fuel - Brown Coal</v>
      </c>
      <c r="D8" s="90" t="s">
        <v>139</v>
      </c>
      <c r="E8" s="90"/>
      <c r="F8" s="89">
        <v>1</v>
      </c>
      <c r="G8" s="89"/>
      <c r="H8" s="203"/>
      <c r="I8" s="204"/>
      <c r="J8" s="204"/>
      <c r="K8" s="204"/>
      <c r="L8" s="204"/>
      <c r="M8" s="204"/>
      <c r="N8" s="204"/>
      <c r="O8" s="203"/>
      <c r="P8" s="204"/>
      <c r="Q8" s="204"/>
      <c r="R8" s="204"/>
      <c r="S8" s="204"/>
      <c r="T8" s="204"/>
      <c r="U8" s="204"/>
      <c r="V8" s="194"/>
    </row>
    <row r="9" spans="2:22" ht="17.5" customHeight="1">
      <c r="B9" s="87"/>
      <c r="C9" s="87"/>
      <c r="D9" s="90"/>
      <c r="E9" s="88" t="str">
        <f>SEC_Comm!D10</f>
        <v>AGR_BC</v>
      </c>
      <c r="F9" s="89"/>
      <c r="G9" s="89"/>
      <c r="H9" s="203"/>
      <c r="I9" s="204"/>
      <c r="J9" s="204"/>
      <c r="K9" s="204"/>
      <c r="L9" s="204"/>
      <c r="M9" s="204"/>
      <c r="N9" s="204"/>
      <c r="O9" s="203"/>
      <c r="P9" s="204"/>
      <c r="Q9" s="204"/>
      <c r="R9" s="204"/>
      <c r="S9" s="204"/>
      <c r="T9" s="204"/>
      <c r="U9" s="204"/>
      <c r="V9" s="194"/>
    </row>
    <row r="10" spans="2:22" ht="17.5" customHeight="1">
      <c r="B10" s="85" t="str">
        <f>SEC_Processes!D11</f>
        <v>SECTF_AGR_OIL_GSL</v>
      </c>
      <c r="C10" s="85" t="str">
        <f>SEC_Processes!E11</f>
        <v>Sector fuel - Gasoline</v>
      </c>
      <c r="D10" s="91" t="s">
        <v>140</v>
      </c>
      <c r="F10" s="69">
        <v>1</v>
      </c>
      <c r="G10" s="69"/>
      <c r="H10" s="201"/>
      <c r="I10" s="202"/>
      <c r="J10" s="202"/>
      <c r="K10" s="202"/>
      <c r="L10" s="202"/>
      <c r="M10" s="202"/>
      <c r="N10" s="202"/>
      <c r="O10" s="201"/>
      <c r="P10" s="202"/>
      <c r="Q10" s="202"/>
      <c r="R10" s="202"/>
      <c r="S10" s="202"/>
      <c r="T10" s="202"/>
      <c r="U10" s="202"/>
      <c r="V10" s="193"/>
    </row>
    <row r="11" spans="2:22" ht="17.5" customHeight="1">
      <c r="B11" s="85"/>
      <c r="C11" s="85"/>
      <c r="D11" s="91"/>
      <c r="E11" s="70" t="str">
        <f>SEC_Comm!D11</f>
        <v>AGR_OIL_GSL</v>
      </c>
      <c r="F11" s="69"/>
      <c r="G11" s="69"/>
      <c r="H11" s="201"/>
      <c r="I11" s="202"/>
      <c r="J11" s="202"/>
      <c r="K11" s="202"/>
      <c r="L11" s="202"/>
      <c r="M11" s="202"/>
      <c r="N11" s="202"/>
      <c r="O11" s="201"/>
      <c r="P11" s="202"/>
      <c r="Q11" s="202"/>
      <c r="R11" s="202"/>
      <c r="S11" s="202"/>
      <c r="T11" s="202"/>
      <c r="U11" s="202"/>
      <c r="V11" s="193"/>
    </row>
    <row r="12" spans="2:22" ht="17.5" customHeight="1">
      <c r="B12" s="87" t="str">
        <f>SEC_Processes!D12</f>
        <v>SECTF_AGR_OIL_DSL</v>
      </c>
      <c r="C12" s="87" t="str">
        <f>SEC_Processes!E12</f>
        <v>Sector fuel - Diesel</v>
      </c>
      <c r="D12" s="90" t="s">
        <v>141</v>
      </c>
      <c r="E12" s="90"/>
      <c r="F12" s="89">
        <v>1</v>
      </c>
      <c r="G12" s="89"/>
      <c r="H12" s="203"/>
      <c r="I12" s="204"/>
      <c r="J12" s="204"/>
      <c r="K12" s="204"/>
      <c r="L12" s="204"/>
      <c r="M12" s="204"/>
      <c r="N12" s="204"/>
      <c r="O12" s="203"/>
      <c r="P12" s="204"/>
      <c r="Q12" s="204"/>
      <c r="R12" s="204"/>
      <c r="S12" s="204"/>
      <c r="T12" s="204"/>
      <c r="U12" s="204"/>
      <c r="V12" s="194"/>
    </row>
    <row r="13" spans="2:22" ht="17.5" customHeight="1">
      <c r="B13" s="87"/>
      <c r="C13" s="87"/>
      <c r="D13" s="90"/>
      <c r="E13" s="88" t="str">
        <f>SEC_Comm!D12</f>
        <v>AGR_OIL_DSL</v>
      </c>
      <c r="F13" s="89"/>
      <c r="G13" s="89"/>
      <c r="H13" s="203"/>
      <c r="I13" s="204"/>
      <c r="J13" s="204"/>
      <c r="K13" s="204"/>
      <c r="L13" s="204"/>
      <c r="M13" s="204"/>
      <c r="N13" s="204"/>
      <c r="O13" s="203"/>
      <c r="P13" s="204"/>
      <c r="Q13" s="204"/>
      <c r="R13" s="204"/>
      <c r="S13" s="204"/>
      <c r="T13" s="204"/>
      <c r="U13" s="204"/>
      <c r="V13" s="194"/>
    </row>
    <row r="14" spans="2:22" ht="17.5" customHeight="1">
      <c r="B14" s="85" t="str">
        <f>SEC_Processes!D13</f>
        <v>SECTF_AGR_OIL_LPG</v>
      </c>
      <c r="C14" s="85" t="str">
        <f>SEC_Processes!E13</f>
        <v>Sector fuel - LPG</v>
      </c>
      <c r="D14" s="91" t="s">
        <v>142</v>
      </c>
      <c r="F14" s="69">
        <v>1</v>
      </c>
      <c r="G14" s="69"/>
      <c r="H14" s="201"/>
      <c r="I14" s="202"/>
      <c r="J14" s="202"/>
      <c r="K14" s="202"/>
      <c r="L14" s="202"/>
      <c r="M14" s="202"/>
      <c r="N14" s="202"/>
      <c r="O14" s="201"/>
      <c r="P14" s="202"/>
      <c r="Q14" s="202"/>
      <c r="R14" s="202"/>
      <c r="S14" s="202"/>
      <c r="T14" s="202"/>
      <c r="U14" s="202"/>
      <c r="V14" s="193"/>
    </row>
    <row r="15" spans="2:22" ht="17.5" customHeight="1">
      <c r="B15" s="85"/>
      <c r="C15" s="85"/>
      <c r="D15" s="91"/>
      <c r="E15" s="70" t="str">
        <f>SEC_Comm!D13</f>
        <v>AGR_OIL_LPG</v>
      </c>
      <c r="F15" s="69"/>
      <c r="G15" s="69"/>
      <c r="H15" s="201"/>
      <c r="I15" s="202"/>
      <c r="J15" s="202"/>
      <c r="K15" s="202"/>
      <c r="L15" s="202"/>
      <c r="M15" s="202"/>
      <c r="N15" s="202"/>
      <c r="O15" s="201"/>
      <c r="P15" s="202"/>
      <c r="Q15" s="202"/>
      <c r="R15" s="202"/>
      <c r="S15" s="202"/>
      <c r="T15" s="202"/>
      <c r="U15" s="202"/>
      <c r="V15" s="193"/>
    </row>
    <row r="16" spans="2:22" ht="17.5" customHeight="1">
      <c r="B16" s="87" t="str">
        <f>SEC_Processes!D14</f>
        <v>SECTF_AGR_OIL_FUE</v>
      </c>
      <c r="C16" s="87" t="str">
        <f>SEC_Processes!E14</f>
        <v>Sector fuel - Fuel Oil</v>
      </c>
      <c r="D16" s="90" t="s">
        <v>143</v>
      </c>
      <c r="E16" s="90"/>
      <c r="F16" s="89">
        <v>1</v>
      </c>
      <c r="G16" s="89"/>
      <c r="H16" s="203"/>
      <c r="I16" s="204"/>
      <c r="J16" s="204"/>
      <c r="K16" s="204"/>
      <c r="L16" s="204"/>
      <c r="M16" s="204"/>
      <c r="N16" s="204"/>
      <c r="O16" s="203"/>
      <c r="P16" s="204"/>
      <c r="Q16" s="204"/>
      <c r="R16" s="204"/>
      <c r="S16" s="204"/>
      <c r="T16" s="204"/>
      <c r="U16" s="204"/>
      <c r="V16" s="194"/>
    </row>
    <row r="17" spans="2:26" ht="17.5" customHeight="1">
      <c r="B17" s="87"/>
      <c r="C17" s="87"/>
      <c r="D17" s="90"/>
      <c r="E17" s="88" t="str">
        <f>SEC_Comm!D14</f>
        <v>AGR_OIL_FUE</v>
      </c>
      <c r="F17" s="89"/>
      <c r="G17" s="89"/>
      <c r="H17" s="203"/>
      <c r="I17" s="204"/>
      <c r="J17" s="204"/>
      <c r="K17" s="204"/>
      <c r="L17" s="204"/>
      <c r="M17" s="204"/>
      <c r="N17" s="204"/>
      <c r="O17" s="203"/>
      <c r="P17" s="204"/>
      <c r="Q17" s="204"/>
      <c r="R17" s="204"/>
      <c r="S17" s="204"/>
      <c r="T17" s="204"/>
      <c r="U17" s="204"/>
      <c r="V17" s="194"/>
    </row>
    <row r="18" spans="2:26" ht="17.5" customHeight="1">
      <c r="B18" s="85" t="str">
        <f>SEC_Processes!D15</f>
        <v>SECTF_AGR_NAT_GAS</v>
      </c>
      <c r="C18" s="85" t="str">
        <f>SEC_Processes!E15</f>
        <v>Sector fuel - Natural Gas</v>
      </c>
      <c r="D18" s="91" t="s">
        <v>455</v>
      </c>
      <c r="F18" s="69">
        <v>1</v>
      </c>
      <c r="G18" s="69"/>
      <c r="H18" s="201">
        <v>2.25</v>
      </c>
      <c r="I18" s="202">
        <f>H18</f>
        <v>2.25</v>
      </c>
      <c r="J18" s="202">
        <f t="shared" ref="J18:N18" si="1">I18</f>
        <v>2.25</v>
      </c>
      <c r="K18" s="202">
        <f t="shared" si="1"/>
        <v>2.25</v>
      </c>
      <c r="L18" s="202">
        <f t="shared" si="1"/>
        <v>2.25</v>
      </c>
      <c r="M18" s="202">
        <f t="shared" si="1"/>
        <v>2.25</v>
      </c>
      <c r="N18" s="202">
        <f t="shared" si="1"/>
        <v>2.25</v>
      </c>
      <c r="O18" s="201"/>
      <c r="P18" s="202"/>
      <c r="Q18" s="202"/>
      <c r="R18" s="202"/>
      <c r="S18" s="202"/>
      <c r="T18" s="202"/>
      <c r="U18" s="202"/>
      <c r="V18" s="193"/>
    </row>
    <row r="19" spans="2:26" ht="17.5" customHeight="1">
      <c r="B19" s="85"/>
      <c r="C19" s="85"/>
      <c r="D19" s="91"/>
      <c r="E19" s="70" t="str">
        <f>SEC_Comm!D15</f>
        <v>AGR_NAT_GAS</v>
      </c>
      <c r="F19" s="69"/>
      <c r="G19" s="69"/>
      <c r="H19" s="201"/>
      <c r="I19" s="202"/>
      <c r="J19" s="202"/>
      <c r="K19" s="202"/>
      <c r="L19" s="202"/>
      <c r="M19" s="202"/>
      <c r="N19" s="202"/>
      <c r="O19" s="201">
        <v>6.19</v>
      </c>
      <c r="P19" s="202">
        <f>O19</f>
        <v>6.19</v>
      </c>
      <c r="Q19" s="202">
        <f t="shared" ref="Q19:U19" si="2">P19</f>
        <v>6.19</v>
      </c>
      <c r="R19" s="202">
        <f t="shared" si="2"/>
        <v>6.19</v>
      </c>
      <c r="S19" s="202">
        <f t="shared" si="2"/>
        <v>6.19</v>
      </c>
      <c r="T19" s="202">
        <f t="shared" si="2"/>
        <v>6.19</v>
      </c>
      <c r="U19" s="202">
        <f t="shared" si="2"/>
        <v>6.19</v>
      </c>
      <c r="V19" s="193"/>
    </row>
    <row r="20" spans="2:26" ht="17.5" customHeight="1">
      <c r="B20" s="87" t="s">
        <v>647</v>
      </c>
      <c r="C20" s="87" t="str">
        <f>SEC_Processes!E16</f>
        <v>Sector fuel - Biogas</v>
      </c>
      <c r="D20" s="90" t="s">
        <v>144</v>
      </c>
      <c r="E20" s="90"/>
      <c r="F20" s="89">
        <v>1</v>
      </c>
      <c r="G20" s="89"/>
      <c r="H20" s="203"/>
      <c r="I20" s="204"/>
      <c r="J20" s="204"/>
      <c r="K20" s="204"/>
      <c r="L20" s="204"/>
      <c r="M20" s="204"/>
      <c r="N20" s="204"/>
      <c r="O20" s="203"/>
      <c r="P20" s="204"/>
      <c r="Q20" s="204"/>
      <c r="R20" s="204"/>
      <c r="S20" s="204"/>
      <c r="T20" s="204"/>
      <c r="U20" s="204"/>
      <c r="V20" s="194"/>
      <c r="X20" s="87" t="str">
        <f>SEC_Processes!D16</f>
        <v>SECTF_AGR_BIOG</v>
      </c>
      <c r="Z20" s="1" t="s">
        <v>651</v>
      </c>
    </row>
    <row r="21" spans="2:26" ht="17.5" customHeight="1">
      <c r="B21" s="87" t="s">
        <v>647</v>
      </c>
      <c r="C21" s="87"/>
      <c r="D21" s="90"/>
      <c r="E21" s="88" t="str">
        <f>SEC_Comm!D16</f>
        <v>AGR_BIOG</v>
      </c>
      <c r="F21" s="89"/>
      <c r="G21" s="89"/>
      <c r="H21" s="203"/>
      <c r="I21" s="204"/>
      <c r="J21" s="204"/>
      <c r="K21" s="204"/>
      <c r="L21" s="204"/>
      <c r="M21" s="204"/>
      <c r="N21" s="204"/>
      <c r="O21" s="203"/>
      <c r="P21" s="204"/>
      <c r="Q21" s="204"/>
      <c r="R21" s="204"/>
      <c r="S21" s="204"/>
      <c r="T21" s="204"/>
      <c r="U21" s="204"/>
      <c r="V21" s="194"/>
    </row>
    <row r="22" spans="2:26" ht="17.5" customHeight="1">
      <c r="B22" s="85" t="str">
        <f>SEC_Processes!D17</f>
        <v>SECTF_AGR_BIOM</v>
      </c>
      <c r="C22" s="85" t="str">
        <f>SEC_Processes!E17</f>
        <v>Sector fuel - Biomass</v>
      </c>
      <c r="D22" s="91" t="s">
        <v>145</v>
      </c>
      <c r="F22" s="69">
        <v>1</v>
      </c>
      <c r="G22" s="69"/>
      <c r="H22" s="201"/>
      <c r="I22" s="202"/>
      <c r="J22" s="202"/>
      <c r="K22" s="202"/>
      <c r="L22" s="202"/>
      <c r="M22" s="202"/>
      <c r="N22" s="202"/>
      <c r="O22" s="201"/>
      <c r="P22" s="202"/>
      <c r="Q22" s="202"/>
      <c r="R22" s="202"/>
      <c r="S22" s="202"/>
      <c r="T22" s="202"/>
      <c r="U22" s="202"/>
      <c r="V22" s="193"/>
    </row>
    <row r="23" spans="2:26" ht="17.5" customHeight="1">
      <c r="B23" s="85"/>
      <c r="C23" s="85"/>
      <c r="D23" s="91"/>
      <c r="E23" s="70" t="str">
        <f>SEC_Comm!D17</f>
        <v>AGR_BIOM</v>
      </c>
      <c r="F23" s="69"/>
      <c r="G23" s="69"/>
      <c r="H23" s="201"/>
      <c r="I23" s="202"/>
      <c r="J23" s="202"/>
      <c r="K23" s="202"/>
      <c r="L23" s="202"/>
      <c r="M23" s="202"/>
      <c r="N23" s="202"/>
      <c r="O23" s="201"/>
      <c r="P23" s="202"/>
      <c r="Q23" s="202"/>
      <c r="R23" s="202"/>
      <c r="S23" s="202"/>
      <c r="T23" s="202"/>
      <c r="U23" s="202"/>
      <c r="V23" s="193"/>
    </row>
    <row r="24" spans="2:26" ht="17.5" customHeight="1">
      <c r="B24" s="87" t="str">
        <f>SEC_Processes!D18</f>
        <v>SECTF_AGR_RDF</v>
      </c>
      <c r="C24" s="87" t="str">
        <f>SEC_Processes!E18</f>
        <v>Sector fuel - RDF</v>
      </c>
      <c r="D24" s="90" t="s">
        <v>146</v>
      </c>
      <c r="E24" s="90"/>
      <c r="F24" s="89">
        <v>1</v>
      </c>
      <c r="G24" s="89"/>
      <c r="H24" s="203"/>
      <c r="I24" s="204"/>
      <c r="J24" s="204"/>
      <c r="K24" s="204"/>
      <c r="L24" s="204"/>
      <c r="M24" s="204"/>
      <c r="N24" s="204"/>
      <c r="O24" s="203"/>
      <c r="P24" s="204"/>
      <c r="Q24" s="204"/>
      <c r="R24" s="204"/>
      <c r="S24" s="204"/>
      <c r="T24" s="204"/>
      <c r="U24" s="204"/>
      <c r="V24" s="194"/>
    </row>
    <row r="25" spans="2:26" ht="17.5" customHeight="1">
      <c r="B25" s="87"/>
      <c r="C25" s="87"/>
      <c r="D25" s="90"/>
      <c r="E25" s="88" t="str">
        <f>SEC_Comm!D18</f>
        <v>AGR_RDF</v>
      </c>
      <c r="F25" s="89"/>
      <c r="G25" s="89"/>
      <c r="H25" s="203"/>
      <c r="I25" s="204"/>
      <c r="J25" s="204"/>
      <c r="K25" s="204"/>
      <c r="L25" s="204"/>
      <c r="M25" s="204"/>
      <c r="N25" s="204"/>
      <c r="O25" s="203"/>
      <c r="P25" s="204"/>
      <c r="Q25" s="204"/>
      <c r="R25" s="204"/>
      <c r="S25" s="204"/>
      <c r="T25" s="204"/>
      <c r="U25" s="204"/>
      <c r="V25" s="194"/>
    </row>
    <row r="26" spans="2:26" ht="17.5" customHeight="1">
      <c r="B26" s="162" t="str">
        <f>SEC_Processes!D19</f>
        <v>SECTF_AGR_ELC</v>
      </c>
      <c r="C26" s="162" t="str">
        <f>SEC_Processes!E19</f>
        <v>Sector fuel - Electricity</v>
      </c>
      <c r="D26" s="162"/>
      <c r="E26" s="162"/>
      <c r="F26" s="163">
        <v>1</v>
      </c>
      <c r="G26" s="163"/>
      <c r="H26" s="205"/>
      <c r="I26" s="206"/>
      <c r="J26" s="206"/>
      <c r="K26" s="206"/>
      <c r="L26" s="206"/>
      <c r="M26" s="206"/>
      <c r="N26" s="206"/>
      <c r="O26" s="205"/>
      <c r="P26" s="206"/>
      <c r="Q26" s="206"/>
      <c r="R26" s="206"/>
      <c r="S26" s="206"/>
      <c r="T26" s="206"/>
      <c r="U26" s="206"/>
      <c r="V26" s="195"/>
    </row>
    <row r="27" spans="2:26" ht="16.5" customHeight="1">
      <c r="B27" s="162"/>
      <c r="C27" s="162"/>
      <c r="D27" s="162" t="s">
        <v>147</v>
      </c>
      <c r="E27" s="162"/>
      <c r="F27" s="162"/>
      <c r="G27" s="180">
        <v>0.1</v>
      </c>
      <c r="H27" s="201">
        <v>8.9159000000000006</v>
      </c>
      <c r="I27" s="202">
        <f>H27</f>
        <v>8.9159000000000006</v>
      </c>
      <c r="J27" s="202">
        <f t="shared" ref="J27:N28" si="3">I27</f>
        <v>8.9159000000000006</v>
      </c>
      <c r="K27" s="202">
        <f t="shared" si="3"/>
        <v>8.9159000000000006</v>
      </c>
      <c r="L27" s="202">
        <f t="shared" si="3"/>
        <v>8.9159000000000006</v>
      </c>
      <c r="M27" s="202">
        <f t="shared" si="3"/>
        <v>8.9159000000000006</v>
      </c>
      <c r="N27" s="202">
        <f t="shared" si="3"/>
        <v>8.9159000000000006</v>
      </c>
      <c r="O27" s="201">
        <v>50.523400000000002</v>
      </c>
      <c r="P27" s="202">
        <f>O27</f>
        <v>50.523400000000002</v>
      </c>
      <c r="Q27" s="202">
        <f t="shared" ref="Q27:U28" si="4">P27</f>
        <v>50.523400000000002</v>
      </c>
      <c r="R27" s="202">
        <f t="shared" si="4"/>
        <v>50.523400000000002</v>
      </c>
      <c r="S27" s="202">
        <f t="shared" si="4"/>
        <v>50.523400000000002</v>
      </c>
      <c r="T27" s="202">
        <f t="shared" si="4"/>
        <v>50.523400000000002</v>
      </c>
      <c r="U27" s="202">
        <f t="shared" si="4"/>
        <v>50.523400000000002</v>
      </c>
      <c r="V27" s="196"/>
    </row>
    <row r="28" spans="2:26" ht="16.5" customHeight="1">
      <c r="B28" s="164"/>
      <c r="C28" s="164"/>
      <c r="D28" s="165" t="s">
        <v>148</v>
      </c>
      <c r="E28" s="164"/>
      <c r="F28" s="164"/>
      <c r="G28" s="181">
        <v>1</v>
      </c>
      <c r="H28" s="201">
        <v>9.5112000000000005</v>
      </c>
      <c r="I28" s="202">
        <f>H28</f>
        <v>9.5112000000000005</v>
      </c>
      <c r="J28" s="202">
        <f t="shared" si="3"/>
        <v>9.5112000000000005</v>
      </c>
      <c r="K28" s="202">
        <f t="shared" si="3"/>
        <v>9.5112000000000005</v>
      </c>
      <c r="L28" s="202">
        <f t="shared" si="3"/>
        <v>9.5112000000000005</v>
      </c>
      <c r="M28" s="202">
        <f t="shared" si="3"/>
        <v>9.5112000000000005</v>
      </c>
      <c r="N28" s="202">
        <f t="shared" si="3"/>
        <v>9.5112000000000005</v>
      </c>
      <c r="O28" s="201">
        <v>53.896599999999999</v>
      </c>
      <c r="P28" s="202">
        <f>O28</f>
        <v>53.896599999999999</v>
      </c>
      <c r="Q28" s="202">
        <f t="shared" si="4"/>
        <v>53.896599999999999</v>
      </c>
      <c r="R28" s="202">
        <f t="shared" si="4"/>
        <v>53.896599999999999</v>
      </c>
      <c r="S28" s="202">
        <f t="shared" si="4"/>
        <v>53.896599999999999</v>
      </c>
      <c r="T28" s="202">
        <f t="shared" si="4"/>
        <v>53.896599999999999</v>
      </c>
      <c r="U28" s="202">
        <f t="shared" si="4"/>
        <v>53.896599999999999</v>
      </c>
      <c r="V28" s="197"/>
    </row>
    <row r="29" spans="2:26" ht="16.5" customHeight="1">
      <c r="B29" s="164"/>
      <c r="C29" s="164"/>
      <c r="D29" s="164"/>
      <c r="E29" s="166" t="str">
        <f>SEC_Comm!D19</f>
        <v>AGR_ELC</v>
      </c>
      <c r="F29" s="164"/>
      <c r="G29" s="164"/>
      <c r="H29" s="207"/>
      <c r="I29" s="208"/>
      <c r="J29" s="208"/>
      <c r="K29" s="208"/>
      <c r="L29" s="208"/>
      <c r="M29" s="208"/>
      <c r="N29" s="208"/>
      <c r="O29" s="207"/>
      <c r="P29" s="208"/>
      <c r="Q29" s="208"/>
      <c r="R29" s="208"/>
      <c r="S29" s="208"/>
      <c r="T29" s="208"/>
      <c r="U29" s="208"/>
      <c r="V29" s="197"/>
    </row>
    <row r="30" spans="2:26">
      <c r="B30" s="87" t="str">
        <f>SEC_Processes!D20</f>
        <v>SECTF_AGR_DH</v>
      </c>
      <c r="C30" s="87" t="str">
        <f>SEC_Processes!E20</f>
        <v>Sector fuel - District Heat</v>
      </c>
      <c r="D30" s="90" t="s">
        <v>149</v>
      </c>
      <c r="E30" s="90"/>
      <c r="F30" s="89">
        <v>1</v>
      </c>
      <c r="G30" s="89"/>
      <c r="H30" s="203"/>
      <c r="I30" s="204"/>
      <c r="J30" s="204"/>
      <c r="K30" s="204"/>
      <c r="L30" s="204"/>
      <c r="M30" s="204"/>
      <c r="N30" s="204"/>
      <c r="O30" s="203"/>
      <c r="P30" s="204"/>
      <c r="Q30" s="204"/>
      <c r="R30" s="204"/>
      <c r="S30" s="204"/>
      <c r="T30" s="204"/>
      <c r="U30" s="204"/>
      <c r="V30" s="194"/>
    </row>
    <row r="31" spans="2:26">
      <c r="B31" s="87"/>
      <c r="C31" s="87"/>
      <c r="D31" s="90"/>
      <c r="E31" s="88" t="str">
        <f>SEC_Comm!D20</f>
        <v>AGR_DH</v>
      </c>
      <c r="F31" s="89"/>
      <c r="G31" s="89"/>
      <c r="H31" s="203"/>
      <c r="I31" s="204"/>
      <c r="J31" s="204"/>
      <c r="K31" s="204"/>
      <c r="L31" s="204"/>
      <c r="M31" s="204"/>
      <c r="N31" s="204"/>
      <c r="O31" s="203">
        <v>19</v>
      </c>
      <c r="P31" s="204">
        <f>O31</f>
        <v>19</v>
      </c>
      <c r="Q31" s="204">
        <f t="shared" ref="Q31:U31" si="5">P31</f>
        <v>19</v>
      </c>
      <c r="R31" s="204">
        <f t="shared" si="5"/>
        <v>19</v>
      </c>
      <c r="S31" s="204">
        <f t="shared" si="5"/>
        <v>19</v>
      </c>
      <c r="T31" s="204">
        <f t="shared" si="5"/>
        <v>19</v>
      </c>
      <c r="U31" s="204">
        <f t="shared" si="5"/>
        <v>19</v>
      </c>
      <c r="V31" s="194"/>
    </row>
    <row r="32" spans="2:26" ht="13" thickBot="1">
      <c r="B32" s="156" t="str">
        <f>SEC_Processes!D21</f>
        <v>SECTF_AGR_OTH</v>
      </c>
      <c r="C32" s="156" t="str">
        <f>SEC_Processes!E21</f>
        <v>Sector fuel - Other Fuels</v>
      </c>
      <c r="D32" s="157" t="s">
        <v>150</v>
      </c>
      <c r="E32" s="158" t="str">
        <f>SEC_Comm!D21</f>
        <v>AGR_OTH_FUE</v>
      </c>
      <c r="F32" s="159">
        <v>1</v>
      </c>
      <c r="G32" s="159"/>
      <c r="H32" s="209"/>
      <c r="I32" s="210"/>
      <c r="J32" s="210"/>
      <c r="K32" s="210"/>
      <c r="L32" s="210"/>
      <c r="M32" s="210"/>
      <c r="N32" s="210"/>
      <c r="O32" s="209"/>
      <c r="P32" s="210"/>
      <c r="Q32" s="210"/>
      <c r="R32" s="210"/>
      <c r="S32" s="210"/>
      <c r="T32" s="210"/>
      <c r="U32" s="210"/>
      <c r="V32" s="198"/>
    </row>
    <row r="33" spans="2:7">
      <c r="B33"/>
      <c r="C33"/>
      <c r="D33"/>
      <c r="E33"/>
      <c r="F33"/>
      <c r="G33"/>
    </row>
    <row r="34" spans="2:7">
      <c r="B34" s="38"/>
      <c r="C34"/>
      <c r="D34"/>
      <c r="E34"/>
      <c r="F34"/>
      <c r="G34"/>
    </row>
    <row r="35" spans="2:7">
      <c r="B35"/>
      <c r="C35"/>
      <c r="D35"/>
      <c r="E35"/>
      <c r="F35"/>
      <c r="G35"/>
    </row>
    <row r="36" spans="2:7">
      <c r="B36"/>
      <c r="C36"/>
      <c r="D36"/>
      <c r="E36"/>
      <c r="F36"/>
      <c r="G36" s="65" t="s">
        <v>460</v>
      </c>
    </row>
    <row r="37" spans="2:7">
      <c r="B37"/>
      <c r="C37"/>
      <c r="D37"/>
      <c r="E37"/>
      <c r="F37"/>
    </row>
    <row r="38" spans="2:7">
      <c r="B38"/>
      <c r="C38"/>
      <c r="D38"/>
      <c r="E38"/>
      <c r="F38"/>
    </row>
    <row r="39" spans="2:7">
      <c r="B39"/>
      <c r="C39"/>
      <c r="D39"/>
      <c r="E39"/>
      <c r="F39"/>
      <c r="G39"/>
    </row>
    <row r="40" spans="2:7">
      <c r="B40"/>
      <c r="C40"/>
      <c r="D40"/>
      <c r="E40"/>
      <c r="F40"/>
      <c r="G40"/>
    </row>
    <row r="41" spans="2:7">
      <c r="B41"/>
      <c r="C41"/>
      <c r="D41"/>
      <c r="E41"/>
      <c r="F41"/>
      <c r="G41"/>
    </row>
    <row r="42" spans="2:7">
      <c r="B42"/>
      <c r="C42"/>
      <c r="D42"/>
      <c r="E42"/>
      <c r="F42"/>
      <c r="G42"/>
    </row>
    <row r="43" spans="2:7">
      <c r="B43"/>
      <c r="C43"/>
      <c r="D43"/>
      <c r="E43"/>
      <c r="F43"/>
      <c r="G43"/>
    </row>
    <row r="44" spans="2:7">
      <c r="B44"/>
      <c r="C44"/>
      <c r="D44"/>
      <c r="E44"/>
      <c r="F44"/>
      <c r="G44"/>
    </row>
    <row r="45" spans="2:7">
      <c r="B45"/>
      <c r="C45"/>
      <c r="D45"/>
      <c r="E45"/>
      <c r="F45"/>
      <c r="G45"/>
    </row>
    <row r="46" spans="2:7">
      <c r="B46"/>
      <c r="C46"/>
      <c r="D46"/>
      <c r="E46"/>
      <c r="F46"/>
      <c r="G46"/>
    </row>
    <row r="47" spans="2:7">
      <c r="B47"/>
      <c r="C47"/>
      <c r="D47"/>
      <c r="E47"/>
      <c r="F47"/>
      <c r="G47"/>
    </row>
    <row r="48" spans="2:7">
      <c r="B48"/>
      <c r="C48"/>
      <c r="D48"/>
      <c r="E48"/>
      <c r="F48"/>
      <c r="G48"/>
    </row>
    <row r="49" spans="2:7">
      <c r="B49"/>
      <c r="C49"/>
      <c r="D49"/>
      <c r="E49"/>
      <c r="F49"/>
      <c r="G49"/>
    </row>
    <row r="50" spans="2:7">
      <c r="B50"/>
      <c r="C50"/>
      <c r="D50"/>
      <c r="E50"/>
      <c r="F50"/>
      <c r="G50"/>
    </row>
    <row r="51" spans="2:7" ht="13">
      <c r="C51" s="66"/>
      <c r="E51" s="64"/>
      <c r="F51" s="64"/>
    </row>
    <row r="52" spans="2:7" ht="13">
      <c r="C52" s="66"/>
      <c r="E52" s="64"/>
      <c r="F52" s="64"/>
    </row>
    <row r="53" spans="2:7" ht="13">
      <c r="C53" s="66"/>
      <c r="E53" s="64"/>
      <c r="F53" s="64"/>
    </row>
    <row r="54" spans="2:7" ht="13">
      <c r="C54" s="66"/>
      <c r="E54" s="64"/>
      <c r="F54" s="64"/>
    </row>
    <row r="55" spans="2:7" ht="13">
      <c r="C55" s="66"/>
      <c r="E55" s="64"/>
      <c r="F55" s="64"/>
    </row>
    <row r="56" spans="2:7" ht="13">
      <c r="C56" s="66"/>
      <c r="E56" s="64"/>
      <c r="F56" s="64"/>
    </row>
    <row r="57" spans="2:7" ht="13">
      <c r="C57" s="66"/>
      <c r="E57" s="64"/>
      <c r="F57" s="64"/>
    </row>
    <row r="58" spans="2:7" ht="13">
      <c r="C58" s="66"/>
      <c r="E58" s="64"/>
      <c r="F58" s="64"/>
    </row>
    <row r="59" spans="2:7" ht="13">
      <c r="C59" s="66"/>
      <c r="E59" s="64"/>
      <c r="F59" s="64"/>
    </row>
    <row r="60" spans="2:7" ht="13">
      <c r="C60" s="66"/>
      <c r="E60" s="64"/>
      <c r="F60" s="64"/>
    </row>
    <row r="61" spans="2:7" ht="13">
      <c r="C61" s="66"/>
      <c r="E61" s="64"/>
      <c r="F61" s="64"/>
    </row>
    <row r="62" spans="2:7" ht="13">
      <c r="C62" s="66"/>
      <c r="E62" s="64"/>
      <c r="F62" s="64"/>
    </row>
    <row r="63" spans="2:7" ht="13">
      <c r="C63" s="66"/>
      <c r="E63" s="64"/>
      <c r="F63" s="64"/>
    </row>
    <row r="64" spans="2:7" ht="13">
      <c r="C64" s="66"/>
      <c r="E64" s="64"/>
      <c r="F64" s="64"/>
    </row>
    <row r="65" spans="3:6" ht="13">
      <c r="C65" s="66"/>
      <c r="E65" s="64"/>
      <c r="F65" s="64"/>
    </row>
    <row r="66" spans="3:6" ht="13">
      <c r="C66" s="66"/>
      <c r="E66" s="64"/>
      <c r="F66" s="64"/>
    </row>
    <row r="67" spans="3:6" ht="13">
      <c r="C67" s="66"/>
      <c r="E67" s="64"/>
      <c r="F67" s="64"/>
    </row>
    <row r="68" spans="3:6" ht="13">
      <c r="C68" s="66"/>
      <c r="E68" s="64"/>
      <c r="F68" s="64"/>
    </row>
    <row r="69" spans="3:6" ht="13">
      <c r="C69" s="66"/>
      <c r="E69" s="64"/>
      <c r="F69" s="6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5B0C8-F125-4E4C-AF8A-59791FED3F75}">
  <dimension ref="B2:L67"/>
  <sheetViews>
    <sheetView topLeftCell="B4" zoomScale="59" zoomScaleNormal="100" workbookViewId="0">
      <selection activeCell="E12" sqref="E12"/>
    </sheetView>
  </sheetViews>
  <sheetFormatPr defaultRowHeight="12.5"/>
  <cols>
    <col min="2" max="2" width="28.453125" bestFit="1" customWidth="1"/>
    <col min="3" max="3" width="24.81640625" bestFit="1" customWidth="1"/>
    <col min="4" max="4" width="31.26953125" customWidth="1"/>
    <col min="5" max="5" width="48.54296875" bestFit="1" customWidth="1"/>
    <col min="6" max="6" width="40.1796875" customWidth="1"/>
    <col min="7" max="7" width="11.1796875" bestFit="1" customWidth="1"/>
    <col min="8" max="8" width="11.1796875" customWidth="1"/>
    <col min="10" max="10" width="9.54296875" customWidth="1"/>
    <col min="11" max="11" width="8.453125" bestFit="1" customWidth="1"/>
  </cols>
  <sheetData>
    <row r="2" spans="2:12" ht="13">
      <c r="E2" s="225" t="s">
        <v>645</v>
      </c>
      <c r="F2" s="216"/>
      <c r="G2" s="216"/>
      <c r="H2" s="216"/>
      <c r="I2" s="40"/>
      <c r="J2" s="40"/>
      <c r="K2" s="40"/>
    </row>
    <row r="3" spans="2:12" ht="13">
      <c r="B3" s="71" t="s">
        <v>77</v>
      </c>
      <c r="C3" s="72" t="s">
        <v>648</v>
      </c>
      <c r="D3" s="71" t="s">
        <v>133</v>
      </c>
      <c r="E3" s="71" t="s">
        <v>134</v>
      </c>
      <c r="F3" s="71" t="s">
        <v>589</v>
      </c>
      <c r="G3" s="71" t="s">
        <v>603</v>
      </c>
      <c r="H3" s="71" t="s">
        <v>166</v>
      </c>
      <c r="I3" s="73" t="s">
        <v>594</v>
      </c>
      <c r="J3" s="73" t="s">
        <v>604</v>
      </c>
      <c r="K3" s="73" t="s">
        <v>174</v>
      </c>
      <c r="L3" s="73" t="s">
        <v>135</v>
      </c>
    </row>
    <row r="4" spans="2:1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/>
      <c r="G4" s="74" t="s">
        <v>605</v>
      </c>
      <c r="H4" s="74" t="s">
        <v>605</v>
      </c>
      <c r="I4" s="74" t="s">
        <v>606</v>
      </c>
      <c r="J4" s="74" t="s">
        <v>607</v>
      </c>
      <c r="K4" s="74" t="s">
        <v>608</v>
      </c>
    </row>
    <row r="5" spans="2:12">
      <c r="B5" s="219" t="s">
        <v>539</v>
      </c>
      <c r="C5" s="219" t="s">
        <v>540</v>
      </c>
      <c r="D5" s="219" t="str">
        <f>SEC_Comm!$D$63</f>
        <v>AGR_LIVESTOCK_FOOD</v>
      </c>
      <c r="E5" s="219"/>
      <c r="F5" s="219"/>
      <c r="G5" s="219">
        <v>85.388000000000005</v>
      </c>
      <c r="H5" s="219">
        <v>85.388000000000005</v>
      </c>
      <c r="I5" s="219">
        <v>1</v>
      </c>
      <c r="J5" s="219"/>
      <c r="K5" s="219">
        <v>1</v>
      </c>
      <c r="L5" s="80">
        <v>1</v>
      </c>
    </row>
    <row r="6" spans="2:12">
      <c r="B6" s="220"/>
      <c r="C6" s="220"/>
      <c r="D6" s="220"/>
      <c r="E6" s="238" t="s">
        <v>523</v>
      </c>
      <c r="F6" s="220"/>
      <c r="G6" s="220"/>
      <c r="H6" s="220"/>
      <c r="I6" s="220"/>
      <c r="J6" s="220"/>
      <c r="K6" s="220"/>
    </row>
    <row r="7" spans="2:12">
      <c r="B7" s="220"/>
      <c r="C7" s="220"/>
      <c r="D7" s="220"/>
      <c r="E7" s="239" t="s">
        <v>497</v>
      </c>
      <c r="F7" s="220"/>
      <c r="G7" s="220"/>
      <c r="H7" s="220"/>
      <c r="I7" s="220"/>
      <c r="J7" s="220">
        <v>1.752</v>
      </c>
      <c r="K7" s="220"/>
    </row>
    <row r="8" spans="2:12">
      <c r="B8" s="220"/>
      <c r="C8" s="220"/>
      <c r="D8" s="220"/>
      <c r="E8" s="220"/>
      <c r="F8" s="220" t="s">
        <v>491</v>
      </c>
      <c r="G8" s="220"/>
      <c r="H8" s="220"/>
      <c r="I8" s="220"/>
      <c r="J8" s="220">
        <v>0.12053185649596189</v>
      </c>
      <c r="K8" s="220"/>
    </row>
    <row r="9" spans="2:12">
      <c r="B9" s="220"/>
      <c r="C9" s="220"/>
      <c r="D9" s="220"/>
      <c r="E9" s="220"/>
      <c r="F9" s="220" t="s">
        <v>493</v>
      </c>
      <c r="G9" s="220"/>
      <c r="H9" s="220"/>
      <c r="I9" s="220"/>
      <c r="J9" s="220">
        <v>7.8432905396672095E-3</v>
      </c>
      <c r="K9" s="220"/>
    </row>
    <row r="10" spans="2:12">
      <c r="B10" s="220"/>
      <c r="C10" s="220"/>
      <c r="D10" s="220"/>
      <c r="E10" s="220"/>
      <c r="F10" s="220" t="s">
        <v>515</v>
      </c>
      <c r="G10" s="220"/>
      <c r="H10" s="220"/>
      <c r="I10" s="220"/>
      <c r="J10" s="220">
        <v>8.0732056231336464E-4</v>
      </c>
      <c r="K10" s="220"/>
    </row>
    <row r="11" spans="2:12">
      <c r="B11" s="221" t="s">
        <v>542</v>
      </c>
      <c r="C11" s="221" t="s">
        <v>543</v>
      </c>
      <c r="D11" s="221" t="str">
        <f>SEC_Comm!$D$63</f>
        <v>AGR_LIVESTOCK_FOOD</v>
      </c>
      <c r="E11" s="221"/>
      <c r="F11" s="221"/>
      <c r="G11" s="221">
        <v>93.212999999999994</v>
      </c>
      <c r="H11" s="221">
        <v>93.212999999999994</v>
      </c>
      <c r="I11" s="221">
        <v>1</v>
      </c>
      <c r="J11" s="221"/>
      <c r="K11" s="221">
        <v>1</v>
      </c>
    </row>
    <row r="12" spans="2:12">
      <c r="B12" s="221"/>
      <c r="C12" s="221"/>
      <c r="D12" s="221"/>
      <c r="E12" s="221" t="s">
        <v>524</v>
      </c>
      <c r="F12" s="221"/>
      <c r="G12" s="221"/>
      <c r="H12" s="221"/>
      <c r="I12" s="221"/>
      <c r="J12" s="221"/>
      <c r="K12" s="221"/>
    </row>
    <row r="13" spans="2:12">
      <c r="B13" s="221"/>
      <c r="C13" s="221"/>
      <c r="D13" s="221"/>
      <c r="E13" s="221" t="s">
        <v>499</v>
      </c>
      <c r="F13" s="221"/>
      <c r="G13" s="221"/>
      <c r="H13" s="221"/>
      <c r="I13" s="221"/>
      <c r="J13" s="221">
        <v>0.65700000000000003</v>
      </c>
      <c r="K13" s="221"/>
    </row>
    <row r="14" spans="2:12">
      <c r="B14" s="221"/>
      <c r="C14" s="221"/>
      <c r="D14" s="221"/>
      <c r="E14" s="221"/>
      <c r="F14" s="221" t="s">
        <v>491</v>
      </c>
      <c r="G14" s="221"/>
      <c r="H14" s="221"/>
      <c r="I14" s="221"/>
      <c r="J14" s="221">
        <v>4.9685741154640389E-2</v>
      </c>
      <c r="K14" s="221"/>
    </row>
    <row r="15" spans="2:12">
      <c r="B15" s="221"/>
      <c r="C15" s="221"/>
      <c r="D15" s="221"/>
      <c r="E15" s="221"/>
      <c r="F15" s="221" t="s">
        <v>493</v>
      </c>
      <c r="G15" s="221"/>
      <c r="H15" s="221"/>
      <c r="I15" s="221"/>
      <c r="J15" s="221">
        <v>1.7337189468587999E-3</v>
      </c>
      <c r="K15" s="221"/>
    </row>
    <row r="16" spans="2:12">
      <c r="B16" s="221"/>
      <c r="C16" s="221"/>
      <c r="D16" s="221"/>
      <c r="E16" s="221"/>
      <c r="F16" s="221" t="s">
        <v>515</v>
      </c>
      <c r="G16" s="221"/>
      <c r="H16" s="221"/>
      <c r="I16" s="221"/>
      <c r="J16" s="221">
        <v>3.5346248850639975E-4</v>
      </c>
      <c r="K16" s="221"/>
    </row>
    <row r="17" spans="2:11">
      <c r="B17" s="220" t="s">
        <v>544</v>
      </c>
      <c r="C17" s="220" t="s">
        <v>545</v>
      </c>
      <c r="D17" s="220" t="str">
        <f>SEC_Comm!$D$63</f>
        <v>AGR_LIVESTOCK_FOOD</v>
      </c>
      <c r="E17" s="220"/>
      <c r="F17" s="220"/>
      <c r="G17" s="220">
        <v>79.091999999999999</v>
      </c>
      <c r="H17" s="220">
        <v>79.091999999999999</v>
      </c>
      <c r="I17" s="220">
        <v>1</v>
      </c>
      <c r="J17" s="220"/>
      <c r="K17" s="220">
        <v>1</v>
      </c>
    </row>
    <row r="18" spans="2:11">
      <c r="B18" s="220"/>
      <c r="C18" s="220"/>
      <c r="D18" s="220"/>
      <c r="E18" s="220" t="s">
        <v>525</v>
      </c>
      <c r="F18" s="220"/>
      <c r="G18" s="220"/>
      <c r="H18" s="220"/>
      <c r="I18" s="220"/>
      <c r="J18" s="220"/>
      <c r="K18" s="220"/>
    </row>
    <row r="19" spans="2:11">
      <c r="B19" s="220"/>
      <c r="C19" s="220"/>
      <c r="D19" s="220"/>
      <c r="E19" s="220" t="s">
        <v>501</v>
      </c>
      <c r="F19" s="220"/>
      <c r="G19" s="220"/>
      <c r="H19" s="220"/>
      <c r="I19" s="220"/>
      <c r="J19" s="220">
        <v>3.066E-2</v>
      </c>
      <c r="K19" s="220"/>
    </row>
    <row r="20" spans="2:11">
      <c r="B20" s="220"/>
      <c r="C20" s="220"/>
      <c r="D20" s="220"/>
      <c r="E20" s="220"/>
      <c r="F20" s="220" t="s">
        <v>491</v>
      </c>
      <c r="G20" s="220"/>
      <c r="H20" s="220"/>
      <c r="I20" s="220"/>
      <c r="J20" s="220">
        <v>8.0000000000000002E-3</v>
      </c>
      <c r="K20" s="220"/>
    </row>
    <row r="21" spans="2:11">
      <c r="B21" s="220"/>
      <c r="C21" s="220"/>
      <c r="D21" s="220"/>
      <c r="E21" s="220"/>
      <c r="F21" s="220" t="s">
        <v>493</v>
      </c>
      <c r="G21" s="220"/>
      <c r="H21" s="220"/>
      <c r="I21" s="220"/>
      <c r="J21" s="220">
        <v>1.8999999999999998E-4</v>
      </c>
      <c r="K21" s="220"/>
    </row>
    <row r="22" spans="2:11">
      <c r="B22" s="220"/>
      <c r="C22" s="220"/>
      <c r="D22" s="220"/>
      <c r="E22" s="220"/>
      <c r="F22" s="220" t="s">
        <v>515</v>
      </c>
      <c r="G22" s="220"/>
      <c r="H22" s="220"/>
      <c r="I22" s="220"/>
      <c r="J22" s="220">
        <v>4.4422318016281294E-5</v>
      </c>
      <c r="K22" s="220"/>
    </row>
    <row r="23" spans="2:11">
      <c r="B23" s="221" t="s">
        <v>546</v>
      </c>
      <c r="C23" s="221" t="s">
        <v>547</v>
      </c>
      <c r="D23" s="221" t="str">
        <f>SEC_Comm!$D$63</f>
        <v>AGR_LIVESTOCK_FOOD</v>
      </c>
      <c r="E23" s="221"/>
      <c r="F23" s="221"/>
      <c r="G23" s="221">
        <v>141.44300000000001</v>
      </c>
      <c r="H23" s="221">
        <v>141.44300000000001</v>
      </c>
      <c r="I23" s="221">
        <v>1</v>
      </c>
      <c r="J23" s="221"/>
      <c r="K23" s="221">
        <v>1</v>
      </c>
    </row>
    <row r="24" spans="2:11">
      <c r="B24" s="221"/>
      <c r="C24" s="221"/>
      <c r="D24" s="221"/>
      <c r="E24" s="221" t="s">
        <v>526</v>
      </c>
      <c r="F24" s="221"/>
      <c r="G24" s="221"/>
      <c r="H24" s="221"/>
      <c r="I24" s="221"/>
      <c r="J24" s="221"/>
      <c r="K24" s="221"/>
    </row>
    <row r="25" spans="2:11">
      <c r="B25" s="221"/>
      <c r="C25" s="221"/>
      <c r="D25" s="221"/>
      <c r="E25" s="221" t="s">
        <v>503</v>
      </c>
      <c r="F25" s="221"/>
      <c r="G25" s="221"/>
      <c r="H25" s="221"/>
      <c r="I25" s="221"/>
      <c r="J25" s="221">
        <v>2.3186624999999999E-2</v>
      </c>
      <c r="K25" s="221"/>
    </row>
    <row r="26" spans="2:11">
      <c r="B26" s="221"/>
      <c r="C26" s="221"/>
      <c r="D26" s="221"/>
      <c r="E26" s="221"/>
      <c r="F26" s="221" t="s">
        <v>491</v>
      </c>
      <c r="G26" s="221"/>
      <c r="H26" s="221"/>
      <c r="I26" s="221"/>
      <c r="J26" s="221">
        <v>1.5E-3</v>
      </c>
      <c r="K26" s="221"/>
    </row>
    <row r="27" spans="2:11">
      <c r="B27" s="221"/>
      <c r="C27" s="221"/>
      <c r="D27" s="221"/>
      <c r="E27" s="221"/>
      <c r="F27" s="221" t="s">
        <v>493</v>
      </c>
      <c r="G27" s="221"/>
      <c r="H27" s="221"/>
      <c r="I27" s="221"/>
      <c r="J27" s="221">
        <v>1.3777228601968301E-3</v>
      </c>
      <c r="K27" s="221"/>
    </row>
    <row r="28" spans="2:11">
      <c r="B28" s="221"/>
      <c r="C28" s="221"/>
      <c r="D28" s="221"/>
      <c r="E28" s="221"/>
      <c r="F28" s="221" t="s">
        <v>515</v>
      </c>
      <c r="G28" s="221"/>
      <c r="H28" s="221"/>
      <c r="I28" s="221"/>
      <c r="J28" s="221">
        <v>8.574121747084128E-5</v>
      </c>
      <c r="K28" s="221"/>
    </row>
    <row r="29" spans="2:11">
      <c r="B29" s="220" t="s">
        <v>548</v>
      </c>
      <c r="C29" s="220" t="s">
        <v>549</v>
      </c>
      <c r="D29" s="220" t="str">
        <f>SEC_Comm!$D$63</f>
        <v>AGR_LIVESTOCK_FOOD</v>
      </c>
      <c r="E29" s="220"/>
      <c r="F29" s="220"/>
      <c r="G29" s="220">
        <v>4.9765253411344545</v>
      </c>
      <c r="H29" s="220">
        <v>4.9765253411344545</v>
      </c>
      <c r="I29" s="220">
        <v>1</v>
      </c>
      <c r="J29" s="220"/>
      <c r="K29" s="220">
        <v>1</v>
      </c>
    </row>
    <row r="30" spans="2:11">
      <c r="B30" s="220"/>
      <c r="C30" s="220"/>
      <c r="D30" s="220"/>
      <c r="E30" s="220" t="s">
        <v>527</v>
      </c>
      <c r="F30" s="220"/>
      <c r="G30" s="220"/>
      <c r="H30" s="220"/>
      <c r="I30" s="220"/>
      <c r="J30" s="220"/>
      <c r="K30" s="220"/>
    </row>
    <row r="31" spans="2:11">
      <c r="B31" s="220"/>
      <c r="C31" s="220"/>
      <c r="D31" s="220"/>
      <c r="E31" s="220" t="s">
        <v>505</v>
      </c>
      <c r="F31" s="220"/>
      <c r="G31" s="220"/>
      <c r="H31" s="220"/>
      <c r="I31" s="220"/>
      <c r="J31" s="220">
        <v>3.066E-2</v>
      </c>
      <c r="K31" s="220"/>
    </row>
    <row r="32" spans="2:11">
      <c r="B32" s="220"/>
      <c r="C32" s="220"/>
      <c r="D32" s="220"/>
      <c r="E32" s="220"/>
      <c r="F32" s="220" t="s">
        <v>491</v>
      </c>
      <c r="G32" s="220"/>
      <c r="H32" s="220"/>
      <c r="I32" s="220"/>
      <c r="J32" s="220">
        <v>5.00000000000004E-3</v>
      </c>
      <c r="K32" s="220"/>
    </row>
    <row r="33" spans="2:11">
      <c r="B33" s="220"/>
      <c r="C33" s="220"/>
      <c r="D33" s="220"/>
      <c r="E33" s="220"/>
      <c r="F33" s="220" t="s">
        <v>493</v>
      </c>
      <c r="G33" s="220"/>
      <c r="H33" s="220"/>
      <c r="I33" s="220"/>
      <c r="J33" s="220">
        <v>1.3000000000009E-4</v>
      </c>
      <c r="K33" s="220"/>
    </row>
    <row r="34" spans="2:11">
      <c r="B34" s="220"/>
      <c r="C34" s="220"/>
      <c r="D34" s="220"/>
      <c r="E34" s="220"/>
      <c r="F34" s="220" t="s">
        <v>515</v>
      </c>
      <c r="G34" s="220"/>
      <c r="H34" s="220"/>
      <c r="I34" s="220"/>
      <c r="J34" s="220">
        <v>3.4996311428315267E-5</v>
      </c>
      <c r="K34" s="220"/>
    </row>
    <row r="35" spans="2:11">
      <c r="B35" s="221" t="s">
        <v>550</v>
      </c>
      <c r="C35" s="221" t="s">
        <v>551</v>
      </c>
      <c r="D35" s="221" t="str">
        <f>SEC_Comm!$D$63</f>
        <v>AGR_LIVESTOCK_FOOD</v>
      </c>
      <c r="E35" s="221"/>
      <c r="F35" s="221"/>
      <c r="G35" s="221">
        <v>20.306000000000001</v>
      </c>
      <c r="H35" s="221">
        <v>20.306000000000001</v>
      </c>
      <c r="I35" s="221">
        <v>1</v>
      </c>
      <c r="J35" s="221"/>
      <c r="K35" s="221">
        <v>1</v>
      </c>
    </row>
    <row r="36" spans="2:11">
      <c r="B36" s="221"/>
      <c r="C36" s="221"/>
      <c r="D36" s="221"/>
      <c r="E36" s="221" t="s">
        <v>528</v>
      </c>
      <c r="F36" s="221"/>
      <c r="G36" s="221"/>
      <c r="H36" s="221"/>
      <c r="I36" s="221"/>
      <c r="J36" s="221"/>
      <c r="K36" s="221"/>
    </row>
    <row r="37" spans="2:11">
      <c r="B37" s="221"/>
      <c r="C37" s="221"/>
      <c r="D37" s="221"/>
      <c r="E37" s="221" t="s">
        <v>507</v>
      </c>
      <c r="F37" s="221"/>
      <c r="G37" s="221"/>
      <c r="H37" s="221"/>
      <c r="I37" s="221"/>
      <c r="J37" s="221">
        <v>1.752</v>
      </c>
      <c r="K37" s="221"/>
    </row>
    <row r="38" spans="2:11">
      <c r="B38" s="221"/>
      <c r="C38" s="221"/>
      <c r="D38" s="221"/>
      <c r="E38" s="221"/>
      <c r="F38" s="221" t="s">
        <v>491</v>
      </c>
      <c r="G38" s="221"/>
      <c r="H38" s="221"/>
      <c r="I38" s="221"/>
      <c r="J38" s="221">
        <v>1.8000000000000019E-2</v>
      </c>
      <c r="K38" s="221"/>
    </row>
    <row r="39" spans="2:11">
      <c r="B39" s="221"/>
      <c r="C39" s="221"/>
      <c r="D39" s="221"/>
      <c r="E39" s="221"/>
      <c r="F39" s="221" t="s">
        <v>493</v>
      </c>
      <c r="G39" s="221"/>
      <c r="H39" s="221"/>
      <c r="I39" s="221"/>
      <c r="J39" s="221">
        <v>1.5599999999999802E-3</v>
      </c>
      <c r="K39" s="221"/>
    </row>
    <row r="40" spans="2:11">
      <c r="B40" s="221"/>
      <c r="C40" s="221"/>
      <c r="D40" s="221"/>
      <c r="E40" s="221"/>
      <c r="F40" s="221" t="s">
        <v>515</v>
      </c>
      <c r="G40" s="221"/>
      <c r="H40" s="221"/>
      <c r="I40" s="221"/>
      <c r="J40" s="221">
        <v>3.3491071428571359E-4</v>
      </c>
      <c r="K40" s="221"/>
    </row>
    <row r="41" spans="2:11">
      <c r="B41" s="220" t="s">
        <v>552</v>
      </c>
      <c r="C41" s="220" t="s">
        <v>553</v>
      </c>
      <c r="D41" s="220" t="str">
        <f>SEC_Comm!$D$63</f>
        <v>AGR_LIVESTOCK_FOOD</v>
      </c>
      <c r="E41" s="220"/>
      <c r="F41" s="220"/>
      <c r="G41" s="220">
        <v>5170.067</v>
      </c>
      <c r="H41" s="220">
        <v>5170.067</v>
      </c>
      <c r="I41" s="220">
        <v>1</v>
      </c>
      <c r="J41" s="220"/>
      <c r="K41" s="220">
        <v>1</v>
      </c>
    </row>
    <row r="42" spans="2:11">
      <c r="B42" s="220"/>
      <c r="C42" s="220"/>
      <c r="D42" s="220"/>
      <c r="E42" s="220" t="s">
        <v>529</v>
      </c>
      <c r="F42" s="220"/>
      <c r="G42" s="220"/>
      <c r="H42" s="220"/>
      <c r="I42" s="220"/>
      <c r="J42" s="220"/>
      <c r="K42" s="220"/>
    </row>
    <row r="43" spans="2:11">
      <c r="B43" s="220"/>
      <c r="C43" s="220"/>
      <c r="D43" s="220"/>
      <c r="E43" s="220" t="s">
        <v>509</v>
      </c>
      <c r="F43" s="220"/>
      <c r="G43" s="220"/>
      <c r="H43" s="220"/>
      <c r="I43" s="220"/>
      <c r="J43" s="220">
        <v>5.6940000000000003E-3</v>
      </c>
      <c r="K43" s="220"/>
    </row>
    <row r="44" spans="2:11">
      <c r="B44" s="220"/>
      <c r="C44" s="220"/>
      <c r="D44" s="220"/>
      <c r="E44" s="220"/>
      <c r="F44" s="220" t="s">
        <v>493</v>
      </c>
      <c r="G44" s="220"/>
      <c r="H44" s="220"/>
      <c r="I44" s="220"/>
      <c r="J44" s="220">
        <v>2.7762587827240005E-5</v>
      </c>
      <c r="K44" s="220"/>
    </row>
    <row r="45" spans="2:11">
      <c r="B45" s="220"/>
      <c r="C45" s="220"/>
      <c r="D45" s="220"/>
      <c r="E45" s="220"/>
      <c r="F45" s="220" t="s">
        <v>515</v>
      </c>
      <c r="G45" s="220"/>
      <c r="H45" s="220"/>
      <c r="I45" s="220"/>
      <c r="J45" s="220">
        <v>1.1960521853592914E-6</v>
      </c>
      <c r="K45" s="220"/>
    </row>
    <row r="46" spans="2:11">
      <c r="B46" s="221" t="s">
        <v>554</v>
      </c>
      <c r="C46" s="221" t="s">
        <v>555</v>
      </c>
      <c r="D46" s="221" t="str">
        <f>SEC_Comm!$D$63</f>
        <v>AGR_LIVESTOCK_FOOD</v>
      </c>
      <c r="E46" s="221"/>
      <c r="F46" s="221"/>
      <c r="G46" s="221">
        <v>17.32</v>
      </c>
      <c r="H46" s="221">
        <v>17.32</v>
      </c>
      <c r="I46" s="221">
        <v>1</v>
      </c>
      <c r="J46" s="221"/>
      <c r="K46" s="221">
        <v>1</v>
      </c>
    </row>
    <row r="47" spans="2:11">
      <c r="B47" s="221"/>
      <c r="C47" s="221"/>
      <c r="D47" s="221"/>
      <c r="E47" s="221" t="s">
        <v>530</v>
      </c>
      <c r="F47" s="221"/>
      <c r="G47" s="221"/>
      <c r="H47" s="221"/>
      <c r="I47" s="221"/>
      <c r="J47" s="221"/>
      <c r="K47" s="221"/>
    </row>
    <row r="48" spans="2:11">
      <c r="B48" s="221"/>
      <c r="C48" s="221"/>
      <c r="D48" s="221"/>
      <c r="E48" s="221" t="s">
        <v>511</v>
      </c>
      <c r="F48" s="221"/>
      <c r="G48" s="221"/>
      <c r="H48" s="221"/>
      <c r="I48" s="221"/>
      <c r="J48" s="221">
        <v>5.6940000000000003E-3</v>
      </c>
      <c r="K48" s="221"/>
    </row>
    <row r="49" spans="2:11">
      <c r="B49" s="221"/>
      <c r="C49" s="221"/>
      <c r="D49" s="221"/>
      <c r="E49" s="221"/>
      <c r="F49" s="221" t="s">
        <v>493</v>
      </c>
      <c r="G49" s="221"/>
      <c r="H49" s="221"/>
      <c r="I49" s="221"/>
      <c r="J49" s="221">
        <v>7.9999999999999993E-5</v>
      </c>
      <c r="K49" s="221"/>
    </row>
    <row r="50" spans="2:11">
      <c r="B50" s="221"/>
      <c r="C50" s="221"/>
      <c r="D50" s="221"/>
      <c r="E50" s="221"/>
      <c r="F50" s="221" t="s">
        <v>515</v>
      </c>
      <c r="G50" s="221"/>
      <c r="H50" s="221"/>
      <c r="I50" s="221"/>
      <c r="J50" s="221">
        <v>2.5457142857134688E-5</v>
      </c>
      <c r="K50" s="221"/>
    </row>
    <row r="51" spans="2:11">
      <c r="B51" s="220" t="s">
        <v>556</v>
      </c>
      <c r="C51" s="220" t="s">
        <v>557</v>
      </c>
      <c r="D51" s="220" t="str">
        <f>SEC_Comm!$D$63</f>
        <v>AGR_LIVESTOCK_FOOD</v>
      </c>
      <c r="E51" s="220"/>
      <c r="F51" s="220"/>
      <c r="G51" s="220">
        <v>16.899000000000001</v>
      </c>
      <c r="H51" s="220">
        <v>16.899000000000001</v>
      </c>
      <c r="I51" s="220">
        <v>1</v>
      </c>
      <c r="J51" s="220"/>
      <c r="K51" s="220">
        <v>1</v>
      </c>
    </row>
    <row r="52" spans="2:11">
      <c r="B52" s="220"/>
      <c r="C52" s="220"/>
      <c r="D52" s="220"/>
      <c r="E52" s="220" t="s">
        <v>531</v>
      </c>
      <c r="F52" s="220"/>
      <c r="G52" s="220"/>
      <c r="H52" s="220"/>
      <c r="I52" s="220"/>
      <c r="J52" s="220"/>
      <c r="K52" s="220"/>
    </row>
    <row r="53" spans="2:11">
      <c r="B53" s="220"/>
      <c r="C53" s="220"/>
      <c r="D53" s="220"/>
      <c r="E53" s="220" t="s">
        <v>513</v>
      </c>
      <c r="F53" s="220"/>
      <c r="G53" s="220"/>
      <c r="H53" s="220"/>
      <c r="I53" s="220"/>
      <c r="J53" s="220">
        <v>5.6940000000000003E-3</v>
      </c>
      <c r="K53" s="220"/>
    </row>
    <row r="54" spans="2:11">
      <c r="B54" s="220"/>
      <c r="C54" s="220"/>
      <c r="D54" s="220"/>
      <c r="E54" s="220"/>
      <c r="F54" s="220" t="s">
        <v>493</v>
      </c>
      <c r="G54" s="220"/>
      <c r="H54" s="220"/>
      <c r="I54" s="220"/>
      <c r="J54" s="220">
        <v>6.8000000000000005E-4</v>
      </c>
      <c r="K54" s="220"/>
    </row>
    <row r="55" spans="2:11">
      <c r="B55" s="220"/>
      <c r="C55" s="220"/>
      <c r="D55" s="220"/>
      <c r="E55" s="220"/>
      <c r="F55" s="220" t="s">
        <v>515</v>
      </c>
      <c r="G55" s="220"/>
      <c r="H55" s="220"/>
      <c r="I55" s="220"/>
      <c r="J55" s="220">
        <v>2.0002178975221327E-5</v>
      </c>
      <c r="K55" s="220"/>
    </row>
    <row r="56" spans="2:11">
      <c r="B56" s="222" t="s">
        <v>558</v>
      </c>
      <c r="C56" s="222" t="s">
        <v>558</v>
      </c>
      <c r="D56" s="222" t="str">
        <f>SEC_Comm!$D$63</f>
        <v>AGR_LIVESTOCK_FOOD</v>
      </c>
      <c r="E56" s="222"/>
      <c r="F56" s="222"/>
      <c r="G56" s="222">
        <v>5628.7045253411343</v>
      </c>
      <c r="H56" s="222">
        <v>5628.7045253411343</v>
      </c>
      <c r="I56" s="222">
        <v>1</v>
      </c>
      <c r="J56" s="222"/>
      <c r="K56" s="222">
        <v>1</v>
      </c>
    </row>
    <row r="57" spans="2:11">
      <c r="B57" s="223"/>
      <c r="C57" s="223"/>
      <c r="D57" s="223"/>
      <c r="E57" s="223" t="s">
        <v>532</v>
      </c>
      <c r="F57" s="223"/>
      <c r="G57" s="223"/>
      <c r="H57" s="223"/>
      <c r="I57" s="223"/>
      <c r="J57" s="223"/>
      <c r="K57" s="223"/>
    </row>
    <row r="58" spans="2:11" ht="13" thickBot="1">
      <c r="B58" s="224"/>
      <c r="C58" s="224"/>
      <c r="D58" s="224"/>
      <c r="E58" s="224"/>
      <c r="F58" s="224" t="s">
        <v>515</v>
      </c>
      <c r="G58" s="224"/>
      <c r="H58" s="224"/>
      <c r="I58" s="224"/>
      <c r="J58" s="224">
        <v>2.5538809853867566E-5</v>
      </c>
      <c r="K58" s="224"/>
    </row>
    <row r="63" spans="2:11" ht="13">
      <c r="B63" s="38"/>
      <c r="C63" s="38"/>
      <c r="D63" s="230" t="s">
        <v>488</v>
      </c>
      <c r="E63" s="40"/>
    </row>
    <row r="64" spans="2:11" ht="13">
      <c r="B64" s="231" t="s">
        <v>77</v>
      </c>
      <c r="C64" s="232" t="s">
        <v>152</v>
      </c>
      <c r="D64" s="231" t="s">
        <v>134</v>
      </c>
      <c r="E64" s="233" t="s">
        <v>601</v>
      </c>
    </row>
    <row r="65" spans="2:5" ht="13" thickBot="1">
      <c r="B65" s="234" t="s">
        <v>456</v>
      </c>
      <c r="C65" s="234" t="s">
        <v>457</v>
      </c>
      <c r="D65" s="234" t="s">
        <v>459</v>
      </c>
      <c r="E65" s="234" t="s">
        <v>602</v>
      </c>
    </row>
    <row r="66" spans="2:5">
      <c r="B66" s="235" t="str">
        <f>SEC_Processes!D28</f>
        <v>AGR_IMP_DUMMY_NRG_LIV</v>
      </c>
      <c r="C66" s="235" t="str">
        <f>SEC_Processes!E28</f>
        <v>Dummy Energy Import</v>
      </c>
      <c r="D66" s="235" t="str">
        <f>SEC_Comm!$D$63</f>
        <v>AGR_LIVESTOCK_FOOD</v>
      </c>
      <c r="E66" s="235">
        <v>1E-3</v>
      </c>
    </row>
    <row r="67" spans="2:5" ht="13" thickBot="1">
      <c r="B67" s="236" t="str">
        <f>SEC_Processes!D29</f>
        <v>AGR_IMP_LAND_RESIDUE</v>
      </c>
      <c r="C67" s="236" t="str">
        <f>SEC_Processes!E29</f>
        <v>Dummy Import of Crop Residues for Biogas Production</v>
      </c>
      <c r="D67" s="236" t="str">
        <f>SEC_Comm!D66</f>
        <v>AGR_DUMMY_LAND_RESIDUES</v>
      </c>
      <c r="E67" s="236"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A49F-4389-4FFD-BC42-7570A88BB824}">
  <dimension ref="B3:AK143"/>
  <sheetViews>
    <sheetView tabSelected="1" topLeftCell="C26" zoomScale="69" zoomScaleNormal="70" zoomScaleSheetLayoutView="50" workbookViewId="0">
      <selection activeCell="I98" sqref="I98"/>
    </sheetView>
  </sheetViews>
  <sheetFormatPr defaultRowHeight="12.5"/>
  <cols>
    <col min="2" max="2" width="27.81640625" bestFit="1" customWidth="1"/>
    <col min="3" max="3" width="29.453125" customWidth="1"/>
    <col min="4" max="4" width="26.81640625" customWidth="1"/>
    <col min="5" max="5" width="29.1796875" customWidth="1"/>
    <col min="6" max="6" width="34" customWidth="1"/>
    <col min="7" max="7" width="9" bestFit="1" customWidth="1"/>
    <col min="8" max="10" width="12.36328125" bestFit="1" customWidth="1"/>
    <col min="11" max="14" width="12.81640625" bestFit="1" customWidth="1"/>
    <col min="15" max="16" width="8.90625" bestFit="1" customWidth="1"/>
    <col min="18" max="18" width="9.1796875" bestFit="1" customWidth="1"/>
    <col min="19" max="19" width="27.54296875" customWidth="1"/>
  </cols>
  <sheetData>
    <row r="3" spans="2:12" ht="13">
      <c r="F3" s="216"/>
      <c r="G3" s="216"/>
    </row>
    <row r="4" spans="2:12" ht="26">
      <c r="B4" s="71" t="s">
        <v>77</v>
      </c>
      <c r="C4" s="72" t="s">
        <v>152</v>
      </c>
      <c r="D4" s="72" t="s">
        <v>133</v>
      </c>
      <c r="E4" s="71" t="s">
        <v>134</v>
      </c>
      <c r="F4" s="71" t="s">
        <v>589</v>
      </c>
      <c r="G4" s="73" t="s">
        <v>590</v>
      </c>
      <c r="H4" s="217" t="s">
        <v>591</v>
      </c>
      <c r="I4" s="217" t="s">
        <v>592</v>
      </c>
      <c r="J4" s="217" t="s">
        <v>174</v>
      </c>
      <c r="K4" s="217" t="s">
        <v>593</v>
      </c>
      <c r="L4" s="217" t="s">
        <v>594</v>
      </c>
    </row>
    <row r="5" spans="2:12" ht="13" thickBot="1">
      <c r="B5" s="74" t="s">
        <v>456</v>
      </c>
      <c r="C5" s="74" t="s">
        <v>457</v>
      </c>
      <c r="D5" s="74"/>
      <c r="E5" s="74" t="s">
        <v>459</v>
      </c>
      <c r="F5" s="74"/>
      <c r="G5" s="74" t="s">
        <v>595</v>
      </c>
      <c r="H5" s="218" t="s">
        <v>596</v>
      </c>
      <c r="I5" s="218"/>
      <c r="J5" s="218"/>
      <c r="K5" s="218"/>
      <c r="L5" s="218"/>
    </row>
    <row r="6" spans="2:12" ht="16" customHeight="1">
      <c r="B6" s="80" t="str">
        <f>SEC_Processes!D41</f>
        <v>AGR_FERT_N_INORG</v>
      </c>
      <c r="C6" s="80" t="str">
        <f>SEC_Processes!E41</f>
        <v>AGR_FERT_N_INORG</v>
      </c>
      <c r="D6" s="86" t="str">
        <f>SEC_Comm!$D$64</f>
        <v>AGR_LAND</v>
      </c>
      <c r="E6" s="86" t="str">
        <f>SEC_Comm!$D$65</f>
        <v>AGR_DUMMY_DMD_LAND</v>
      </c>
      <c r="F6" s="86" t="str">
        <f>SEC_Comm!$D$35</f>
        <v>AGR_N2O</v>
      </c>
      <c r="G6" s="86">
        <v>100</v>
      </c>
      <c r="H6" s="86">
        <v>3.3536446309540635E-3</v>
      </c>
      <c r="I6" s="86">
        <v>3.3536446309540635E-3</v>
      </c>
      <c r="J6" s="86">
        <v>1</v>
      </c>
      <c r="K6" s="86">
        <v>1</v>
      </c>
      <c r="L6" s="80">
        <v>1</v>
      </c>
    </row>
    <row r="7" spans="2:12" ht="16" customHeight="1">
      <c r="B7" s="78" t="str">
        <f>SEC_Processes!D42</f>
        <v>AGR_FERT_N_MANURE</v>
      </c>
      <c r="C7" s="78" t="str">
        <f>SEC_Processes!E42</f>
        <v>AGR_FERT_N_MANURE</v>
      </c>
      <c r="D7" s="78" t="str">
        <f>SEC_Comm!$D$64</f>
        <v>AGR_LAND</v>
      </c>
      <c r="E7" s="78" t="str">
        <f>SEC_Comm!$D$65</f>
        <v>AGR_DUMMY_DMD_LAND</v>
      </c>
      <c r="F7" s="78" t="str">
        <f>SEC_Comm!$D$35</f>
        <v>AGR_N2O</v>
      </c>
      <c r="G7" s="78">
        <v>100</v>
      </c>
      <c r="H7" s="78">
        <v>1.3636721995992276E-3</v>
      </c>
      <c r="I7" s="78">
        <v>1.3636721995992276E-3</v>
      </c>
      <c r="J7" s="78">
        <v>1</v>
      </c>
      <c r="K7" s="78">
        <v>1</v>
      </c>
      <c r="L7" s="78">
        <v>1</v>
      </c>
    </row>
    <row r="8" spans="2:12" ht="16" customHeight="1">
      <c r="B8" s="80" t="str">
        <f>SEC_Processes!D43</f>
        <v>AGR_FERT_N_SLUDGE</v>
      </c>
      <c r="C8" s="80" t="str">
        <f>SEC_Processes!E43</f>
        <v>AGR_FERT_N_SLUDGE</v>
      </c>
      <c r="D8" s="80" t="str">
        <f>SEC_Comm!$D$64</f>
        <v>AGR_LAND</v>
      </c>
      <c r="E8" s="80" t="str">
        <f>SEC_Comm!$D$65</f>
        <v>AGR_DUMMY_DMD_LAND</v>
      </c>
      <c r="F8" s="80" t="str">
        <f>SEC_Comm!$D$35</f>
        <v>AGR_N2O</v>
      </c>
      <c r="G8" s="80">
        <v>100</v>
      </c>
      <c r="H8" s="80">
        <v>1.6167876959150761E-5</v>
      </c>
      <c r="I8" s="80">
        <v>1.6167876959150761E-5</v>
      </c>
      <c r="J8" s="80">
        <v>1</v>
      </c>
      <c r="K8" s="80">
        <v>1</v>
      </c>
      <c r="L8" s="80">
        <v>1</v>
      </c>
    </row>
    <row r="9" spans="2:12" ht="16" customHeight="1">
      <c r="B9" s="78" t="str">
        <f>SEC_Processes!D44</f>
        <v>AGR_FERT_N_URINE</v>
      </c>
      <c r="C9" s="78" t="str">
        <f>SEC_Processes!E44</f>
        <v>AGR_FERT_N_URINE</v>
      </c>
      <c r="D9" s="78" t="str">
        <f>SEC_Comm!$D$64</f>
        <v>AGR_LAND</v>
      </c>
      <c r="E9" s="78" t="str">
        <f>SEC_Comm!$D$65</f>
        <v>AGR_DUMMY_DMD_LAND</v>
      </c>
      <c r="F9" s="78" t="str">
        <f>SEC_Comm!$D$35</f>
        <v>AGR_N2O</v>
      </c>
      <c r="G9" s="78">
        <v>100</v>
      </c>
      <c r="H9" s="78">
        <v>3.5521265615012299E-4</v>
      </c>
      <c r="I9" s="78">
        <v>3.5521265615012299E-4</v>
      </c>
      <c r="J9" s="78">
        <v>1</v>
      </c>
      <c r="K9" s="78">
        <v>1</v>
      </c>
      <c r="L9" s="78">
        <v>1</v>
      </c>
    </row>
    <row r="10" spans="2:12" ht="16" customHeight="1">
      <c r="B10" s="80" t="str">
        <f>SEC_Processes!D45</f>
        <v>AGR_FERT_N_CROP-RES</v>
      </c>
      <c r="C10" s="80" t="str">
        <f>SEC_Processes!E45</f>
        <v>AGR_FERT_N_CROP-RES</v>
      </c>
      <c r="D10" s="80" t="str">
        <f>SEC_Comm!$D$64</f>
        <v>AGR_LAND</v>
      </c>
      <c r="E10" s="80" t="str">
        <f>SEC_Comm!$D$65</f>
        <v>AGR_DUMMY_DMD_LAND</v>
      </c>
      <c r="F10" s="80" t="str">
        <f>SEC_Comm!$D$35</f>
        <v>AGR_N2O</v>
      </c>
      <c r="G10" s="80">
        <v>100</v>
      </c>
      <c r="H10" s="80">
        <v>1.3317292501199591E-3</v>
      </c>
      <c r="I10" s="80">
        <v>1.3317292501199591E-3</v>
      </c>
      <c r="J10" s="80">
        <v>1</v>
      </c>
      <c r="K10" s="80">
        <v>1</v>
      </c>
      <c r="L10" s="80">
        <v>1</v>
      </c>
    </row>
    <row r="11" spans="2:12" ht="16" customHeight="1">
      <c r="B11" s="78" t="str">
        <f>SEC_Processes!D46</f>
        <v>AGR_FERT_N_MIN</v>
      </c>
      <c r="C11" s="78" t="str">
        <f>SEC_Processes!E46</f>
        <v>AGR_FERT_N_MIN</v>
      </c>
      <c r="D11" s="78" t="str">
        <f>SEC_Comm!$D$64</f>
        <v>AGR_LAND</v>
      </c>
      <c r="E11" s="78" t="str">
        <f>SEC_Comm!$D$65</f>
        <v>AGR_DUMMY_DMD_LAND</v>
      </c>
      <c r="F11" s="78" t="str">
        <f>SEC_Comm!$D$35</f>
        <v>AGR_N2O</v>
      </c>
      <c r="G11" s="78">
        <v>100</v>
      </c>
      <c r="H11" s="78">
        <v>3.3444092997706812E-5</v>
      </c>
      <c r="I11" s="78">
        <v>3.3444092997706812E-5</v>
      </c>
      <c r="J11" s="78">
        <v>1</v>
      </c>
      <c r="K11" s="78">
        <v>1</v>
      </c>
      <c r="L11" s="78">
        <v>1</v>
      </c>
    </row>
    <row r="12" spans="2:12" ht="16" customHeight="1">
      <c r="B12" s="80" t="str">
        <f>SEC_Processes!D47</f>
        <v>AGR_FERT_N_CULT</v>
      </c>
      <c r="C12" s="80" t="str">
        <f>SEC_Processes!E47</f>
        <v>AGR_FERT_N_CULT</v>
      </c>
      <c r="D12" s="80" t="str">
        <f>SEC_Comm!$D$64</f>
        <v>AGR_LAND</v>
      </c>
      <c r="E12" s="80" t="str">
        <f>SEC_Comm!$D$65</f>
        <v>AGR_DUMMY_DMD_LAND</v>
      </c>
      <c r="F12" s="80" t="str">
        <f>SEC_Comm!$D$35</f>
        <v>AGR_N2O</v>
      </c>
      <c r="G12" s="80">
        <v>100</v>
      </c>
      <c r="H12" s="80">
        <v>2.3921301121307636E-3</v>
      </c>
      <c r="I12" s="80">
        <v>2.3921301121307636E-3</v>
      </c>
      <c r="J12" s="80">
        <v>1</v>
      </c>
      <c r="K12" s="80">
        <v>1</v>
      </c>
      <c r="L12" s="80">
        <v>1</v>
      </c>
    </row>
    <row r="13" spans="2:12" ht="16" customHeight="1">
      <c r="B13" s="78" t="str">
        <f>SEC_Processes!D48</f>
        <v>AGR_FERT_N_ATM-DEP</v>
      </c>
      <c r="C13" s="78" t="str">
        <f>SEC_Processes!E48</f>
        <v>AGR_FERT_N_ATM-DEP</v>
      </c>
      <c r="D13" s="78" t="str">
        <f>SEC_Comm!$D$64</f>
        <v>AGR_LAND</v>
      </c>
      <c r="E13" s="78" t="str">
        <f>SEC_Comm!$D$65</f>
        <v>AGR_DUMMY_DMD_LAND</v>
      </c>
      <c r="F13" s="78" t="str">
        <f>SEC_Comm!$D$35</f>
        <v>AGR_N2O</v>
      </c>
      <c r="G13" s="78">
        <v>100</v>
      </c>
      <c r="H13" s="78">
        <v>6.474598752018464E-4</v>
      </c>
      <c r="I13" s="78">
        <v>6.474598752018464E-4</v>
      </c>
      <c r="J13" s="78">
        <v>1</v>
      </c>
      <c r="K13" s="78">
        <v>1</v>
      </c>
      <c r="L13" s="78">
        <v>1</v>
      </c>
    </row>
    <row r="14" spans="2:12" ht="16" customHeight="1" thickBot="1">
      <c r="B14" s="212" t="str">
        <f>SEC_Processes!D49</f>
        <v>AGR_FERT_N_NITR-LEACH</v>
      </c>
      <c r="C14" s="212" t="str">
        <f>SEC_Processes!E49</f>
        <v>AGR_FERT_N_NITR-LEACH</v>
      </c>
      <c r="D14" s="212" t="str">
        <f>SEC_Comm!$D$64</f>
        <v>AGR_LAND</v>
      </c>
      <c r="E14" s="212" t="str">
        <f>SEC_Comm!$D$65</f>
        <v>AGR_DUMMY_DMD_LAND</v>
      </c>
      <c r="F14" s="212" t="str">
        <f>SEC_Comm!$D$35</f>
        <v>AGR_N2O</v>
      </c>
      <c r="G14" s="212">
        <v>100</v>
      </c>
      <c r="H14" s="212">
        <v>1.4128413827858835E-3</v>
      </c>
      <c r="I14" s="212">
        <v>1.4128413827858835E-3</v>
      </c>
      <c r="J14" s="212">
        <v>1</v>
      </c>
      <c r="K14" s="212">
        <v>1</v>
      </c>
      <c r="L14" s="212">
        <v>1</v>
      </c>
    </row>
    <row r="16" spans="2:12" ht="13">
      <c r="F16" s="216"/>
      <c r="G16" s="216"/>
    </row>
    <row r="17" spans="2:33" ht="26">
      <c r="B17" s="71" t="s">
        <v>77</v>
      </c>
      <c r="C17" s="72" t="s">
        <v>152</v>
      </c>
      <c r="D17" s="72" t="s">
        <v>133</v>
      </c>
      <c r="E17" s="71" t="s">
        <v>134</v>
      </c>
      <c r="F17" s="71" t="s">
        <v>589</v>
      </c>
      <c r="G17" s="73" t="s">
        <v>590</v>
      </c>
      <c r="H17" s="217" t="s">
        <v>597</v>
      </c>
      <c r="I17" s="217" t="s">
        <v>598</v>
      </c>
      <c r="J17" s="217" t="s">
        <v>174</v>
      </c>
      <c r="K17" s="217" t="s">
        <v>593</v>
      </c>
      <c r="L17" s="217" t="s">
        <v>594</v>
      </c>
    </row>
    <row r="18" spans="2:33" ht="13" thickBot="1">
      <c r="B18" s="74" t="s">
        <v>456</v>
      </c>
      <c r="C18" s="74" t="s">
        <v>457</v>
      </c>
      <c r="D18" s="74"/>
      <c r="E18" s="74" t="s">
        <v>459</v>
      </c>
      <c r="F18" s="74"/>
      <c r="G18" s="74" t="s">
        <v>595</v>
      </c>
      <c r="H18" s="218" t="s">
        <v>596</v>
      </c>
      <c r="I18" s="218"/>
      <c r="J18" s="218"/>
      <c r="K18" s="218"/>
      <c r="L18" s="218"/>
    </row>
    <row r="19" spans="2:33">
      <c r="B19" s="86" t="str">
        <f>SEC_Processes!D50</f>
        <v>AGR_LAND_FERT_CO2_LIM</v>
      </c>
      <c r="C19" s="86" t="str">
        <f>SEC_Processes!E50</f>
        <v>AGR_LAND_FERT_CO2_LIM</v>
      </c>
      <c r="D19" s="86" t="str">
        <f>SEC_Comm!$D$64</f>
        <v>AGR_LAND</v>
      </c>
      <c r="E19" s="86" t="str">
        <f>SEC_Comm!$D$65</f>
        <v>AGR_DUMMY_DMD_LAND</v>
      </c>
      <c r="F19" s="86" t="str">
        <f>SEC_Comm!$D$23</f>
        <v>AGR_CO2</v>
      </c>
      <c r="G19" s="86">
        <v>100</v>
      </c>
      <c r="H19" s="86">
        <v>0.13152132080584736</v>
      </c>
      <c r="I19" s="86">
        <v>0.13152132080584736</v>
      </c>
      <c r="J19" s="86">
        <v>1</v>
      </c>
      <c r="K19" s="86">
        <v>1</v>
      </c>
      <c r="L19" s="80">
        <v>1</v>
      </c>
    </row>
    <row r="20" spans="2:33">
      <c r="B20" s="78" t="str">
        <f>SEC_Processes!D51</f>
        <v>AGR_LAND_FERT_CO2_DOL</v>
      </c>
      <c r="C20" s="78" t="str">
        <f>SEC_Processes!E51</f>
        <v>AGR_LAND_FERT_CO2_DOL</v>
      </c>
      <c r="D20" s="78" t="str">
        <f>SEC_Comm!$D$64</f>
        <v>AGR_LAND</v>
      </c>
      <c r="E20" s="78" t="str">
        <f>SEC_Comm!$D$65</f>
        <v>AGR_DUMMY_DMD_LAND</v>
      </c>
      <c r="F20" s="78" t="str">
        <f>SEC_Comm!$D$23</f>
        <v>AGR_CO2</v>
      </c>
      <c r="G20" s="78">
        <v>100</v>
      </c>
      <c r="H20" s="78">
        <v>4.8130324585142367E-2</v>
      </c>
      <c r="I20" s="78">
        <v>4.8130324585142367E-2</v>
      </c>
      <c r="J20" s="78">
        <v>1</v>
      </c>
      <c r="K20" s="78">
        <v>1</v>
      </c>
      <c r="L20" s="78">
        <v>1</v>
      </c>
    </row>
    <row r="21" spans="2:33">
      <c r="B21" s="80" t="str">
        <f>SEC_Processes!D52</f>
        <v>AGR_LAND_FERT_CO2_UREA</v>
      </c>
      <c r="C21" s="80" t="str">
        <f>SEC_Processes!E52</f>
        <v>AGR_LAND_FERT_CO2_UREA</v>
      </c>
      <c r="D21" s="80" t="str">
        <f>SEC_Comm!$D$64</f>
        <v>AGR_LAND</v>
      </c>
      <c r="E21" s="80" t="str">
        <f>SEC_Comm!$D$65</f>
        <v>AGR_DUMMY_DMD_LAND</v>
      </c>
      <c r="F21" s="80" t="str">
        <f>SEC_Comm!$D$23</f>
        <v>AGR_CO2</v>
      </c>
      <c r="G21" s="80">
        <v>100</v>
      </c>
      <c r="H21" s="80">
        <v>8.9067158554401421E-2</v>
      </c>
      <c r="I21" s="80">
        <v>8.9067158554401421E-2</v>
      </c>
      <c r="J21" s="80">
        <v>1</v>
      </c>
      <c r="K21" s="80">
        <v>1</v>
      </c>
      <c r="L21" s="80">
        <v>1</v>
      </c>
    </row>
    <row r="22" spans="2:33" ht="13" thickBot="1">
      <c r="B22" s="81" t="str">
        <f>SEC_Processes!D53</f>
        <v>AGR_LAND_FERT_CO2_OTH</v>
      </c>
      <c r="C22" s="81" t="str">
        <f>SEC_Processes!E53</f>
        <v>AGR_LAND_FERT_CO2_OTH</v>
      </c>
      <c r="D22" s="81" t="str">
        <f>SEC_Comm!$D$64</f>
        <v>AGR_LAND</v>
      </c>
      <c r="E22" s="81" t="str">
        <f>SEC_Comm!$D$65</f>
        <v>AGR_DUMMY_DMD_LAND</v>
      </c>
      <c r="F22" s="81" t="str">
        <f>SEC_Comm!$D$23</f>
        <v>AGR_CO2</v>
      </c>
      <c r="G22" s="81">
        <v>100</v>
      </c>
      <c r="H22" s="81">
        <v>5.3429612525204687E-2</v>
      </c>
      <c r="I22" s="81">
        <v>5.3429612525204687E-2</v>
      </c>
      <c r="J22" s="81">
        <v>1</v>
      </c>
      <c r="K22" s="81">
        <v>1</v>
      </c>
      <c r="L22" s="81">
        <v>1</v>
      </c>
    </row>
    <row r="24" spans="2:33">
      <c r="U24" t="s">
        <v>677</v>
      </c>
    </row>
    <row r="25" spans="2:33" ht="13">
      <c r="F25" s="216" t="s">
        <v>645</v>
      </c>
      <c r="G25" s="216" t="s">
        <v>723</v>
      </c>
      <c r="I25" t="s">
        <v>721</v>
      </c>
      <c r="O25" t="s">
        <v>721</v>
      </c>
    </row>
    <row r="26" spans="2:33" ht="39">
      <c r="B26" s="268" t="s">
        <v>77</v>
      </c>
      <c r="C26" s="273" t="s">
        <v>152</v>
      </c>
      <c r="D26" s="273" t="s">
        <v>133</v>
      </c>
      <c r="E26" s="272" t="s">
        <v>134</v>
      </c>
      <c r="F26" s="272" t="s">
        <v>589</v>
      </c>
      <c r="G26" s="281" t="s">
        <v>590</v>
      </c>
      <c r="H26" s="282" t="s">
        <v>594</v>
      </c>
      <c r="I26" s="282" t="s">
        <v>672</v>
      </c>
      <c r="J26" s="282" t="s">
        <v>174</v>
      </c>
      <c r="K26" s="282" t="s">
        <v>599</v>
      </c>
      <c r="L26" s="282" t="s">
        <v>600</v>
      </c>
      <c r="M26" s="282" t="s">
        <v>591</v>
      </c>
      <c r="N26" s="282" t="s">
        <v>592</v>
      </c>
      <c r="O26" s="282" t="s">
        <v>610</v>
      </c>
      <c r="P26" s="283" t="s">
        <v>593</v>
      </c>
      <c r="AF26">
        <f>G28*J28*P28</f>
        <v>5.4799999999999996E-3</v>
      </c>
      <c r="AG26" t="s">
        <v>671</v>
      </c>
    </row>
    <row r="27" spans="2:33">
      <c r="B27" s="263" t="s">
        <v>456</v>
      </c>
      <c r="C27" s="264" t="s">
        <v>457</v>
      </c>
      <c r="D27" s="264"/>
      <c r="E27" s="264" t="s">
        <v>459</v>
      </c>
      <c r="F27" s="264"/>
      <c r="G27" s="264" t="s">
        <v>595</v>
      </c>
      <c r="H27" s="265" t="s">
        <v>719</v>
      </c>
      <c r="I27" s="265" t="s">
        <v>720</v>
      </c>
      <c r="J27" s="265"/>
      <c r="K27" s="265" t="s">
        <v>596</v>
      </c>
      <c r="L27" s="265"/>
      <c r="M27" s="265" t="s">
        <v>596</v>
      </c>
      <c r="N27" s="265"/>
      <c r="O27" s="265" t="s">
        <v>720</v>
      </c>
      <c r="P27" s="284"/>
      <c r="S27" t="s">
        <v>673</v>
      </c>
      <c r="AF27">
        <f>G28</f>
        <v>5.4799999999999996E-3</v>
      </c>
      <c r="AG27" t="s">
        <v>671</v>
      </c>
    </row>
    <row r="28" spans="2:33" ht="16" customHeight="1">
      <c r="B28" s="262" t="str">
        <f>SEC_Processes!D54</f>
        <v>AGR_LAND_CROP_WHEAT</v>
      </c>
      <c r="C28" s="242" t="str">
        <f>SEC_Processes!E54</f>
        <v>AGR_LAND_CROP_WHEAT</v>
      </c>
      <c r="D28" s="243"/>
      <c r="E28" s="243"/>
      <c r="F28" s="243"/>
      <c r="G28" s="242">
        <f>O30/1000</f>
        <v>5.4799999999999996E-3</v>
      </c>
      <c r="H28" s="243"/>
      <c r="I28" s="243"/>
      <c r="J28" s="242">
        <v>1</v>
      </c>
      <c r="K28" s="243"/>
      <c r="L28" s="243"/>
      <c r="M28" s="243"/>
      <c r="N28" s="243"/>
      <c r="O28" s="243"/>
      <c r="P28" s="244">
        <v>1</v>
      </c>
      <c r="Q28" s="38"/>
      <c r="S28" t="s">
        <v>674</v>
      </c>
      <c r="AF28">
        <f>AF26*H29</f>
        <v>5.4799999999999996E-3</v>
      </c>
      <c r="AG28" t="s">
        <v>671</v>
      </c>
    </row>
    <row r="29" spans="2:33" ht="16" customHeight="1">
      <c r="B29" s="245"/>
      <c r="C29" s="38"/>
      <c r="D29" s="254" t="str">
        <f>SEC_Comm!$D$64</f>
        <v>AGR_LAND</v>
      </c>
      <c r="G29" s="38"/>
      <c r="H29" s="246">
        <v>1</v>
      </c>
      <c r="J29" s="38"/>
      <c r="P29" s="247"/>
      <c r="Q29" s="38"/>
      <c r="S29" t="s">
        <v>675</v>
      </c>
    </row>
    <row r="30" spans="2:33" ht="16" customHeight="1">
      <c r="B30" s="245"/>
      <c r="C30" s="38"/>
      <c r="D30" s="80"/>
      <c r="E30" s="256" t="str">
        <f>SEC_Comm!D77</f>
        <v>AGR_DEM_CROP_WHEAT</v>
      </c>
      <c r="G30" s="38"/>
      <c r="I30" s="38"/>
      <c r="J30" s="38"/>
      <c r="O30" s="248">
        <f>54.8/10</f>
        <v>5.4799999999999995</v>
      </c>
      <c r="P30" s="247"/>
      <c r="Q30" s="38"/>
      <c r="S30" t="s">
        <v>678</v>
      </c>
      <c r="AF30">
        <f>AF26*O30</f>
        <v>3.0030399999999995E-2</v>
      </c>
      <c r="AG30" t="s">
        <v>54</v>
      </c>
    </row>
    <row r="31" spans="2:33" ht="16" customHeight="1">
      <c r="B31" s="245"/>
      <c r="C31" s="38"/>
      <c r="D31" s="38"/>
      <c r="E31" s="240" t="str">
        <f>SEC_Comm!D48</f>
        <v>AGR_RESID_CROP_WHEAT</v>
      </c>
      <c r="F31" s="38"/>
      <c r="G31" s="38"/>
      <c r="I31" s="240">
        <f>5.9/1000</f>
        <v>5.9000000000000007E-3</v>
      </c>
      <c r="J31" s="38"/>
      <c r="K31" s="38"/>
      <c r="L31" s="38"/>
      <c r="M31" s="38"/>
      <c r="N31" s="38"/>
      <c r="P31" s="247"/>
      <c r="Q31" s="38"/>
      <c r="S31" t="s">
        <v>676</v>
      </c>
    </row>
    <row r="32" spans="2:33" ht="16" customHeight="1">
      <c r="B32" s="245"/>
      <c r="C32" s="38"/>
      <c r="D32" s="38"/>
      <c r="E32" s="38"/>
      <c r="F32" s="257" t="str">
        <f>SEC_Comm!$D$38</f>
        <v>AGR_CH4_LAND</v>
      </c>
      <c r="G32" s="38"/>
      <c r="I32" s="38"/>
      <c r="J32" s="38"/>
      <c r="K32" s="257">
        <v>5.2190654887486986E-5</v>
      </c>
      <c r="L32" s="257">
        <v>5.2190654887486986E-5</v>
      </c>
      <c r="M32" s="38"/>
      <c r="N32" s="38"/>
      <c r="P32" s="247"/>
      <c r="AF32">
        <f>AF26*I31</f>
        <v>3.2332000000000001E-5</v>
      </c>
      <c r="AG32" t="s">
        <v>54</v>
      </c>
    </row>
    <row r="33" spans="2:24" ht="16" customHeight="1">
      <c r="B33" s="249"/>
      <c r="C33" s="250"/>
      <c r="D33" s="250"/>
      <c r="E33" s="250"/>
      <c r="F33" s="251" t="str">
        <f>SEC_Comm!$D$35</f>
        <v>AGR_N2O</v>
      </c>
      <c r="G33" s="250"/>
      <c r="H33" s="160"/>
      <c r="I33" s="250"/>
      <c r="J33" s="250"/>
      <c r="K33" s="250"/>
      <c r="L33" s="250"/>
      <c r="M33" s="251">
        <v>1.2056041278991983E-6</v>
      </c>
      <c r="N33" s="251">
        <v>1.2056041278991983E-6</v>
      </c>
      <c r="O33" s="160"/>
      <c r="P33" s="252"/>
    </row>
    <row r="34" spans="2:24" ht="16" customHeight="1">
      <c r="B34" s="241" t="str">
        <f>SEC_Processes!D55</f>
        <v>AGR_LAND_CROP_BARLEY</v>
      </c>
      <c r="C34" s="242" t="str">
        <f>SEC_Processes!E55</f>
        <v>AGR_LAND_CROP_BARLEY</v>
      </c>
      <c r="D34" s="243"/>
      <c r="E34" s="243"/>
      <c r="F34" s="243"/>
      <c r="G34" s="242">
        <f>352232/1000</f>
        <v>352.23200000000003</v>
      </c>
      <c r="H34" s="243"/>
      <c r="I34" s="253"/>
      <c r="J34" s="242">
        <v>1</v>
      </c>
      <c r="K34" s="243"/>
      <c r="L34" s="243"/>
      <c r="M34" s="243"/>
      <c r="N34" s="243"/>
      <c r="O34" s="243"/>
      <c r="P34" s="244">
        <v>1</v>
      </c>
    </row>
    <row r="35" spans="2:24" ht="16" customHeight="1">
      <c r="B35" s="245"/>
      <c r="C35" s="38"/>
      <c r="D35" s="254" t="str">
        <f>SEC_Comm!$D$64</f>
        <v>AGR_LAND</v>
      </c>
      <c r="G35" s="38"/>
      <c r="H35" s="246">
        <v>1</v>
      </c>
      <c r="I35" s="38"/>
      <c r="J35" s="38"/>
      <c r="K35" s="38"/>
      <c r="L35" s="38"/>
      <c r="M35" s="38"/>
      <c r="N35" s="38"/>
      <c r="P35" s="247"/>
    </row>
    <row r="36" spans="2:24" ht="16" customHeight="1">
      <c r="B36" s="255"/>
      <c r="E36" s="256" t="str">
        <f>SEC_Comm!D78</f>
        <v>AGR_DEM_CROP_BARLEY</v>
      </c>
      <c r="F36" s="38"/>
      <c r="O36" s="248">
        <f>50.7/10</f>
        <v>5.07</v>
      </c>
      <c r="P36" s="247"/>
    </row>
    <row r="37" spans="2:24" ht="16" customHeight="1">
      <c r="B37" s="255"/>
      <c r="E37" s="240" t="str">
        <f>SEC_Comm!D49</f>
        <v>AGR_RESID_CROP_BARLEY</v>
      </c>
      <c r="F37" s="38"/>
      <c r="I37" s="167">
        <f>4/1000</f>
        <v>4.0000000000000001E-3</v>
      </c>
      <c r="P37" s="247"/>
      <c r="T37" t="s">
        <v>712</v>
      </c>
    </row>
    <row r="38" spans="2:24" ht="16" customHeight="1">
      <c r="B38" s="255"/>
      <c r="F38" s="257" t="str">
        <f>SEC_Comm!$D$38</f>
        <v>AGR_CH4_LAND</v>
      </c>
      <c r="K38" s="257">
        <v>1.0543212063627382E-5</v>
      </c>
      <c r="L38" s="257">
        <v>1.0543212063627382E-5</v>
      </c>
      <c r="P38" s="247"/>
      <c r="S38" s="285" t="s">
        <v>709</v>
      </c>
    </row>
    <row r="39" spans="2:24" ht="16" customHeight="1">
      <c r="B39" s="258"/>
      <c r="C39" s="160"/>
      <c r="D39" s="160"/>
      <c r="E39" s="160"/>
      <c r="F39" s="251" t="str">
        <f>SEC_Comm!$D$35</f>
        <v>AGR_N2O</v>
      </c>
      <c r="G39" s="160"/>
      <c r="H39" s="160"/>
      <c r="I39" s="160"/>
      <c r="J39" s="160"/>
      <c r="K39" s="160"/>
      <c r="L39" s="160"/>
      <c r="M39" s="251">
        <v>2.6094449857457963E-7</v>
      </c>
      <c r="N39" s="251">
        <v>2.6094449857457963E-7</v>
      </c>
      <c r="O39" s="160"/>
      <c r="P39" s="252"/>
    </row>
    <row r="40" spans="2:24" ht="16" customHeight="1">
      <c r="B40" s="241" t="str">
        <f>SEC_Processes!D56</f>
        <v>AGR_LAND_CROP_MAIZE</v>
      </c>
      <c r="C40" s="242" t="str">
        <f>SEC_Processes!E56</f>
        <v>AGR_LAND_CROP_MAIZE</v>
      </c>
      <c r="D40" s="243"/>
      <c r="E40" s="243"/>
      <c r="F40" s="253"/>
      <c r="G40" s="242">
        <f>1255632/1000</f>
        <v>1255.6320000000001</v>
      </c>
      <c r="H40" s="243"/>
      <c r="I40" s="253"/>
      <c r="J40" s="242">
        <v>1</v>
      </c>
      <c r="K40" s="243"/>
      <c r="L40" s="243"/>
      <c r="M40" s="243"/>
      <c r="N40" s="243"/>
      <c r="O40" s="243"/>
      <c r="P40" s="244">
        <v>1</v>
      </c>
    </row>
    <row r="41" spans="2:24" ht="16" customHeight="1">
      <c r="B41" s="245"/>
      <c r="C41" s="38"/>
      <c r="D41" s="254" t="str">
        <f>SEC_Comm!$D$64</f>
        <v>AGR_LAND</v>
      </c>
      <c r="F41" s="38"/>
      <c r="G41" s="38"/>
      <c r="H41" s="246">
        <v>1</v>
      </c>
      <c r="I41" s="38"/>
      <c r="J41" s="38"/>
      <c r="K41" s="38"/>
      <c r="L41" s="38"/>
      <c r="M41" s="38"/>
      <c r="N41" s="38"/>
      <c r="P41" s="247"/>
    </row>
    <row r="42" spans="2:24" ht="16" customHeight="1">
      <c r="B42" s="245"/>
      <c r="C42" s="38"/>
      <c r="D42" s="38"/>
      <c r="E42" s="256" t="str">
        <f>SEC_Comm!D79</f>
        <v>AGR_DEM_CROP_MAIZE</v>
      </c>
      <c r="F42" s="38"/>
      <c r="G42" s="38"/>
      <c r="I42" s="38"/>
      <c r="J42" s="38"/>
      <c r="K42" s="38"/>
      <c r="L42" s="38"/>
      <c r="M42" s="38"/>
      <c r="N42" s="38"/>
      <c r="O42" s="248">
        <f>72.9/10</f>
        <v>7.2900000000000009</v>
      </c>
      <c r="P42" s="247"/>
      <c r="X42" t="s">
        <v>731</v>
      </c>
    </row>
    <row r="43" spans="2:24" ht="16" customHeight="1">
      <c r="B43" s="245"/>
      <c r="C43" s="38"/>
      <c r="D43" s="38"/>
      <c r="E43" s="240" t="str">
        <f>SEC_Comm!D50</f>
        <v>AGR_RESID_CROP_MAIZE</v>
      </c>
      <c r="F43" s="38"/>
      <c r="G43" s="38"/>
      <c r="I43" s="240">
        <f>8.9/1000</f>
        <v>8.8999999999999999E-3</v>
      </c>
      <c r="J43" s="38"/>
      <c r="K43" s="38"/>
      <c r="L43" s="38"/>
      <c r="M43" s="38"/>
      <c r="N43" s="38"/>
      <c r="O43" s="292" t="s">
        <v>356</v>
      </c>
      <c r="P43" s="247"/>
      <c r="X43" t="s">
        <v>732</v>
      </c>
    </row>
    <row r="44" spans="2:24" ht="16" customHeight="1">
      <c r="B44" s="245"/>
      <c r="C44" s="38"/>
      <c r="D44" s="38"/>
      <c r="E44" s="38"/>
      <c r="F44" s="257" t="str">
        <f>SEC_Comm!$D$38</f>
        <v>AGR_CH4_LAND</v>
      </c>
      <c r="G44" s="38"/>
      <c r="I44" s="38"/>
      <c r="J44" s="38"/>
      <c r="K44" s="257">
        <v>9.7131779652304633E-6</v>
      </c>
      <c r="L44" s="257">
        <v>9.7131779652304633E-6</v>
      </c>
      <c r="M44" s="38"/>
      <c r="N44" s="38"/>
      <c r="P44" s="247"/>
    </row>
    <row r="45" spans="2:24" ht="16" customHeight="1">
      <c r="B45" s="249"/>
      <c r="C45" s="250"/>
      <c r="D45" s="250"/>
      <c r="E45" s="250"/>
      <c r="F45" s="251" t="str">
        <f>SEC_Comm!$D$35</f>
        <v>AGR_N2O</v>
      </c>
      <c r="G45" s="250"/>
      <c r="H45" s="160"/>
      <c r="I45" s="250"/>
      <c r="J45" s="250"/>
      <c r="K45" s="250"/>
      <c r="L45" s="250"/>
      <c r="M45" s="251">
        <v>3.2053487285256779E-7</v>
      </c>
      <c r="N45" s="251">
        <v>3.2053487285256779E-7</v>
      </c>
      <c r="O45" s="160"/>
      <c r="P45" s="252"/>
    </row>
    <row r="46" spans="2:24" ht="16" customHeight="1">
      <c r="B46" s="260" t="str">
        <f>SEC_Processes!D57</f>
        <v>AGR_LAND_CROP_CER-MIX</v>
      </c>
      <c r="C46" s="259" t="str">
        <f>SEC_Processes!E57</f>
        <v>AGR_LAND_CROP_CER-MIX</v>
      </c>
      <c r="F46" s="38"/>
      <c r="G46" s="259">
        <f>47566/1000</f>
        <v>47.566000000000003</v>
      </c>
      <c r="I46" s="38"/>
      <c r="J46" s="259">
        <v>1</v>
      </c>
      <c r="P46" s="261">
        <v>1</v>
      </c>
    </row>
    <row r="47" spans="2:24" ht="16" customHeight="1">
      <c r="B47" s="245"/>
      <c r="C47" s="38"/>
      <c r="D47" s="254" t="str">
        <f>SEC_Comm!$D$64</f>
        <v>AGR_LAND</v>
      </c>
      <c r="F47" s="38"/>
      <c r="G47" s="38"/>
      <c r="H47" s="246">
        <v>1</v>
      </c>
      <c r="I47" s="38"/>
      <c r="J47" s="38"/>
      <c r="K47" s="38"/>
      <c r="L47" s="38"/>
      <c r="M47" s="38"/>
      <c r="N47" s="38"/>
      <c r="P47" s="247"/>
    </row>
    <row r="48" spans="2:24" ht="16" customHeight="1">
      <c r="B48" s="245"/>
      <c r="C48" s="38"/>
      <c r="D48" s="38"/>
      <c r="E48" s="256" t="str">
        <f>SEC_Comm!D80</f>
        <v>AGR_DEM_CROP_CER-MIX</v>
      </c>
      <c r="F48" s="38"/>
      <c r="G48" s="38"/>
      <c r="I48" s="38"/>
      <c r="J48" s="38"/>
      <c r="K48" s="38"/>
      <c r="L48" s="38"/>
      <c r="M48" s="38"/>
      <c r="N48" s="38"/>
      <c r="O48" s="248">
        <f>37.3/10</f>
        <v>3.7299999999999995</v>
      </c>
      <c r="P48" s="247"/>
    </row>
    <row r="49" spans="2:20" ht="16" customHeight="1">
      <c r="B49" s="245"/>
      <c r="C49" s="38"/>
      <c r="D49" s="38"/>
      <c r="E49" s="240" t="str">
        <f>SEC_Comm!D51</f>
        <v>AGR_RESID_CROP_CER-MIX</v>
      </c>
      <c r="F49" s="38"/>
      <c r="G49" s="38"/>
      <c r="I49" s="240">
        <f>AVERAGE(I31,I37,I43,I55,I61,I67)</f>
        <v>5.4666666666666674E-3</v>
      </c>
      <c r="J49" s="38"/>
      <c r="K49" s="38"/>
      <c r="L49" s="38"/>
      <c r="M49" s="38"/>
      <c r="N49" s="38"/>
      <c r="P49" s="247"/>
      <c r="R49" t="s">
        <v>738</v>
      </c>
    </row>
    <row r="50" spans="2:20" ht="16" customHeight="1">
      <c r="B50" s="245"/>
      <c r="C50" s="38"/>
      <c r="D50" s="38"/>
      <c r="F50" s="257" t="str">
        <f>SEC_Comm!$D$38</f>
        <v>AGR_CH4_LAND</v>
      </c>
      <c r="G50" s="38"/>
      <c r="J50" s="38"/>
      <c r="K50" s="257">
        <v>6.8122244192668335E-6</v>
      </c>
      <c r="L50" s="257">
        <v>6.8122244192668335E-6</v>
      </c>
      <c r="M50" s="38"/>
      <c r="N50" s="38"/>
      <c r="P50" s="247"/>
    </row>
    <row r="51" spans="2:20" ht="16" customHeight="1">
      <c r="B51" s="249"/>
      <c r="C51" s="250"/>
      <c r="D51" s="250"/>
      <c r="E51" s="250"/>
      <c r="F51" s="251" t="str">
        <f>SEC_Comm!$D$35</f>
        <v>AGR_N2O</v>
      </c>
      <c r="G51" s="250"/>
      <c r="H51" s="160"/>
      <c r="I51" s="250"/>
      <c r="J51" s="250"/>
      <c r="K51" s="250"/>
      <c r="L51" s="250"/>
      <c r="M51" s="251">
        <v>1.686025543769868E-7</v>
      </c>
      <c r="N51" s="251">
        <v>1.686025543769868E-7</v>
      </c>
      <c r="O51" s="160"/>
      <c r="P51" s="252"/>
    </row>
    <row r="52" spans="2:20" ht="16" customHeight="1">
      <c r="B52" s="241" t="str">
        <f>SEC_Processes!D58</f>
        <v>AGR_LAND_CROP_TRITICALE</v>
      </c>
      <c r="C52" s="242" t="str">
        <f>SEC_Processes!E58</f>
        <v>AGR_LAND_CROP_TRITICALE</v>
      </c>
      <c r="D52" s="243"/>
      <c r="E52" s="243"/>
      <c r="F52" s="253"/>
      <c r="G52" s="242">
        <f>1144144/1000</f>
        <v>1144.144</v>
      </c>
      <c r="H52" s="243"/>
      <c r="I52" s="253"/>
      <c r="J52" s="242">
        <v>1</v>
      </c>
      <c r="K52" s="243"/>
      <c r="L52" s="243"/>
      <c r="M52" s="243"/>
      <c r="N52" s="243"/>
      <c r="O52" s="243"/>
      <c r="P52" s="244">
        <v>1</v>
      </c>
    </row>
    <row r="53" spans="2:20" ht="16" customHeight="1">
      <c r="B53" s="245"/>
      <c r="C53" s="38"/>
      <c r="D53" s="254" t="str">
        <f>SEC_Comm!$D$64</f>
        <v>AGR_LAND</v>
      </c>
      <c r="F53" s="38"/>
      <c r="G53" s="38"/>
      <c r="H53" s="246">
        <v>1</v>
      </c>
      <c r="I53" s="38"/>
      <c r="J53" s="38"/>
      <c r="K53" s="38"/>
      <c r="L53" s="38"/>
      <c r="M53" s="38"/>
      <c r="N53" s="38"/>
      <c r="P53" s="247"/>
    </row>
    <row r="54" spans="2:20" ht="16" customHeight="1">
      <c r="B54" s="245"/>
      <c r="C54" s="38"/>
      <c r="D54" s="38"/>
      <c r="E54" s="256" t="str">
        <f>SEC_Comm!$D$81</f>
        <v>AGR_DEM_CROP_TRITICALE</v>
      </c>
      <c r="F54" s="38"/>
      <c r="G54" s="38"/>
      <c r="I54" s="38"/>
      <c r="J54" s="38"/>
      <c r="K54" s="38"/>
      <c r="L54" s="38"/>
      <c r="M54" s="38"/>
      <c r="N54" s="38"/>
      <c r="O54" s="248">
        <f>45.4/10</f>
        <v>4.54</v>
      </c>
      <c r="P54" s="247"/>
    </row>
    <row r="55" spans="2:20" ht="16" customHeight="1">
      <c r="B55" s="245"/>
      <c r="C55" s="38"/>
      <c r="D55" s="38"/>
      <c r="E55" s="240" t="str">
        <f>SEC_Comm!D52</f>
        <v>AGR_RESID_CROP_TRITICALE</v>
      </c>
      <c r="F55" s="38"/>
      <c r="G55" s="38"/>
      <c r="I55" s="167">
        <f>5.2/1000</f>
        <v>5.1999999999999998E-3</v>
      </c>
      <c r="J55" s="38"/>
      <c r="K55" s="38"/>
      <c r="L55" s="38"/>
      <c r="M55" s="38"/>
      <c r="N55" s="38"/>
      <c r="P55" s="247"/>
      <c r="S55" t="s">
        <v>711</v>
      </c>
      <c r="T55" s="285" t="s">
        <v>710</v>
      </c>
    </row>
    <row r="56" spans="2:20" ht="16" customHeight="1">
      <c r="B56" s="245"/>
      <c r="C56" s="38"/>
      <c r="D56" s="38"/>
      <c r="E56" s="38"/>
      <c r="F56" s="257" t="str">
        <f>SEC_Comm!$D$38</f>
        <v>AGR_CH4_LAND</v>
      </c>
      <c r="G56" s="38"/>
      <c r="I56" s="38"/>
      <c r="J56" s="38"/>
      <c r="K56" s="257">
        <v>3.1805444108375412E-5</v>
      </c>
      <c r="L56" s="257">
        <v>3.1805444108375412E-5</v>
      </c>
      <c r="M56" s="38"/>
      <c r="N56" s="38"/>
      <c r="P56" s="247"/>
      <c r="S56" t="s">
        <v>714</v>
      </c>
      <c r="T56" s="285" t="s">
        <v>713</v>
      </c>
    </row>
    <row r="57" spans="2:20">
      <c r="B57" s="258"/>
      <c r="C57" s="160"/>
      <c r="D57" s="160"/>
      <c r="E57" s="160"/>
      <c r="F57" s="251" t="str">
        <f>SEC_Comm!$D$35</f>
        <v>AGR_N2O</v>
      </c>
      <c r="G57" s="160"/>
      <c r="H57" s="160"/>
      <c r="I57" s="160"/>
      <c r="J57" s="160"/>
      <c r="K57" s="160"/>
      <c r="L57" s="160"/>
      <c r="M57" s="251">
        <v>6.8222677612290495E-7</v>
      </c>
      <c r="N57" s="251">
        <v>6.8222677612290495E-7</v>
      </c>
      <c r="O57" s="160"/>
      <c r="P57" s="252"/>
      <c r="S57" t="s">
        <v>715</v>
      </c>
      <c r="T57" s="285" t="s">
        <v>716</v>
      </c>
    </row>
    <row r="58" spans="2:20" ht="16" customHeight="1">
      <c r="B58" s="241" t="str">
        <f>SEC_Processes!D59</f>
        <v>AGR_LAND_CROP_OATS</v>
      </c>
      <c r="C58" s="242" t="str">
        <f>SEC_Processes!E59</f>
        <v>AGR_LAND_CROP_OATS</v>
      </c>
      <c r="D58" s="243"/>
      <c r="E58" s="243"/>
      <c r="F58" s="253"/>
      <c r="G58" s="242">
        <f>497687/1000</f>
        <v>497.68700000000001</v>
      </c>
      <c r="H58" s="243"/>
      <c r="I58" s="253"/>
      <c r="J58" s="242">
        <v>1</v>
      </c>
      <c r="K58" s="243"/>
      <c r="L58" s="243"/>
      <c r="M58" s="243"/>
      <c r="N58" s="243"/>
      <c r="O58" s="243"/>
      <c r="P58" s="244">
        <v>1</v>
      </c>
    </row>
    <row r="59" spans="2:20" ht="16" customHeight="1">
      <c r="B59" s="245"/>
      <c r="C59" s="38"/>
      <c r="D59" s="254" t="str">
        <f>SEC_Comm!$D$64</f>
        <v>AGR_LAND</v>
      </c>
      <c r="F59" s="38"/>
      <c r="G59" s="38"/>
      <c r="H59" s="246">
        <v>1</v>
      </c>
      <c r="I59" s="38"/>
      <c r="J59" s="38"/>
      <c r="K59" s="38"/>
      <c r="L59" s="38"/>
      <c r="M59" s="38"/>
      <c r="N59" s="38"/>
      <c r="P59" s="247"/>
      <c r="S59" s="285"/>
    </row>
    <row r="60" spans="2:20" ht="16" customHeight="1">
      <c r="B60" s="245"/>
      <c r="C60" s="38"/>
      <c r="D60" s="38"/>
      <c r="E60" s="256" t="str">
        <f>SEC_Comm!$D$82</f>
        <v>AGR_DEM_CROP_OATS</v>
      </c>
      <c r="F60" s="38"/>
      <c r="G60" s="38"/>
      <c r="I60" s="38"/>
      <c r="J60" s="38"/>
      <c r="K60" s="38"/>
      <c r="L60" s="38"/>
      <c r="M60" s="38"/>
      <c r="N60" s="38"/>
      <c r="O60" s="248">
        <f>30.8/10</f>
        <v>3.08</v>
      </c>
      <c r="P60" s="247"/>
      <c r="S60" s="285"/>
    </row>
    <row r="61" spans="2:20" ht="16" customHeight="1">
      <c r="B61" s="245"/>
      <c r="C61" s="38"/>
      <c r="D61" s="38"/>
      <c r="E61" s="240" t="str">
        <f>SEC_Comm!D53</f>
        <v>AGR_RESID_CROP_OATS</v>
      </c>
      <c r="F61" s="38"/>
      <c r="G61" s="38"/>
      <c r="I61" s="167">
        <f>4.1/1000</f>
        <v>4.0999999999999995E-3</v>
      </c>
      <c r="J61" s="38"/>
      <c r="K61" s="38"/>
      <c r="L61" s="38"/>
      <c r="M61" s="38"/>
      <c r="N61" s="38"/>
      <c r="P61" s="247"/>
      <c r="S61" t="s">
        <v>717</v>
      </c>
    </row>
    <row r="62" spans="2:20" ht="16" customHeight="1">
      <c r="B62" s="245"/>
      <c r="C62" s="38"/>
      <c r="D62" s="38"/>
      <c r="E62" s="38"/>
      <c r="F62" s="257" t="str">
        <f>SEC_Comm!$D$38</f>
        <v>AGR_CH4_LAND</v>
      </c>
      <c r="G62" s="38"/>
      <c r="I62" s="38"/>
      <c r="J62" s="38"/>
      <c r="K62" s="257">
        <v>6.5948072611621237E-6</v>
      </c>
      <c r="L62" s="257">
        <v>6.5948072611621237E-6</v>
      </c>
      <c r="M62" s="38"/>
      <c r="N62" s="38"/>
      <c r="P62" s="247"/>
    </row>
    <row r="63" spans="2:20" ht="16" customHeight="1">
      <c r="B63" s="249"/>
      <c r="C63" s="250"/>
      <c r="D63" s="250"/>
      <c r="E63" s="250"/>
      <c r="F63" s="251" t="str">
        <f>SEC_Comm!$D$35</f>
        <v>AGR_N2O</v>
      </c>
      <c r="G63" s="250"/>
      <c r="H63" s="160"/>
      <c r="I63" s="250"/>
      <c r="J63" s="250"/>
      <c r="K63" s="250"/>
      <c r="L63" s="250"/>
      <c r="M63" s="251">
        <v>1.7410291169391991E-7</v>
      </c>
      <c r="N63" s="251">
        <v>1.7410291169391991E-7</v>
      </c>
      <c r="O63" s="160"/>
      <c r="P63" s="252"/>
    </row>
    <row r="64" spans="2:20" ht="16" customHeight="1">
      <c r="B64" s="262" t="str">
        <f>SEC_Processes!D60</f>
        <v>AGR_LAND_CROP_RYE</v>
      </c>
      <c r="C64" s="242" t="str">
        <f>SEC_Processes!E60</f>
        <v>AGR_LAND_CROP_RYE</v>
      </c>
      <c r="D64" s="243"/>
      <c r="E64" s="243"/>
      <c r="F64" s="253"/>
      <c r="G64" s="242">
        <f>727993/1000</f>
        <v>727.99300000000005</v>
      </c>
      <c r="H64" s="243"/>
      <c r="I64" s="253"/>
      <c r="J64" s="242">
        <v>1</v>
      </c>
      <c r="K64" s="243"/>
      <c r="L64" s="243"/>
      <c r="M64" s="243"/>
      <c r="N64" s="243"/>
      <c r="O64" s="243"/>
      <c r="P64" s="244">
        <v>1</v>
      </c>
    </row>
    <row r="65" spans="2:18" ht="16" customHeight="1">
      <c r="B65" s="245"/>
      <c r="C65" s="38"/>
      <c r="D65" s="254" t="str">
        <f>SEC_Comm!$D$64</f>
        <v>AGR_LAND</v>
      </c>
      <c r="F65" s="38"/>
      <c r="G65" s="38"/>
      <c r="H65" s="246">
        <v>1</v>
      </c>
      <c r="I65" s="38"/>
      <c r="J65" s="38"/>
      <c r="K65" s="38"/>
      <c r="L65" s="38"/>
      <c r="M65" s="38"/>
      <c r="N65" s="38"/>
      <c r="P65" s="247"/>
    </row>
    <row r="66" spans="2:18" ht="16" customHeight="1">
      <c r="B66" s="245"/>
      <c r="C66" s="38"/>
      <c r="D66" s="38"/>
      <c r="E66" s="256" t="str">
        <f>SEC_Comm!$D$83</f>
        <v>AGR_DEM_CROP_RYE</v>
      </c>
      <c r="F66" s="38"/>
      <c r="G66" s="38"/>
      <c r="I66" s="38"/>
      <c r="J66" s="38"/>
      <c r="K66" s="38"/>
      <c r="L66" s="38"/>
      <c r="M66" s="38"/>
      <c r="N66" s="38"/>
      <c r="O66" s="248">
        <f>35/10</f>
        <v>3.5</v>
      </c>
      <c r="P66" s="247"/>
    </row>
    <row r="67" spans="2:18" ht="16" customHeight="1">
      <c r="B67" s="245"/>
      <c r="C67" s="38"/>
      <c r="D67" s="38"/>
      <c r="E67" s="240" t="str">
        <f>SEC_Comm!D54</f>
        <v>AGR_RESID_CROP_RYE</v>
      </c>
      <c r="F67" s="38"/>
      <c r="G67" s="38"/>
      <c r="I67" s="167">
        <f>4.7/1000</f>
        <v>4.7000000000000002E-3</v>
      </c>
      <c r="J67" s="38"/>
      <c r="K67" s="38"/>
      <c r="L67" s="38"/>
      <c r="M67" s="38"/>
      <c r="N67" s="38"/>
      <c r="P67" s="247"/>
    </row>
    <row r="68" spans="2:18" ht="16" customHeight="1">
      <c r="B68" s="245"/>
      <c r="C68" s="38"/>
      <c r="D68" s="38"/>
      <c r="E68" s="38"/>
      <c r="F68" s="257" t="str">
        <f>SEC_Comm!$D$38</f>
        <v>AGR_CH4_LAND</v>
      </c>
      <c r="G68" s="38"/>
      <c r="I68" s="38"/>
      <c r="J68" s="38"/>
      <c r="K68" s="257">
        <v>1.9127808748977898E-5</v>
      </c>
      <c r="L68" s="257">
        <v>1.9127808748977898E-5</v>
      </c>
      <c r="M68" s="38"/>
      <c r="N68" s="38"/>
      <c r="P68" s="247"/>
    </row>
    <row r="69" spans="2:18">
      <c r="B69" s="258"/>
      <c r="C69" s="160"/>
      <c r="D69" s="160"/>
      <c r="E69" s="160"/>
      <c r="F69" s="251" t="str">
        <f>SEC_Comm!$D$35</f>
        <v>AGR_N2O</v>
      </c>
      <c r="G69" s="160"/>
      <c r="H69" s="160"/>
      <c r="I69" s="160"/>
      <c r="J69" s="160"/>
      <c r="K69" s="160"/>
      <c r="L69" s="160"/>
      <c r="M69" s="251">
        <v>3.4716972879502483E-7</v>
      </c>
      <c r="N69" s="251">
        <v>3.4716972879502483E-7</v>
      </c>
      <c r="O69" s="160"/>
      <c r="P69" s="252"/>
      <c r="R69" s="285" t="s">
        <v>733</v>
      </c>
    </row>
    <row r="70" spans="2:18" ht="16" customHeight="1">
      <c r="B70" s="241" t="str">
        <f>SEC_Processes!D61</f>
        <v>AGR_LAND_CROP_MILL-BUCK</v>
      </c>
      <c r="C70" s="242" t="str">
        <f>SEC_Processes!E61</f>
        <v>AGR_LAND_CROP_MILL-BUCK</v>
      </c>
      <c r="D70" s="243"/>
      <c r="E70" s="243"/>
      <c r="F70" s="253"/>
      <c r="G70" s="242">
        <f>(17947+104018)/1000</f>
        <v>121.965</v>
      </c>
      <c r="H70" s="243"/>
      <c r="I70" s="253"/>
      <c r="J70" s="242">
        <v>1</v>
      </c>
      <c r="K70" s="243"/>
      <c r="L70" s="243"/>
      <c r="M70" s="243"/>
      <c r="N70" s="243"/>
      <c r="O70" s="243"/>
      <c r="P70" s="244">
        <v>1</v>
      </c>
    </row>
    <row r="71" spans="2:18" ht="16" customHeight="1">
      <c r="B71" s="245"/>
      <c r="C71" s="38"/>
      <c r="D71" s="254" t="str">
        <f>SEC_Comm!$D$64</f>
        <v>AGR_LAND</v>
      </c>
      <c r="F71" s="38"/>
      <c r="G71" s="38"/>
      <c r="H71" s="246">
        <v>1</v>
      </c>
      <c r="I71" s="38"/>
      <c r="J71" s="38"/>
      <c r="K71" s="38"/>
      <c r="L71" s="38"/>
      <c r="M71" s="38"/>
      <c r="N71" s="38"/>
      <c r="P71" s="247"/>
    </row>
    <row r="72" spans="2:18" ht="16" customHeight="1">
      <c r="B72" s="245"/>
      <c r="C72" s="38"/>
      <c r="D72" s="38"/>
      <c r="E72" s="256" t="str">
        <f>SEC_Comm!$D$84</f>
        <v>AGR_DEM_CROP_MILL-BUCK</v>
      </c>
      <c r="F72" s="38"/>
      <c r="G72" s="38"/>
      <c r="I72" s="38"/>
      <c r="J72" s="38"/>
      <c r="K72" s="38"/>
      <c r="L72" s="38"/>
      <c r="M72" s="38"/>
      <c r="N72" s="38"/>
      <c r="O72" s="248">
        <f>(14.8+21.1)/10</f>
        <v>3.5900000000000007</v>
      </c>
      <c r="P72" s="247"/>
      <c r="R72" s="285" t="s">
        <v>735</v>
      </c>
    </row>
    <row r="73" spans="2:18" ht="16" customHeight="1">
      <c r="B73" s="245"/>
      <c r="C73" s="38"/>
      <c r="D73" s="38"/>
      <c r="E73" s="240" t="str">
        <f>SEC_Comm!D55</f>
        <v>AGR_RESID_CROP_MILL-BUCK</v>
      </c>
      <c r="F73" s="38"/>
      <c r="G73" s="38"/>
      <c r="I73" s="167">
        <v>2.6</v>
      </c>
      <c r="J73" s="38"/>
      <c r="K73" s="38"/>
      <c r="L73" s="38"/>
      <c r="M73" s="38"/>
      <c r="N73" s="38"/>
      <c r="P73" s="247"/>
    </row>
    <row r="74" spans="2:18" ht="16" customHeight="1">
      <c r="B74" s="245"/>
      <c r="C74" s="38"/>
      <c r="D74" s="38"/>
      <c r="E74" s="38"/>
      <c r="F74" s="257" t="str">
        <f>SEC_Comm!$D$38</f>
        <v>AGR_CH4_LAND</v>
      </c>
      <c r="G74" s="38"/>
      <c r="I74" s="38"/>
      <c r="J74" s="38"/>
      <c r="K74" s="257">
        <v>3.4600164354807657E-7</v>
      </c>
      <c r="L74" s="257">
        <v>3.4600164354807657E-7</v>
      </c>
      <c r="M74" s="38"/>
      <c r="N74" s="38"/>
      <c r="P74" s="247"/>
    </row>
    <row r="75" spans="2:18" ht="16" customHeight="1">
      <c r="B75" s="249"/>
      <c r="C75" s="250"/>
      <c r="D75" s="250"/>
      <c r="E75" s="250"/>
      <c r="F75" s="251" t="str">
        <f>SEC_Comm!$D$35</f>
        <v>AGR_N2O</v>
      </c>
      <c r="G75" s="250"/>
      <c r="H75" s="160"/>
      <c r="I75" s="250"/>
      <c r="J75" s="250"/>
      <c r="K75" s="250"/>
      <c r="L75" s="250"/>
      <c r="M75" s="251">
        <v>1.1418054237637824E-8</v>
      </c>
      <c r="N75" s="251">
        <v>1.1418054237637824E-8</v>
      </c>
      <c r="O75" s="160"/>
      <c r="P75" s="252"/>
    </row>
    <row r="76" spans="2:18" ht="16" customHeight="1">
      <c r="B76" s="262" t="str">
        <f>SEC_Processes!D62</f>
        <v>AGR_LAND_CROP_PULS-FEED</v>
      </c>
      <c r="C76" s="242" t="str">
        <f>SEC_Processes!E62</f>
        <v>AGR_LAND_CROP_PULS-FEED</v>
      </c>
      <c r="D76" s="243"/>
      <c r="E76" s="243"/>
      <c r="F76" s="253"/>
      <c r="G76" s="242">
        <f>31851/1000</f>
        <v>31.850999999999999</v>
      </c>
      <c r="H76" s="243"/>
      <c r="I76" s="253"/>
      <c r="J76" s="242">
        <v>1</v>
      </c>
      <c r="K76" s="243"/>
      <c r="L76" s="243"/>
      <c r="M76" s="243"/>
      <c r="N76" s="243"/>
      <c r="O76" s="243"/>
      <c r="P76" s="244">
        <v>1</v>
      </c>
      <c r="R76" s="38"/>
    </row>
    <row r="77" spans="2:18" ht="16" customHeight="1">
      <c r="B77" s="245"/>
      <c r="C77" s="38"/>
      <c r="D77" s="254" t="str">
        <f>SEC_Comm!$D$64</f>
        <v>AGR_LAND</v>
      </c>
      <c r="F77" s="38"/>
      <c r="G77" s="38"/>
      <c r="H77" s="246">
        <v>1</v>
      </c>
      <c r="I77" s="38"/>
      <c r="J77" s="38"/>
      <c r="K77" s="38"/>
      <c r="L77" s="38"/>
      <c r="M77" s="38"/>
      <c r="N77" s="38"/>
      <c r="P77" s="247"/>
    </row>
    <row r="78" spans="2:18" ht="16" customHeight="1">
      <c r="B78" s="245"/>
      <c r="C78" s="38"/>
      <c r="D78" s="38"/>
      <c r="E78" s="256" t="str">
        <f>SEC_Comm!$D$85</f>
        <v>AGR_DEM_CROP_PULS-FEED</v>
      </c>
      <c r="F78" s="38"/>
      <c r="G78" s="38"/>
      <c r="I78" s="38"/>
      <c r="J78" s="38"/>
      <c r="K78" s="38"/>
      <c r="L78" s="38"/>
      <c r="M78" s="38"/>
      <c r="N78" s="38"/>
      <c r="O78" s="248">
        <f>186/10</f>
        <v>18.600000000000001</v>
      </c>
      <c r="P78" s="247"/>
    </row>
    <row r="79" spans="2:18" ht="16" customHeight="1">
      <c r="B79" s="245"/>
      <c r="C79" s="38"/>
      <c r="D79" s="38"/>
      <c r="E79" s="240" t="str">
        <f>SEC_Comm!D56</f>
        <v>AGR_RESID_CROP_PULS-FEED</v>
      </c>
      <c r="F79" s="38"/>
      <c r="G79" s="38"/>
      <c r="I79" s="167">
        <v>11</v>
      </c>
      <c r="J79" s="38"/>
      <c r="K79" s="38"/>
      <c r="L79" s="38"/>
      <c r="M79" s="38"/>
      <c r="N79" s="38"/>
      <c r="P79" s="247"/>
    </row>
    <row r="80" spans="2:18" ht="16" customHeight="1">
      <c r="B80" s="245"/>
      <c r="C80" s="38"/>
      <c r="D80" s="38"/>
      <c r="E80" s="38"/>
      <c r="F80" s="257" t="str">
        <f>SEC_Comm!$D$38</f>
        <v>AGR_CH4_LAND</v>
      </c>
      <c r="G80" s="38"/>
      <c r="I80" s="38"/>
      <c r="J80" s="38"/>
      <c r="K80" s="257">
        <v>5.4344040380146997E-7</v>
      </c>
      <c r="L80" s="257">
        <v>5.4344040380146997E-7</v>
      </c>
      <c r="M80" s="38"/>
      <c r="N80" s="38"/>
      <c r="P80" s="247"/>
    </row>
    <row r="81" spans="2:18" ht="16" customHeight="1">
      <c r="B81" s="249"/>
      <c r="C81" s="250"/>
      <c r="D81" s="250"/>
      <c r="E81" s="250"/>
      <c r="F81" s="251" t="str">
        <f>SEC_Comm!$D$35</f>
        <v>AGR_N2O</v>
      </c>
      <c r="G81" s="250"/>
      <c r="H81" s="160"/>
      <c r="I81" s="250"/>
      <c r="J81" s="250"/>
      <c r="K81" s="250"/>
      <c r="L81" s="250"/>
      <c r="M81" s="251">
        <v>4.0350449981075072E-8</v>
      </c>
      <c r="N81" s="251">
        <v>4.0350449981075072E-8</v>
      </c>
      <c r="O81" s="160"/>
      <c r="P81" s="252"/>
    </row>
    <row r="82" spans="2:18" ht="16" customHeight="1">
      <c r="B82" s="262" t="str">
        <f>SEC_Processes!D63</f>
        <v>AGR_LAND_CROP_PULS-EDIB</v>
      </c>
      <c r="C82" s="242" t="str">
        <f>SEC_Processes!E63</f>
        <v>AGR_LAND_CROP_PULS-EDIB</v>
      </c>
      <c r="D82" s="243"/>
      <c r="E82" s="243"/>
      <c r="F82" s="253"/>
      <c r="G82" s="242">
        <f>149055/1000</f>
        <v>149.05500000000001</v>
      </c>
      <c r="H82" s="243"/>
      <c r="I82" s="253"/>
      <c r="J82" s="242">
        <v>1</v>
      </c>
      <c r="K82" s="243"/>
      <c r="L82" s="243"/>
      <c r="M82" s="243"/>
      <c r="N82" s="243"/>
      <c r="O82" s="243"/>
      <c r="P82" s="244">
        <v>1</v>
      </c>
    </row>
    <row r="83" spans="2:18" ht="16" customHeight="1">
      <c r="B83" s="245"/>
      <c r="C83" s="38"/>
      <c r="D83" s="254" t="str">
        <f>SEC_Comm!$D$64</f>
        <v>AGR_LAND</v>
      </c>
      <c r="F83" s="38"/>
      <c r="G83" s="38"/>
      <c r="H83" s="246">
        <v>1</v>
      </c>
      <c r="I83" s="38"/>
      <c r="J83" s="38"/>
      <c r="K83" s="38"/>
      <c r="L83" s="38"/>
      <c r="M83" s="38"/>
      <c r="N83" s="38"/>
      <c r="P83" s="247"/>
    </row>
    <row r="84" spans="2:18" ht="16" customHeight="1">
      <c r="B84" s="245"/>
      <c r="C84" s="38"/>
      <c r="D84" s="38"/>
      <c r="E84" s="256" t="str">
        <f>SEC_Comm!$D$86</f>
        <v>AGR_DEM_CROP_PULS-EDIB</v>
      </c>
      <c r="F84" s="38"/>
      <c r="G84" s="38"/>
      <c r="I84" s="38"/>
      <c r="J84" s="38"/>
      <c r="K84" s="38"/>
      <c r="L84" s="38"/>
      <c r="M84" s="38"/>
      <c r="N84" s="38"/>
      <c r="O84" s="248">
        <f>24.4/10</f>
        <v>2.44</v>
      </c>
      <c r="P84" s="247"/>
    </row>
    <row r="85" spans="2:18" ht="16" customHeight="1">
      <c r="B85" s="245"/>
      <c r="C85" s="38"/>
      <c r="D85" s="38"/>
      <c r="E85" s="240" t="str">
        <f>SEC_Comm!D57</f>
        <v>AGR_RESID_CROP_PULS-EDIB</v>
      </c>
      <c r="F85" s="38"/>
      <c r="G85" s="38"/>
      <c r="I85" s="167">
        <v>1.56</v>
      </c>
      <c r="J85" s="38"/>
      <c r="K85" s="38"/>
      <c r="L85" s="38"/>
      <c r="M85" s="38"/>
      <c r="N85" s="38"/>
      <c r="P85" s="247"/>
    </row>
    <row r="86" spans="2:18" ht="16" customHeight="1">
      <c r="B86" s="245"/>
      <c r="C86" s="38"/>
      <c r="D86" s="38"/>
      <c r="E86" s="38"/>
      <c r="F86" s="257" t="str">
        <f>SEC_Comm!$D$38</f>
        <v>AGR_CH4_LAND</v>
      </c>
      <c r="G86" s="38"/>
      <c r="I86" s="38"/>
      <c r="J86" s="38"/>
      <c r="K86" s="257">
        <v>1.4840557391618781E-7</v>
      </c>
      <c r="L86" s="257">
        <v>1.4840557391618781E-7</v>
      </c>
      <c r="M86" s="38"/>
      <c r="N86" s="38"/>
      <c r="P86" s="247"/>
    </row>
    <row r="87" spans="2:18" ht="16" customHeight="1">
      <c r="B87" s="249"/>
      <c r="C87" s="250"/>
      <c r="D87" s="250"/>
      <c r="E87" s="250"/>
      <c r="F87" s="251" t="str">
        <f>SEC_Comm!$D$35</f>
        <v>AGR_N2O</v>
      </c>
      <c r="G87" s="250"/>
      <c r="H87" s="160"/>
      <c r="I87" s="250"/>
      <c r="J87" s="250"/>
      <c r="K87" s="250"/>
      <c r="L87" s="250"/>
      <c r="M87" s="251">
        <v>9.794767876932654E-9</v>
      </c>
      <c r="N87" s="251">
        <v>9.794767876932654E-9</v>
      </c>
      <c r="O87" s="160"/>
      <c r="P87" s="252"/>
    </row>
    <row r="88" spans="2:18" ht="16" customHeight="1">
      <c r="B88" s="262" t="str">
        <f>SEC_Processes!D64</f>
        <v>AGR_LAND_CROP_POTATO</v>
      </c>
      <c r="C88" s="242" t="str">
        <f>SEC_Processes!E64</f>
        <v>AGR_LAND_CROP_POTATO</v>
      </c>
      <c r="D88" s="243"/>
      <c r="E88" s="243"/>
      <c r="F88" s="253"/>
      <c r="G88" s="242">
        <f>188583/1000</f>
        <v>188.583</v>
      </c>
      <c r="H88" s="243"/>
      <c r="I88" s="253"/>
      <c r="J88" s="242">
        <v>1</v>
      </c>
      <c r="K88" s="243"/>
      <c r="L88" s="243"/>
      <c r="M88" s="243"/>
      <c r="N88" s="243"/>
      <c r="O88" s="243"/>
      <c r="P88" s="244">
        <v>1</v>
      </c>
    </row>
    <row r="89" spans="2:18" ht="16" customHeight="1">
      <c r="B89" s="245"/>
      <c r="C89" s="38"/>
      <c r="D89" s="254" t="str">
        <f>SEC_Comm!$D$64</f>
        <v>AGR_LAND</v>
      </c>
      <c r="F89" s="38"/>
      <c r="G89" s="38"/>
      <c r="H89" s="246">
        <v>1</v>
      </c>
      <c r="I89" s="38"/>
      <c r="J89" s="38"/>
      <c r="K89" s="38"/>
      <c r="L89" s="38"/>
      <c r="M89" s="38"/>
      <c r="N89" s="38"/>
      <c r="P89" s="247"/>
    </row>
    <row r="90" spans="2:18" ht="16" customHeight="1">
      <c r="B90" s="245"/>
      <c r="C90" s="38"/>
      <c r="D90" s="38"/>
      <c r="E90" s="256" t="str">
        <f>SEC_Comm!$D$87</f>
        <v>AGR_DEM_CROP_POTATO</v>
      </c>
      <c r="F90" s="38"/>
      <c r="G90" s="38"/>
      <c r="I90" s="38"/>
      <c r="J90" s="38"/>
      <c r="K90" s="38"/>
      <c r="L90" s="38"/>
      <c r="M90" s="38"/>
      <c r="N90" s="38"/>
      <c r="O90" s="248">
        <f>296/10</f>
        <v>29.6</v>
      </c>
      <c r="P90" s="247"/>
    </row>
    <row r="91" spans="2:18" ht="16" customHeight="1">
      <c r="B91" s="245"/>
      <c r="C91" s="38"/>
      <c r="D91" s="38"/>
      <c r="E91" s="240" t="str">
        <f>SEC_Comm!D58</f>
        <v>AGR_RESID_CROP_POTATO</v>
      </c>
      <c r="F91" s="38"/>
      <c r="G91" s="38"/>
      <c r="I91" s="167">
        <f>2.2/1000</f>
        <v>2.2000000000000001E-3</v>
      </c>
      <c r="J91" s="38"/>
      <c r="K91" s="38"/>
      <c r="L91" s="38"/>
      <c r="M91" s="38"/>
      <c r="N91" s="38"/>
      <c r="P91" s="247"/>
    </row>
    <row r="92" spans="2:18" ht="16" customHeight="1">
      <c r="B92" s="245"/>
      <c r="C92" s="38"/>
      <c r="D92" s="38"/>
      <c r="E92" s="38"/>
      <c r="F92" s="257" t="str">
        <f>SEC_Comm!$D$38</f>
        <v>AGR_CH4_LAND</v>
      </c>
      <c r="G92" s="38"/>
      <c r="I92" s="38"/>
      <c r="J92" s="38"/>
      <c r="K92" s="257">
        <v>1.7870689958769679E-5</v>
      </c>
      <c r="L92" s="257">
        <v>1.7870689958769679E-5</v>
      </c>
      <c r="M92" s="38"/>
      <c r="N92" s="38"/>
      <c r="P92" s="247"/>
    </row>
    <row r="93" spans="2:18" ht="16" customHeight="1">
      <c r="B93" s="249"/>
      <c r="C93" s="250"/>
      <c r="D93" s="250"/>
      <c r="E93" s="250"/>
      <c r="F93" s="251" t="str">
        <f>SEC_Comm!$D$35</f>
        <v>AGR_N2O</v>
      </c>
      <c r="G93" s="250"/>
      <c r="H93" s="160"/>
      <c r="I93" s="250"/>
      <c r="J93" s="250"/>
      <c r="K93" s="250"/>
      <c r="L93" s="250"/>
      <c r="M93" s="251">
        <v>1.4153586447355441E-6</v>
      </c>
      <c r="N93" s="251">
        <v>1.4153586447355441E-6</v>
      </c>
      <c r="O93" s="160"/>
      <c r="P93" s="252"/>
    </row>
    <row r="94" spans="2:18" ht="16" customHeight="1">
      <c r="B94" s="262" t="str">
        <f>SEC_Processes!D65</f>
        <v>AGR_LAND_CROP_STR-HAY</v>
      </c>
      <c r="C94" s="242" t="str">
        <f>SEC_Processes!E65</f>
        <v>AGR_LAND_CROP_STR-HAY</v>
      </c>
      <c r="D94" s="243"/>
      <c r="E94" s="243"/>
      <c r="F94" s="253"/>
      <c r="G94" s="242">
        <f>2259708/1000</f>
        <v>2259.7080000000001</v>
      </c>
      <c r="H94" s="243"/>
      <c r="I94" s="253"/>
      <c r="J94" s="242">
        <v>1</v>
      </c>
      <c r="K94" s="243"/>
      <c r="L94" s="243"/>
      <c r="M94" s="243"/>
      <c r="N94" s="243"/>
      <c r="O94" s="243"/>
      <c r="P94" s="244">
        <v>1</v>
      </c>
    </row>
    <row r="95" spans="2:18" ht="16" customHeight="1">
      <c r="B95" s="245"/>
      <c r="C95" s="38"/>
      <c r="D95" s="254" t="str">
        <f>SEC_Comm!$D$64</f>
        <v>AGR_LAND</v>
      </c>
      <c r="F95" s="38"/>
      <c r="G95" s="38"/>
      <c r="H95" s="246">
        <v>1</v>
      </c>
      <c r="I95" s="38"/>
      <c r="J95" s="38"/>
      <c r="K95" s="38"/>
      <c r="L95" s="38"/>
      <c r="M95" s="38"/>
      <c r="N95" s="38"/>
      <c r="P95" s="247"/>
      <c r="R95" t="s">
        <v>730</v>
      </c>
    </row>
    <row r="96" spans="2:18" ht="16" customHeight="1">
      <c r="B96" s="245"/>
      <c r="C96" s="38"/>
      <c r="D96" s="38"/>
      <c r="E96" s="256" t="str">
        <f>SEC_Comm!$D$88</f>
        <v>AGR_DEM_CROP_STR-HAY</v>
      </c>
      <c r="F96" s="38"/>
      <c r="G96" s="38"/>
      <c r="I96" s="38"/>
      <c r="J96" s="38"/>
      <c r="K96" s="38"/>
      <c r="L96" s="38"/>
      <c r="M96" s="38"/>
      <c r="N96" s="38"/>
      <c r="O96" s="248">
        <f>58.8/10</f>
        <v>5.88</v>
      </c>
      <c r="P96" s="247"/>
    </row>
    <row r="97" spans="2:29" ht="16" customHeight="1">
      <c r="B97" s="245"/>
      <c r="C97" s="38"/>
      <c r="D97" s="38"/>
      <c r="E97" s="240" t="str">
        <f>SEC_Comm!D59</f>
        <v>AGR_RESID_CROP_STR-HAY</v>
      </c>
      <c r="F97" s="38"/>
      <c r="G97" s="38"/>
      <c r="I97" s="167">
        <f>0.2*O96</f>
        <v>1.1759999999999999</v>
      </c>
      <c r="J97" s="38"/>
      <c r="K97" s="38"/>
      <c r="L97" s="38"/>
      <c r="M97" s="38"/>
      <c r="N97" s="38"/>
      <c r="P97" s="247"/>
      <c r="R97" s="295"/>
    </row>
    <row r="98" spans="2:29" ht="16" customHeight="1">
      <c r="B98" s="245"/>
      <c r="C98" s="38"/>
      <c r="D98" s="38"/>
      <c r="E98" s="38"/>
      <c r="F98" s="257" t="str">
        <f>SEC_Comm!$D$38</f>
        <v>AGR_CH4_LAND</v>
      </c>
      <c r="G98" s="38"/>
      <c r="I98" s="38"/>
      <c r="J98" s="38"/>
      <c r="K98" s="257">
        <v>8.8885820535841816E-7</v>
      </c>
      <c r="L98" s="257">
        <v>8.8885820535841816E-7</v>
      </c>
      <c r="M98" s="38"/>
      <c r="N98" s="38"/>
      <c r="P98" s="247"/>
      <c r="R98" s="296"/>
      <c r="S98" s="297"/>
    </row>
    <row r="99" spans="2:29" ht="16" customHeight="1">
      <c r="B99" s="249"/>
      <c r="C99" s="250"/>
      <c r="D99" s="250"/>
      <c r="E99" s="250"/>
      <c r="F99" s="251" t="str">
        <f>SEC_Comm!$D$35</f>
        <v>AGR_N2O</v>
      </c>
      <c r="G99" s="250"/>
      <c r="H99" s="160"/>
      <c r="I99" s="250"/>
      <c r="J99" s="250"/>
      <c r="K99" s="250"/>
      <c r="L99" s="250"/>
      <c r="M99" s="251">
        <v>6.5586974318359916E-8</v>
      </c>
      <c r="N99" s="251">
        <v>6.5586974318359916E-8</v>
      </c>
      <c r="O99" s="160"/>
      <c r="P99" s="252"/>
    </row>
    <row r="100" spans="2:29" ht="16" customHeight="1">
      <c r="B100" s="262" t="str">
        <f>SEC_Processes!D66</f>
        <v>AGR_LAND_CROP_OIL</v>
      </c>
      <c r="C100" s="242" t="str">
        <f>SEC_Processes!E66</f>
        <v>AGR_LAND_CROP_OIL</v>
      </c>
      <c r="D100" s="243"/>
      <c r="E100" s="243"/>
      <c r="F100" s="253"/>
      <c r="G100" s="242">
        <f>1189955/1000</f>
        <v>1189.9549999999999</v>
      </c>
      <c r="H100" s="243"/>
      <c r="I100" s="253"/>
      <c r="J100" s="242">
        <v>1</v>
      </c>
      <c r="K100" s="243"/>
      <c r="L100" s="243"/>
      <c r="M100" s="243"/>
      <c r="N100" s="243"/>
      <c r="O100" s="243"/>
      <c r="P100" s="244">
        <v>1</v>
      </c>
    </row>
    <row r="101" spans="2:29" ht="16" customHeight="1">
      <c r="B101" s="245"/>
      <c r="C101" s="38"/>
      <c r="D101" s="254" t="str">
        <f>SEC_Comm!$D$64</f>
        <v>AGR_LAND</v>
      </c>
      <c r="F101" s="38"/>
      <c r="G101" s="38"/>
      <c r="H101" s="246">
        <v>1</v>
      </c>
      <c r="I101" s="38"/>
      <c r="J101" s="38"/>
      <c r="K101" s="38"/>
      <c r="L101" s="38"/>
      <c r="M101" s="38"/>
      <c r="N101" s="38"/>
      <c r="P101" s="247"/>
      <c r="R101" s="293"/>
      <c r="S101" s="294"/>
    </row>
    <row r="102" spans="2:29" ht="16" customHeight="1">
      <c r="B102" s="245"/>
      <c r="C102" s="38"/>
      <c r="D102" s="38"/>
      <c r="E102" s="256" t="str">
        <f>SEC_Comm!$D$89</f>
        <v>AGR_DEM_CROP_OIL</v>
      </c>
      <c r="F102" s="38"/>
      <c r="G102" s="38"/>
      <c r="I102" s="38"/>
      <c r="J102" s="38"/>
      <c r="K102" s="38"/>
      <c r="L102" s="38"/>
      <c r="M102" s="38"/>
      <c r="N102" s="38"/>
      <c r="O102" s="248">
        <f>33/10</f>
        <v>3.3</v>
      </c>
      <c r="P102" s="247"/>
    </row>
    <row r="103" spans="2:29" ht="16" customHeight="1">
      <c r="B103" s="245"/>
      <c r="C103" s="38"/>
      <c r="D103" s="38"/>
      <c r="E103" s="240" t="str">
        <f>SEC_Comm!D60</f>
        <v>AGR_RESID_CROP_OIL</v>
      </c>
      <c r="F103" s="38"/>
      <c r="G103" s="38"/>
      <c r="I103" s="167">
        <f>3.8/1000</f>
        <v>3.8E-3</v>
      </c>
      <c r="J103" s="38"/>
      <c r="K103" s="38"/>
      <c r="L103" s="38"/>
      <c r="M103" s="38"/>
      <c r="N103" s="38"/>
      <c r="P103" s="247"/>
      <c r="R103" t="s">
        <v>734</v>
      </c>
    </row>
    <row r="104" spans="2:29" ht="16" customHeight="1">
      <c r="B104" s="245"/>
      <c r="C104" s="38"/>
      <c r="D104" s="38"/>
      <c r="E104" s="38"/>
      <c r="F104" s="257" t="str">
        <f>SEC_Comm!$D$38</f>
        <v>AGR_CH4_LAND</v>
      </c>
      <c r="G104" s="38"/>
      <c r="I104" s="38"/>
      <c r="J104" s="38"/>
      <c r="K104" s="257">
        <v>1.0698252569293763E-4</v>
      </c>
      <c r="L104" s="257">
        <v>1.0698252569293763E-4</v>
      </c>
      <c r="M104" s="38"/>
      <c r="N104" s="38"/>
      <c r="P104" s="247"/>
    </row>
    <row r="105" spans="2:29" ht="16" customHeight="1">
      <c r="B105" s="249"/>
      <c r="C105" s="250"/>
      <c r="D105" s="250"/>
      <c r="E105" s="250"/>
      <c r="F105" s="251" t="str">
        <f>SEC_Comm!$D$35</f>
        <v>AGR_N2O</v>
      </c>
      <c r="G105" s="250"/>
      <c r="H105" s="160"/>
      <c r="I105" s="250"/>
      <c r="J105" s="250"/>
      <c r="K105" s="250"/>
      <c r="L105" s="250"/>
      <c r="M105" s="251">
        <v>2.6478175109012766E-6</v>
      </c>
      <c r="N105" s="251">
        <v>2.6478175109012766E-6</v>
      </c>
      <c r="O105" s="160"/>
      <c r="P105" s="252"/>
    </row>
    <row r="106" spans="2:29" ht="16" customHeight="1">
      <c r="B106" s="262" t="str">
        <f>SEC_Processes!D67</f>
        <v>AGR_LAND_CROP_FRUIT</v>
      </c>
      <c r="C106" s="242" t="str">
        <f>SEC_Processes!E67</f>
        <v>AGR_LAND_CROP_FRUIT</v>
      </c>
      <c r="D106" s="243"/>
      <c r="E106" s="243"/>
      <c r="F106" s="253"/>
      <c r="G106" s="242">
        <f>348362/1000</f>
        <v>348.36200000000002</v>
      </c>
      <c r="H106" s="243"/>
      <c r="I106" s="253"/>
      <c r="J106" s="242">
        <v>1</v>
      </c>
      <c r="K106" s="243"/>
      <c r="L106" s="243"/>
      <c r="M106" s="243"/>
      <c r="N106" s="243"/>
      <c r="O106" s="243"/>
      <c r="P106" s="244">
        <v>1</v>
      </c>
    </row>
    <row r="107" spans="2:29" ht="16" customHeight="1">
      <c r="B107" s="245"/>
      <c r="C107" s="38"/>
      <c r="D107" s="254" t="str">
        <f>SEC_Comm!$D$64</f>
        <v>AGR_LAND</v>
      </c>
      <c r="F107" s="38"/>
      <c r="G107" s="38"/>
      <c r="H107" s="246">
        <v>1</v>
      </c>
      <c r="I107" s="38"/>
      <c r="J107" s="38"/>
      <c r="K107" s="38"/>
      <c r="L107" s="38"/>
      <c r="M107" s="38"/>
      <c r="N107" s="38"/>
      <c r="P107" s="247"/>
      <c r="R107" s="285" t="s">
        <v>736</v>
      </c>
    </row>
    <row r="108" spans="2:29" ht="16" customHeight="1">
      <c r="B108" s="245"/>
      <c r="C108" s="38"/>
      <c r="D108" s="38"/>
      <c r="E108" s="256" t="str">
        <f>SEC_Comm!$D$90</f>
        <v>AGR_DEM_CROP_FRUIT</v>
      </c>
      <c r="F108" s="38"/>
      <c r="G108" s="38"/>
      <c r="I108" s="38"/>
      <c r="J108" s="38"/>
      <c r="K108" s="38"/>
      <c r="L108" s="38"/>
      <c r="M108" s="38"/>
      <c r="N108" s="38"/>
      <c r="O108" s="248">
        <f>SUM(AC112:AC124)/10</f>
        <v>12.327002821611455</v>
      </c>
      <c r="P108" s="247"/>
      <c r="R108" t="s">
        <v>737</v>
      </c>
    </row>
    <row r="109" spans="2:29" ht="16" customHeight="1">
      <c r="B109" s="245"/>
      <c r="C109" s="38"/>
      <c r="D109" s="38"/>
      <c r="E109" s="240" t="str">
        <f>SEC_Comm!D61</f>
        <v>AGR_RESID_CROP_FRUIT</v>
      </c>
      <c r="F109" s="38"/>
      <c r="G109" s="38"/>
      <c r="I109" s="167">
        <f>0.2*O108</f>
        <v>2.4654005643222909</v>
      </c>
      <c r="J109" s="38"/>
      <c r="K109" s="38"/>
      <c r="L109" s="38"/>
      <c r="M109" s="38"/>
      <c r="N109" s="38"/>
      <c r="P109" s="247"/>
    </row>
    <row r="110" spans="2:29" ht="16" customHeight="1">
      <c r="B110" s="245"/>
      <c r="C110" s="38"/>
      <c r="D110" s="38"/>
      <c r="E110" s="38"/>
      <c r="F110" s="257" t="str">
        <f>SEC_Comm!$D$38</f>
        <v>AGR_CH4_LAND</v>
      </c>
      <c r="G110" s="38"/>
      <c r="I110" s="38"/>
      <c r="J110" s="38"/>
      <c r="K110" s="257">
        <v>1.458109870461051E-4</v>
      </c>
      <c r="L110" s="257">
        <v>1.458109870461051E-4</v>
      </c>
      <c r="M110" s="38"/>
      <c r="N110" s="38"/>
      <c r="P110" s="247"/>
      <c r="U110" t="s">
        <v>679</v>
      </c>
      <c r="AA110" t="s">
        <v>680</v>
      </c>
    </row>
    <row r="111" spans="2:29" ht="16" customHeight="1">
      <c r="B111" s="249"/>
      <c r="C111" s="250"/>
      <c r="D111" s="250"/>
      <c r="E111" s="250"/>
      <c r="F111" s="251" t="str">
        <f>SEC_Comm!$D$35</f>
        <v>AGR_N2O</v>
      </c>
      <c r="G111" s="250"/>
      <c r="H111" s="160"/>
      <c r="I111" s="250"/>
      <c r="J111" s="250"/>
      <c r="K111" s="250"/>
      <c r="L111" s="250"/>
      <c r="M111" s="251">
        <v>7.9394082446589912E-6</v>
      </c>
      <c r="N111" s="251">
        <v>7.9394082446589912E-6</v>
      </c>
      <c r="O111" s="160"/>
      <c r="P111" s="252"/>
      <c r="T111" t="s">
        <v>706</v>
      </c>
      <c r="U111" t="s">
        <v>707</v>
      </c>
      <c r="V111" t="s">
        <v>708</v>
      </c>
    </row>
    <row r="112" spans="2:29" ht="16" customHeight="1">
      <c r="B112" s="262" t="str">
        <f>SEC_Processes!D68</f>
        <v>AGR_LAND_CROP_VEG</v>
      </c>
      <c r="C112" s="242" t="str">
        <f>SEC_Processes!E68</f>
        <v>AGR_LAND_CROP_VEG</v>
      </c>
      <c r="D112" s="243"/>
      <c r="E112" s="243"/>
      <c r="F112" s="253"/>
      <c r="G112" s="242">
        <f>149593/1000</f>
        <v>149.59299999999999</v>
      </c>
      <c r="H112" s="243"/>
      <c r="I112" s="253"/>
      <c r="J112" s="242">
        <v>1</v>
      </c>
      <c r="K112" s="243"/>
      <c r="L112" s="243"/>
      <c r="M112" s="243"/>
      <c r="N112" s="243"/>
      <c r="O112" s="243"/>
      <c r="P112" s="244">
        <v>1</v>
      </c>
      <c r="S112" t="s">
        <v>694</v>
      </c>
      <c r="T112" s="267">
        <v>13692</v>
      </c>
      <c r="U112" s="266">
        <v>459</v>
      </c>
      <c r="V112">
        <f>U112/$U$127</f>
        <v>0.13231478812337849</v>
      </c>
      <c r="W112">
        <f>PRODUCT(U112:V112)</f>
        <v>60.732487748630724</v>
      </c>
      <c r="Y112" t="s">
        <v>681</v>
      </c>
      <c r="Z112" s="269">
        <v>150012</v>
      </c>
      <c r="AA112" s="270">
        <v>259.5</v>
      </c>
      <c r="AB112">
        <f t="shared" ref="AB112:AB124" si="0">AA112/$AA$126</f>
        <v>0.27118821193437137</v>
      </c>
      <c r="AC112">
        <f>PRODUCT(AA112:AB112)</f>
        <v>70.373340996969375</v>
      </c>
    </row>
    <row r="113" spans="2:29" ht="16" customHeight="1">
      <c r="B113" s="245"/>
      <c r="C113" s="38"/>
      <c r="D113" s="254" t="str">
        <f>SEC_Comm!$D$64</f>
        <v>AGR_LAND</v>
      </c>
      <c r="F113" s="38"/>
      <c r="G113" s="38"/>
      <c r="H113" s="246">
        <v>1</v>
      </c>
      <c r="I113" s="38"/>
      <c r="J113" s="38"/>
      <c r="K113" s="38"/>
      <c r="L113" s="38"/>
      <c r="M113" s="38"/>
      <c r="N113" s="38"/>
      <c r="P113" s="247"/>
      <c r="S113" t="s">
        <v>695</v>
      </c>
      <c r="T113" s="277">
        <v>4860</v>
      </c>
      <c r="U113" s="278">
        <v>261</v>
      </c>
      <c r="V113">
        <f t="shared" ref="V113:V123" si="1">U113/$U$127</f>
        <v>7.5237820697607385E-2</v>
      </c>
      <c r="W113">
        <f t="shared" ref="W113:W123" si="2">PRODUCT(U113:V113)</f>
        <v>19.637071202075528</v>
      </c>
      <c r="Y113" t="s">
        <v>682</v>
      </c>
      <c r="Z113" s="269">
        <v>5587</v>
      </c>
      <c r="AA113" s="270">
        <v>141.4</v>
      </c>
      <c r="AB113">
        <f t="shared" si="0"/>
        <v>0.14776883686905631</v>
      </c>
      <c r="AC113">
        <f t="shared" ref="AC113:AC124" si="3">PRODUCT(AA113:AB113)</f>
        <v>20.894513533284563</v>
      </c>
    </row>
    <row r="114" spans="2:29" ht="16" customHeight="1">
      <c r="B114" s="245"/>
      <c r="C114" s="38"/>
      <c r="D114" s="38"/>
      <c r="E114" s="256" t="str">
        <f>SEC_Comm!$D$91</f>
        <v>AGR_DEM_CROP_VEG</v>
      </c>
      <c r="F114" s="38"/>
      <c r="G114" s="38"/>
      <c r="I114" s="38"/>
      <c r="J114" s="38"/>
      <c r="K114" s="38"/>
      <c r="L114" s="38"/>
      <c r="M114" s="38"/>
      <c r="N114" s="38"/>
      <c r="O114" s="248">
        <f>SUM(W112:W123)/10</f>
        <v>32.830066301527822</v>
      </c>
      <c r="P114" s="247"/>
      <c r="S114" t="s">
        <v>696</v>
      </c>
      <c r="T114" s="277">
        <v>22133</v>
      </c>
      <c r="U114" s="278">
        <v>286</v>
      </c>
      <c r="V114">
        <f t="shared" si="1"/>
        <v>8.2444508503891609E-2</v>
      </c>
      <c r="W114">
        <f t="shared" si="2"/>
        <v>23.579129432113</v>
      </c>
      <c r="Y114" t="s">
        <v>683</v>
      </c>
      <c r="Z114" s="269">
        <v>16948</v>
      </c>
      <c r="AA114" s="270">
        <v>75</v>
      </c>
      <c r="AB114">
        <f t="shared" si="0"/>
        <v>7.8378095934789421E-2</v>
      </c>
      <c r="AC114">
        <f t="shared" si="3"/>
        <v>5.8783571951092064</v>
      </c>
    </row>
    <row r="115" spans="2:29" ht="16" customHeight="1">
      <c r="B115" s="245"/>
      <c r="C115" s="38"/>
      <c r="D115" s="38"/>
      <c r="E115" s="240" t="str">
        <f>SEC_Comm!D62</f>
        <v>AGR_RESID_CROP_VEG</v>
      </c>
      <c r="F115" s="38"/>
      <c r="G115" s="38"/>
      <c r="I115" s="167">
        <f>0.23*O114</f>
        <v>7.5509152493513989</v>
      </c>
      <c r="J115" s="38"/>
      <c r="K115" s="38"/>
      <c r="L115" s="38"/>
      <c r="M115" s="38"/>
      <c r="N115" s="38"/>
      <c r="P115" s="247"/>
      <c r="S115" t="s">
        <v>697</v>
      </c>
      <c r="T115" s="277">
        <v>14989</v>
      </c>
      <c r="U115" s="278">
        <v>385</v>
      </c>
      <c r="V115">
        <f t="shared" si="1"/>
        <v>0.11098299221677717</v>
      </c>
      <c r="W115">
        <f t="shared" si="2"/>
        <v>42.728452003459211</v>
      </c>
      <c r="Y115" t="s">
        <v>684</v>
      </c>
      <c r="Z115" s="269">
        <v>25329</v>
      </c>
      <c r="AA115" s="270">
        <v>66.599999999999994</v>
      </c>
      <c r="AB115">
        <f t="shared" si="0"/>
        <v>6.9599749190092999E-2</v>
      </c>
      <c r="AC115">
        <f t="shared" si="3"/>
        <v>4.635343296060193</v>
      </c>
    </row>
    <row r="116" spans="2:29" ht="16" customHeight="1">
      <c r="B116" s="245"/>
      <c r="C116" s="38"/>
      <c r="D116" s="38"/>
      <c r="E116" s="38"/>
      <c r="F116" s="257" t="str">
        <f>SEC_Comm!$D$38</f>
        <v>AGR_CH4_LAND</v>
      </c>
      <c r="G116" s="38"/>
      <c r="I116" s="38"/>
      <c r="J116" s="38"/>
      <c r="K116" s="257">
        <v>3.2776806526922704E-6</v>
      </c>
      <c r="L116" s="257">
        <v>3.2776806526922704E-6</v>
      </c>
      <c r="M116" s="38"/>
      <c r="N116" s="38"/>
      <c r="P116" s="247"/>
      <c r="S116" t="s">
        <v>698</v>
      </c>
      <c r="T116" s="277">
        <v>7642</v>
      </c>
      <c r="U116" s="278">
        <v>331</v>
      </c>
      <c r="V116">
        <f t="shared" si="1"/>
        <v>9.5416546555203235E-2</v>
      </c>
      <c r="W116">
        <f t="shared" si="2"/>
        <v>31.582876909772271</v>
      </c>
      <c r="Y116" t="s">
        <v>685</v>
      </c>
      <c r="Z116" s="269">
        <v>9607</v>
      </c>
      <c r="AA116" s="270">
        <v>71.599999999999994</v>
      </c>
      <c r="AB116">
        <f t="shared" si="0"/>
        <v>7.4824955585745617E-2</v>
      </c>
      <c r="AC116">
        <f t="shared" si="3"/>
        <v>5.3574668199393853</v>
      </c>
    </row>
    <row r="117" spans="2:29" ht="16" customHeight="1">
      <c r="B117" s="249"/>
      <c r="C117" s="250"/>
      <c r="D117" s="250"/>
      <c r="E117" s="250"/>
      <c r="F117" s="251" t="str">
        <f>SEC_Comm!$D$35</f>
        <v>AGR_N2O</v>
      </c>
      <c r="G117" s="250"/>
      <c r="H117" s="160"/>
      <c r="I117" s="250"/>
      <c r="J117" s="250"/>
      <c r="K117" s="250"/>
      <c r="L117" s="250"/>
      <c r="M117" s="251">
        <v>3.0262276181009702E-7</v>
      </c>
      <c r="N117" s="251">
        <v>3.0262276181009702E-7</v>
      </c>
      <c r="O117" s="160"/>
      <c r="P117" s="252"/>
      <c r="S117" t="s">
        <v>699</v>
      </c>
      <c r="T117" s="277">
        <v>5657</v>
      </c>
      <c r="U117" s="278">
        <v>232</v>
      </c>
      <c r="V117">
        <f t="shared" si="1"/>
        <v>6.6878062842317676E-2</v>
      </c>
      <c r="W117">
        <f t="shared" si="2"/>
        <v>15.5157105794177</v>
      </c>
      <c r="Y117" t="s">
        <v>686</v>
      </c>
      <c r="Z117" s="274">
        <v>5678</v>
      </c>
      <c r="AA117" s="276">
        <v>39.5</v>
      </c>
      <c r="AB117">
        <f t="shared" si="0"/>
        <v>4.1279130525655759E-2</v>
      </c>
      <c r="AC117">
        <f t="shared" si="3"/>
        <v>1.6305256557634025</v>
      </c>
    </row>
    <row r="118" spans="2:29" ht="13">
      <c r="S118" t="s">
        <v>700</v>
      </c>
      <c r="T118" s="277">
        <v>5409</v>
      </c>
      <c r="U118" s="278">
        <v>314</v>
      </c>
      <c r="V118">
        <f t="shared" si="1"/>
        <v>9.0515998846929957E-2</v>
      </c>
      <c r="W118">
        <f t="shared" si="2"/>
        <v>28.422023637936007</v>
      </c>
      <c r="Y118" t="s">
        <v>687</v>
      </c>
      <c r="Z118" s="274">
        <v>29731</v>
      </c>
      <c r="AA118" s="276">
        <v>60.4</v>
      </c>
      <c r="AB118">
        <f t="shared" si="0"/>
        <v>6.312049325948374E-2</v>
      </c>
      <c r="AC118">
        <f t="shared" si="3"/>
        <v>3.812477792872818</v>
      </c>
    </row>
    <row r="119" spans="2:29" ht="13">
      <c r="S119" t="s">
        <v>701</v>
      </c>
      <c r="T119" s="277">
        <v>7054</v>
      </c>
      <c r="U119" s="278">
        <v>210</v>
      </c>
      <c r="V119">
        <f t="shared" si="1"/>
        <v>6.053617757278755E-2</v>
      </c>
      <c r="W119">
        <f t="shared" si="2"/>
        <v>12.712597290285386</v>
      </c>
      <c r="Y119" t="s">
        <v>688</v>
      </c>
      <c r="Z119" s="274">
        <v>21377</v>
      </c>
      <c r="AA119" s="276">
        <v>45</v>
      </c>
      <c r="AB119">
        <f t="shared" si="0"/>
        <v>4.7026857560873651E-2</v>
      </c>
      <c r="AC119">
        <f t="shared" si="3"/>
        <v>2.1162085902393142</v>
      </c>
    </row>
    <row r="120" spans="2:29" ht="13">
      <c r="D120" s="225" t="s">
        <v>645</v>
      </c>
      <c r="E120" s="40"/>
      <c r="S120" t="s">
        <v>702</v>
      </c>
      <c r="T120" s="277">
        <v>3364</v>
      </c>
      <c r="U120" s="278">
        <v>315</v>
      </c>
      <c r="V120">
        <f t="shared" si="1"/>
        <v>9.0804266359181318E-2</v>
      </c>
      <c r="W120">
        <f t="shared" si="2"/>
        <v>28.603343903142115</v>
      </c>
      <c r="Y120" t="s">
        <v>689</v>
      </c>
      <c r="Z120" s="274">
        <v>44407</v>
      </c>
      <c r="AA120" s="276">
        <v>29.2</v>
      </c>
      <c r="AB120">
        <f t="shared" si="0"/>
        <v>3.0515205350611346E-2</v>
      </c>
      <c r="AC120">
        <f t="shared" si="3"/>
        <v>0.89104399623785124</v>
      </c>
    </row>
    <row r="121" spans="2:29" ht="13">
      <c r="B121" s="71" t="s">
        <v>77</v>
      </c>
      <c r="C121" s="72" t="s">
        <v>152</v>
      </c>
      <c r="D121" s="71" t="s">
        <v>134</v>
      </c>
      <c r="E121" s="161" t="s">
        <v>601</v>
      </c>
      <c r="S121" t="s">
        <v>703</v>
      </c>
      <c r="T121" s="277">
        <v>9061</v>
      </c>
      <c r="U121" s="278">
        <v>445</v>
      </c>
      <c r="V121">
        <f t="shared" si="1"/>
        <v>0.12827904295185932</v>
      </c>
      <c r="W121">
        <f t="shared" si="2"/>
        <v>57.084174113577397</v>
      </c>
      <c r="Y121" t="s">
        <v>690</v>
      </c>
      <c r="Z121" s="274">
        <v>12401</v>
      </c>
      <c r="AA121" s="276">
        <v>49.9</v>
      </c>
      <c r="AB121">
        <f t="shared" si="0"/>
        <v>5.2147559828613223E-2</v>
      </c>
      <c r="AC121">
        <f t="shared" si="3"/>
        <v>2.6021632354477999</v>
      </c>
    </row>
    <row r="122" spans="2:29" ht="13.5" thickBot="1">
      <c r="B122" s="74" t="s">
        <v>456</v>
      </c>
      <c r="C122" s="74" t="s">
        <v>457</v>
      </c>
      <c r="D122" s="74" t="s">
        <v>459</v>
      </c>
      <c r="E122" s="74" t="s">
        <v>602</v>
      </c>
      <c r="S122" t="s">
        <v>704</v>
      </c>
      <c r="T122" s="277">
        <v>13827</v>
      </c>
      <c r="U122" s="278">
        <v>111</v>
      </c>
      <c r="V122">
        <f t="shared" si="1"/>
        <v>3.1997693859901991E-2</v>
      </c>
      <c r="W122">
        <f t="shared" si="2"/>
        <v>3.5517440184491211</v>
      </c>
      <c r="Y122" t="s">
        <v>691</v>
      </c>
      <c r="Z122" s="274">
        <v>14069</v>
      </c>
      <c r="AA122" s="276">
        <v>38</v>
      </c>
      <c r="AB122">
        <f t="shared" si="0"/>
        <v>3.9711568606959971E-2</v>
      </c>
      <c r="AC122">
        <f t="shared" si="3"/>
        <v>1.5090396070644789</v>
      </c>
    </row>
    <row r="123" spans="2:29" ht="13">
      <c r="B123" s="86" t="str">
        <f>SEC_Processes!D30</f>
        <v>AGR_IMP_DUMMY_NRG_LAND</v>
      </c>
      <c r="C123" s="86" t="str">
        <f>SEC_Processes!E30</f>
        <v>Dummy Land Import</v>
      </c>
      <c r="D123" s="86" t="str">
        <f>SEC_Comm!$D$64</f>
        <v>AGR_LAND</v>
      </c>
      <c r="E123" s="86">
        <v>1E-3</v>
      </c>
      <c r="S123" t="s">
        <v>705</v>
      </c>
      <c r="T123" s="277">
        <v>41905</v>
      </c>
      <c r="U123" s="278">
        <v>120</v>
      </c>
      <c r="V123">
        <f t="shared" si="1"/>
        <v>3.459210147016431E-2</v>
      </c>
      <c r="W123">
        <f t="shared" si="2"/>
        <v>4.151052176419717</v>
      </c>
      <c r="Y123" t="s">
        <v>692</v>
      </c>
      <c r="Z123" s="274">
        <v>1696</v>
      </c>
      <c r="AA123" s="276">
        <v>49.1</v>
      </c>
      <c r="AB123">
        <f t="shared" si="0"/>
        <v>5.1311526805308809E-2</v>
      </c>
      <c r="AC123">
        <f t="shared" si="3"/>
        <v>2.5193959661406624</v>
      </c>
    </row>
    <row r="124" spans="2:29" ht="13.5" thickBot="1">
      <c r="B124" s="81"/>
      <c r="C124" s="81"/>
      <c r="D124" s="81"/>
      <c r="E124" s="81"/>
      <c r="S124" s="291" t="s">
        <v>728</v>
      </c>
      <c r="T124">
        <f>75.2*1000</f>
        <v>75200</v>
      </c>
      <c r="U124" s="290">
        <v>175</v>
      </c>
      <c r="Y124" t="s">
        <v>693</v>
      </c>
      <c r="Z124" s="279">
        <v>11520</v>
      </c>
      <c r="AA124" s="280">
        <v>31.7</v>
      </c>
      <c r="AB124">
        <f t="shared" si="0"/>
        <v>3.3127808548437658E-2</v>
      </c>
      <c r="AC124">
        <f t="shared" si="3"/>
        <v>1.0501515309854736</v>
      </c>
    </row>
    <row r="125" spans="2:29">
      <c r="S125" s="291" t="s">
        <v>727</v>
      </c>
      <c r="T125">
        <f>41.9*1000</f>
        <v>41900</v>
      </c>
      <c r="U125">
        <f>120</f>
        <v>120</v>
      </c>
      <c r="Z125" s="271">
        <f>SUM(Z112:Z124)</f>
        <v>348362</v>
      </c>
      <c r="AA125">
        <f>SUM(AC112:AC124)/10</f>
        <v>12.327002821611455</v>
      </c>
    </row>
    <row r="126" spans="2:29">
      <c r="T126" s="271">
        <f>SUM(T112:T123)</f>
        <v>149593</v>
      </c>
      <c r="U126">
        <f>SUM(W112:W123)/10</f>
        <v>32.830066301527822</v>
      </c>
      <c r="V126">
        <f>SUM(V112:V123)</f>
        <v>1</v>
      </c>
      <c r="W126">
        <f>PRODUCT(U126:V126)</f>
        <v>32.830066301527822</v>
      </c>
      <c r="AA126" s="275">
        <f>SUM(AA112:AA124)</f>
        <v>956.90000000000009</v>
      </c>
    </row>
    <row r="127" spans="2:29">
      <c r="U127" s="271">
        <f>SUM(U112:U123)</f>
        <v>3469</v>
      </c>
    </row>
    <row r="130" spans="19:37" ht="14.5">
      <c r="Y130" s="301" t="s">
        <v>725</v>
      </c>
      <c r="Z130" s="301"/>
      <c r="AA130" s="301"/>
      <c r="AB130" s="301"/>
      <c r="AC130" s="301"/>
      <c r="AD130" s="301"/>
      <c r="AE130" s="301"/>
      <c r="AF130" s="301"/>
      <c r="AG130" s="301"/>
      <c r="AH130" s="301"/>
      <c r="AI130" s="301"/>
      <c r="AJ130" s="301"/>
      <c r="AK130" s="301"/>
    </row>
    <row r="131" spans="19:37" ht="14.5">
      <c r="S131" t="s">
        <v>679</v>
      </c>
      <c r="T131" t="s">
        <v>706</v>
      </c>
      <c r="U131" t="s">
        <v>707</v>
      </c>
      <c r="V131" t="s">
        <v>724</v>
      </c>
      <c r="Y131" s="301" t="s">
        <v>726</v>
      </c>
      <c r="Z131" s="301"/>
      <c r="AA131" s="301"/>
      <c r="AB131" s="301"/>
      <c r="AC131" s="301"/>
      <c r="AD131" s="301"/>
      <c r="AE131" s="301"/>
      <c r="AF131" s="301"/>
      <c r="AG131" s="301"/>
      <c r="AH131" s="301"/>
      <c r="AI131" s="301"/>
      <c r="AJ131" s="301"/>
      <c r="AK131" s="301"/>
    </row>
    <row r="132" spans="19:37" ht="13">
      <c r="S132" t="s">
        <v>694</v>
      </c>
      <c r="T132" s="267">
        <v>13692</v>
      </c>
      <c r="U132" s="266">
        <v>459</v>
      </c>
      <c r="V132">
        <f>T132*U132</f>
        <v>6284628</v>
      </c>
      <c r="W132" t="s">
        <v>729</v>
      </c>
    </row>
    <row r="133" spans="19:37" ht="13">
      <c r="S133" t="s">
        <v>695</v>
      </c>
      <c r="T133" s="277">
        <v>4860</v>
      </c>
      <c r="U133" s="278">
        <v>261</v>
      </c>
      <c r="V133">
        <f t="shared" ref="V133:V143" si="4">T133*U133</f>
        <v>1268460</v>
      </c>
    </row>
    <row r="134" spans="19:37" ht="13">
      <c r="S134" t="s">
        <v>696</v>
      </c>
      <c r="T134" s="277">
        <v>22133</v>
      </c>
      <c r="U134" s="278">
        <v>286</v>
      </c>
      <c r="V134">
        <f t="shared" si="4"/>
        <v>6330038</v>
      </c>
    </row>
    <row r="135" spans="19:37" ht="13">
      <c r="S135" t="s">
        <v>697</v>
      </c>
      <c r="T135" s="277">
        <v>14989</v>
      </c>
      <c r="U135" s="278">
        <v>385</v>
      </c>
      <c r="V135">
        <f t="shared" si="4"/>
        <v>5770765</v>
      </c>
    </row>
    <row r="136" spans="19:37" ht="13">
      <c r="S136" t="s">
        <v>698</v>
      </c>
      <c r="T136" s="277">
        <v>7642</v>
      </c>
      <c r="U136" s="278">
        <v>331</v>
      </c>
      <c r="V136">
        <f t="shared" si="4"/>
        <v>2529502</v>
      </c>
    </row>
    <row r="137" spans="19:37" ht="13">
      <c r="S137" t="s">
        <v>699</v>
      </c>
      <c r="T137" s="277">
        <v>5657</v>
      </c>
      <c r="U137" s="278">
        <v>232</v>
      </c>
      <c r="V137">
        <f t="shared" si="4"/>
        <v>1312424</v>
      </c>
    </row>
    <row r="138" spans="19:37" ht="13">
      <c r="S138" t="s">
        <v>700</v>
      </c>
      <c r="T138" s="277">
        <v>5409</v>
      </c>
      <c r="U138" s="278">
        <v>314</v>
      </c>
      <c r="V138">
        <f t="shared" si="4"/>
        <v>1698426</v>
      </c>
    </row>
    <row r="139" spans="19:37" ht="13">
      <c r="S139" t="s">
        <v>701</v>
      </c>
      <c r="T139" s="277">
        <v>7054</v>
      </c>
      <c r="U139" s="278">
        <v>210</v>
      </c>
      <c r="V139">
        <f t="shared" si="4"/>
        <v>1481340</v>
      </c>
    </row>
    <row r="140" spans="19:37" ht="13">
      <c r="S140" t="s">
        <v>702</v>
      </c>
      <c r="T140" s="277">
        <v>3364</v>
      </c>
      <c r="U140" s="278">
        <v>315</v>
      </c>
      <c r="V140">
        <f t="shared" si="4"/>
        <v>1059660</v>
      </c>
    </row>
    <row r="141" spans="19:37" ht="13">
      <c r="S141" t="s">
        <v>703</v>
      </c>
      <c r="T141" s="277">
        <v>9061</v>
      </c>
      <c r="U141" s="278">
        <v>445</v>
      </c>
      <c r="V141">
        <f t="shared" si="4"/>
        <v>4032145</v>
      </c>
    </row>
    <row r="142" spans="19:37" ht="13">
      <c r="S142" t="s">
        <v>704</v>
      </c>
      <c r="T142" s="277">
        <v>13827</v>
      </c>
      <c r="U142" s="278">
        <v>111</v>
      </c>
      <c r="V142">
        <f t="shared" si="4"/>
        <v>1534797</v>
      </c>
    </row>
    <row r="143" spans="19:37" ht="13">
      <c r="S143" t="s">
        <v>705</v>
      </c>
      <c r="T143" s="277">
        <v>41905</v>
      </c>
      <c r="U143" s="278">
        <v>120</v>
      </c>
      <c r="V143">
        <f t="shared" si="4"/>
        <v>5028600</v>
      </c>
    </row>
  </sheetData>
  <mergeCells count="2">
    <mergeCell ref="Y130:AK130"/>
    <mergeCell ref="Y131:AK131"/>
  </mergeCells>
  <hyperlinks>
    <hyperlink ref="S38" r:id="rId1" xr:uid="{2B64E212-FE62-47E1-9272-36E37CF11CE3}"/>
    <hyperlink ref="T57" r:id="rId2" xr:uid="{9E34DD06-B4BC-4EF8-949F-7BCE58BC6E46}"/>
    <hyperlink ref="T55" r:id="rId3" xr:uid="{4062E77E-0B0D-470B-9280-1D3A1B923C0A}"/>
    <hyperlink ref="T56" r:id="rId4" xr:uid="{340CA873-A27C-4ABC-BB77-C8A566A53762}"/>
    <hyperlink ref="R69" r:id="rId5" xr:uid="{B37889CF-C6B6-4459-A4DE-8984BB5BA150}"/>
    <hyperlink ref="R107" r:id="rId6" xr:uid="{E3F9D7E5-0EE1-48BD-AB95-7A697DCFEA77}"/>
  </hyperlinks>
  <pageMargins left="0.7" right="0.7" top="0.75" bottom="0.75" header="0.3" footer="0.3"/>
  <pageSetup paperSize="9" orientation="portrait" r:id="rId7"/>
  <drawing r:id="rId8"/>
  <legacyDrawing r:id="rId9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F72-FB64-4B70-AECF-ECE1C02A9588}">
  <dimension ref="B2:AF27"/>
  <sheetViews>
    <sheetView topLeftCell="K7" zoomScale="81" workbookViewId="0">
      <selection activeCell="H5" sqref="H5"/>
    </sheetView>
  </sheetViews>
  <sheetFormatPr defaultRowHeight="12.5"/>
  <cols>
    <col min="2" max="2" width="24.81640625" customWidth="1"/>
    <col min="3" max="3" width="30.81640625" customWidth="1"/>
    <col min="4" max="4" width="35.1796875" bestFit="1" customWidth="1"/>
    <col min="5" max="5" width="20.453125" customWidth="1"/>
    <col min="6" max="6" width="15.1796875" bestFit="1" customWidth="1"/>
    <col min="7" max="12" width="11.54296875" customWidth="1"/>
    <col min="13" max="14" width="10.453125" customWidth="1"/>
    <col min="16" max="16" width="12.1796875" bestFit="1" customWidth="1"/>
  </cols>
  <sheetData>
    <row r="2" spans="2:32" ht="13">
      <c r="B2" s="164"/>
      <c r="C2" s="164"/>
      <c r="D2" s="164"/>
      <c r="F2" s="225" t="s">
        <v>645</v>
      </c>
      <c r="G2" s="225"/>
      <c r="H2" s="225"/>
      <c r="I2" s="225"/>
      <c r="J2" s="225"/>
      <c r="K2" s="225" t="s">
        <v>721</v>
      </c>
      <c r="L2" s="225"/>
      <c r="M2" s="226"/>
      <c r="N2" s="226"/>
      <c r="O2" s="226"/>
    </row>
    <row r="3" spans="2:32" ht="39">
      <c r="B3" s="71" t="s">
        <v>77</v>
      </c>
      <c r="C3" s="72" t="s">
        <v>152</v>
      </c>
      <c r="D3" s="71" t="s">
        <v>133</v>
      </c>
      <c r="E3" s="71" t="s">
        <v>134</v>
      </c>
      <c r="F3" s="71" t="s">
        <v>603</v>
      </c>
      <c r="G3" s="71" t="s">
        <v>164</v>
      </c>
      <c r="H3" s="71" t="s">
        <v>166</v>
      </c>
      <c r="I3" s="73" t="s">
        <v>609</v>
      </c>
      <c r="J3" s="71" t="s">
        <v>610</v>
      </c>
      <c r="K3" s="71" t="s">
        <v>611</v>
      </c>
      <c r="L3" s="71" t="s">
        <v>612</v>
      </c>
      <c r="M3" s="227" t="s">
        <v>176</v>
      </c>
      <c r="N3" s="227" t="s">
        <v>175</v>
      </c>
      <c r="O3" s="227" t="s">
        <v>174</v>
      </c>
      <c r="P3" s="287" t="s">
        <v>593</v>
      </c>
    </row>
    <row r="4" spans="2:32" ht="38" thickBot="1">
      <c r="B4" s="74" t="s">
        <v>456</v>
      </c>
      <c r="C4" s="74" t="s">
        <v>457</v>
      </c>
      <c r="D4" s="74" t="s">
        <v>458</v>
      </c>
      <c r="E4" s="74" t="s">
        <v>459</v>
      </c>
      <c r="F4" s="74" t="s">
        <v>613</v>
      </c>
      <c r="G4" s="74" t="s">
        <v>613</v>
      </c>
      <c r="H4" s="74" t="s">
        <v>613</v>
      </c>
      <c r="I4" s="74" t="s">
        <v>614</v>
      </c>
      <c r="J4" s="74" t="s">
        <v>615</v>
      </c>
      <c r="K4" s="74" t="s">
        <v>616</v>
      </c>
      <c r="L4" s="74" t="s">
        <v>617</v>
      </c>
      <c r="M4" s="74"/>
      <c r="N4" s="74"/>
      <c r="O4" s="74" t="s">
        <v>618</v>
      </c>
    </row>
    <row r="5" spans="2:32" ht="16" customHeight="1">
      <c r="B5" s="86" t="str">
        <f>SEC_Processes!D26</f>
        <v>AGR_EX_MAN_BIOG</v>
      </c>
      <c r="C5" s="86" t="str">
        <f>SEC_Processes!E26</f>
        <v>Agriculture Manure Fed Biogass</v>
      </c>
      <c r="E5" s="86"/>
      <c r="F5" s="86">
        <v>17</v>
      </c>
      <c r="G5" s="86">
        <f>F5</f>
        <v>17</v>
      </c>
      <c r="H5" s="286">
        <f>G5</f>
        <v>17</v>
      </c>
      <c r="I5" s="86"/>
      <c r="J5" s="80"/>
      <c r="L5" s="86"/>
      <c r="M5" s="86">
        <v>0.01</v>
      </c>
      <c r="N5" s="86">
        <v>0.1</v>
      </c>
      <c r="O5" s="86">
        <v>1</v>
      </c>
      <c r="P5" s="80">
        <v>1</v>
      </c>
    </row>
    <row r="6" spans="2:32" ht="16" customHeight="1">
      <c r="B6" s="78"/>
      <c r="C6" s="78"/>
      <c r="D6" s="78" t="str">
        <f>SEC_Comm!D48</f>
        <v>AGR_RESID_CROP_WHEAT</v>
      </c>
      <c r="E6" s="78"/>
      <c r="F6" s="78"/>
      <c r="G6" s="78"/>
      <c r="H6" s="78"/>
      <c r="I6" s="78"/>
      <c r="J6" s="78"/>
      <c r="K6" s="256">
        <f>125/1000</f>
        <v>0.125</v>
      </c>
      <c r="L6" s="78"/>
      <c r="M6" s="78"/>
      <c r="N6" s="78"/>
      <c r="O6" s="78"/>
      <c r="R6">
        <f>12500*0.125</f>
        <v>1562.5</v>
      </c>
    </row>
    <row r="7" spans="2:32" ht="16" customHeight="1" thickBot="1">
      <c r="B7" s="212"/>
      <c r="C7" s="212"/>
      <c r="D7" s="212"/>
      <c r="E7" s="212" t="str">
        <f>SEC_Comm!D16</f>
        <v>AGR_BIOG</v>
      </c>
      <c r="F7" s="212"/>
      <c r="G7" s="212"/>
      <c r="H7" s="212"/>
      <c r="I7" s="212">
        <v>23</v>
      </c>
      <c r="J7" s="212">
        <f>I7/1000</f>
        <v>2.3E-2</v>
      </c>
      <c r="K7" s="288"/>
      <c r="L7" s="212"/>
      <c r="M7" s="212"/>
      <c r="N7" s="212"/>
      <c r="O7" s="212"/>
    </row>
    <row r="8" spans="2:32" ht="16" customHeight="1">
      <c r="B8" s="80"/>
      <c r="C8" s="80"/>
      <c r="E8" s="80"/>
      <c r="F8" s="80"/>
      <c r="G8" s="80"/>
      <c r="H8" s="38"/>
      <c r="I8" s="80"/>
      <c r="J8" s="80"/>
      <c r="K8" s="248"/>
      <c r="L8" s="80"/>
      <c r="M8" s="80"/>
      <c r="N8" s="80"/>
      <c r="O8" s="80"/>
      <c r="AF8" t="s">
        <v>722</v>
      </c>
    </row>
    <row r="9" spans="2:32" ht="16" customHeight="1" thickBot="1">
      <c r="B9" s="80"/>
      <c r="C9" s="80"/>
      <c r="E9" s="80"/>
      <c r="F9" s="80"/>
      <c r="G9" s="80"/>
      <c r="H9" s="38"/>
      <c r="I9" s="80"/>
      <c r="J9" s="80"/>
      <c r="K9" s="248"/>
      <c r="L9" s="80"/>
      <c r="M9" s="80"/>
      <c r="N9" s="80"/>
      <c r="O9" s="80"/>
      <c r="AC9">
        <f>F5*O5*P5</f>
        <v>17</v>
      </c>
      <c r="AD9" t="s">
        <v>621</v>
      </c>
      <c r="AF9">
        <f>AC9/R6</f>
        <v>1.0880000000000001E-2</v>
      </c>
    </row>
    <row r="10" spans="2:32" ht="16" customHeight="1">
      <c r="B10" s="80"/>
      <c r="C10" s="80"/>
      <c r="D10" s="86" t="str">
        <f>SEC_Comm!D39</f>
        <v>AGR_LIV_MANURE_CAT_DAIRY</v>
      </c>
      <c r="E10" s="80"/>
      <c r="F10" s="80"/>
      <c r="G10" s="80"/>
      <c r="H10" s="38"/>
      <c r="I10" s="80"/>
      <c r="J10" s="80"/>
      <c r="K10" s="289">
        <f>225.5/1000</f>
        <v>0.22550000000000001</v>
      </c>
      <c r="L10" s="80"/>
      <c r="M10" s="80"/>
      <c r="N10" s="80"/>
      <c r="O10" s="80"/>
      <c r="AC10">
        <f>F5</f>
        <v>17</v>
      </c>
    </row>
    <row r="11" spans="2:32" ht="16" customHeight="1">
      <c r="B11" s="78"/>
      <c r="C11" s="78"/>
      <c r="D11" s="78" t="str">
        <f>SEC_Comm!D40</f>
        <v>AGR_LIV_MANURE_CAT_NON-DAIRY</v>
      </c>
      <c r="E11" s="78"/>
      <c r="F11" s="78"/>
      <c r="G11" s="78"/>
      <c r="H11" s="78"/>
      <c r="I11" s="78"/>
      <c r="J11" s="78"/>
      <c r="K11" s="256">
        <f>225.5/1000</f>
        <v>0.22550000000000001</v>
      </c>
      <c r="L11" s="78"/>
      <c r="M11" s="78"/>
      <c r="N11" s="78"/>
      <c r="O11" s="78"/>
      <c r="AC11">
        <f>AC9/K6</f>
        <v>136</v>
      </c>
      <c r="AD11" t="s">
        <v>718</v>
      </c>
    </row>
    <row r="12" spans="2:32" ht="16" customHeight="1">
      <c r="B12" s="80"/>
      <c r="C12" s="80"/>
      <c r="D12" s="80" t="str">
        <f>SEC_Comm!D41</f>
        <v>AGR_LIV_MANURE_SHEEP</v>
      </c>
      <c r="E12" s="80"/>
      <c r="F12" s="80"/>
      <c r="G12" s="80"/>
      <c r="H12" s="80"/>
      <c r="I12" s="80"/>
      <c r="J12" s="80"/>
      <c r="K12" s="256">
        <f>200/1000</f>
        <v>0.2</v>
      </c>
      <c r="L12" s="80"/>
      <c r="M12" s="80"/>
      <c r="N12" s="80"/>
      <c r="O12" s="80"/>
      <c r="AC12">
        <f>AC9*J7</f>
        <v>0.39100000000000001</v>
      </c>
    </row>
    <row r="13" spans="2:32" ht="16" customHeight="1">
      <c r="B13" s="78"/>
      <c r="C13" s="78"/>
      <c r="D13" s="78" t="str">
        <f>SEC_Comm!D42</f>
        <v>AGR_LIV_MANURE_SWINE</v>
      </c>
      <c r="E13" s="78"/>
      <c r="F13" s="78"/>
      <c r="G13" s="78"/>
      <c r="H13" s="78"/>
      <c r="I13" s="78"/>
      <c r="J13" s="78"/>
      <c r="K13" s="256">
        <f>301/1000</f>
        <v>0.30099999999999999</v>
      </c>
      <c r="L13" s="78"/>
      <c r="M13" s="78"/>
      <c r="N13" s="78"/>
      <c r="O13" s="78"/>
    </row>
    <row r="14" spans="2:32" ht="16" customHeight="1">
      <c r="B14" s="80"/>
      <c r="C14" s="80"/>
      <c r="D14" s="80" t="str">
        <f>SEC_Comm!D43</f>
        <v>AGR_LIV_MANURE_GOAT</v>
      </c>
      <c r="E14" s="80"/>
      <c r="F14" s="80"/>
      <c r="G14" s="80"/>
      <c r="H14" s="80"/>
      <c r="I14" s="80"/>
      <c r="J14" s="80"/>
      <c r="K14" s="256">
        <f>200/1000</f>
        <v>0.2</v>
      </c>
      <c r="L14" s="80"/>
      <c r="M14" s="80"/>
      <c r="N14" s="80"/>
      <c r="O14" s="80"/>
    </row>
    <row r="15" spans="2:32" ht="16" customHeight="1">
      <c r="B15" s="78"/>
      <c r="C15" s="78"/>
      <c r="D15" s="78" t="str">
        <f>SEC_Comm!D44</f>
        <v>AGR_LIV_MANURE_HORSE</v>
      </c>
      <c r="E15" s="78"/>
      <c r="F15" s="78"/>
      <c r="G15" s="78"/>
      <c r="H15" s="78"/>
      <c r="I15" s="78"/>
      <c r="J15" s="78"/>
      <c r="K15" s="256">
        <f>220/1000</f>
        <v>0.22</v>
      </c>
      <c r="L15" s="78"/>
      <c r="M15" s="78"/>
      <c r="N15" s="78"/>
      <c r="O15" s="78"/>
    </row>
    <row r="16" spans="2:32" ht="16" customHeight="1">
      <c r="B16" s="80"/>
      <c r="C16" s="80"/>
      <c r="D16" s="80" t="str">
        <f>SEC_Comm!D45</f>
        <v>AGR_LIV_MANURE_POULTRY</v>
      </c>
      <c r="E16" s="80"/>
      <c r="F16" s="80"/>
      <c r="G16" s="80"/>
      <c r="H16" s="80"/>
      <c r="I16" s="80"/>
      <c r="J16" s="80"/>
      <c r="K16" s="256">
        <f>320/1000</f>
        <v>0.32</v>
      </c>
      <c r="L16" s="80"/>
      <c r="M16" s="80"/>
      <c r="N16" s="80"/>
      <c r="O16" s="80"/>
    </row>
    <row r="17" spans="2:15" ht="16" customHeight="1">
      <c r="B17" s="78"/>
      <c r="C17" s="78"/>
      <c r="D17" s="78" t="str">
        <f>SEC_Comm!D46</f>
        <v>AGR_LIV_MANURE_RABBIT</v>
      </c>
      <c r="E17" s="78"/>
      <c r="F17" s="78"/>
      <c r="G17" s="78"/>
      <c r="H17" s="78"/>
      <c r="I17" s="78"/>
      <c r="J17" s="78"/>
      <c r="K17" s="256">
        <f>300/1000</f>
        <v>0.3</v>
      </c>
      <c r="L17" s="78"/>
      <c r="M17" s="78"/>
      <c r="N17" s="78"/>
      <c r="O17" s="78"/>
    </row>
    <row r="18" spans="2:15" ht="16" customHeight="1">
      <c r="B18" s="80"/>
      <c r="C18" s="80"/>
      <c r="D18" s="80" t="str">
        <f>SEC_Comm!D47</f>
        <v>AGR_LIV_MANURE_FUR</v>
      </c>
      <c r="E18" s="80"/>
      <c r="F18" s="80"/>
      <c r="G18" s="80"/>
      <c r="H18" s="80"/>
      <c r="I18" s="80"/>
      <c r="J18" s="80"/>
      <c r="K18" s="256">
        <f>275/1000</f>
        <v>0.27500000000000002</v>
      </c>
      <c r="L18" s="80"/>
      <c r="M18" s="80"/>
      <c r="N18" s="80"/>
      <c r="O18" s="80"/>
    </row>
    <row r="20" spans="2:15">
      <c r="K20">
        <f>17*0.023</f>
        <v>0.39100000000000001</v>
      </c>
    </row>
    <row r="22" spans="2:15" ht="13">
      <c r="F22" s="225" t="s">
        <v>645</v>
      </c>
    </row>
    <row r="23" spans="2:15" ht="13">
      <c r="B23" s="164"/>
      <c r="C23" s="164"/>
      <c r="D23" s="164"/>
      <c r="G23" s="225"/>
      <c r="H23" s="225"/>
      <c r="I23" s="225"/>
      <c r="J23" s="225"/>
      <c r="K23" s="225"/>
      <c r="L23" s="225"/>
      <c r="M23" s="226"/>
      <c r="N23" s="226"/>
      <c r="O23" s="226"/>
    </row>
    <row r="24" spans="2:15" ht="13">
      <c r="B24" s="71" t="s">
        <v>77</v>
      </c>
      <c r="C24" s="72" t="s">
        <v>152</v>
      </c>
      <c r="D24" s="71" t="s">
        <v>133</v>
      </c>
      <c r="E24" s="71" t="s">
        <v>134</v>
      </c>
      <c r="F24" s="71" t="s">
        <v>135</v>
      </c>
      <c r="G24" s="71" t="s">
        <v>641</v>
      </c>
      <c r="H24" s="71" t="s">
        <v>175</v>
      </c>
      <c r="I24" s="73" t="s">
        <v>176</v>
      </c>
    </row>
    <row r="25" spans="2:15" ht="13" thickBot="1">
      <c r="B25" s="74" t="s">
        <v>456</v>
      </c>
      <c r="C25" s="74" t="s">
        <v>457</v>
      </c>
      <c r="D25" s="74" t="s">
        <v>458</v>
      </c>
      <c r="E25" s="74" t="s">
        <v>459</v>
      </c>
      <c r="F25" s="74" t="s">
        <v>643</v>
      </c>
      <c r="G25" s="74" t="s">
        <v>643</v>
      </c>
      <c r="H25" s="74"/>
      <c r="I25" s="74" t="s">
        <v>642</v>
      </c>
    </row>
    <row r="26" spans="2:15" ht="16" customHeight="1">
      <c r="B26" s="80" t="str">
        <f>SEC_Processes!D27</f>
        <v>AGR_EX_BIOG_CLEAN</v>
      </c>
      <c r="C26" s="80" t="str">
        <f>SEC_Processes!E27</f>
        <v>Agriculture Biogaz Cleaning</v>
      </c>
      <c r="D26" s="80" t="str">
        <f>SEC_Comm!D16</f>
        <v>AGR_BIOG</v>
      </c>
      <c r="E26" s="80" t="str">
        <f>SEC_Comm!D34</f>
        <v>AGR_BIO_CH4</v>
      </c>
      <c r="F26" s="80">
        <v>1</v>
      </c>
      <c r="G26" s="80">
        <v>1</v>
      </c>
      <c r="H26" s="80"/>
      <c r="I26" s="80">
        <v>0.45</v>
      </c>
    </row>
    <row r="27" spans="2:15" ht="16" customHeight="1" thickBot="1">
      <c r="B27" s="213"/>
      <c r="C27" s="213"/>
      <c r="D27" s="213"/>
      <c r="E27" s="213"/>
      <c r="F27" s="213"/>
      <c r="G27" s="213"/>
      <c r="H27" s="213"/>
      <c r="I27" s="213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5F0F3-5DCD-4C7D-A302-66D546551CB0}">
  <dimension ref="B2:AD9"/>
  <sheetViews>
    <sheetView zoomScale="66" workbookViewId="0">
      <selection activeCell="S27" sqref="S27"/>
    </sheetView>
  </sheetViews>
  <sheetFormatPr defaultRowHeight="12.5"/>
  <cols>
    <col min="2" max="2" width="34.453125" customWidth="1"/>
    <col min="3" max="3" width="33.453125" customWidth="1"/>
    <col min="4" max="4" width="15" customWidth="1"/>
    <col min="5" max="5" width="15.54296875" customWidth="1"/>
    <col min="6" max="12" width="6.1796875" customWidth="1"/>
    <col min="13" max="30" width="7.81640625" customWidth="1"/>
  </cols>
  <sheetData>
    <row r="2" spans="2:30" ht="17.5">
      <c r="B2" s="173" t="s">
        <v>151</v>
      </c>
      <c r="C2" s="173"/>
      <c r="D2" s="173"/>
      <c r="E2" s="173"/>
    </row>
    <row r="3" spans="2:30" ht="13">
      <c r="E3" s="64" t="s">
        <v>488</v>
      </c>
    </row>
    <row r="4" spans="2:30" ht="13">
      <c r="F4" s="92"/>
      <c r="G4" s="92"/>
      <c r="H4" s="92"/>
      <c r="I4" s="92"/>
      <c r="J4" s="92"/>
      <c r="K4" s="92"/>
      <c r="L4" s="92"/>
    </row>
    <row r="5" spans="2:30" ht="52">
      <c r="B5" s="169" t="s">
        <v>77</v>
      </c>
      <c r="C5" s="169" t="s">
        <v>152</v>
      </c>
      <c r="D5" s="169" t="s">
        <v>133</v>
      </c>
      <c r="E5" s="169" t="s">
        <v>134</v>
      </c>
      <c r="F5" s="170" t="s">
        <v>153</v>
      </c>
      <c r="G5" s="170" t="s">
        <v>154</v>
      </c>
      <c r="H5" s="170" t="s">
        <v>155</v>
      </c>
      <c r="I5" s="170" t="s">
        <v>156</v>
      </c>
      <c r="J5" s="170" t="s">
        <v>157</v>
      </c>
      <c r="K5" s="170" t="s">
        <v>158</v>
      </c>
      <c r="L5" s="170" t="s">
        <v>159</v>
      </c>
      <c r="M5" s="171" t="s">
        <v>160</v>
      </c>
      <c r="N5" s="171" t="s">
        <v>161</v>
      </c>
      <c r="O5" s="171" t="s">
        <v>162</v>
      </c>
      <c r="P5" s="171" t="s">
        <v>163</v>
      </c>
      <c r="Q5" s="171" t="s">
        <v>164</v>
      </c>
      <c r="R5" s="171" t="s">
        <v>165</v>
      </c>
      <c r="S5" s="171" t="s">
        <v>166</v>
      </c>
      <c r="T5" s="169" t="s">
        <v>135</v>
      </c>
      <c r="U5" s="170" t="s">
        <v>167</v>
      </c>
      <c r="V5" s="170" t="s">
        <v>168</v>
      </c>
      <c r="W5" s="170" t="s">
        <v>169</v>
      </c>
      <c r="X5" s="170" t="s">
        <v>170</v>
      </c>
      <c r="Y5" s="171" t="s">
        <v>171</v>
      </c>
      <c r="Z5" s="171" t="s">
        <v>172</v>
      </c>
      <c r="AA5" s="171" t="s">
        <v>173</v>
      </c>
      <c r="AB5" s="171" t="s">
        <v>174</v>
      </c>
      <c r="AC5" s="171" t="s">
        <v>175</v>
      </c>
      <c r="AD5" s="171" t="s">
        <v>176</v>
      </c>
    </row>
    <row r="6" spans="2:30" ht="13" thickBot="1">
      <c r="B6" s="172" t="s">
        <v>177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 t="s">
        <v>125</v>
      </c>
      <c r="N6" s="172" t="s">
        <v>125</v>
      </c>
      <c r="O6" s="172" t="s">
        <v>125</v>
      </c>
      <c r="P6" s="172" t="s">
        <v>125</v>
      </c>
      <c r="Q6" s="172" t="s">
        <v>125</v>
      </c>
      <c r="R6" s="172" t="s">
        <v>125</v>
      </c>
      <c r="S6" s="172" t="s">
        <v>125</v>
      </c>
      <c r="T6" s="172" t="s">
        <v>178</v>
      </c>
      <c r="U6" s="172" t="s">
        <v>178</v>
      </c>
      <c r="V6" s="172" t="s">
        <v>178</v>
      </c>
      <c r="W6" s="172" t="s">
        <v>178</v>
      </c>
      <c r="X6" s="172" t="s">
        <v>178</v>
      </c>
      <c r="Y6" s="172" t="s">
        <v>22</v>
      </c>
      <c r="Z6" s="172" t="s">
        <v>178</v>
      </c>
      <c r="AA6" s="172" t="s">
        <v>178</v>
      </c>
      <c r="AB6" s="172" t="s">
        <v>179</v>
      </c>
      <c r="AC6" s="172" t="s">
        <v>180</v>
      </c>
      <c r="AD6" s="172" t="s">
        <v>181</v>
      </c>
    </row>
    <row r="7" spans="2:30" ht="15.75" customHeight="1">
      <c r="B7" s="86" t="str">
        <f>SEC_Processes!D22</f>
        <v>ECP_EX_BIOG_AGR</v>
      </c>
      <c r="C7" s="86" t="str">
        <f>SEC_Processes!E22</f>
        <v>Industrial Chp Plants for biogas from agriculture residues</v>
      </c>
      <c r="D7" s="86" t="str">
        <f>SECTOR_FUEL!E21</f>
        <v>AGR_BIOG</v>
      </c>
      <c r="E7" s="86"/>
      <c r="F7" s="86"/>
      <c r="G7" s="86"/>
      <c r="H7" s="86"/>
      <c r="I7" s="86"/>
      <c r="J7" s="86"/>
      <c r="K7" s="86"/>
      <c r="L7" s="86"/>
      <c r="M7" s="86">
        <v>0.117868</v>
      </c>
      <c r="N7" s="86">
        <v>0.117868</v>
      </c>
      <c r="O7" s="86">
        <v>0.117868</v>
      </c>
      <c r="P7" s="86">
        <v>0.117868</v>
      </c>
      <c r="Q7" s="86">
        <v>0.117868</v>
      </c>
      <c r="R7" s="86">
        <v>0</v>
      </c>
      <c r="S7" s="86">
        <v>0</v>
      </c>
      <c r="T7" s="86">
        <v>0.4</v>
      </c>
      <c r="U7" s="86">
        <v>0.3</v>
      </c>
      <c r="V7" s="86"/>
      <c r="W7" s="86"/>
      <c r="X7" s="86"/>
      <c r="Y7" s="86"/>
      <c r="Z7" s="86"/>
      <c r="AA7" s="86"/>
      <c r="AB7" s="86">
        <v>31.536000000000001</v>
      </c>
      <c r="AC7" s="86">
        <v>125</v>
      </c>
      <c r="AD7" s="86">
        <v>2.778</v>
      </c>
    </row>
    <row r="8" spans="2:30" ht="15.75" customHeight="1">
      <c r="B8" s="175"/>
      <c r="C8" s="175"/>
      <c r="D8" s="175"/>
      <c r="E8" s="175" t="str">
        <f>SEC_Comm!D30</f>
        <v>ELC_AGR_CHPI</v>
      </c>
      <c r="F8" s="175"/>
      <c r="G8" s="175"/>
      <c r="H8" s="175"/>
      <c r="I8" s="175"/>
      <c r="J8" s="175"/>
      <c r="K8" s="175"/>
      <c r="L8" s="175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</row>
    <row r="9" spans="2:30" ht="15.75" customHeight="1" thickBot="1">
      <c r="B9" s="177"/>
      <c r="C9" s="177"/>
      <c r="D9" s="177"/>
      <c r="E9" s="177" t="str">
        <f>SEC_Comm!D31</f>
        <v>HT_AGR_CHPI</v>
      </c>
      <c r="F9" s="177"/>
      <c r="G9" s="177"/>
      <c r="H9" s="177"/>
      <c r="I9" s="177"/>
      <c r="J9" s="177"/>
      <c r="K9" s="177"/>
      <c r="L9" s="177"/>
      <c r="M9" s="177"/>
      <c r="N9" s="177"/>
      <c r="O9" s="177"/>
      <c r="P9" s="177"/>
      <c r="Q9" s="177"/>
      <c r="R9" s="177"/>
      <c r="S9" s="177"/>
      <c r="T9" s="177"/>
      <c r="U9" s="177"/>
      <c r="V9" s="177"/>
      <c r="W9" s="177"/>
      <c r="X9" s="177"/>
      <c r="Y9" s="177"/>
      <c r="Z9" s="177"/>
      <c r="AA9" s="177"/>
      <c r="AB9" s="177"/>
      <c r="AC9" s="177"/>
      <c r="AD9" s="17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Props1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37E4C9-2C0F-4468-A411-83085B7C374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infopath/2007/PartnerControls"/>
    <ds:schemaRef ds:uri="http://purl.org/dc/elements/1.1/"/>
    <ds:schemaRef ds:uri="708d6b01-37ca-4db4-bc7f-9b68f32c58b8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www.w3.org/XML/1998/namespace"/>
    <ds:schemaRef ds:uri="8acd6055-54fc-4ce7-b3df-0a09834a0329"/>
    <ds:schemaRef ds:uri="http://schemas.microsoft.com/office/2006/metadata/properties"/>
    <ds:schemaRef ds:uri="http://purl.org/dc/terms/"/>
    <ds:schemaRef ds:uri="ac4f588e-db1b-4d15-903e-57b0b6decf5f"/>
    <ds:schemaRef ds:uri="e1dc2528-885f-4c68-9f61-c9c57edc75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Cover</vt:lpstr>
      <vt:lpstr>Metadane</vt:lpstr>
      <vt:lpstr>SEC_Comm</vt:lpstr>
      <vt:lpstr>SEC_Processes</vt:lpstr>
      <vt:lpstr>SECTOR_FUEL</vt:lpstr>
      <vt:lpstr>AGR_LIV</vt:lpstr>
      <vt:lpstr>AGR_LAND</vt:lpstr>
      <vt:lpstr>AGR_BIOG</vt:lpstr>
      <vt:lpstr>AGR_CHP</vt:lpstr>
      <vt:lpstr>EMI</vt:lpstr>
      <vt:lpstr>ESTAT_2020</vt:lpstr>
      <vt:lpstr>GUS_2020_HT_ELC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Gabriela Boroń</cp:lastModifiedBy>
  <cp:revision/>
  <dcterms:created xsi:type="dcterms:W3CDTF">2000-12-13T15:53:11Z</dcterms:created>
  <dcterms:modified xsi:type="dcterms:W3CDTF">2024-10-04T11:43:30Z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524105250835418</vt:r8>
  </property>
</Properties>
</file>