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Downloads\xd\"/>
    </mc:Choice>
  </mc:AlternateContent>
  <xr:revisionPtr revIDLastSave="0" documentId="13_ncr:1_{42FDF567-9548-4999-A2BF-06C6DB73223B}" xr6:coauthVersionLast="47" xr6:coauthVersionMax="47" xr10:uidLastSave="{00000000-0000-0000-0000-000000000000}"/>
  <bookViews>
    <workbookView xWindow="-110" yWindow="-110" windowWidth="19420" windowHeight="10420" tabRatio="901" firstSheet="2" activeTab="5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55" l="1"/>
  <c r="H5" i="157"/>
  <c r="G5" i="157"/>
  <c r="I5" i="157"/>
  <c r="J5" i="157" s="1"/>
  <c r="K5" i="157" s="1"/>
  <c r="O6" i="157" l="1"/>
  <c r="AJ26" i="157"/>
  <c r="AE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49" i="154"/>
  <c r="J10" i="154"/>
  <c r="I31" i="155" l="1"/>
  <c r="J9" i="154"/>
  <c r="J43" i="154"/>
  <c r="AI4" i="157"/>
  <c r="AI7" i="157" s="1"/>
  <c r="AI10" i="157"/>
  <c r="H50" i="154"/>
  <c r="H45" i="154"/>
  <c r="H40" i="154"/>
  <c r="H35" i="154"/>
  <c r="H29" i="154"/>
  <c r="H23" i="154"/>
  <c r="H17" i="154"/>
  <c r="H11" i="154"/>
  <c r="H5" i="154"/>
  <c r="D21" i="157"/>
  <c r="BM9" i="157"/>
  <c r="BM10" i="157"/>
  <c r="BM11" i="157"/>
  <c r="BM8" i="157"/>
  <c r="S9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6" i="155"/>
  <c r="G28" i="155"/>
  <c r="AG26" i="155" s="1"/>
  <c r="AF19" i="157"/>
  <c r="AF23" i="157" s="1"/>
  <c r="AG28" i="155" l="1"/>
  <c r="G83" i="155"/>
  <c r="K85" i="155"/>
  <c r="K70" i="155"/>
  <c r="K75" i="155"/>
  <c r="K90" i="155"/>
  <c r="V112" i="155"/>
  <c r="K80" i="155"/>
  <c r="K65" i="155"/>
  <c r="K60" i="155"/>
  <c r="K55" i="155"/>
  <c r="K50" i="155"/>
  <c r="K45" i="155"/>
  <c r="K40" i="155"/>
  <c r="K35" i="155"/>
  <c r="K30" i="155"/>
  <c r="AG30" i="155" s="1"/>
  <c r="V110" i="155"/>
  <c r="U110" i="155"/>
  <c r="U109" i="155"/>
  <c r="W118" i="155"/>
  <c r="W119" i="155"/>
  <c r="W120" i="155"/>
  <c r="W121" i="155"/>
  <c r="W122" i="155"/>
  <c r="W123" i="155"/>
  <c r="W124" i="155"/>
  <c r="W125" i="155"/>
  <c r="W126" i="155"/>
  <c r="W127" i="155"/>
  <c r="W128" i="155"/>
  <c r="W117" i="155"/>
  <c r="G43" i="155"/>
  <c r="G48" i="155"/>
  <c r="G58" i="155"/>
  <c r="G53" i="155"/>
  <c r="G33" i="155"/>
  <c r="AG27" i="155"/>
  <c r="AI27" i="155" s="1"/>
  <c r="G98" i="155"/>
  <c r="G93" i="155"/>
  <c r="G88" i="155"/>
  <c r="G78" i="155"/>
  <c r="G73" i="155"/>
  <c r="G68" i="155"/>
  <c r="G63" i="155"/>
  <c r="G38" i="155"/>
  <c r="AF21" i="157"/>
  <c r="AF22" i="157"/>
  <c r="W98" i="155" l="1"/>
  <c r="X98" i="155" s="1"/>
  <c r="AB111" i="155"/>
  <c r="AC98" i="155" s="1"/>
  <c r="AA110" i="155"/>
  <c r="W99" i="155"/>
  <c r="X99" i="155" s="1"/>
  <c r="W100" i="155"/>
  <c r="X100" i="155" s="1"/>
  <c r="W105" i="155"/>
  <c r="X105" i="155" s="1"/>
  <c r="W106" i="155"/>
  <c r="X106" i="155" s="1"/>
  <c r="W107" i="155"/>
  <c r="X107" i="155" s="1"/>
  <c r="W101" i="155"/>
  <c r="X101" i="155" s="1"/>
  <c r="U111" i="155"/>
  <c r="B98" i="155"/>
  <c r="F102" i="155"/>
  <c r="F97" i="155"/>
  <c r="F92" i="155"/>
  <c r="F87" i="155"/>
  <c r="F82" i="155"/>
  <c r="F77" i="155"/>
  <c r="F72" i="155"/>
  <c r="F67" i="155"/>
  <c r="F62" i="155"/>
  <c r="F57" i="155"/>
  <c r="F52" i="155"/>
  <c r="D49" i="155"/>
  <c r="F47" i="155"/>
  <c r="E100" i="155"/>
  <c r="E95" i="155"/>
  <c r="E90" i="155"/>
  <c r="E85" i="155"/>
  <c r="E80" i="155"/>
  <c r="E75" i="155"/>
  <c r="E70" i="155"/>
  <c r="E65" i="155"/>
  <c r="E60" i="155"/>
  <c r="E55" i="155"/>
  <c r="E50" i="155"/>
  <c r="E45" i="155"/>
  <c r="E40" i="155"/>
  <c r="E35" i="155"/>
  <c r="F42" i="155"/>
  <c r="E30" i="155"/>
  <c r="F37" i="155"/>
  <c r="F32" i="155"/>
  <c r="AI26" i="155" l="1"/>
  <c r="AI28" i="155"/>
  <c r="W104" i="155"/>
  <c r="X104" i="155" s="1"/>
  <c r="W103" i="155"/>
  <c r="X103" i="155" s="1"/>
  <c r="V111" i="155" s="1"/>
  <c r="W102" i="155"/>
  <c r="X102" i="155" s="1"/>
  <c r="W108" i="155"/>
  <c r="X108" i="155" s="1"/>
  <c r="D17" i="154"/>
  <c r="D66" i="154"/>
  <c r="D55" i="154"/>
  <c r="D50" i="154"/>
  <c r="D45" i="154"/>
  <c r="D40" i="154"/>
  <c r="D35" i="154"/>
  <c r="D29" i="154"/>
  <c r="D23" i="154"/>
  <c r="D11" i="154"/>
  <c r="D5" i="154"/>
  <c r="D65" i="154"/>
  <c r="C65" i="154"/>
  <c r="C66" i="154"/>
  <c r="B66" i="154"/>
  <c r="B65" i="154"/>
  <c r="K100" i="155" l="1"/>
  <c r="W111" i="155"/>
  <c r="X111" i="155" s="1"/>
  <c r="D6" i="157"/>
  <c r="E41" i="155"/>
  <c r="E46" i="155"/>
  <c r="E51" i="155"/>
  <c r="E56" i="155"/>
  <c r="E61" i="155"/>
  <c r="E66" i="155"/>
  <c r="E71" i="155"/>
  <c r="E76" i="155"/>
  <c r="E81" i="155"/>
  <c r="E86" i="155"/>
  <c r="E91" i="155"/>
  <c r="E96" i="155"/>
  <c r="E101" i="155"/>
  <c r="E31" i="155"/>
  <c r="D22" i="157"/>
  <c r="D23" i="157"/>
  <c r="D24" i="157"/>
  <c r="D25" i="157"/>
  <c r="D26" i="157"/>
  <c r="D27" i="157"/>
  <c r="D28" i="157"/>
  <c r="D29" i="157"/>
  <c r="C5" i="157"/>
  <c r="B5" i="157"/>
  <c r="D108" i="155"/>
  <c r="C108" i="155"/>
  <c r="B108" i="155"/>
  <c r="D99" i="155"/>
  <c r="D94" i="155"/>
  <c r="D89" i="155"/>
  <c r="D84" i="155"/>
  <c r="D79" i="155"/>
  <c r="D74" i="155"/>
  <c r="D69" i="155"/>
  <c r="D64" i="155"/>
  <c r="D59" i="155"/>
  <c r="D54" i="155"/>
  <c r="D44" i="155"/>
  <c r="D39" i="155"/>
  <c r="D34" i="155"/>
  <c r="D29" i="155"/>
  <c r="E22" i="155"/>
  <c r="D22" i="155"/>
  <c r="E21" i="155"/>
  <c r="D21" i="155"/>
  <c r="E20" i="155"/>
  <c r="D20" i="155"/>
  <c r="E19" i="155"/>
  <c r="D19" i="155"/>
  <c r="C28" i="155"/>
  <c r="C33" i="155"/>
  <c r="C38" i="155"/>
  <c r="C43" i="155"/>
  <c r="C48" i="155"/>
  <c r="C53" i="155"/>
  <c r="C58" i="155"/>
  <c r="C63" i="155"/>
  <c r="C68" i="155"/>
  <c r="C73" i="155"/>
  <c r="C78" i="155"/>
  <c r="C83" i="155"/>
  <c r="C88" i="155"/>
  <c r="C93" i="155"/>
  <c r="C98" i="155"/>
  <c r="B33" i="155"/>
  <c r="B38" i="155"/>
  <c r="B43" i="155"/>
  <c r="B48" i="155"/>
  <c r="B53" i="155"/>
  <c r="B58" i="155"/>
  <c r="B63" i="155"/>
  <c r="B68" i="155"/>
  <c r="B73" i="155"/>
  <c r="B78" i="155"/>
  <c r="B83" i="155"/>
  <c r="B88" i="155"/>
  <c r="B93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29" i="145" l="1"/>
  <c r="Q29" i="145" s="1"/>
  <c r="R29" i="145" s="1"/>
  <c r="S29" i="145" s="1"/>
  <c r="T29" i="145" s="1"/>
  <c r="U29" i="145" s="1"/>
  <c r="I26" i="145"/>
  <c r="J26" i="145" s="1"/>
  <c r="K26" i="145" s="1"/>
  <c r="L26" i="145" s="1"/>
  <c r="M26" i="145" s="1"/>
  <c r="N26" i="145" s="1"/>
  <c r="I25" i="145"/>
  <c r="J25" i="145" s="1"/>
  <c r="K25" i="145" s="1"/>
  <c r="L25" i="145" s="1"/>
  <c r="M25" i="145" s="1"/>
  <c r="N25" i="145" s="1"/>
  <c r="P26" i="145"/>
  <c r="Q26" i="145" s="1"/>
  <c r="R26" i="145" s="1"/>
  <c r="S26" i="145" s="1"/>
  <c r="T26" i="145" s="1"/>
  <c r="U26" i="145" s="1"/>
  <c r="P25" i="145"/>
  <c r="Q25" i="145" s="1"/>
  <c r="R25" i="145" s="1"/>
  <c r="S25" i="145" s="1"/>
  <c r="T25" i="145" s="1"/>
  <c r="U25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0" i="145"/>
  <c r="C30" i="145"/>
  <c r="E30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7" i="145"/>
  <c r="E29" i="145"/>
  <c r="E7" i="145"/>
  <c r="B28" i="145"/>
  <c r="C28" i="145"/>
  <c r="B22" i="145"/>
  <c r="C22" i="145"/>
  <c r="X18" i="145"/>
  <c r="C18" i="145"/>
  <c r="B16" i="145"/>
  <c r="C16" i="145"/>
  <c r="B12" i="145"/>
  <c r="C12" i="145"/>
  <c r="B8" i="145"/>
  <c r="C8" i="145"/>
  <c r="C6" i="145"/>
  <c r="C10" i="145"/>
  <c r="C14" i="145"/>
  <c r="C20" i="145"/>
  <c r="C24" i="145"/>
  <c r="B10" i="145"/>
  <c r="B14" i="145"/>
  <c r="B20" i="145"/>
  <c r="B24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C107" i="155" l="1"/>
  <c r="AD107" i="155" s="1"/>
  <c r="AC100" i="155"/>
  <c r="AD100" i="155" s="1"/>
  <c r="AC99" i="155"/>
  <c r="AD99" i="155" s="1"/>
  <c r="AC106" i="155"/>
  <c r="AD106" i="155" s="1"/>
  <c r="AC109" i="155"/>
  <c r="AD109" i="155" s="1"/>
  <c r="AC108" i="155"/>
  <c r="AD108" i="155" s="1"/>
  <c r="AC102" i="155"/>
  <c r="AD102" i="155" s="1"/>
  <c r="AC104" i="155"/>
  <c r="AD104" i="155" s="1"/>
  <c r="AC101" i="155"/>
  <c r="AD101" i="155" s="1"/>
  <c r="AC105" i="155"/>
  <c r="AD105" i="155" s="1"/>
  <c r="AD98" i="155"/>
  <c r="AC103" i="155"/>
  <c r="AD103" i="155" s="1"/>
  <c r="K95" i="155" l="1"/>
  <c r="AB110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93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98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  <author>tc={8112F6A3-D36F-4C62-B445-87277335C3D3}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O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  <comment ref="J45" authorId="3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</commentList>
</comments>
</file>

<file path=xl/sharedStrings.xml><?xml version="1.0" encoding="utf-8"?>
<sst xmlns="http://schemas.openxmlformats.org/spreadsheetml/2006/main" count="1784" uniqueCount="706">
  <si>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</si>
  <si>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</si>
  <si>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</si>
  <si>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</si>
  <si>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</si>
  <si>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</si>
  <si>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</si>
  <si>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</si>
  <si>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</si>
  <si>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</si>
  <si>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</si>
  <si>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</si>
  <si>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</si>
  <si>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</si>
  <si>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</si>
  <si>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</si>
  <si>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</si>
  <si>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</si>
  <si>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</si>
  <si>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</si>
  <si>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</si>
  <si>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</si>
  <si>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</si>
  <si>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</si>
  <si>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</si>
  <si>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</si>
  <si>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</si>
  <si>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</si>
  <si>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</si>
  <si>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</si>
  <si>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</si>
  <si>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</si>
  <si>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</si>
  <si>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</si>
  <si>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</si>
  <si>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</si>
  <si>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</si>
  <si>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</si>
  <si>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</si>
  <si>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</si>
  <si>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</si>
  <si>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</si>
  <si>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</si>
  <si>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</si>
  <si>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</si>
  <si>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</si>
  <si>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</si>
  <si>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</si>
  <si>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</si>
  <si>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</si>
  <si>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</si>
  <si>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</si>
  <si>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</si>
  <si>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</si>
  <si>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</si>
  <si>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</si>
  <si>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</si>
  <si>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</si>
  <si>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</si>
  <si>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</si>
  <si>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</si>
  <si>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</si>
  <si>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</si>
  <si>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</si>
  <si>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</si>
  <si>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</si>
  <si>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</si>
  <si>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</si>
  <si>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</si>
  <si>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</si>
  <si>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</si>
  <si>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</si>
  <si>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</si>
  <si>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</si>
  <si>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</si>
  <si>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</si>
  <si>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</si>
  <si>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</si>
  <si>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</si>
  <si>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</si>
  <si>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</si>
  <si>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</si>
  <si>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</si>
  <si>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</si>
  <si>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</si>
  <si>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</si>
  <si>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</si>
  <si>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</si>
  <si>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</si>
  <si>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</si>
  <si>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</si>
  <si>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</si>
  <si>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</si>
  <si>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</si>
  <si>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</si>
  <si>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</si>
  <si>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</si>
  <si>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</si>
  <si>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</si>
  <si>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</si>
  <si>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</si>
  <si>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</si>
  <si>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</si>
  <si>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</si>
  <si>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</si>
  <si>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</si>
  <si>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</si>
  <si>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</si>
  <si>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</si>
  <si>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</si>
  <si>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</si>
  <si>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</si>
  <si>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</si>
  <si>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</si>
  <si>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</si>
  <si>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</si>
  <si>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</si>
  <si>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</si>
  <si>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</si>
  <si>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</si>
  <si>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</si>
  <si>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</si>
  <si>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</si>
  <si>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</si>
  <si>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</si>
  <si>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</si>
  <si>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</si>
  <si>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</si>
  <si>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</si>
  <si>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</si>
  <si>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</si>
  <si>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</si>
  <si>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</si>
  <si>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</si>
  <si>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</si>
  <si>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</si>
  <si>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</si>
  <si>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</si>
  <si>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</si>
  <si>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</si>
  <si>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</si>
  <si>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</si>
  <si>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</si>
  <si>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</si>
  <si>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</si>
  <si>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</si>
  <si>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</si>
  <si>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</si>
  <si>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</si>
  <si>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</si>
  <si>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</si>
  <si>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</si>
  <si>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</si>
  <si>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</si>
  <si>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</si>
  <si>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</si>
  <si>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</si>
  <si>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</si>
  <si>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</si>
  <si>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</si>
  <si>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</si>
  <si>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</si>
  <si>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</si>
  <si>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</si>
  <si>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</si>
  <si>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</si>
  <si>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</si>
  <si>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</si>
  <si>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</si>
  <si>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</si>
  <si>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</si>
  <si>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</si>
  <si>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</si>
  <si>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</si>
  <si>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</si>
  <si>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</si>
  <si>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</si>
  <si>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</si>
  <si>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</si>
  <si>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</si>
  <si>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</si>
  <si>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</si>
  <si>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</si>
  <si>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</si>
  <si>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</si>
  <si>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</si>
  <si>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</si>
  <si>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</si>
  <si>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</si>
  <si>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</si>
  <si>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</si>
  <si>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</si>
  <si>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</si>
  <si>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</si>
  <si>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</si>
  <si>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</si>
  <si>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</si>
  <si>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</si>
  <si>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</si>
  <si>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</si>
  <si>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</si>
  <si>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</si>
  <si>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</si>
  <si>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</si>
  <si>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</si>
  <si>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</si>
  <si>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</si>
  <si>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</si>
  <si>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</si>
  <si>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</si>
  <si>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</si>
  <si>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</si>
  <si>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</si>
  <si>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</si>
  <si>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</si>
  <si>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</si>
  <si>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</si>
  <si>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</si>
  <si>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</si>
  <si>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</si>
  <si>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</si>
  <si>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</si>
  <si>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</si>
  <si>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</si>
  <si>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</si>
  <si>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</si>
  <si>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</si>
  <si>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</si>
  <si>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</si>
  <si>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</si>
  <si>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</si>
  <si>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</si>
  <si>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</si>
  <si>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</si>
  <si>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</si>
  <si>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</si>
  <si>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</si>
  <si>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</si>
  <si>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</si>
  <si>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</si>
  <si>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</si>
  <si>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</si>
  <si>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</si>
  <si>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</si>
  <si>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</si>
  <si>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</si>
  <si>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</si>
  <si>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</si>
  <si>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</si>
  <si>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</si>
  <si>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</si>
  <si>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</si>
  <si>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</si>
  <si>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</si>
  <si>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</si>
  <si>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</si>
  <si>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</si>
  <si>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</si>
  <si>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</si>
  <si>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</si>
  <si>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</si>
  <si>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</si>
  <si>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</si>
  <si>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</si>
  <si>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</si>
  <si>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</si>
  <si>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</si>
  <si>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</si>
  <si>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</si>
  <si>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</si>
  <si>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</si>
  <si>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</si>
  <si>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</si>
  <si>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</si>
  <si>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</si>
  <si>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</si>
  <si>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</si>
  <si>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</si>
  <si>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</si>
  <si>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</si>
  <si>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</si>
  <si>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</si>
  <si>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</si>
  <si>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</si>
  <si>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</si>
  <si>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</si>
  <si>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</si>
  <si>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</si>
  <si>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</si>
  <si>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</si>
  <si>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</si>
  <si>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</si>
  <si>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</si>
  <si>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</si>
  <si>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</si>
  <si>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</si>
  <si>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</si>
  <si>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</si>
  <si>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</si>
  <si>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</si>
  <si>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</si>
  <si>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</si>
  <si>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</si>
  <si>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</si>
  <si>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</si>
  <si>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</si>
  <si>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</si>
  <si>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</si>
  <si>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</si>
  <si>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</si>
  <si>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</si>
  <si>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</si>
  <si>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</si>
  <si>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</si>
  <si>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</si>
  <si>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</si>
  <si>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</si>
  <si>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</si>
  <si>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</si>
  <si>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</si>
  <si>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</si>
  <si>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</si>
  <si>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</si>
  <si>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</si>
  <si>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</si>
  <si>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</si>
  <si>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</si>
  <si>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</si>
  <si>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</si>
  <si>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</si>
  <si>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</si>
  <si>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</si>
  <si>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</si>
  <si>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</si>
  <si>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</si>
  <si>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</si>
  <si>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</si>
  <si>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</si>
  <si>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</si>
  <si>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</si>
  <si>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</si>
  <si>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</si>
  <si>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</si>
  <si>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</si>
  <si>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</si>
  <si>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</si>
  <si>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</si>
  <si>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</si>
  <si>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</si>
  <si>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</si>
  <si>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</si>
  <si>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</si>
  <si>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</si>
  <si>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</si>
  <si>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</si>
  <si>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</si>
  <si>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</si>
  <si>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</si>
  <si>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</si>
  <si>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</si>
  <si>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</si>
  <si>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</si>
  <si>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</si>
  <si>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</si>
  <si>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</si>
  <si>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</si>
  <si>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</si>
  <si>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</si>
  <si>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</si>
  <si>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</si>
  <si>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</si>
  <si>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</si>
  <si>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</si>
  <si>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</si>
  <si>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</si>
  <si>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</si>
  <si>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</si>
  <si>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</si>
  <si>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</si>
  <si>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</si>
  <si>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</si>
  <si>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</si>
  <si>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</si>
  <si>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</si>
  <si>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</si>
  <si>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</si>
  <si>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</si>
  <si>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</si>
  <si>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</si>
  <si>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</si>
  <si>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</si>
  <si>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</si>
  <si>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</si>
  <si>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</si>
  <si>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</si>
  <si>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</si>
  <si>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</si>
  <si>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</si>
  <si>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</si>
  <si>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</si>
  <si>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</si>
  <si>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</si>
  <si>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</si>
  <si>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</si>
  <si>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</si>
  <si>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</si>
  <si>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</si>
  <si>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</si>
  <si>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</si>
  <si>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</si>
  <si>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</si>
  <si>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</si>
  <si>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</si>
  <si>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</si>
  <si>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</si>
  <si>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</si>
  <si>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</si>
  <si>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</si>
  <si>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</si>
  <si>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</si>
  <si>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</si>
  <si>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</si>
  <si>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</si>
  <si>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</si>
  <si>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</si>
  <si>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</si>
  <si>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</si>
  <si>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</si>
  <si>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</si>
  <si>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</si>
  <si>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</si>
  <si>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</si>
  <si>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</si>
  <si>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</si>
  <si>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</si>
  <si>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</si>
  <si>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</si>
  <si>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</si>
  <si>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</si>
  <si>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</si>
  <si>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</si>
  <si>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</si>
  <si>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</si>
  <si>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</si>
  <si>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</si>
  <si>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</si>
  <si>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</si>
  <si>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</si>
  <si>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</si>
  <si>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</si>
  <si>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</si>
  <si>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</si>
  <si>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</si>
  <si>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</si>
  <si>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</si>
  <si>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</si>
  <si>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</si>
  <si>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</si>
  <si>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</si>
  <si>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</si>
  <si>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</si>
  <si>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</si>
  <si>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</si>
  <si>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</si>
  <si>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</si>
  <si>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</si>
  <si>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</si>
  <si>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</si>
  <si>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</si>
  <si>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</si>
  <si>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</si>
  <si>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</si>
  <si>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</si>
  <si>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</si>
  <si>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</si>
  <si>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</si>
  <si>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</si>
  <si>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</si>
  <si>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</si>
  <si>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</si>
  <si>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</si>
  <si>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</si>
  <si>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</si>
  <si>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</si>
  <si>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</si>
  <si>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</si>
  <si>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</si>
  <si>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</si>
  <si>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</si>
  <si>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</si>
  <si>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</si>
  <si>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</si>
  <si>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</si>
  <si>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</si>
  <si>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</si>
  <si>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</si>
  <si>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</si>
  <si>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</si>
  <si>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</si>
  <si>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</si>
  <si>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</si>
  <si>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</si>
  <si>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</si>
  <si>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</si>
  <si>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</si>
  <si>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</si>
  <si>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</si>
  <si>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</si>
  <si>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</si>
  <si>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</si>
  <si>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</si>
  <si>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</si>
  <si>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</si>
  <si>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</si>
  <si>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</si>
  <si>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</si>
  <si>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</si>
  <si>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</si>
  <si>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</si>
  <si>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</si>
  <si>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</si>
  <si>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</si>
  <si>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</si>
  <si>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</si>
  <si>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</si>
  <si>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</si>
  <si>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</si>
  <si>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</si>
  <si>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</si>
  <si>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</si>
  <si>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</si>
  <si>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</si>
  <si>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</si>
  <si>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</si>
  <si>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</si>
  <si>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</si>
  <si>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</si>
  <si>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</si>
  <si>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</si>
  <si>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</si>
  <si>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</si>
  <si>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</si>
  <si>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</si>
  <si>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</si>
  <si>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</si>
  <si>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</si>
  <si>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</si>
  <si>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</si>
  <si>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</si>
  <si>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</si>
  <si>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</si>
  <si>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</si>
  <si>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</si>
  <si>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</si>
  <si>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</si>
  <si>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</si>
  <si>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</si>
  <si>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</si>
  <si>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</si>
  <si>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</si>
  <si>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</si>
  <si>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</si>
  <si>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</si>
  <si>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</si>
  <si>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</si>
  <si>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</si>
  <si>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</si>
  <si>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</si>
  <si>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</si>
  <si>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</si>
  <si>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</si>
  <si>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</si>
  <si>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</si>
  <si>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</si>
  <si>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</si>
  <si>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</si>
  <si>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</si>
  <si>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</si>
  <si>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</si>
  <si>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</si>
  <si>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</si>
  <si>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</si>
  <si>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</si>
  <si>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</si>
  <si>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</si>
  <si>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</si>
  <si>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</si>
  <si>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</si>
  <si>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</si>
  <si>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</si>
  <si>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</si>
  <si>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</si>
  <si>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</si>
  <si>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</si>
  <si>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</si>
  <si>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</si>
  <si>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</si>
  <si>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</si>
  <si>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</si>
  <si>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</si>
  <si>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</si>
  <si>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</si>
  <si>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</si>
  <si>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</si>
  <si>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</si>
  <si>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</si>
  <si>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</si>
  <si>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</si>
  <si>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</si>
  <si>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</si>
  <si>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</si>
  <si>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</si>
  <si>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</si>
  <si>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</si>
  <si>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</si>
  <si>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</si>
  <si>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</si>
  <si>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</si>
  <si>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</si>
  <si>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</si>
  <si>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</si>
  <si>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</si>
  <si>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</si>
  <si>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</si>
  <si>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</si>
  <si>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</si>
  <si>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</si>
  <si>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</si>
  <si>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</si>
  <si>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</si>
  <si>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</si>
  <si>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</si>
  <si>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</si>
  <si>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</si>
  <si>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</si>
  <si>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</si>
  <si>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</si>
  <si>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</si>
  <si>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</si>
  <si>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</si>
  <si>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</si>
  <si>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</si>
  <si>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</si>
  <si>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</si>
  <si>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</si>
  <si>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</si>
  <si>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</si>
  <si>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</si>
  <si>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</si>
  <si>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</si>
  <si>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</si>
  <si>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</si>
  <si>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Jabłek w sadach</t>
  </si>
  <si>
    <t>Gruszek w sadach</t>
  </si>
  <si>
    <t>Śliwek w sadach</t>
  </si>
  <si>
    <t>Wiśni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</si>
  <si>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</si>
  <si>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</si>
  <si>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</si>
  <si>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</si>
  <si>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</si>
  <si>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</si>
  <si>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</si>
  <si>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</si>
  <si>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</si>
  <si>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</si>
  <si>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</si>
  <si>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</si>
  <si>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</si>
  <si>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</si>
  <si>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</si>
  <si>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</si>
  <si>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</si>
  <si>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</si>
  <si>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</si>
  <si>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</si>
  <si>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</si>
  <si>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</si>
  <si>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</si>
  <si>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https://agroas.pl/blog/sloma-kukurydziana-jak-ja-zagospodarowac</t>
  </si>
  <si>
    <t>kukurydza</t>
  </si>
  <si>
    <t>bierzemy jare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</si>
  <si>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</si>
  <si>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</si>
  <si>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</si>
  <si>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</si>
  <si>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</si>
  <si>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</si>
  <si>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</si>
  <si>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</si>
  <si>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</si>
  <si>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</si>
  <si>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</si>
  <si>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</si>
  <si>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</si>
  <si>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</si>
  <si>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</si>
  <si>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</si>
  <si>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</si>
  <si>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</si>
  <si>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</si>
  <si>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</si>
  <si>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</si>
  <si>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</si>
  <si>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</si>
  <si>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*Input~2020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</si>
</sst>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1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8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5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6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0" fontId="0" fillId="25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9" fontId="0" fillId="0" borderId="0" xfId="0" applyNumberFormat="1"/>
    <xf numFmtId="0" fontId="18" fillId="7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6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216033</xdr:colOff>
      <xdr:row>36</xdr:row>
      <xdr:rowOff>87692</xdr:rowOff>
    </xdr:from>
    <xdr:to>
      <xdr:col>23</xdr:col>
      <xdr:colOff>383748</xdr:colOff>
      <xdr:row>51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24</xdr:col>
      <xdr:colOff>565727</xdr:colOff>
      <xdr:row>24</xdr:row>
      <xdr:rowOff>0</xdr:rowOff>
    </xdr:from>
    <xdr:to>
      <xdr:col>32</xdr:col>
      <xdr:colOff>4586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18</xdr:col>
      <xdr:colOff>426358</xdr:colOff>
      <xdr:row>71</xdr:row>
      <xdr:rowOff>130865</xdr:rowOff>
    </xdr:from>
    <xdr:to>
      <xdr:col>27</xdr:col>
      <xdr:colOff>199572</xdr:colOff>
      <xdr:row>82</xdr:row>
      <xdr:rowOff>140592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227701</xdr:colOff>
      <xdr:row>14</xdr:row>
      <xdr:rowOff>79722</xdr:rowOff>
    </xdr:from>
    <xdr:to>
      <xdr:col>30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</xdr:row>
      <xdr:rowOff>0</xdr:rowOff>
    </xdr:from>
    <xdr:to>
      <xdr:col>59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22</xdr:col>
      <xdr:colOff>531091</xdr:colOff>
      <xdr:row>1</xdr:row>
      <xdr:rowOff>115455</xdr:rowOff>
    </xdr:from>
    <xdr:to>
      <xdr:col>31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93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98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  <threadedComment ref="J45" dT="2024-10-25T11:19:43.72" personId="{517B1E64-C065-4D50-BE60-96C0BD4D6C19}" id="{8112F6A3-D36F-4C62-B445-87277335C3D3}">
    <text>Udział względny, „mniejszy, równy”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..\..\..\Downloads\Assessing_lignocellulosic_biomass_production_from_.pdf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agroas.pl/blog/sloma-kukurydziana-jak-ja-zagospodarowac" TargetMode="External"/><Relationship Id="rId1" Type="http://schemas.openxmlformats.org/officeDocument/2006/relationships/hyperlink" Target="https://tabledebates.org/research-library/waste-potato-supply-chain-potato-harvest-reduced-half-field-fork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..\..\..\Downloads\Ecofys20Final_20EC_max20biomass2020151214_0.pdf" TargetMode="External"/><Relationship Id="rId9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7" t="s">
        <v>456</v>
      </c>
      <c r="E14" s="297"/>
      <c r="F14" s="298" t="s">
        <v>457</v>
      </c>
      <c r="G14" s="298"/>
      <c r="H14" s="298"/>
      <c r="J14" s="25"/>
      <c r="K14" s="27"/>
      <c r="L14" s="36"/>
    </row>
    <row r="15" spans="1:15">
      <c r="A15" s="36"/>
      <c r="B15" s="31"/>
      <c r="C15" s="26"/>
      <c r="D15" s="23"/>
      <c r="E15" s="23"/>
      <c r="F15" s="298"/>
      <c r="G15" s="298"/>
      <c r="H15" s="298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7" t="s">
        <v>458</v>
      </c>
      <c r="E18" s="297"/>
      <c r="F18" s="298" t="s">
        <v>466</v>
      </c>
      <c r="G18" s="298"/>
      <c r="H18" s="298"/>
      <c r="I18" s="298"/>
      <c r="J18" s="25"/>
      <c r="K18" s="27"/>
      <c r="L18" s="36"/>
    </row>
    <row r="19" spans="1:12">
      <c r="A19" s="36"/>
      <c r="B19" s="31"/>
      <c r="C19" s="26"/>
      <c r="D19" s="23"/>
      <c r="E19" s="23"/>
      <c r="F19" s="298"/>
      <c r="G19" s="298"/>
      <c r="H19" s="298"/>
      <c r="I19" s="298"/>
      <c r="J19" s="25"/>
      <c r="K19" s="27"/>
      <c r="L19" s="36"/>
    </row>
    <row r="20" spans="1:12">
      <c r="A20" s="36"/>
      <c r="B20" s="31"/>
      <c r="C20" s="26"/>
      <c r="D20" s="23"/>
      <c r="E20" s="23"/>
      <c r="F20" s="298"/>
      <c r="G20" s="298"/>
      <c r="H20" s="298"/>
      <c r="I20" s="298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7" t="s">
        <v>459</v>
      </c>
      <c r="E22" s="297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460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7" t="s">
        <v>461</v>
      </c>
      <c r="E28" s="297"/>
      <c r="F28" s="35" t="s">
        <v>624</v>
      </c>
      <c r="J28" s="25"/>
      <c r="K28" s="27"/>
      <c r="L28" s="36"/>
    </row>
    <row r="29" spans="1:12">
      <c r="A29" s="36"/>
      <c r="B29" s="31"/>
      <c r="C29" s="26"/>
      <c r="F29" s="35" t="s">
        <v>462</v>
      </c>
      <c r="J29" s="25"/>
      <c r="K29" s="27"/>
      <c r="L29" s="36"/>
    </row>
    <row r="30" spans="1:12">
      <c r="A30" s="36"/>
      <c r="B30" s="31"/>
      <c r="C30" s="26"/>
      <c r="F30" s="35" t="s">
        <v>463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7" t="s">
        <v>464</v>
      </c>
      <c r="E32" s="297"/>
      <c r="F32" s="35" t="s">
        <v>462</v>
      </c>
      <c r="J32" s="25"/>
      <c r="K32" s="27"/>
      <c r="L32" s="36"/>
    </row>
    <row r="33" spans="1:12">
      <c r="A33" s="36"/>
      <c r="B33" s="31"/>
      <c r="C33" s="26"/>
      <c r="F33" s="20" t="s">
        <v>621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3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3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3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3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3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3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3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4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5"/>
      <c r="B5" s="306" t="s">
        <v>22</v>
      </c>
      <c r="C5" s="307"/>
      <c r="D5" s="306" t="s">
        <v>334</v>
      </c>
      <c r="E5" s="307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9" t="s">
        <v>465</v>
      </c>
      <c r="E4" s="299"/>
      <c r="F4" s="299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622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48" zoomScale="115" zoomScaleNormal="115" workbookViewId="0">
      <selection activeCell="A63" sqref="A63:XFD63"/>
    </sheetView>
  </sheetViews>
  <sheetFormatPr defaultRowHeight="12.5"/>
  <cols>
    <col min="1" max="1" width="2.81640625" customWidth="1"/>
    <col min="2" max="3" width="15" customWidth="1"/>
    <col min="4" max="4" width="46.7265625" customWidth="1"/>
    <col min="5" max="5" width="56.7265625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6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09" t="s">
        <v>469</v>
      </c>
      <c r="C33" s="210"/>
      <c r="D33" s="210"/>
      <c r="E33" s="210"/>
      <c r="F33" s="210"/>
      <c r="G33" s="210"/>
      <c r="H33" s="210"/>
      <c r="I33" s="210"/>
      <c r="J33" s="210"/>
    </row>
    <row r="34" spans="2:10" ht="16" customHeight="1">
      <c r="B34" s="80" t="s">
        <v>19</v>
      </c>
      <c r="C34" s="80" t="s">
        <v>94</v>
      </c>
      <c r="D34" s="80" t="s">
        <v>614</v>
      </c>
      <c r="E34" s="80" t="s">
        <v>615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494</v>
      </c>
      <c r="E35" s="78" t="s">
        <v>495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470</v>
      </c>
      <c r="E36" s="80" t="s">
        <v>471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472</v>
      </c>
      <c r="E37" s="78" t="s">
        <v>473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474</v>
      </c>
      <c r="E38" s="80" t="s">
        <v>475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476</v>
      </c>
      <c r="E39" s="78" t="s">
        <v>477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478</v>
      </c>
      <c r="E40" s="80" t="s">
        <v>479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480</v>
      </c>
      <c r="E41" s="78" t="s">
        <v>481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482</v>
      </c>
      <c r="E42" s="80" t="s">
        <v>483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484</v>
      </c>
      <c r="E43" s="78" t="s">
        <v>485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486</v>
      </c>
      <c r="E44" s="80" t="s">
        <v>487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488</v>
      </c>
      <c r="E45" s="78" t="s">
        <v>489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490</v>
      </c>
      <c r="E46" s="80" t="s">
        <v>491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492</v>
      </c>
      <c r="E47" s="78" t="s">
        <v>493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597</v>
      </c>
      <c r="E48" s="80" t="s">
        <v>612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598</v>
      </c>
      <c r="E49" s="78" t="s">
        <v>612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599</v>
      </c>
      <c r="E50" s="80" t="s">
        <v>612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600</v>
      </c>
      <c r="E51" s="78" t="s">
        <v>612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601</v>
      </c>
      <c r="E52" s="80" t="s">
        <v>612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602</v>
      </c>
      <c r="E53" s="78" t="s">
        <v>612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603</v>
      </c>
      <c r="E54" s="80" t="s">
        <v>612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604</v>
      </c>
      <c r="E55" s="78" t="s">
        <v>612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605</v>
      </c>
      <c r="E56" s="80" t="s">
        <v>612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606</v>
      </c>
      <c r="E57" s="78" t="s">
        <v>612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607</v>
      </c>
      <c r="E58" s="80" t="s">
        <v>612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608</v>
      </c>
      <c r="E59" s="78" t="s">
        <v>612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609</v>
      </c>
      <c r="E60" s="80" t="s">
        <v>612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610</v>
      </c>
      <c r="E61" s="78" t="s">
        <v>612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611</v>
      </c>
      <c r="E62" s="80" t="s">
        <v>612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625</v>
      </c>
      <c r="E63" s="78" t="s">
        <v>496</v>
      </c>
      <c r="F63" s="78" t="s">
        <v>497</v>
      </c>
      <c r="G63" s="78"/>
      <c r="H63" s="78" t="s">
        <v>23</v>
      </c>
      <c r="I63" s="78"/>
      <c r="J63" s="78"/>
    </row>
    <row r="64" spans="2:10" ht="16" customHeight="1">
      <c r="B64" s="80" t="s">
        <v>642</v>
      </c>
      <c r="C64" s="80" t="s">
        <v>94</v>
      </c>
      <c r="D64" s="80" t="s">
        <v>641</v>
      </c>
      <c r="E64" s="80" t="s">
        <v>496</v>
      </c>
      <c r="F64" s="80" t="s">
        <v>643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498</v>
      </c>
      <c r="E65" s="78" t="s">
        <v>499</v>
      </c>
      <c r="F65" s="78" t="s">
        <v>497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500</v>
      </c>
      <c r="E66" s="80" t="s">
        <v>501</v>
      </c>
      <c r="F66" s="80" t="s">
        <v>497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502</v>
      </c>
      <c r="E67" s="78" t="s">
        <v>502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503</v>
      </c>
      <c r="E68" s="80" t="s">
        <v>503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504</v>
      </c>
      <c r="E69" s="78" t="s">
        <v>504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505</v>
      </c>
      <c r="E70" s="80" t="s">
        <v>505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506</v>
      </c>
      <c r="E71" s="78" t="s">
        <v>506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507</v>
      </c>
      <c r="E72" s="80" t="s">
        <v>507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508</v>
      </c>
      <c r="E73" s="78" t="s">
        <v>508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509</v>
      </c>
      <c r="E74" s="80" t="s">
        <v>509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510</v>
      </c>
      <c r="E75" s="78" t="s">
        <v>510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511</v>
      </c>
      <c r="E76" s="208" t="s">
        <v>511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626</v>
      </c>
      <c r="E77" s="80" t="s">
        <v>612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627</v>
      </c>
      <c r="E78" s="78" t="s">
        <v>612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628</v>
      </c>
      <c r="E79" s="80" t="s">
        <v>612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629</v>
      </c>
      <c r="E80" s="78" t="s">
        <v>612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630</v>
      </c>
      <c r="E81" s="80" t="s">
        <v>612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631</v>
      </c>
      <c r="E82" s="78" t="s">
        <v>612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632</v>
      </c>
      <c r="E83" s="80" t="s">
        <v>612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633</v>
      </c>
      <c r="E84" s="78" t="s">
        <v>612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634</v>
      </c>
      <c r="E85" s="80" t="s">
        <v>612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635</v>
      </c>
      <c r="E86" s="78" t="s">
        <v>612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636</v>
      </c>
      <c r="E87" s="80" t="s">
        <v>612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637</v>
      </c>
      <c r="E88" s="78" t="s">
        <v>612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638</v>
      </c>
      <c r="E89" s="80" t="s">
        <v>612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639</v>
      </c>
      <c r="E90" s="78" t="s">
        <v>612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640</v>
      </c>
      <c r="E91" s="80" t="s">
        <v>612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27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618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3" t="s">
        <v>512</v>
      </c>
      <c r="C25" s="224"/>
      <c r="D25" s="224"/>
      <c r="E25" s="224"/>
      <c r="F25" s="224"/>
      <c r="G25" s="224"/>
      <c r="H25" s="224"/>
      <c r="I25" s="224"/>
      <c r="J25" s="224"/>
    </row>
    <row r="26" spans="2:14" ht="18.75" customHeight="1">
      <c r="B26" s="232" t="s">
        <v>122</v>
      </c>
      <c r="C26" s="232" t="s">
        <v>94</v>
      </c>
      <c r="D26" s="232" t="s">
        <v>594</v>
      </c>
      <c r="E26" s="232" t="s">
        <v>595</v>
      </c>
      <c r="F26" s="232" t="s">
        <v>22</v>
      </c>
      <c r="G26" s="232" t="s">
        <v>596</v>
      </c>
      <c r="H26" s="232" t="s">
        <v>23</v>
      </c>
      <c r="I26" s="232"/>
      <c r="J26" s="232"/>
    </row>
    <row r="27" spans="2:14" ht="18.75" customHeight="1">
      <c r="B27" s="78" t="s">
        <v>93</v>
      </c>
      <c r="C27" s="78" t="s">
        <v>94</v>
      </c>
      <c r="D27" s="78" t="s">
        <v>613</v>
      </c>
      <c r="E27" s="78" t="s">
        <v>616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513</v>
      </c>
      <c r="C28" s="80" t="s">
        <v>94</v>
      </c>
      <c r="D28" s="80" t="s">
        <v>514</v>
      </c>
      <c r="E28" s="80" t="s">
        <v>515</v>
      </c>
      <c r="F28" s="80" t="s">
        <v>497</v>
      </c>
      <c r="G28" s="80" t="s">
        <v>497</v>
      </c>
      <c r="H28" s="80" t="s">
        <v>23</v>
      </c>
      <c r="I28" s="80"/>
      <c r="J28" s="80"/>
    </row>
    <row r="29" spans="2:14" ht="18.75" customHeight="1">
      <c r="B29" s="78" t="s">
        <v>513</v>
      </c>
      <c r="C29" s="78" t="s">
        <v>94</v>
      </c>
      <c r="D29" s="78" t="s">
        <v>566</v>
      </c>
      <c r="E29" s="78" t="s">
        <v>567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513</v>
      </c>
      <c r="C30" s="80" t="s">
        <v>94</v>
      </c>
      <c r="D30" s="80" t="s">
        <v>516</v>
      </c>
      <c r="E30" s="80" t="s">
        <v>517</v>
      </c>
      <c r="F30" s="80" t="s">
        <v>497</v>
      </c>
      <c r="G30" s="80" t="s">
        <v>497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518</v>
      </c>
      <c r="E31" s="78" t="s">
        <v>519</v>
      </c>
      <c r="F31" s="78" t="s">
        <v>50</v>
      </c>
      <c r="G31" s="78" t="s">
        <v>520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521</v>
      </c>
      <c r="E32" s="80" t="s">
        <v>522</v>
      </c>
      <c r="F32" s="80" t="s">
        <v>50</v>
      </c>
      <c r="G32" s="80" t="s">
        <v>520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523</v>
      </c>
      <c r="E33" s="78" t="s">
        <v>524</v>
      </c>
      <c r="F33" s="78" t="s">
        <v>50</v>
      </c>
      <c r="G33" s="78" t="s">
        <v>520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525</v>
      </c>
      <c r="E34" s="80" t="s">
        <v>526</v>
      </c>
      <c r="F34" s="80" t="s">
        <v>50</v>
      </c>
      <c r="G34" s="80" t="s">
        <v>520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527</v>
      </c>
      <c r="E35" s="78" t="s">
        <v>528</v>
      </c>
      <c r="F35" s="78" t="s">
        <v>50</v>
      </c>
      <c r="G35" s="78" t="s">
        <v>520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529</v>
      </c>
      <c r="E36" s="80" t="s">
        <v>530</v>
      </c>
      <c r="F36" s="80" t="s">
        <v>50</v>
      </c>
      <c r="G36" s="80" t="s">
        <v>520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531</v>
      </c>
      <c r="E37" s="78" t="s">
        <v>532</v>
      </c>
      <c r="F37" s="78" t="s">
        <v>50</v>
      </c>
      <c r="G37" s="78" t="s">
        <v>520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533</v>
      </c>
      <c r="E38" s="80" t="s">
        <v>534</v>
      </c>
      <c r="F38" s="80" t="s">
        <v>50</v>
      </c>
      <c r="G38" s="80" t="s">
        <v>520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535</v>
      </c>
      <c r="E39" s="78" t="s">
        <v>536</v>
      </c>
      <c r="F39" s="78" t="s">
        <v>50</v>
      </c>
      <c r="G39" s="78" t="s">
        <v>520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537</v>
      </c>
      <c r="E40" s="80" t="s">
        <v>537</v>
      </c>
      <c r="F40" s="80" t="s">
        <v>50</v>
      </c>
      <c r="G40" s="80" t="s">
        <v>520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538</v>
      </c>
      <c r="E41" s="78" t="s">
        <v>538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539</v>
      </c>
      <c r="E42" s="80" t="s">
        <v>539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540</v>
      </c>
      <c r="E43" s="78" t="s">
        <v>540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541</v>
      </c>
      <c r="E44" s="80" t="s">
        <v>541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542</v>
      </c>
      <c r="E45" s="78" t="s">
        <v>542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543</v>
      </c>
      <c r="E46" s="80" t="s">
        <v>543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544</v>
      </c>
      <c r="E47" s="78" t="s">
        <v>544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545</v>
      </c>
      <c r="E48" s="80" t="s">
        <v>545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546</v>
      </c>
      <c r="E49" s="78" t="s">
        <v>546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547</v>
      </c>
      <c r="E50" s="80" t="s">
        <v>547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548</v>
      </c>
      <c r="E51" s="78" t="s">
        <v>548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549</v>
      </c>
      <c r="E52" s="80" t="s">
        <v>549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550</v>
      </c>
      <c r="E53" s="78" t="s">
        <v>550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551</v>
      </c>
      <c r="E54" s="80" t="s">
        <v>551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552</v>
      </c>
      <c r="E55" s="78" t="s">
        <v>552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553</v>
      </c>
      <c r="E56" s="80" t="s">
        <v>553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554</v>
      </c>
      <c r="E57" s="78" t="s">
        <v>554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555</v>
      </c>
      <c r="E58" s="80" t="s">
        <v>555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556</v>
      </c>
      <c r="E59" s="78" t="s">
        <v>556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557</v>
      </c>
      <c r="E60" s="80" t="s">
        <v>557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558</v>
      </c>
      <c r="E61" s="78" t="s">
        <v>558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559</v>
      </c>
      <c r="E62" s="80" t="s">
        <v>559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560</v>
      </c>
      <c r="E63" s="78" t="s">
        <v>560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561</v>
      </c>
      <c r="E64" s="80" t="s">
        <v>561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562</v>
      </c>
      <c r="E65" s="78" t="s">
        <v>562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563</v>
      </c>
      <c r="E66" s="80" t="s">
        <v>563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564</v>
      </c>
      <c r="E67" s="78" t="s">
        <v>564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565</v>
      </c>
      <c r="E68" s="80" t="s">
        <v>565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513</v>
      </c>
      <c r="C69" s="81" t="s">
        <v>94</v>
      </c>
      <c r="D69" s="81" t="s">
        <v>566</v>
      </c>
      <c r="E69" s="81" t="s">
        <v>567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7"/>
  <sheetViews>
    <sheetView topLeftCell="A4" zoomScaleNormal="100" zoomScaleSheetLayoutView="50" workbookViewId="0">
      <selection activeCell="E1" sqref="E1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 t="s">
        <v>467</v>
      </c>
      <c r="F1" s="64"/>
    </row>
    <row r="2" spans="2:22" ht="13">
      <c r="C2" s="66"/>
      <c r="E2" s="64"/>
      <c r="F2" s="64"/>
    </row>
    <row r="3" spans="2:22" ht="13">
      <c r="F3" s="64"/>
    </row>
    <row r="4" spans="2:22" ht="39">
      <c r="B4" s="67" t="s">
        <v>77</v>
      </c>
      <c r="C4" s="67" t="s">
        <v>620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440</v>
      </c>
      <c r="I4" s="67" t="s">
        <v>441</v>
      </c>
      <c r="J4" s="67" t="s">
        <v>442</v>
      </c>
      <c r="K4" s="67" t="s">
        <v>443</v>
      </c>
      <c r="L4" s="67" t="s">
        <v>444</v>
      </c>
      <c r="M4" s="67" t="s">
        <v>445</v>
      </c>
      <c r="N4" s="67" t="s">
        <v>446</v>
      </c>
      <c r="O4" s="185" t="s">
        <v>447</v>
      </c>
      <c r="P4" s="67" t="s">
        <v>448</v>
      </c>
      <c r="Q4" s="67" t="s">
        <v>449</v>
      </c>
      <c r="R4" s="67" t="s">
        <v>450</v>
      </c>
      <c r="S4" s="67" t="s">
        <v>451</v>
      </c>
      <c r="T4" s="67" t="s">
        <v>452</v>
      </c>
      <c r="U4" s="67" t="s">
        <v>453</v>
      </c>
      <c r="V4" s="186" t="s">
        <v>454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455</v>
      </c>
      <c r="I5" s="68" t="s">
        <v>455</v>
      </c>
      <c r="J5" s="68" t="s">
        <v>455</v>
      </c>
      <c r="K5" s="68" t="s">
        <v>455</v>
      </c>
      <c r="L5" s="68" t="s">
        <v>455</v>
      </c>
      <c r="M5" s="68" t="s">
        <v>455</v>
      </c>
      <c r="N5" s="68" t="s">
        <v>455</v>
      </c>
      <c r="O5" s="187" t="s">
        <v>455</v>
      </c>
      <c r="P5" s="68" t="s">
        <v>455</v>
      </c>
      <c r="Q5" s="68" t="s">
        <v>455</v>
      </c>
      <c r="R5" s="68" t="s">
        <v>455</v>
      </c>
      <c r="S5" s="68" t="s">
        <v>455</v>
      </c>
      <c r="T5" s="68" t="s">
        <v>455</v>
      </c>
      <c r="U5" s="68" t="s">
        <v>455</v>
      </c>
      <c r="V5" s="187" t="s">
        <v>455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7" t="s">
        <v>619</v>
      </c>
      <c r="C18" s="87" t="str">
        <f>SEC_Processes!E16</f>
        <v>Sector fuel - Biogas</v>
      </c>
      <c r="D18" s="90" t="s">
        <v>144</v>
      </c>
      <c r="E18" s="90"/>
      <c r="F18" s="89">
        <v>1</v>
      </c>
      <c r="G18" s="89"/>
      <c r="H18" s="199"/>
      <c r="I18" s="200"/>
      <c r="J18" s="200"/>
      <c r="K18" s="200"/>
      <c r="L18" s="200"/>
      <c r="M18" s="200"/>
      <c r="N18" s="200"/>
      <c r="O18" s="199"/>
      <c r="P18" s="200"/>
      <c r="Q18" s="200"/>
      <c r="R18" s="200"/>
      <c r="S18" s="200"/>
      <c r="T18" s="200"/>
      <c r="U18" s="200"/>
      <c r="V18" s="190"/>
      <c r="X18" s="87" t="str">
        <f>SEC_Processes!D16</f>
        <v>SECTF_AGR_BIOG</v>
      </c>
      <c r="Z18" s="1" t="s">
        <v>623</v>
      </c>
    </row>
    <row r="19" spans="2:26" ht="17.5" customHeight="1">
      <c r="B19" s="87" t="s">
        <v>619</v>
      </c>
      <c r="C19" s="87"/>
      <c r="D19" s="90"/>
      <c r="E19" s="88" t="str">
        <f>SEC_Comm!D16</f>
        <v>AGR_BIOG</v>
      </c>
      <c r="F19" s="89"/>
      <c r="G19" s="89"/>
      <c r="H19" s="199"/>
      <c r="I19" s="200"/>
      <c r="J19" s="200"/>
      <c r="K19" s="200"/>
      <c r="L19" s="200"/>
      <c r="M19" s="200"/>
      <c r="N19" s="200"/>
      <c r="O19" s="199"/>
      <c r="P19" s="200"/>
      <c r="Q19" s="200"/>
      <c r="R19" s="200"/>
      <c r="S19" s="200"/>
      <c r="T19" s="200"/>
      <c r="U19" s="200"/>
      <c r="V19" s="190"/>
    </row>
    <row r="20" spans="2:26" ht="17.5" customHeight="1">
      <c r="B20" s="85" t="str">
        <f>SEC_Processes!D17</f>
        <v>SECTF_AGR_BIOM</v>
      </c>
      <c r="C20" s="85" t="str">
        <f>SEC_Processes!E17</f>
        <v>Sector fuel - Biomass</v>
      </c>
      <c r="D20" s="91" t="s">
        <v>145</v>
      </c>
      <c r="F20" s="69">
        <v>1</v>
      </c>
      <c r="G20" s="69"/>
      <c r="H20" s="197"/>
      <c r="I20" s="198"/>
      <c r="J20" s="198"/>
      <c r="K20" s="198"/>
      <c r="L20" s="198"/>
      <c r="M20" s="198"/>
      <c r="N20" s="198"/>
      <c r="O20" s="197"/>
      <c r="P20" s="198"/>
      <c r="Q20" s="198"/>
      <c r="R20" s="198"/>
      <c r="S20" s="198"/>
      <c r="T20" s="198"/>
      <c r="U20" s="198"/>
      <c r="V20" s="189"/>
    </row>
    <row r="21" spans="2:26" ht="17.5" customHeight="1">
      <c r="B21" s="85"/>
      <c r="C21" s="85"/>
      <c r="D21" s="91"/>
      <c r="E21" s="70" t="str">
        <f>SEC_Comm!D17</f>
        <v>AGR_BIOM</v>
      </c>
      <c r="F21" s="69"/>
      <c r="G21" s="69"/>
      <c r="H21" s="197"/>
      <c r="I21" s="198"/>
      <c r="J21" s="198"/>
      <c r="K21" s="198"/>
      <c r="L21" s="198"/>
      <c r="M21" s="198"/>
      <c r="N21" s="198"/>
      <c r="O21" s="197"/>
      <c r="P21" s="198"/>
      <c r="Q21" s="198"/>
      <c r="R21" s="198"/>
      <c r="S21" s="198"/>
      <c r="T21" s="198"/>
      <c r="U21" s="198"/>
      <c r="V21" s="189"/>
    </row>
    <row r="22" spans="2:26" ht="17.5" customHeight="1">
      <c r="B22" s="87" t="str">
        <f>SEC_Processes!D18</f>
        <v>SECTF_AGR_RDF</v>
      </c>
      <c r="C22" s="87" t="str">
        <f>SEC_Processes!E18</f>
        <v>Sector fuel - RDF</v>
      </c>
      <c r="D22" s="90" t="s">
        <v>146</v>
      </c>
      <c r="E22" s="90"/>
      <c r="F22" s="89">
        <v>1</v>
      </c>
      <c r="G22" s="89"/>
      <c r="H22" s="199"/>
      <c r="I22" s="200"/>
      <c r="J22" s="200"/>
      <c r="K22" s="200"/>
      <c r="L22" s="200"/>
      <c r="M22" s="200"/>
      <c r="N22" s="200"/>
      <c r="O22" s="199"/>
      <c r="P22" s="200"/>
      <c r="Q22" s="200"/>
      <c r="R22" s="200"/>
      <c r="S22" s="200"/>
      <c r="T22" s="200"/>
      <c r="U22" s="200"/>
      <c r="V22" s="190"/>
    </row>
    <row r="23" spans="2:26" ht="17.5" customHeight="1">
      <c r="B23" s="87"/>
      <c r="C23" s="87"/>
      <c r="D23" s="90"/>
      <c r="E23" s="88" t="str">
        <f>SEC_Comm!D18</f>
        <v>AGR_RDF</v>
      </c>
      <c r="F23" s="89"/>
      <c r="G23" s="89"/>
      <c r="H23" s="199"/>
      <c r="I23" s="200"/>
      <c r="J23" s="200"/>
      <c r="K23" s="200"/>
      <c r="L23" s="200"/>
      <c r="M23" s="200"/>
      <c r="N23" s="200"/>
      <c r="O23" s="199"/>
      <c r="P23" s="200"/>
      <c r="Q23" s="200"/>
      <c r="R23" s="200"/>
      <c r="S23" s="200"/>
      <c r="T23" s="200"/>
      <c r="U23" s="200"/>
      <c r="V23" s="190"/>
    </row>
    <row r="24" spans="2:26" ht="17.5" customHeight="1">
      <c r="B24" s="162" t="str">
        <f>SEC_Processes!D19</f>
        <v>SECTF_AGR_ELC</v>
      </c>
      <c r="C24" s="162" t="str">
        <f>SEC_Processes!E19</f>
        <v>Sector fuel - Electricity</v>
      </c>
      <c r="D24" s="162"/>
      <c r="E24" s="162"/>
      <c r="F24" s="163">
        <v>1</v>
      </c>
      <c r="G24" s="163"/>
      <c r="H24" s="201"/>
      <c r="I24" s="202"/>
      <c r="J24" s="202"/>
      <c r="K24" s="202"/>
      <c r="L24" s="202"/>
      <c r="M24" s="202"/>
      <c r="N24" s="202"/>
      <c r="O24" s="201"/>
      <c r="P24" s="202"/>
      <c r="Q24" s="202"/>
      <c r="R24" s="202"/>
      <c r="S24" s="202"/>
      <c r="T24" s="202"/>
      <c r="U24" s="202"/>
      <c r="V24" s="191"/>
    </row>
    <row r="25" spans="2:26" ht="16.5" customHeight="1">
      <c r="B25" s="162"/>
      <c r="C25" s="162"/>
      <c r="D25" s="162" t="s">
        <v>147</v>
      </c>
      <c r="E25" s="162"/>
      <c r="F25" s="162"/>
      <c r="G25" s="176">
        <v>0.1</v>
      </c>
      <c r="H25" s="197">
        <v>8.9159000000000006</v>
      </c>
      <c r="I25" s="198">
        <f>H25</f>
        <v>8.9159000000000006</v>
      </c>
      <c r="J25" s="198">
        <f t="shared" ref="J25:N26" si="1">I25</f>
        <v>8.9159000000000006</v>
      </c>
      <c r="K25" s="198">
        <f t="shared" si="1"/>
        <v>8.9159000000000006</v>
      </c>
      <c r="L25" s="198">
        <f t="shared" si="1"/>
        <v>8.9159000000000006</v>
      </c>
      <c r="M25" s="198">
        <f t="shared" si="1"/>
        <v>8.9159000000000006</v>
      </c>
      <c r="N25" s="198">
        <f t="shared" si="1"/>
        <v>8.9159000000000006</v>
      </c>
      <c r="O25" s="197">
        <v>50.523400000000002</v>
      </c>
      <c r="P25" s="198">
        <f>O25</f>
        <v>50.523400000000002</v>
      </c>
      <c r="Q25" s="198">
        <f t="shared" ref="Q25:U26" si="2">P25</f>
        <v>50.523400000000002</v>
      </c>
      <c r="R25" s="198">
        <f t="shared" si="2"/>
        <v>50.523400000000002</v>
      </c>
      <c r="S25" s="198">
        <f t="shared" si="2"/>
        <v>50.523400000000002</v>
      </c>
      <c r="T25" s="198">
        <f t="shared" si="2"/>
        <v>50.523400000000002</v>
      </c>
      <c r="U25" s="198">
        <f t="shared" si="2"/>
        <v>50.523400000000002</v>
      </c>
      <c r="V25" s="192"/>
    </row>
    <row r="26" spans="2:26" ht="16.5" customHeight="1">
      <c r="B26" s="164"/>
      <c r="C26" s="164"/>
      <c r="D26" s="165" t="s">
        <v>148</v>
      </c>
      <c r="E26" s="164"/>
      <c r="F26" s="164"/>
      <c r="G26" s="177">
        <v>1</v>
      </c>
      <c r="H26" s="197">
        <v>9.5112000000000005</v>
      </c>
      <c r="I26" s="198">
        <f>H26</f>
        <v>9.5112000000000005</v>
      </c>
      <c r="J26" s="198">
        <f t="shared" si="1"/>
        <v>9.5112000000000005</v>
      </c>
      <c r="K26" s="198">
        <f t="shared" si="1"/>
        <v>9.5112000000000005</v>
      </c>
      <c r="L26" s="198">
        <f t="shared" si="1"/>
        <v>9.5112000000000005</v>
      </c>
      <c r="M26" s="198">
        <f t="shared" si="1"/>
        <v>9.5112000000000005</v>
      </c>
      <c r="N26" s="198">
        <f t="shared" si="1"/>
        <v>9.5112000000000005</v>
      </c>
      <c r="O26" s="197">
        <v>53.896599999999999</v>
      </c>
      <c r="P26" s="198">
        <f>O26</f>
        <v>53.896599999999999</v>
      </c>
      <c r="Q26" s="198">
        <f t="shared" si="2"/>
        <v>53.896599999999999</v>
      </c>
      <c r="R26" s="198">
        <f t="shared" si="2"/>
        <v>53.896599999999999</v>
      </c>
      <c r="S26" s="198">
        <f t="shared" si="2"/>
        <v>53.896599999999999</v>
      </c>
      <c r="T26" s="198">
        <f t="shared" si="2"/>
        <v>53.896599999999999</v>
      </c>
      <c r="U26" s="198">
        <f t="shared" si="2"/>
        <v>53.896599999999999</v>
      </c>
      <c r="V26" s="193"/>
    </row>
    <row r="27" spans="2:26" ht="16.5" customHeight="1">
      <c r="B27" s="164"/>
      <c r="C27" s="164"/>
      <c r="D27" s="164"/>
      <c r="E27" s="166" t="str">
        <f>SEC_Comm!D19</f>
        <v>AGR_ELC</v>
      </c>
      <c r="F27" s="164"/>
      <c r="G27" s="164"/>
      <c r="H27" s="203"/>
      <c r="I27" s="204"/>
      <c r="J27" s="204"/>
      <c r="K27" s="204"/>
      <c r="L27" s="204"/>
      <c r="M27" s="204"/>
      <c r="N27" s="204"/>
      <c r="O27" s="203"/>
      <c r="P27" s="204"/>
      <c r="Q27" s="204"/>
      <c r="R27" s="204"/>
      <c r="S27" s="204"/>
      <c r="T27" s="204"/>
      <c r="U27" s="204"/>
      <c r="V27" s="193"/>
    </row>
    <row r="28" spans="2:26">
      <c r="B28" s="87" t="str">
        <f>SEC_Processes!D20</f>
        <v>SECTF_AGR_DH</v>
      </c>
      <c r="C28" s="87" t="str">
        <f>SEC_Processes!E20</f>
        <v>Sector fuel - District Heat</v>
      </c>
      <c r="D28" s="90" t="s">
        <v>149</v>
      </c>
      <c r="E28" s="90"/>
      <c r="F28" s="89">
        <v>1</v>
      </c>
      <c r="G28" s="89"/>
      <c r="H28" s="199"/>
      <c r="I28" s="200"/>
      <c r="J28" s="200"/>
      <c r="K28" s="200"/>
      <c r="L28" s="200"/>
      <c r="M28" s="200"/>
      <c r="N28" s="200"/>
      <c r="O28" s="199"/>
      <c r="P28" s="200"/>
      <c r="Q28" s="200"/>
      <c r="R28" s="200"/>
      <c r="S28" s="200"/>
      <c r="T28" s="200"/>
      <c r="U28" s="200"/>
      <c r="V28" s="190"/>
    </row>
    <row r="29" spans="2:26">
      <c r="B29" s="87"/>
      <c r="C29" s="87"/>
      <c r="D29" s="90"/>
      <c r="E29" s="88" t="str">
        <f>SEC_Comm!D20</f>
        <v>AGR_DH</v>
      </c>
      <c r="F29" s="89"/>
      <c r="G29" s="89"/>
      <c r="H29" s="199"/>
      <c r="I29" s="200"/>
      <c r="J29" s="200"/>
      <c r="K29" s="200"/>
      <c r="L29" s="200"/>
      <c r="M29" s="200"/>
      <c r="N29" s="200"/>
      <c r="O29" s="199">
        <v>19</v>
      </c>
      <c r="P29" s="200">
        <f>O29</f>
        <v>19</v>
      </c>
      <c r="Q29" s="200">
        <f t="shared" ref="Q29:U29" si="3">P29</f>
        <v>19</v>
      </c>
      <c r="R29" s="200">
        <f t="shared" si="3"/>
        <v>19</v>
      </c>
      <c r="S29" s="200">
        <f t="shared" si="3"/>
        <v>19</v>
      </c>
      <c r="T29" s="200">
        <f t="shared" si="3"/>
        <v>19</v>
      </c>
      <c r="U29" s="200">
        <f t="shared" si="3"/>
        <v>19</v>
      </c>
      <c r="V29" s="190"/>
    </row>
    <row r="30" spans="2:26" ht="13" thickBot="1">
      <c r="B30" s="156" t="str">
        <f>SEC_Processes!D21</f>
        <v>SECTF_AGR_OTH</v>
      </c>
      <c r="C30" s="156" t="str">
        <f>SEC_Processes!E21</f>
        <v>Sector fuel - Other Fuels</v>
      </c>
      <c r="D30" s="157" t="s">
        <v>150</v>
      </c>
      <c r="E30" s="158" t="str">
        <f>SEC_Comm!D21</f>
        <v>AGR_OTH_FUE</v>
      </c>
      <c r="F30" s="159">
        <v>1</v>
      </c>
      <c r="G30" s="159"/>
      <c r="H30" s="205"/>
      <c r="I30" s="206"/>
      <c r="J30" s="206"/>
      <c r="K30" s="206"/>
      <c r="L30" s="206"/>
      <c r="M30" s="206"/>
      <c r="N30" s="206"/>
      <c r="O30" s="205"/>
      <c r="P30" s="206"/>
      <c r="Q30" s="206"/>
      <c r="R30" s="206"/>
      <c r="S30" s="206"/>
      <c r="T30" s="206"/>
      <c r="U30" s="206"/>
      <c r="V30" s="194"/>
    </row>
    <row r="31" spans="2:26">
      <c r="B31"/>
      <c r="C31"/>
      <c r="D31"/>
      <c r="E31"/>
      <c r="F31"/>
      <c r="G31"/>
    </row>
    <row r="32" spans="2:26">
      <c r="B32" s="38"/>
      <c r="C32"/>
      <c r="D32"/>
      <c r="E32"/>
      <c r="F32"/>
      <c r="G32"/>
    </row>
    <row r="33" spans="2:7">
      <c r="B33"/>
      <c r="C33"/>
      <c r="D33"/>
      <c r="E33"/>
      <c r="F33"/>
      <c r="G33"/>
    </row>
    <row r="34" spans="2:7">
      <c r="B34"/>
      <c r="C34"/>
      <c r="D34"/>
      <c r="E34"/>
      <c r="F34"/>
      <c r="G34" s="65" t="s">
        <v>439</v>
      </c>
    </row>
    <row r="35" spans="2:7">
      <c r="B35"/>
      <c r="C35"/>
      <c r="D35"/>
      <c r="E35"/>
      <c r="F35"/>
    </row>
    <row r="36" spans="2:7">
      <c r="B36"/>
      <c r="C36"/>
      <c r="D36"/>
      <c r="E36"/>
      <c r="F36"/>
    </row>
    <row r="37" spans="2:7">
      <c r="B37"/>
      <c r="C37"/>
      <c r="D37"/>
      <c r="E37"/>
      <c r="F37"/>
      <c r="G37"/>
    </row>
    <row r="38" spans="2:7">
      <c r="B38"/>
      <c r="C38"/>
      <c r="D38"/>
      <c r="E38"/>
      <c r="F38"/>
      <c r="G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3:6" ht="13">
      <c r="C49" s="66"/>
      <c r="E49" s="64"/>
      <c r="F49" s="64"/>
    </row>
    <row r="50" spans="3:6" ht="13">
      <c r="C50" s="66"/>
      <c r="E50" s="64"/>
      <c r="F50" s="64"/>
    </row>
    <row r="51" spans="3:6" ht="13">
      <c r="C51" s="66"/>
      <c r="E51" s="64"/>
      <c r="F51" s="64"/>
    </row>
    <row r="52" spans="3:6" ht="13">
      <c r="C52" s="66"/>
      <c r="E52" s="64"/>
      <c r="F52" s="64"/>
    </row>
    <row r="53" spans="3:6" ht="13">
      <c r="C53" s="66"/>
      <c r="E53" s="64"/>
      <c r="F53" s="64"/>
    </row>
    <row r="54" spans="3:6" ht="13">
      <c r="C54" s="66"/>
      <c r="E54" s="64"/>
      <c r="F54" s="64"/>
    </row>
    <row r="55" spans="3:6" ht="13">
      <c r="C55" s="66"/>
      <c r="E55" s="64"/>
      <c r="F55" s="64"/>
    </row>
    <row r="56" spans="3:6" ht="13">
      <c r="C56" s="66"/>
      <c r="E56" s="64"/>
      <c r="F56" s="64"/>
    </row>
    <row r="57" spans="3:6" ht="13">
      <c r="C57" s="66"/>
      <c r="E57" s="64"/>
      <c r="F57" s="64"/>
    </row>
    <row r="58" spans="3:6" ht="13">
      <c r="C58" s="66"/>
      <c r="E58" s="64"/>
      <c r="F58" s="64"/>
    </row>
    <row r="59" spans="3:6" ht="13">
      <c r="C59" s="66"/>
      <c r="E59" s="64"/>
      <c r="F59" s="64"/>
    </row>
    <row r="60" spans="3:6" ht="13">
      <c r="C60" s="66"/>
      <c r="E60" s="64"/>
      <c r="F60" s="64"/>
    </row>
    <row r="61" spans="3:6" ht="13">
      <c r="C61" s="66"/>
      <c r="E61" s="64"/>
      <c r="F61" s="64"/>
    </row>
    <row r="62" spans="3:6" ht="13">
      <c r="C62" s="66"/>
      <c r="E62" s="64"/>
      <c r="F62" s="64"/>
    </row>
    <row r="63" spans="3:6" ht="13">
      <c r="C63" s="66"/>
      <c r="E63" s="64"/>
      <c r="F63" s="64"/>
    </row>
    <row r="64" spans="3:6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6"/>
  <sheetViews>
    <sheetView tabSelected="1" topLeftCell="D1" zoomScale="61" zoomScaleNormal="100" workbookViewId="0">
      <selection activeCell="M8" sqref="M8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0" t="s">
        <v>617</v>
      </c>
      <c r="F2" s="211"/>
      <c r="G2" s="211"/>
      <c r="H2" s="211"/>
      <c r="I2" s="40"/>
      <c r="J2" s="40"/>
      <c r="K2" s="40"/>
    </row>
    <row r="3" spans="2:18" ht="13">
      <c r="B3" s="71" t="s">
        <v>77</v>
      </c>
      <c r="C3" s="72" t="s">
        <v>620</v>
      </c>
      <c r="D3" s="71" t="s">
        <v>133</v>
      </c>
      <c r="E3" s="71" t="s">
        <v>134</v>
      </c>
      <c r="F3" s="71" t="s">
        <v>568</v>
      </c>
      <c r="G3" s="71" t="s">
        <v>580</v>
      </c>
      <c r="H3" s="71" t="s">
        <v>157</v>
      </c>
      <c r="I3" s="73" t="s">
        <v>573</v>
      </c>
      <c r="J3" s="73" t="s">
        <v>581</v>
      </c>
      <c r="K3" s="73" t="s">
        <v>158</v>
      </c>
      <c r="L3" s="73" t="s">
        <v>135</v>
      </c>
    </row>
    <row r="4" spans="2:18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/>
      <c r="G4" s="74" t="s">
        <v>582</v>
      </c>
      <c r="H4" s="74" t="s">
        <v>582</v>
      </c>
      <c r="I4" s="74" t="s">
        <v>583</v>
      </c>
      <c r="J4" s="74" t="s">
        <v>584</v>
      </c>
      <c r="K4" s="74" t="s">
        <v>585</v>
      </c>
    </row>
    <row r="5" spans="2:18">
      <c r="B5" s="214" t="s">
        <v>518</v>
      </c>
      <c r="C5" s="214" t="s">
        <v>519</v>
      </c>
      <c r="D5" s="214" t="str">
        <f>SEC_Comm!$D$63</f>
        <v>AGR_LIVESTOCK_FOOD</v>
      </c>
      <c r="E5" s="214"/>
      <c r="F5" s="214"/>
      <c r="G5" s="214">
        <v>3030.7</v>
      </c>
      <c r="H5" s="214">
        <f>G5</f>
        <v>3030.7</v>
      </c>
      <c r="I5" s="214">
        <v>1</v>
      </c>
      <c r="J5" s="214"/>
      <c r="K5" s="214">
        <v>1</v>
      </c>
      <c r="L5" s="80">
        <v>1</v>
      </c>
    </row>
    <row r="6" spans="2:18">
      <c r="B6" s="215"/>
      <c r="C6" s="215"/>
      <c r="D6" s="215"/>
      <c r="E6" s="233" t="s">
        <v>502</v>
      </c>
      <c r="F6" s="215"/>
      <c r="G6" s="215"/>
      <c r="H6" s="215"/>
      <c r="I6" s="215"/>
      <c r="J6" s="215"/>
      <c r="K6" s="215"/>
    </row>
    <row r="7" spans="2:18">
      <c r="B7" s="215"/>
      <c r="C7" s="215"/>
      <c r="D7" s="215"/>
      <c r="E7" s="234" t="s">
        <v>476</v>
      </c>
      <c r="F7" s="215"/>
      <c r="G7" s="215"/>
      <c r="H7" s="215"/>
      <c r="I7" s="215"/>
      <c r="J7" s="233">
        <v>1.8360000000000001</v>
      </c>
      <c r="K7" s="215"/>
      <c r="R7" s="279" t="s">
        <v>703</v>
      </c>
    </row>
    <row r="8" spans="2:18">
      <c r="B8" s="215"/>
      <c r="C8" s="215"/>
      <c r="D8" s="215"/>
      <c r="E8" s="215"/>
      <c r="F8" s="215" t="s">
        <v>470</v>
      </c>
      <c r="G8" s="215"/>
      <c r="H8" s="215"/>
      <c r="I8" s="215"/>
      <c r="J8" s="233">
        <v>0.1056</v>
      </c>
      <c r="K8" s="215"/>
    </row>
    <row r="9" spans="2:18">
      <c r="B9" s="215"/>
      <c r="C9" s="215"/>
      <c r="D9" s="215"/>
      <c r="E9" s="215"/>
      <c r="F9" s="215" t="s">
        <v>472</v>
      </c>
      <c r="G9" s="215"/>
      <c r="H9" s="215"/>
      <c r="I9" s="215"/>
      <c r="J9" s="233">
        <f>0.01438</f>
        <v>1.438E-2</v>
      </c>
      <c r="K9" s="215"/>
    </row>
    <row r="10" spans="2:18">
      <c r="B10" s="215"/>
      <c r="C10" s="215"/>
      <c r="D10" s="215"/>
      <c r="E10" s="215"/>
      <c r="F10" s="215" t="s">
        <v>494</v>
      </c>
      <c r="G10" s="215"/>
      <c r="H10" s="215"/>
      <c r="I10" s="215"/>
      <c r="J10" s="233">
        <f>120/1000000</f>
        <v>1.2E-4</v>
      </c>
      <c r="K10" s="215"/>
    </row>
    <row r="11" spans="2:18">
      <c r="B11" s="216" t="s">
        <v>521</v>
      </c>
      <c r="C11" s="216" t="s">
        <v>522</v>
      </c>
      <c r="D11" s="216" t="str">
        <f>SEC_Comm!$D$63</f>
        <v>AGR_LIVESTOCK_FOOD</v>
      </c>
      <c r="E11" s="216"/>
      <c r="F11" s="216"/>
      <c r="G11" s="216">
        <v>3329</v>
      </c>
      <c r="H11" s="216">
        <f>G11</f>
        <v>3329</v>
      </c>
      <c r="I11" s="216">
        <v>1</v>
      </c>
      <c r="J11" s="216"/>
      <c r="K11" s="216">
        <v>1</v>
      </c>
    </row>
    <row r="12" spans="2:18">
      <c r="B12" s="216"/>
      <c r="C12" s="216"/>
      <c r="D12" s="216"/>
      <c r="E12" s="216" t="s">
        <v>503</v>
      </c>
      <c r="F12" s="216"/>
      <c r="G12" s="216"/>
      <c r="H12" s="216"/>
      <c r="I12" s="216"/>
      <c r="J12" s="216"/>
      <c r="K12" s="216"/>
    </row>
    <row r="13" spans="2:18">
      <c r="B13" s="216"/>
      <c r="C13" s="216"/>
      <c r="D13" s="216"/>
      <c r="E13" s="216" t="s">
        <v>478</v>
      </c>
      <c r="F13" s="216"/>
      <c r="G13" s="216"/>
      <c r="H13" s="216"/>
      <c r="I13" s="216"/>
      <c r="J13" s="233">
        <v>1.383</v>
      </c>
      <c r="K13" s="216"/>
    </row>
    <row r="14" spans="2:18">
      <c r="B14" s="216"/>
      <c r="C14" s="216"/>
      <c r="D14" s="216"/>
      <c r="E14" s="216"/>
      <c r="F14" s="216" t="s">
        <v>470</v>
      </c>
      <c r="G14" s="216"/>
      <c r="H14" s="216"/>
      <c r="I14" s="216"/>
      <c r="J14" s="233">
        <v>5.3100000000000001E-2</v>
      </c>
      <c r="K14" s="216"/>
    </row>
    <row r="15" spans="2:18">
      <c r="B15" s="216"/>
      <c r="C15" s="216"/>
      <c r="D15" s="216"/>
      <c r="E15" s="216"/>
      <c r="F15" s="216" t="s">
        <v>472</v>
      </c>
      <c r="G15" s="216"/>
      <c r="H15" s="216"/>
      <c r="I15" s="216"/>
      <c r="J15" s="233">
        <v>8.5800000000000008E-3</v>
      </c>
      <c r="K15" s="216"/>
    </row>
    <row r="16" spans="2:18">
      <c r="B16" s="216"/>
      <c r="C16" s="216"/>
      <c r="D16" s="216"/>
      <c r="E16" s="216"/>
      <c r="F16" s="216" t="s">
        <v>494</v>
      </c>
      <c r="G16" s="216"/>
      <c r="H16" s="216"/>
      <c r="I16" s="216"/>
      <c r="J16" s="233">
        <v>1.44E-4</v>
      </c>
      <c r="K16" s="216"/>
    </row>
    <row r="17" spans="2:11">
      <c r="B17" s="215" t="s">
        <v>523</v>
      </c>
      <c r="C17" s="215" t="s">
        <v>524</v>
      </c>
      <c r="D17" s="215" t="str">
        <f>SEC_Comm!$D$63</f>
        <v>AGR_LIVESTOCK_FOOD</v>
      </c>
      <c r="E17" s="215"/>
      <c r="F17" s="215"/>
      <c r="G17" s="215">
        <v>270.49200000000002</v>
      </c>
      <c r="H17" s="215">
        <f>G17</f>
        <v>270.49200000000002</v>
      </c>
      <c r="I17" s="215">
        <v>1</v>
      </c>
      <c r="J17" s="215"/>
      <c r="K17" s="215">
        <v>1</v>
      </c>
    </row>
    <row r="18" spans="2:11">
      <c r="B18" s="215"/>
      <c r="C18" s="215"/>
      <c r="D18" s="215"/>
      <c r="E18" s="215" t="s">
        <v>504</v>
      </c>
      <c r="F18" s="215"/>
      <c r="G18" s="215"/>
      <c r="H18" s="215"/>
      <c r="I18" s="215"/>
      <c r="J18" s="215"/>
      <c r="K18" s="215"/>
    </row>
    <row r="19" spans="2:11">
      <c r="B19" s="215"/>
      <c r="C19" s="215"/>
      <c r="D19" s="215"/>
      <c r="E19" s="215" t="s">
        <v>480</v>
      </c>
      <c r="F19" s="215"/>
      <c r="G19" s="215"/>
      <c r="H19" s="215"/>
      <c r="I19" s="215"/>
      <c r="J19" s="233">
        <v>0.106</v>
      </c>
      <c r="K19" s="215"/>
    </row>
    <row r="20" spans="2:11">
      <c r="B20" s="215"/>
      <c r="C20" s="215"/>
      <c r="D20" s="215"/>
      <c r="E20" s="215"/>
      <c r="F20" s="215" t="s">
        <v>470</v>
      </c>
      <c r="G20" s="215"/>
      <c r="H20" s="215"/>
      <c r="I20" s="215"/>
      <c r="J20" s="233">
        <v>8.0000000000000002E-3</v>
      </c>
      <c r="K20" s="215"/>
    </row>
    <row r="21" spans="2:11">
      <c r="B21" s="215"/>
      <c r="C21" s="215"/>
      <c r="D21" s="215"/>
      <c r="E21" s="215"/>
      <c r="F21" s="215" t="s">
        <v>472</v>
      </c>
      <c r="G21" s="215"/>
      <c r="H21" s="215"/>
      <c r="I21" s="215"/>
      <c r="J21" s="233">
        <v>1.1299999999999999E-3</v>
      </c>
      <c r="K21" s="215"/>
    </row>
    <row r="22" spans="2:11">
      <c r="B22" s="215"/>
      <c r="C22" s="215"/>
      <c r="D22" s="215"/>
      <c r="E22" s="215"/>
      <c r="F22" s="215" t="s">
        <v>494</v>
      </c>
      <c r="G22" s="215"/>
      <c r="H22" s="215"/>
      <c r="I22" s="215"/>
      <c r="J22" s="233">
        <v>1.8E-5</v>
      </c>
      <c r="K22" s="215"/>
    </row>
    <row r="23" spans="2:11">
      <c r="B23" s="216" t="s">
        <v>525</v>
      </c>
      <c r="C23" s="216" t="s">
        <v>526</v>
      </c>
      <c r="D23" s="216" t="str">
        <f>SEC_Comm!$D$63</f>
        <v>AGR_LIVESTOCK_FOOD</v>
      </c>
      <c r="E23" s="216"/>
      <c r="F23" s="216"/>
      <c r="G23" s="216">
        <v>9769.7000000000007</v>
      </c>
      <c r="H23" s="216">
        <f>G23</f>
        <v>9769.7000000000007</v>
      </c>
      <c r="I23" s="216">
        <v>1</v>
      </c>
      <c r="J23" s="216"/>
      <c r="K23" s="216">
        <v>1</v>
      </c>
    </row>
    <row r="24" spans="2:11">
      <c r="B24" s="216"/>
      <c r="C24" s="216"/>
      <c r="D24" s="216"/>
      <c r="E24" s="216" t="s">
        <v>505</v>
      </c>
      <c r="F24" s="216"/>
      <c r="G24" s="216"/>
      <c r="H24" s="216"/>
      <c r="I24" s="216"/>
      <c r="J24" s="216"/>
      <c r="K24" s="216"/>
    </row>
    <row r="25" spans="2:11">
      <c r="B25" s="216"/>
      <c r="C25" s="216"/>
      <c r="D25" s="216"/>
      <c r="E25" s="216" t="s">
        <v>482</v>
      </c>
      <c r="F25" s="216"/>
      <c r="G25" s="216"/>
      <c r="H25" s="216"/>
      <c r="I25" s="216"/>
      <c r="J25" s="233">
        <v>0.22900000000000001</v>
      </c>
      <c r="K25" s="216"/>
    </row>
    <row r="26" spans="2:11">
      <c r="B26" s="216"/>
      <c r="C26" s="216"/>
      <c r="D26" s="216"/>
      <c r="E26" s="216"/>
      <c r="F26" s="216" t="s">
        <v>470</v>
      </c>
      <c r="G26" s="216"/>
      <c r="H26" s="216"/>
      <c r="I26" s="216"/>
      <c r="J26" s="233">
        <v>1.5E-3</v>
      </c>
      <c r="K26" s="216"/>
    </row>
    <row r="27" spans="2:11">
      <c r="B27" s="216"/>
      <c r="C27" s="216"/>
      <c r="D27" s="216"/>
      <c r="E27" s="216"/>
      <c r="F27" s="216" t="s">
        <v>472</v>
      </c>
      <c r="G27" s="216"/>
      <c r="H27" s="216"/>
      <c r="I27" s="216"/>
      <c r="J27" s="233">
        <v>4.2399999999999998E-3</v>
      </c>
      <c r="K27" s="216"/>
    </row>
    <row r="28" spans="2:11">
      <c r="B28" s="216"/>
      <c r="C28" s="216"/>
      <c r="D28" s="216"/>
      <c r="E28" s="216"/>
      <c r="F28" s="216" t="s">
        <v>494</v>
      </c>
      <c r="G28" s="216"/>
      <c r="H28" s="216"/>
      <c r="I28" s="216"/>
      <c r="J28" s="233">
        <v>2.5999999999999998E-4</v>
      </c>
      <c r="K28" s="216"/>
    </row>
    <row r="29" spans="2:11">
      <c r="B29" s="215" t="s">
        <v>527</v>
      </c>
      <c r="C29" s="215" t="s">
        <v>528</v>
      </c>
      <c r="D29" s="215" t="str">
        <f>SEC_Comm!$D$63</f>
        <v>AGR_LIVESTOCK_FOOD</v>
      </c>
      <c r="E29" s="215"/>
      <c r="F29" s="215"/>
      <c r="G29" s="215">
        <v>63.523000000000003</v>
      </c>
      <c r="H29" s="215">
        <f>G29</f>
        <v>63.523000000000003</v>
      </c>
      <c r="I29" s="215">
        <v>1</v>
      </c>
      <c r="J29" s="215"/>
      <c r="K29" s="215">
        <v>1</v>
      </c>
    </row>
    <row r="30" spans="2:11">
      <c r="B30" s="215"/>
      <c r="C30" s="215"/>
      <c r="D30" s="215"/>
      <c r="E30" s="215" t="s">
        <v>506</v>
      </c>
      <c r="F30" s="215"/>
      <c r="G30" s="215"/>
      <c r="H30" s="215"/>
      <c r="I30" s="215"/>
      <c r="J30" s="215"/>
      <c r="K30" s="215"/>
    </row>
    <row r="31" spans="2:11">
      <c r="B31" s="215"/>
      <c r="C31" s="215"/>
      <c r="D31" s="215"/>
      <c r="E31" s="215" t="s">
        <v>484</v>
      </c>
      <c r="F31" s="215"/>
      <c r="G31" s="215"/>
      <c r="H31" s="215"/>
      <c r="I31" s="215"/>
      <c r="J31" s="233">
        <v>6.2089999999999996</v>
      </c>
      <c r="K31" s="215"/>
    </row>
    <row r="32" spans="2:11">
      <c r="B32" s="215"/>
      <c r="C32" s="215"/>
      <c r="D32" s="215"/>
      <c r="E32" s="215"/>
      <c r="F32" s="215" t="s">
        <v>470</v>
      </c>
      <c r="G32" s="215"/>
      <c r="H32" s="215"/>
      <c r="I32" s="215"/>
      <c r="J32" s="233">
        <v>5.00000000000004E-3</v>
      </c>
      <c r="K32" s="215"/>
    </row>
    <row r="33" spans="2:11">
      <c r="B33" s="215"/>
      <c r="C33" s="215"/>
      <c r="D33" s="215"/>
      <c r="E33" s="215"/>
      <c r="F33" s="215" t="s">
        <v>472</v>
      </c>
      <c r="G33" s="215"/>
      <c r="H33" s="215"/>
      <c r="I33" s="215"/>
      <c r="J33" s="233">
        <v>1.6100000000000001E-3</v>
      </c>
      <c r="K33" s="215"/>
    </row>
    <row r="34" spans="2:11">
      <c r="B34" s="215"/>
      <c r="C34" s="215"/>
      <c r="D34" s="215"/>
      <c r="E34" s="215"/>
      <c r="F34" s="215" t="s">
        <v>494</v>
      </c>
      <c r="G34" s="215"/>
      <c r="H34" s="215"/>
      <c r="I34" s="215"/>
      <c r="J34" s="233">
        <v>1.8E-5</v>
      </c>
      <c r="K34" s="215"/>
    </row>
    <row r="35" spans="2:11">
      <c r="B35" s="216" t="s">
        <v>529</v>
      </c>
      <c r="C35" s="216" t="s">
        <v>530</v>
      </c>
      <c r="D35" s="216" t="str">
        <f>SEC_Comm!$D$63</f>
        <v>AGR_LIVESTOCK_FOOD</v>
      </c>
      <c r="E35" s="216"/>
      <c r="F35" s="216"/>
      <c r="G35" s="216">
        <v>309.964</v>
      </c>
      <c r="H35" s="216">
        <f>G35</f>
        <v>309.964</v>
      </c>
      <c r="I35" s="216">
        <v>1</v>
      </c>
      <c r="J35" s="216"/>
      <c r="K35" s="216">
        <v>1</v>
      </c>
    </row>
    <row r="36" spans="2:11">
      <c r="B36" s="216"/>
      <c r="C36" s="216"/>
      <c r="D36" s="216"/>
      <c r="E36" s="216" t="s">
        <v>507</v>
      </c>
      <c r="F36" s="216"/>
      <c r="G36" s="216"/>
      <c r="H36" s="216"/>
      <c r="I36" s="216"/>
      <c r="J36" s="216"/>
      <c r="K36" s="216"/>
    </row>
    <row r="37" spans="2:11">
      <c r="B37" s="216"/>
      <c r="C37" s="216"/>
      <c r="D37" s="216"/>
      <c r="E37" s="216" t="s">
        <v>486</v>
      </c>
      <c r="F37" s="216"/>
      <c r="G37" s="216"/>
      <c r="H37" s="216"/>
      <c r="I37" s="216"/>
      <c r="J37" s="233">
        <v>6.6280000000000001</v>
      </c>
      <c r="K37" s="216"/>
    </row>
    <row r="38" spans="2:11">
      <c r="B38" s="216"/>
      <c r="C38" s="216"/>
      <c r="D38" s="216"/>
      <c r="E38" s="216"/>
      <c r="F38" s="216" t="s">
        <v>470</v>
      </c>
      <c r="G38" s="216"/>
      <c r="H38" s="216"/>
      <c r="I38" s="216"/>
      <c r="J38" s="233">
        <v>1.8000000000000019E-2</v>
      </c>
      <c r="K38" s="216"/>
    </row>
    <row r="39" spans="2:11">
      <c r="B39" s="216"/>
      <c r="C39" s="216"/>
      <c r="D39" s="216"/>
      <c r="E39" s="216"/>
      <c r="F39" s="216" t="s">
        <v>472</v>
      </c>
      <c r="G39" s="216"/>
      <c r="H39" s="216"/>
      <c r="I39" s="216"/>
      <c r="J39" s="233">
        <v>1.1000000000000001E-3</v>
      </c>
      <c r="K39" s="216"/>
    </row>
    <row r="40" spans="2:11">
      <c r="B40" s="215" t="s">
        <v>531</v>
      </c>
      <c r="C40" s="215" t="s">
        <v>532</v>
      </c>
      <c r="D40" s="215" t="str">
        <f>SEC_Comm!$D$63</f>
        <v>AGR_LIVESTOCK_FOOD</v>
      </c>
      <c r="E40" s="215"/>
      <c r="F40" s="215"/>
      <c r="G40" s="215">
        <v>218303</v>
      </c>
      <c r="H40" s="215">
        <f>G40</f>
        <v>218303</v>
      </c>
      <c r="I40" s="215">
        <v>1</v>
      </c>
      <c r="J40" s="215"/>
      <c r="K40" s="215">
        <v>1</v>
      </c>
    </row>
    <row r="41" spans="2:11">
      <c r="B41" s="215"/>
      <c r="C41" s="215"/>
      <c r="D41" s="215"/>
      <c r="E41" s="215" t="s">
        <v>508</v>
      </c>
      <c r="F41" s="215"/>
      <c r="G41" s="215"/>
      <c r="H41" s="215"/>
      <c r="I41" s="215"/>
      <c r="J41" s="215"/>
      <c r="K41" s="215"/>
    </row>
    <row r="42" spans="2:11">
      <c r="B42" s="215"/>
      <c r="C42" s="215"/>
      <c r="D42" s="215"/>
      <c r="E42" s="215" t="s">
        <v>488</v>
      </c>
      <c r="F42" s="215"/>
      <c r="G42" s="215"/>
      <c r="H42" s="215"/>
      <c r="I42" s="215"/>
      <c r="J42" s="233">
        <v>1.6839999999999999</v>
      </c>
      <c r="K42" s="215"/>
    </row>
    <row r="43" spans="2:11">
      <c r="B43" s="215"/>
      <c r="C43" s="215"/>
      <c r="D43" s="215"/>
      <c r="E43" s="215"/>
      <c r="F43" s="215" t="s">
        <v>472</v>
      </c>
      <c r="G43" s="215"/>
      <c r="H43" s="215"/>
      <c r="I43" s="215"/>
      <c r="J43" s="233">
        <f>0.012/1000</f>
        <v>1.2E-5</v>
      </c>
      <c r="K43" s="215"/>
    </row>
    <row r="44" spans="2:11">
      <c r="B44" s="215"/>
      <c r="C44" s="215"/>
      <c r="D44" s="215"/>
      <c r="E44" s="215"/>
      <c r="F44" s="215" t="s">
        <v>494</v>
      </c>
      <c r="G44" s="215"/>
      <c r="H44" s="215"/>
      <c r="I44" s="215"/>
      <c r="J44" s="233">
        <v>2.5000000000000001E-4</v>
      </c>
      <c r="K44" s="215"/>
    </row>
    <row r="45" spans="2:11">
      <c r="B45" s="216" t="s">
        <v>533</v>
      </c>
      <c r="C45" s="216" t="s">
        <v>534</v>
      </c>
      <c r="D45" s="216" t="str">
        <f>SEC_Comm!$D$63</f>
        <v>AGR_LIVESTOCK_FOOD</v>
      </c>
      <c r="E45" s="216"/>
      <c r="F45" s="216"/>
      <c r="G45" s="216">
        <v>1700</v>
      </c>
      <c r="H45" s="216">
        <f>G45</f>
        <v>1700</v>
      </c>
      <c r="I45" s="216">
        <v>1</v>
      </c>
      <c r="J45" s="216"/>
      <c r="K45" s="216">
        <v>1</v>
      </c>
    </row>
    <row r="46" spans="2:11">
      <c r="B46" s="216"/>
      <c r="C46" s="216"/>
      <c r="D46" s="216"/>
      <c r="E46" s="216" t="s">
        <v>509</v>
      </c>
      <c r="F46" s="216"/>
      <c r="G46" s="216"/>
      <c r="H46" s="216"/>
      <c r="I46" s="216"/>
      <c r="J46" s="216"/>
      <c r="K46" s="216"/>
    </row>
    <row r="47" spans="2:11">
      <c r="B47" s="216"/>
      <c r="C47" s="216"/>
      <c r="D47" s="216"/>
      <c r="E47" s="216" t="s">
        <v>490</v>
      </c>
      <c r="F47" s="216"/>
      <c r="G47" s="216"/>
      <c r="H47" s="216"/>
      <c r="I47" s="216"/>
      <c r="J47" s="233">
        <v>0.20399999999999999</v>
      </c>
      <c r="K47" s="216"/>
    </row>
    <row r="48" spans="2:11">
      <c r="B48" s="216"/>
      <c r="C48" s="216"/>
      <c r="D48" s="216"/>
      <c r="E48" s="216"/>
      <c r="F48" s="216" t="s">
        <v>472</v>
      </c>
      <c r="G48" s="216"/>
      <c r="H48" s="216"/>
      <c r="I48" s="216"/>
      <c r="J48" s="233">
        <v>8.0000000000000007E-5</v>
      </c>
      <c r="K48" s="216"/>
    </row>
    <row r="49" spans="2:11">
      <c r="B49" s="216"/>
      <c r="C49" s="216"/>
      <c r="D49" s="216"/>
      <c r="E49" s="216"/>
      <c r="F49" s="216" t="s">
        <v>494</v>
      </c>
      <c r="G49" s="216"/>
      <c r="H49" s="216"/>
      <c r="I49" s="216"/>
      <c r="J49" s="233">
        <f>0.0465/1000000</f>
        <v>4.6499999999999999E-8</v>
      </c>
      <c r="K49" s="216"/>
    </row>
    <row r="50" spans="2:11">
      <c r="B50" s="215" t="s">
        <v>535</v>
      </c>
      <c r="C50" s="215" t="s">
        <v>536</v>
      </c>
      <c r="D50" s="215" t="str">
        <f>SEC_Comm!$D$63</f>
        <v>AGR_LIVESTOCK_FOOD</v>
      </c>
      <c r="E50" s="215"/>
      <c r="F50" s="215"/>
      <c r="G50" s="215">
        <v>6540.13</v>
      </c>
      <c r="H50" s="215">
        <f>G50</f>
        <v>6540.13</v>
      </c>
      <c r="I50" s="215">
        <v>1</v>
      </c>
      <c r="J50" s="215"/>
      <c r="K50" s="215">
        <v>1</v>
      </c>
    </row>
    <row r="51" spans="2:11">
      <c r="B51" s="215"/>
      <c r="C51" s="215"/>
      <c r="D51" s="215"/>
      <c r="E51" s="215" t="s">
        <v>510</v>
      </c>
      <c r="F51" s="215"/>
      <c r="G51" s="215"/>
      <c r="H51" s="215"/>
      <c r="I51" s="215"/>
      <c r="J51" s="215"/>
      <c r="K51" s="215"/>
    </row>
    <row r="52" spans="2:11">
      <c r="B52" s="215"/>
      <c r="C52" s="215"/>
      <c r="D52" s="215"/>
      <c r="E52" s="215" t="s">
        <v>492</v>
      </c>
      <c r="F52" s="215"/>
      <c r="G52" s="215"/>
      <c r="H52" s="215"/>
      <c r="I52" s="215"/>
      <c r="J52" s="233">
        <v>0.02</v>
      </c>
      <c r="K52" s="215"/>
    </row>
    <row r="53" spans="2:11">
      <c r="B53" s="215"/>
      <c r="C53" s="215"/>
      <c r="D53" s="215"/>
      <c r="E53" s="215"/>
      <c r="F53" s="215" t="s">
        <v>472</v>
      </c>
      <c r="G53" s="215"/>
      <c r="H53" s="215"/>
      <c r="I53" s="215"/>
      <c r="J53" s="243">
        <v>1.2E-8</v>
      </c>
      <c r="K53" s="215"/>
    </row>
    <row r="54" spans="2:11">
      <c r="B54" s="215"/>
      <c r="C54" s="215"/>
      <c r="D54" s="215"/>
      <c r="E54" s="215"/>
      <c r="F54" s="215" t="s">
        <v>494</v>
      </c>
      <c r="G54" s="215"/>
      <c r="H54" s="215"/>
      <c r="I54" s="215"/>
      <c r="J54" s="233">
        <v>1.6000000000000001E-8</v>
      </c>
      <c r="K54" s="215"/>
    </row>
    <row r="55" spans="2:11">
      <c r="B55" s="217" t="s">
        <v>537</v>
      </c>
      <c r="C55" s="217" t="s">
        <v>537</v>
      </c>
      <c r="D55" s="217" t="str">
        <f>SEC_Comm!$D$63</f>
        <v>AGR_LIVESTOCK_FOOD</v>
      </c>
      <c r="E55" s="217"/>
      <c r="F55" s="217"/>
      <c r="G55" s="217">
        <v>5628.7045253411343</v>
      </c>
      <c r="H55" s="217">
        <v>5628.7045253411343</v>
      </c>
      <c r="I55" s="217">
        <v>1</v>
      </c>
      <c r="J55" s="217"/>
      <c r="K55" s="217">
        <v>1</v>
      </c>
    </row>
    <row r="56" spans="2:11">
      <c r="B56" s="218"/>
      <c r="C56" s="218"/>
      <c r="D56" s="218"/>
      <c r="E56" s="218" t="s">
        <v>511</v>
      </c>
      <c r="F56" s="218"/>
      <c r="G56" s="218"/>
      <c r="H56" s="218"/>
      <c r="I56" s="218"/>
      <c r="J56" s="218"/>
      <c r="K56" s="218"/>
    </row>
    <row r="57" spans="2:11" ht="13" thickBot="1">
      <c r="B57" s="219"/>
      <c r="C57" s="219"/>
      <c r="D57" s="219"/>
      <c r="E57" s="219"/>
      <c r="F57" s="219" t="s">
        <v>494</v>
      </c>
      <c r="G57" s="219"/>
      <c r="H57" s="219"/>
      <c r="I57" s="219"/>
      <c r="J57" s="289">
        <v>2.5538809853867566E-5</v>
      </c>
      <c r="K57" s="219"/>
    </row>
    <row r="62" spans="2:11" ht="13">
      <c r="B62" s="38"/>
      <c r="C62" s="38"/>
      <c r="D62" s="225" t="s">
        <v>467</v>
      </c>
      <c r="E62" s="40"/>
    </row>
    <row r="63" spans="2:11" ht="13">
      <c r="B63" s="226" t="s">
        <v>77</v>
      </c>
      <c r="C63" s="227" t="s">
        <v>151</v>
      </c>
      <c r="D63" s="226" t="s">
        <v>134</v>
      </c>
      <c r="E63" s="228" t="s">
        <v>578</v>
      </c>
    </row>
    <row r="64" spans="2:11" ht="13" thickBot="1">
      <c r="B64" s="229" t="s">
        <v>435</v>
      </c>
      <c r="C64" s="229" t="s">
        <v>436</v>
      </c>
      <c r="D64" s="229" t="s">
        <v>438</v>
      </c>
      <c r="E64" s="229" t="s">
        <v>579</v>
      </c>
    </row>
    <row r="65" spans="2:5">
      <c r="B65" s="230" t="str">
        <f>SEC_Processes!D28</f>
        <v>AGR_IMP_DUMMY_NRG_LIV</v>
      </c>
      <c r="C65" s="230" t="str">
        <f>SEC_Processes!E28</f>
        <v>Dummy Energy Import</v>
      </c>
      <c r="D65" s="230" t="str">
        <f>SEC_Comm!$D$63</f>
        <v>AGR_LIVESTOCK_FOOD</v>
      </c>
      <c r="E65" s="230">
        <v>1E-3</v>
      </c>
    </row>
    <row r="66" spans="2:5" ht="13" thickBot="1">
      <c r="B66" s="231" t="str">
        <f>SEC_Processes!D29</f>
        <v>AGR_IMP_LAND_RESIDUE</v>
      </c>
      <c r="C66" s="231" t="str">
        <f>SEC_Processes!E29</f>
        <v>Dummy Import of Crop Residues for Biogas Production</v>
      </c>
      <c r="D66" s="231" t="str">
        <f>SEC_Comm!D66</f>
        <v>AGR_DUMMY_LAND_RESIDUES</v>
      </c>
      <c r="E66" s="231">
        <v>1E-3</v>
      </c>
    </row>
  </sheetData>
  <hyperlinks>
    <hyperlink ref="R7" r:id="rId1" xr:uid="{6159E934-3018-49F5-8B4A-D086288151FA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L128"/>
  <sheetViews>
    <sheetView topLeftCell="B42" zoomScale="50" zoomScaleNormal="115" zoomScaleSheetLayoutView="50" workbookViewId="0">
      <selection activeCell="R26" sqref="R26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453125" bestFit="1" customWidth="1"/>
    <col min="11" max="12" width="12.81640625" bestFit="1" customWidth="1"/>
    <col min="13" max="13" width="12.81640625" customWidth="1"/>
    <col min="14" max="15" width="12.81640625" bestFit="1" customWidth="1"/>
    <col min="16" max="17" width="8.81640625" bestFit="1" customWidth="1"/>
    <col min="19" max="19" width="9.1796875" bestFit="1" customWidth="1"/>
    <col min="20" max="20" width="27.54296875" customWidth="1"/>
  </cols>
  <sheetData>
    <row r="3" spans="2:13" ht="13">
      <c r="F3" s="211"/>
      <c r="G3" s="211"/>
    </row>
    <row r="4" spans="2:13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568</v>
      </c>
      <c r="G4" s="73" t="s">
        <v>569</v>
      </c>
      <c r="H4" s="212" t="s">
        <v>570</v>
      </c>
      <c r="I4" s="212" t="s">
        <v>571</v>
      </c>
      <c r="J4" s="212" t="s">
        <v>158</v>
      </c>
      <c r="K4" s="212" t="s">
        <v>572</v>
      </c>
      <c r="L4" s="212" t="s">
        <v>573</v>
      </c>
      <c r="M4" s="295"/>
    </row>
    <row r="5" spans="2:13" ht="13" thickBot="1">
      <c r="B5" s="74" t="s">
        <v>435</v>
      </c>
      <c r="C5" s="74" t="s">
        <v>436</v>
      </c>
      <c r="D5" s="74"/>
      <c r="E5" s="74" t="s">
        <v>438</v>
      </c>
      <c r="F5" s="74"/>
      <c r="G5" s="74" t="s">
        <v>574</v>
      </c>
      <c r="H5" s="213" t="s">
        <v>575</v>
      </c>
      <c r="I5" s="213"/>
      <c r="J5" s="213"/>
      <c r="K5" s="213"/>
      <c r="L5" s="213"/>
      <c r="M5" s="296"/>
    </row>
    <row r="6" spans="2:13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  <c r="M6" s="80"/>
    </row>
    <row r="7" spans="2:13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  <c r="M7" s="78"/>
    </row>
    <row r="8" spans="2:13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  <c r="M8" s="80"/>
    </row>
    <row r="9" spans="2:13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  <c r="M9" s="78"/>
    </row>
    <row r="10" spans="2:13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  <c r="M10" s="80"/>
    </row>
    <row r="11" spans="2:13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  <c r="M11" s="78"/>
    </row>
    <row r="12" spans="2:13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  <c r="M12" s="80"/>
    </row>
    <row r="13" spans="2:13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  <c r="M13" s="78"/>
    </row>
    <row r="14" spans="2:13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  <c r="M14" s="80"/>
    </row>
    <row r="16" spans="2:13" ht="13">
      <c r="F16" s="211"/>
      <c r="G16" s="211"/>
    </row>
    <row r="17" spans="2:35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568</v>
      </c>
      <c r="G17" s="73" t="s">
        <v>569</v>
      </c>
      <c r="H17" s="212" t="s">
        <v>576</v>
      </c>
      <c r="I17" s="212" t="s">
        <v>577</v>
      </c>
      <c r="J17" s="212" t="s">
        <v>158</v>
      </c>
      <c r="K17" s="212" t="s">
        <v>572</v>
      </c>
      <c r="L17" s="212" t="s">
        <v>573</v>
      </c>
      <c r="M17" s="295"/>
    </row>
    <row r="18" spans="2:35" ht="13" thickBot="1">
      <c r="B18" s="74" t="s">
        <v>435</v>
      </c>
      <c r="C18" s="74" t="s">
        <v>436</v>
      </c>
      <c r="D18" s="74"/>
      <c r="E18" s="74" t="s">
        <v>438</v>
      </c>
      <c r="F18" s="74"/>
      <c r="G18" s="74" t="s">
        <v>574</v>
      </c>
      <c r="H18" s="213" t="s">
        <v>575</v>
      </c>
      <c r="I18" s="213"/>
      <c r="J18" s="213"/>
      <c r="K18" s="213"/>
      <c r="L18" s="213"/>
      <c r="M18" s="296"/>
    </row>
    <row r="19" spans="2:35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  <c r="M19" s="80"/>
    </row>
    <row r="20" spans="2:35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  <c r="M20" s="78"/>
    </row>
    <row r="21" spans="2:35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  <c r="M21" s="80"/>
    </row>
    <row r="22" spans="2:35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  <c r="M22" s="78"/>
    </row>
    <row r="24" spans="2:35">
      <c r="V24" t="s">
        <v>649</v>
      </c>
    </row>
    <row r="25" spans="2:35" ht="13">
      <c r="F25" s="211" t="s">
        <v>617</v>
      </c>
      <c r="G25" s="211"/>
    </row>
    <row r="26" spans="2:35" ht="26">
      <c r="B26" s="262" t="s">
        <v>77</v>
      </c>
      <c r="C26" s="267" t="s">
        <v>151</v>
      </c>
      <c r="D26" s="267" t="s">
        <v>133</v>
      </c>
      <c r="E26" s="266" t="s">
        <v>134</v>
      </c>
      <c r="F26" s="266" t="s">
        <v>568</v>
      </c>
      <c r="G26" s="275" t="s">
        <v>569</v>
      </c>
      <c r="H26" s="276" t="s">
        <v>573</v>
      </c>
      <c r="I26" s="276" t="s">
        <v>644</v>
      </c>
      <c r="J26" s="276" t="s">
        <v>158</v>
      </c>
      <c r="K26" s="276" t="s">
        <v>587</v>
      </c>
      <c r="L26" s="277" t="s">
        <v>572</v>
      </c>
      <c r="M26" s="276" t="s">
        <v>570</v>
      </c>
      <c r="N26" s="276" t="s">
        <v>571</v>
      </c>
      <c r="AG26">
        <f>G28*J28*L28</f>
        <v>2285.9810000000002</v>
      </c>
      <c r="AH26" t="s">
        <v>643</v>
      </c>
      <c r="AI26">
        <f>AG26*1000</f>
        <v>2285981</v>
      </c>
    </row>
    <row r="27" spans="2:35">
      <c r="B27" s="257" t="s">
        <v>435</v>
      </c>
      <c r="C27" s="258" t="s">
        <v>436</v>
      </c>
      <c r="D27" s="258"/>
      <c r="E27" s="258" t="s">
        <v>438</v>
      </c>
      <c r="F27" s="258"/>
      <c r="G27" s="258" t="s">
        <v>574</v>
      </c>
      <c r="H27" s="259" t="s">
        <v>686</v>
      </c>
      <c r="I27" s="259" t="s">
        <v>687</v>
      </c>
      <c r="J27" s="259"/>
      <c r="K27" s="259" t="s">
        <v>687</v>
      </c>
      <c r="L27" s="278"/>
      <c r="M27" s="259" t="s">
        <v>575</v>
      </c>
      <c r="N27" s="259"/>
      <c r="T27" t="s">
        <v>645</v>
      </c>
      <c r="AG27">
        <f>G28</f>
        <v>2285.9810000000002</v>
      </c>
      <c r="AH27" t="s">
        <v>643</v>
      </c>
      <c r="AI27">
        <f t="shared" ref="AI27:AI28" si="0">AG27*1000</f>
        <v>2285981</v>
      </c>
    </row>
    <row r="28" spans="2:35" ht="16" customHeight="1">
      <c r="B28" s="256" t="str">
        <f>SEC_Processes!D54</f>
        <v>AGR_LAND_CROP_WHEAT</v>
      </c>
      <c r="C28" s="237" t="str">
        <f>SEC_Processes!E54</f>
        <v>AGR_LAND_CROP_WHEAT</v>
      </c>
      <c r="D28" s="238"/>
      <c r="E28" s="238"/>
      <c r="F28" s="238"/>
      <c r="G28" s="237">
        <f>2285981/1000</f>
        <v>2285.9810000000002</v>
      </c>
      <c r="H28" s="238"/>
      <c r="I28" s="238"/>
      <c r="J28" s="237">
        <v>1</v>
      </c>
      <c r="K28" s="238"/>
      <c r="L28" s="239">
        <v>1</v>
      </c>
      <c r="M28" s="238"/>
      <c r="N28" s="238"/>
      <c r="R28" s="38"/>
      <c r="T28" t="s">
        <v>646</v>
      </c>
      <c r="AG28">
        <f>AG26*H29</f>
        <v>2285.9810000000002</v>
      </c>
      <c r="AH28" t="s">
        <v>643</v>
      </c>
      <c r="AI28">
        <f t="shared" si="0"/>
        <v>2285981</v>
      </c>
    </row>
    <row r="29" spans="2:35" ht="16" customHeight="1">
      <c r="B29" s="240"/>
      <c r="C29" s="38"/>
      <c r="D29" s="249" t="str">
        <f>SEC_Comm!$D$64</f>
        <v>AGR_LAND</v>
      </c>
      <c r="G29" s="38"/>
      <c r="H29" s="241">
        <v>1</v>
      </c>
      <c r="J29" s="38"/>
      <c r="L29" s="242"/>
      <c r="R29" s="38"/>
      <c r="T29" t="s">
        <v>647</v>
      </c>
    </row>
    <row r="30" spans="2:35" ht="16" customHeight="1">
      <c r="B30" s="240"/>
      <c r="C30" s="38"/>
      <c r="D30" s="80"/>
      <c r="E30" s="251" t="str">
        <f>SEC_Comm!D77</f>
        <v>AGR_DEM_CROP_WHEAT</v>
      </c>
      <c r="G30" s="38"/>
      <c r="I30" s="38"/>
      <c r="J30" s="38"/>
      <c r="K30" s="243">
        <f>54.8/10</f>
        <v>5.4799999999999995</v>
      </c>
      <c r="L30" s="242"/>
      <c r="R30" s="38"/>
      <c r="T30" t="s">
        <v>650</v>
      </c>
      <c r="AG30">
        <f>AG26*K30</f>
        <v>12527.175880000001</v>
      </c>
      <c r="AH30" t="s">
        <v>54</v>
      </c>
    </row>
    <row r="31" spans="2:35" ht="16" customHeight="1">
      <c r="B31" s="240"/>
      <c r="C31" s="38"/>
      <c r="D31" s="38"/>
      <c r="E31" s="235" t="str">
        <f>SEC_Comm!D48</f>
        <v>AGR_RESID_CROP_WHEAT</v>
      </c>
      <c r="F31" s="38"/>
      <c r="G31" s="38"/>
      <c r="I31" s="235">
        <f>4.0651</f>
        <v>4.0651000000000002</v>
      </c>
      <c r="J31" s="38"/>
      <c r="L31" s="242"/>
      <c r="M31" s="38"/>
      <c r="N31" s="38"/>
      <c r="R31" s="38"/>
      <c r="T31" t="s">
        <v>648</v>
      </c>
    </row>
    <row r="32" spans="2:35" ht="16" customHeight="1">
      <c r="B32" s="244"/>
      <c r="C32" s="245"/>
      <c r="D32" s="245"/>
      <c r="E32" s="245"/>
      <c r="F32" s="246" t="str">
        <f>SEC_Comm!$D$35</f>
        <v>AGR_N2O</v>
      </c>
      <c r="G32" s="245"/>
      <c r="H32" s="160"/>
      <c r="I32" s="245"/>
      <c r="J32" s="245"/>
      <c r="K32" s="160"/>
      <c r="L32" s="247"/>
      <c r="M32" s="246">
        <v>1.4E-3</v>
      </c>
      <c r="N32" s="246">
        <v>1.4E-3</v>
      </c>
    </row>
    <row r="33" spans="2:25" ht="16" customHeight="1">
      <c r="B33" s="236" t="str">
        <f>SEC_Processes!D55</f>
        <v>AGR_LAND_CROP_BARLEY</v>
      </c>
      <c r="C33" s="237" t="str">
        <f>SEC_Processes!E55</f>
        <v>AGR_LAND_CROP_BARLEY</v>
      </c>
      <c r="D33" s="238"/>
      <c r="E33" s="238"/>
      <c r="F33" s="238"/>
      <c r="G33" s="237">
        <f>352232/1000</f>
        <v>352.23200000000003</v>
      </c>
      <c r="H33" s="238"/>
      <c r="I33" s="248"/>
      <c r="J33" s="237">
        <v>1</v>
      </c>
      <c r="K33" s="238"/>
      <c r="L33" s="239">
        <v>1</v>
      </c>
      <c r="M33" s="238"/>
      <c r="N33" s="238"/>
    </row>
    <row r="34" spans="2:25" ht="16" customHeight="1">
      <c r="B34" s="240"/>
      <c r="C34" s="38"/>
      <c r="D34" s="249" t="str">
        <f>SEC_Comm!$D$64</f>
        <v>AGR_LAND</v>
      </c>
      <c r="G34" s="38"/>
      <c r="H34" s="241">
        <v>1</v>
      </c>
      <c r="I34" s="38"/>
      <c r="J34" s="38"/>
      <c r="L34" s="242"/>
      <c r="M34" s="38"/>
      <c r="N34" s="38"/>
    </row>
    <row r="35" spans="2:25" ht="16" customHeight="1">
      <c r="B35" s="250"/>
      <c r="E35" s="251" t="str">
        <f>SEC_Comm!D78</f>
        <v>AGR_DEM_CROP_BARLEY</v>
      </c>
      <c r="F35" s="38"/>
      <c r="K35" s="243">
        <f>50.7/10</f>
        <v>5.07</v>
      </c>
      <c r="L35" s="242"/>
    </row>
    <row r="36" spans="2:25" ht="16" customHeight="1">
      <c r="B36" s="250"/>
      <c r="E36" s="235" t="str">
        <f>SEC_Comm!D49</f>
        <v>AGR_RESID_CROP_BARLEY</v>
      </c>
      <c r="F36" s="38"/>
      <c r="I36" s="167">
        <v>2.7559999999999998</v>
      </c>
      <c r="L36" s="242"/>
      <c r="U36" t="s">
        <v>681</v>
      </c>
    </row>
    <row r="37" spans="2:25" ht="16" customHeight="1">
      <c r="B37" s="252"/>
      <c r="C37" s="160"/>
      <c r="D37" s="160"/>
      <c r="E37" s="160"/>
      <c r="F37" s="246" t="str">
        <f>SEC_Comm!$D$35</f>
        <v>AGR_N2O</v>
      </c>
      <c r="G37" s="160"/>
      <c r="H37" s="160"/>
      <c r="I37" s="160"/>
      <c r="J37" s="160"/>
      <c r="K37" s="160"/>
      <c r="L37" s="247"/>
      <c r="M37" s="246">
        <v>1.4E-3</v>
      </c>
      <c r="N37" s="246">
        <v>1.4E-3</v>
      </c>
    </row>
    <row r="38" spans="2:25" ht="16" customHeight="1">
      <c r="B38" s="236" t="str">
        <f>SEC_Processes!D56</f>
        <v>AGR_LAND_CROP_MAIZE</v>
      </c>
      <c r="C38" s="237" t="str">
        <f>SEC_Processes!E56</f>
        <v>AGR_LAND_CROP_MAIZE</v>
      </c>
      <c r="D38" s="238"/>
      <c r="E38" s="238"/>
      <c r="F38" s="248"/>
      <c r="G38" s="237">
        <f>1255632/1000</f>
        <v>1255.6320000000001</v>
      </c>
      <c r="H38" s="238"/>
      <c r="I38" s="248"/>
      <c r="J38" s="237">
        <v>1</v>
      </c>
      <c r="K38" s="238"/>
      <c r="L38" s="239">
        <v>1</v>
      </c>
      <c r="M38" s="238"/>
      <c r="N38" s="238"/>
    </row>
    <row r="39" spans="2:25" ht="16" customHeight="1">
      <c r="B39" s="240"/>
      <c r="C39" s="38"/>
      <c r="D39" s="249" t="str">
        <f>SEC_Comm!$D$64</f>
        <v>AGR_LAND</v>
      </c>
      <c r="F39" s="38"/>
      <c r="G39" s="38"/>
      <c r="H39" s="241">
        <v>1</v>
      </c>
      <c r="I39" s="38"/>
      <c r="J39" s="38"/>
      <c r="L39" s="242"/>
      <c r="M39" s="38"/>
      <c r="N39" s="38"/>
    </row>
    <row r="40" spans="2:25" ht="16" customHeight="1">
      <c r="B40" s="240"/>
      <c r="C40" s="38"/>
      <c r="D40" s="38"/>
      <c r="E40" s="251" t="str">
        <f>SEC_Comm!D79</f>
        <v>AGR_DEM_CROP_MAIZE</v>
      </c>
      <c r="F40" s="38"/>
      <c r="G40" s="38"/>
      <c r="I40" s="38"/>
      <c r="J40" s="38"/>
      <c r="K40" s="243">
        <f>72.9/10</f>
        <v>7.2900000000000009</v>
      </c>
      <c r="L40" s="242"/>
      <c r="M40" s="38"/>
      <c r="N40" s="38"/>
      <c r="Y40" t="s">
        <v>695</v>
      </c>
    </row>
    <row r="41" spans="2:25" ht="16" customHeight="1">
      <c r="B41" s="240"/>
      <c r="C41" s="38"/>
      <c r="D41" s="38"/>
      <c r="E41" s="235" t="str">
        <f>SEC_Comm!D50</f>
        <v>AGR_RESID_CROP_MAIZE</v>
      </c>
      <c r="F41" s="38"/>
      <c r="G41" s="38"/>
      <c r="I41" s="235">
        <v>6.1321000000000003</v>
      </c>
      <c r="J41" s="38"/>
      <c r="K41" s="284" t="s">
        <v>336</v>
      </c>
      <c r="L41" s="242"/>
      <c r="M41" s="38"/>
      <c r="N41" s="38"/>
      <c r="Y41" t="s">
        <v>696</v>
      </c>
    </row>
    <row r="42" spans="2:25" ht="16" customHeight="1">
      <c r="B42" s="244"/>
      <c r="C42" s="245"/>
      <c r="D42" s="245"/>
      <c r="E42" s="245"/>
      <c r="F42" s="246" t="str">
        <f>SEC_Comm!$D$35</f>
        <v>AGR_N2O</v>
      </c>
      <c r="G42" s="245"/>
      <c r="H42" s="160"/>
      <c r="I42" s="245"/>
      <c r="J42" s="245"/>
      <c r="K42" s="160"/>
      <c r="L42" s="247"/>
      <c r="M42" s="246">
        <v>2.3700000000000001E-3</v>
      </c>
      <c r="N42" s="246">
        <v>2.3700000000000001E-3</v>
      </c>
      <c r="S42">
        <f>I41*G38</f>
        <v>7699.6609872000008</v>
      </c>
    </row>
    <row r="43" spans="2:25" ht="16" customHeight="1">
      <c r="B43" s="254" t="str">
        <f>SEC_Processes!D57</f>
        <v>AGR_LAND_CROP_CER-MIX</v>
      </c>
      <c r="C43" s="253" t="str">
        <f>SEC_Processes!E57</f>
        <v>AGR_LAND_CROP_CER-MIX</v>
      </c>
      <c r="F43" s="38"/>
      <c r="G43" s="253">
        <f>47566/1000</f>
        <v>47.566000000000003</v>
      </c>
      <c r="I43" s="38"/>
      <c r="J43" s="253">
        <v>1</v>
      </c>
      <c r="L43" s="255">
        <v>1</v>
      </c>
    </row>
    <row r="44" spans="2:25" ht="16" customHeight="1">
      <c r="B44" s="240"/>
      <c r="C44" s="38"/>
      <c r="D44" s="249" t="str">
        <f>SEC_Comm!$D$64</f>
        <v>AGR_LAND</v>
      </c>
      <c r="F44" s="38"/>
      <c r="G44" s="38"/>
      <c r="H44" s="241">
        <v>1</v>
      </c>
      <c r="I44" s="38"/>
      <c r="J44" s="38"/>
      <c r="L44" s="242"/>
      <c r="M44" s="38"/>
      <c r="N44" s="38"/>
    </row>
    <row r="45" spans="2:25" ht="16" customHeight="1">
      <c r="B45" s="240"/>
      <c r="C45" s="38"/>
      <c r="D45" s="38"/>
      <c r="E45" s="251" t="str">
        <f>SEC_Comm!D80</f>
        <v>AGR_DEM_CROP_CER-MIX</v>
      </c>
      <c r="F45" s="38"/>
      <c r="G45" s="38"/>
      <c r="I45" s="38"/>
      <c r="J45" s="38"/>
      <c r="K45" s="243">
        <f>37.3/10</f>
        <v>3.7299999999999995</v>
      </c>
      <c r="L45" s="242"/>
      <c r="M45" s="38"/>
      <c r="N45" s="38"/>
    </row>
    <row r="46" spans="2:25" ht="16" customHeight="1">
      <c r="B46" s="240"/>
      <c r="C46" s="38"/>
      <c r="D46" s="38"/>
      <c r="E46" s="235" t="str">
        <f>SEC_Comm!D51</f>
        <v>AGR_RESID_CROP_CER-MIX</v>
      </c>
      <c r="F46" s="38"/>
      <c r="G46" s="38"/>
      <c r="I46" s="235">
        <v>3.7688299999999999</v>
      </c>
      <c r="J46" s="38"/>
      <c r="L46" s="242"/>
      <c r="M46" s="38"/>
      <c r="N46" s="38"/>
      <c r="S46" t="s">
        <v>702</v>
      </c>
    </row>
    <row r="47" spans="2:25" ht="16" customHeight="1">
      <c r="B47" s="244"/>
      <c r="C47" s="245"/>
      <c r="D47" s="245"/>
      <c r="E47" s="245"/>
      <c r="F47" s="246" t="str">
        <f>SEC_Comm!$D$35</f>
        <v>AGR_N2O</v>
      </c>
      <c r="G47" s="245"/>
      <c r="H47" s="160"/>
      <c r="I47" s="245"/>
      <c r="J47" s="245"/>
      <c r="K47" s="160"/>
      <c r="L47" s="247"/>
      <c r="M47" s="288">
        <v>2.4316666669999998E-3</v>
      </c>
      <c r="N47" s="288">
        <v>2.4316666669999998E-3</v>
      </c>
    </row>
    <row r="48" spans="2:25" ht="16" customHeight="1">
      <c r="B48" s="236" t="str">
        <f>SEC_Processes!D58</f>
        <v>AGR_LAND_CROP_TRITICALE</v>
      </c>
      <c r="C48" s="237" t="str">
        <f>SEC_Processes!E58</f>
        <v>AGR_LAND_CROP_TRITICALE</v>
      </c>
      <c r="D48" s="238"/>
      <c r="E48" s="238"/>
      <c r="F48" s="248"/>
      <c r="G48" s="237">
        <f>1144144/1000</f>
        <v>1144.144</v>
      </c>
      <c r="H48" s="238"/>
      <c r="I48" s="248"/>
      <c r="J48" s="237">
        <v>1</v>
      </c>
      <c r="K48" s="238"/>
      <c r="L48" s="239">
        <v>1</v>
      </c>
      <c r="M48" s="238"/>
      <c r="N48" s="238"/>
    </row>
    <row r="49" spans="2:21" ht="16" customHeight="1">
      <c r="B49" s="240"/>
      <c r="C49" s="38"/>
      <c r="D49" s="249" t="str">
        <f>SEC_Comm!$D$64</f>
        <v>AGR_LAND</v>
      </c>
      <c r="F49" s="38"/>
      <c r="G49" s="38"/>
      <c r="H49" s="241">
        <v>1</v>
      </c>
      <c r="I49" s="38"/>
      <c r="J49" s="38"/>
      <c r="L49" s="242"/>
      <c r="M49" s="38"/>
      <c r="N49" s="38"/>
    </row>
    <row r="50" spans="2:21" ht="16" customHeight="1">
      <c r="B50" s="240"/>
      <c r="C50" s="38"/>
      <c r="D50" s="38"/>
      <c r="E50" s="251" t="str">
        <f>SEC_Comm!$D$81</f>
        <v>AGR_DEM_CROP_TRITICALE</v>
      </c>
      <c r="F50" s="38"/>
      <c r="G50" s="38"/>
      <c r="I50" s="38"/>
      <c r="J50" s="38"/>
      <c r="K50" s="243">
        <f>45.4/10</f>
        <v>4.54</v>
      </c>
      <c r="L50" s="242"/>
      <c r="M50" s="38"/>
      <c r="N50" s="38"/>
    </row>
    <row r="51" spans="2:21" ht="16" customHeight="1">
      <c r="B51" s="240"/>
      <c r="C51" s="38"/>
      <c r="D51" s="38"/>
      <c r="E51" s="235" t="str">
        <f>SEC_Comm!D52</f>
        <v>AGR_RESID_CROP_TRITICALE</v>
      </c>
      <c r="F51" s="38"/>
      <c r="G51" s="38"/>
      <c r="I51" s="167">
        <v>3.5828000000000002</v>
      </c>
      <c r="J51" s="38"/>
      <c r="L51" s="242"/>
      <c r="M51" s="38"/>
      <c r="N51" s="38"/>
      <c r="T51" t="s">
        <v>680</v>
      </c>
      <c r="U51" s="279" t="s">
        <v>679</v>
      </c>
    </row>
    <row r="52" spans="2:21">
      <c r="B52" s="252"/>
      <c r="C52" s="160"/>
      <c r="D52" s="160"/>
      <c r="E52" s="160"/>
      <c r="F52" s="246" t="str">
        <f>SEC_Comm!$D$35</f>
        <v>AGR_N2O</v>
      </c>
      <c r="G52" s="160"/>
      <c r="H52" s="160"/>
      <c r="I52" s="160"/>
      <c r="J52" s="160"/>
      <c r="K52" s="160"/>
      <c r="L52" s="247"/>
      <c r="M52" s="246">
        <v>4.4999999999999997E-3</v>
      </c>
      <c r="N52" s="246">
        <v>4.4999999999999997E-3</v>
      </c>
      <c r="T52" t="s">
        <v>682</v>
      </c>
      <c r="U52" s="279" t="s">
        <v>683</v>
      </c>
    </row>
    <row r="53" spans="2:21" ht="16" customHeight="1">
      <c r="B53" s="236" t="str">
        <f>SEC_Processes!D59</f>
        <v>AGR_LAND_CROP_OATS</v>
      </c>
      <c r="C53" s="237" t="str">
        <f>SEC_Processes!E59</f>
        <v>AGR_LAND_CROP_OATS</v>
      </c>
      <c r="D53" s="238"/>
      <c r="E53" s="238"/>
      <c r="F53" s="248"/>
      <c r="G53" s="237">
        <f>497687/1000</f>
        <v>497.68700000000001</v>
      </c>
      <c r="H53" s="238"/>
      <c r="I53" s="248"/>
      <c r="J53" s="237">
        <v>1</v>
      </c>
      <c r="K53" s="238"/>
      <c r="L53" s="239">
        <v>1</v>
      </c>
      <c r="M53" s="238"/>
      <c r="N53" s="238"/>
    </row>
    <row r="54" spans="2:21" ht="16" customHeight="1">
      <c r="B54" s="240"/>
      <c r="C54" s="38"/>
      <c r="D54" s="249" t="str">
        <f>SEC_Comm!$D$64</f>
        <v>AGR_LAND</v>
      </c>
      <c r="F54" s="38"/>
      <c r="G54" s="38"/>
      <c r="H54" s="241">
        <v>1</v>
      </c>
      <c r="I54" s="38"/>
      <c r="J54" s="38"/>
      <c r="L54" s="242"/>
      <c r="M54" s="38"/>
      <c r="N54" s="38"/>
      <c r="T54" s="279"/>
    </row>
    <row r="55" spans="2:21" ht="16" customHeight="1">
      <c r="B55" s="240"/>
      <c r="C55" s="38"/>
      <c r="D55" s="38"/>
      <c r="E55" s="251" t="str">
        <f>SEC_Comm!$D$82</f>
        <v>AGR_DEM_CROP_OATS</v>
      </c>
      <c r="F55" s="38"/>
      <c r="G55" s="38"/>
      <c r="I55" s="38"/>
      <c r="J55" s="38"/>
      <c r="K55" s="243">
        <f>30.8/10</f>
        <v>3.08</v>
      </c>
      <c r="L55" s="242"/>
      <c r="M55" s="38"/>
      <c r="N55" s="38"/>
      <c r="T55" s="279"/>
    </row>
    <row r="56" spans="2:21" ht="16" customHeight="1">
      <c r="B56" s="240"/>
      <c r="C56" s="38"/>
      <c r="D56" s="38"/>
      <c r="E56" s="235" t="str">
        <f>SEC_Comm!D53</f>
        <v>AGR_RESID_CROP_OATS</v>
      </c>
      <c r="F56" s="38"/>
      <c r="G56" s="38"/>
      <c r="I56" s="167">
        <v>2.8249</v>
      </c>
      <c r="J56" s="38"/>
      <c r="L56" s="242"/>
      <c r="M56" s="38"/>
      <c r="N56" s="38"/>
      <c r="T56" t="s">
        <v>684</v>
      </c>
    </row>
    <row r="57" spans="2:21" ht="16" customHeight="1">
      <c r="B57" s="244"/>
      <c r="C57" s="245"/>
      <c r="D57" s="245"/>
      <c r="E57" s="245"/>
      <c r="F57" s="246" t="str">
        <f>SEC_Comm!$D$35</f>
        <v>AGR_N2O</v>
      </c>
      <c r="G57" s="245"/>
      <c r="H57" s="160"/>
      <c r="I57" s="245"/>
      <c r="J57" s="245"/>
      <c r="K57" s="160"/>
      <c r="L57" s="247"/>
      <c r="M57" s="246">
        <v>1.9599999999999999E-3</v>
      </c>
      <c r="N57" s="246">
        <v>1.9599999999999999E-3</v>
      </c>
    </row>
    <row r="58" spans="2:21" ht="16" customHeight="1">
      <c r="B58" s="256" t="str">
        <f>SEC_Processes!D60</f>
        <v>AGR_LAND_CROP_RYE</v>
      </c>
      <c r="C58" s="237" t="str">
        <f>SEC_Processes!E60</f>
        <v>AGR_LAND_CROP_RYE</v>
      </c>
      <c r="D58" s="238"/>
      <c r="E58" s="238"/>
      <c r="F58" s="248"/>
      <c r="G58" s="237">
        <f>727993/1000</f>
        <v>727.99300000000005</v>
      </c>
      <c r="H58" s="238"/>
      <c r="I58" s="248"/>
      <c r="J58" s="237">
        <v>1</v>
      </c>
      <c r="K58" s="238"/>
      <c r="L58" s="239">
        <v>1</v>
      </c>
      <c r="M58" s="238"/>
      <c r="N58" s="238"/>
    </row>
    <row r="59" spans="2:21" ht="16" customHeight="1">
      <c r="B59" s="240"/>
      <c r="C59" s="38"/>
      <c r="D59" s="249" t="str">
        <f>SEC_Comm!$D$64</f>
        <v>AGR_LAND</v>
      </c>
      <c r="F59" s="38"/>
      <c r="G59" s="38"/>
      <c r="H59" s="241">
        <v>1</v>
      </c>
      <c r="I59" s="38"/>
      <c r="J59" s="38"/>
      <c r="L59" s="242"/>
      <c r="M59" s="38"/>
      <c r="N59" s="38"/>
    </row>
    <row r="60" spans="2:21" ht="16" customHeight="1">
      <c r="B60" s="240"/>
      <c r="C60" s="38"/>
      <c r="D60" s="38"/>
      <c r="E60" s="251" t="str">
        <f>SEC_Comm!$D$83</f>
        <v>AGR_DEM_CROP_RYE</v>
      </c>
      <c r="F60" s="38"/>
      <c r="G60" s="38"/>
      <c r="I60" s="38"/>
      <c r="J60" s="38"/>
      <c r="K60" s="243">
        <f>35/10</f>
        <v>3.5</v>
      </c>
      <c r="L60" s="242"/>
      <c r="M60" s="38"/>
      <c r="N60" s="38"/>
    </row>
    <row r="61" spans="2:21" ht="16" customHeight="1">
      <c r="B61" s="240"/>
      <c r="C61" s="38"/>
      <c r="D61" s="38"/>
      <c r="E61" s="235" t="str">
        <f>SEC_Comm!D54</f>
        <v>AGR_RESID_CROP_RYE</v>
      </c>
      <c r="F61" s="38"/>
      <c r="G61" s="38"/>
      <c r="I61" s="167">
        <v>3.2383000000000002</v>
      </c>
      <c r="J61" s="38"/>
      <c r="L61" s="242"/>
      <c r="M61" s="38"/>
      <c r="N61" s="38"/>
    </row>
    <row r="62" spans="2:21">
      <c r="B62" s="252"/>
      <c r="C62" s="160"/>
      <c r="D62" s="160"/>
      <c r="E62" s="160"/>
      <c r="F62" s="246" t="str">
        <f>SEC_Comm!$D$35</f>
        <v>AGR_N2O</v>
      </c>
      <c r="G62" s="160"/>
      <c r="H62" s="160"/>
      <c r="I62" s="160"/>
      <c r="J62" s="160"/>
      <c r="K62" s="160"/>
      <c r="L62" s="247"/>
      <c r="M62" s="246">
        <v>2.96E-3</v>
      </c>
      <c r="N62" s="246">
        <v>2.96E-3</v>
      </c>
      <c r="S62" s="279" t="s">
        <v>697</v>
      </c>
    </row>
    <row r="63" spans="2:21" ht="16" customHeight="1">
      <c r="B63" s="236" t="str">
        <f>SEC_Processes!D61</f>
        <v>AGR_LAND_CROP_MILL-BUCK</v>
      </c>
      <c r="C63" s="237" t="str">
        <f>SEC_Processes!E61</f>
        <v>AGR_LAND_CROP_MILL-BUCK</v>
      </c>
      <c r="D63" s="238"/>
      <c r="E63" s="238"/>
      <c r="F63" s="248"/>
      <c r="G63" s="237">
        <f>(17947+104018)/1000</f>
        <v>121.965</v>
      </c>
      <c r="H63" s="238"/>
      <c r="I63" s="248"/>
      <c r="J63" s="237">
        <v>1</v>
      </c>
      <c r="K63" s="238"/>
      <c r="L63" s="239">
        <v>1</v>
      </c>
      <c r="M63" s="238"/>
      <c r="N63" s="238"/>
    </row>
    <row r="64" spans="2:21" ht="16" customHeight="1">
      <c r="B64" s="240"/>
      <c r="C64" s="38"/>
      <c r="D64" s="249" t="str">
        <f>SEC_Comm!$D$64</f>
        <v>AGR_LAND</v>
      </c>
      <c r="F64" s="38"/>
      <c r="G64" s="38"/>
      <c r="H64" s="241">
        <v>1</v>
      </c>
      <c r="I64" s="38"/>
      <c r="J64" s="38"/>
      <c r="L64" s="242"/>
      <c r="M64" s="38"/>
      <c r="N64" s="38"/>
    </row>
    <row r="65" spans="2:19" ht="16" customHeight="1">
      <c r="B65" s="240"/>
      <c r="C65" s="38"/>
      <c r="D65" s="38"/>
      <c r="E65" s="251" t="str">
        <f>SEC_Comm!$D$84</f>
        <v>AGR_DEM_CROP_MILL-BUCK</v>
      </c>
      <c r="F65" s="38"/>
      <c r="G65" s="38"/>
      <c r="I65" s="38"/>
      <c r="J65" s="38"/>
      <c r="K65" s="243">
        <f>(14.8+21.1)/10</f>
        <v>3.5900000000000007</v>
      </c>
      <c r="L65" s="242"/>
      <c r="M65" s="38"/>
      <c r="N65" s="38"/>
      <c r="S65" s="279" t="s">
        <v>699</v>
      </c>
    </row>
    <row r="66" spans="2:19" ht="16" customHeight="1">
      <c r="B66" s="240"/>
      <c r="C66" s="38"/>
      <c r="D66" s="38"/>
      <c r="E66" s="235" t="str">
        <f>SEC_Comm!D55</f>
        <v>AGR_RESID_CROP_MILL-BUCK</v>
      </c>
      <c r="F66" s="38"/>
      <c r="G66" s="38"/>
      <c r="I66" s="167">
        <v>1.7914000000000001</v>
      </c>
      <c r="J66" s="38"/>
      <c r="L66" s="242"/>
      <c r="M66" s="38"/>
      <c r="N66" s="38"/>
    </row>
    <row r="67" spans="2:19" ht="16" customHeight="1">
      <c r="B67" s="244"/>
      <c r="C67" s="245"/>
      <c r="D67" s="245"/>
      <c r="E67" s="245"/>
      <c r="F67" s="246" t="str">
        <f>SEC_Comm!$D$35</f>
        <v>AGR_N2O</v>
      </c>
      <c r="G67" s="245"/>
      <c r="H67" s="160"/>
      <c r="I67" s="245"/>
      <c r="J67" s="245"/>
      <c r="K67" s="160"/>
      <c r="L67" s="247"/>
      <c r="M67" s="246">
        <v>4.6799999999999999E-5</v>
      </c>
      <c r="N67" s="246">
        <v>4.6799999999999999E-5</v>
      </c>
    </row>
    <row r="68" spans="2:19" ht="16" customHeight="1">
      <c r="B68" s="256" t="str">
        <f>SEC_Processes!D62</f>
        <v>AGR_LAND_CROP_PULS-FEED</v>
      </c>
      <c r="C68" s="237" t="str">
        <f>SEC_Processes!E62</f>
        <v>AGR_LAND_CROP_PULS-FEED</v>
      </c>
      <c r="D68" s="238"/>
      <c r="E68" s="238"/>
      <c r="F68" s="248"/>
      <c r="G68" s="237">
        <f>31851/1000</f>
        <v>31.850999999999999</v>
      </c>
      <c r="H68" s="238"/>
      <c r="I68" s="248"/>
      <c r="J68" s="237">
        <v>1</v>
      </c>
      <c r="K68" s="238"/>
      <c r="L68" s="239">
        <v>1</v>
      </c>
      <c r="M68" s="238"/>
      <c r="N68" s="238"/>
      <c r="S68" s="38"/>
    </row>
    <row r="69" spans="2:19" ht="16" customHeight="1">
      <c r="B69" s="240"/>
      <c r="C69" s="38"/>
      <c r="D69" s="249" t="str">
        <f>SEC_Comm!$D$64</f>
        <v>AGR_LAND</v>
      </c>
      <c r="F69" s="38"/>
      <c r="G69" s="38"/>
      <c r="H69" s="241">
        <v>1</v>
      </c>
      <c r="I69" s="38"/>
      <c r="J69" s="38"/>
      <c r="L69" s="242"/>
      <c r="M69" s="38"/>
      <c r="N69" s="38"/>
    </row>
    <row r="70" spans="2:19" ht="16" customHeight="1">
      <c r="B70" s="240"/>
      <c r="C70" s="38"/>
      <c r="D70" s="38"/>
      <c r="E70" s="251" t="str">
        <f>SEC_Comm!$D$85</f>
        <v>AGR_DEM_CROP_PULS-FEED</v>
      </c>
      <c r="F70" s="38"/>
      <c r="G70" s="38"/>
      <c r="I70" s="38"/>
      <c r="J70" s="38"/>
      <c r="K70" s="243">
        <f>186/10</f>
        <v>18.600000000000001</v>
      </c>
      <c r="L70" s="242"/>
      <c r="M70" s="38"/>
      <c r="N70" s="38"/>
    </row>
    <row r="71" spans="2:19" ht="16" customHeight="1">
      <c r="B71" s="240"/>
      <c r="C71" s="38"/>
      <c r="D71" s="38"/>
      <c r="E71" s="235" t="str">
        <f>SEC_Comm!D56</f>
        <v>AGR_RESID_CROP_PULS-FEED</v>
      </c>
      <c r="F71" s="38"/>
      <c r="G71" s="38"/>
      <c r="I71" s="167">
        <v>12.8154</v>
      </c>
      <c r="J71" s="38"/>
      <c r="L71" s="242"/>
      <c r="M71" s="38"/>
      <c r="N71" s="38"/>
    </row>
    <row r="72" spans="2:19" ht="16" customHeight="1">
      <c r="B72" s="244"/>
      <c r="C72" s="245"/>
      <c r="D72" s="245"/>
      <c r="E72" s="245"/>
      <c r="F72" s="246" t="str">
        <f>SEC_Comm!$D$35</f>
        <v>AGR_N2O</v>
      </c>
      <c r="G72" s="245"/>
      <c r="H72" s="160"/>
      <c r="I72" s="245"/>
      <c r="J72" s="245"/>
      <c r="K72" s="160"/>
      <c r="L72" s="247"/>
      <c r="M72" s="246">
        <v>1.5900000000000001E-3</v>
      </c>
      <c r="N72" s="246">
        <v>1.5900000000000001E-3</v>
      </c>
    </row>
    <row r="73" spans="2:19" ht="16" customHeight="1">
      <c r="B73" s="256" t="str">
        <f>SEC_Processes!D63</f>
        <v>AGR_LAND_CROP_PULS-EDIB</v>
      </c>
      <c r="C73" s="237" t="str">
        <f>SEC_Processes!E63</f>
        <v>AGR_LAND_CROP_PULS-EDIB</v>
      </c>
      <c r="D73" s="238"/>
      <c r="E73" s="238"/>
      <c r="F73" s="248"/>
      <c r="G73" s="237">
        <f>149055/1000</f>
        <v>149.05500000000001</v>
      </c>
      <c r="H73" s="238"/>
      <c r="I73" s="248"/>
      <c r="J73" s="237">
        <v>1</v>
      </c>
      <c r="K73" s="238"/>
      <c r="L73" s="239">
        <v>1</v>
      </c>
      <c r="M73" s="238"/>
      <c r="N73" s="238"/>
    </row>
    <row r="74" spans="2:19" ht="16" customHeight="1">
      <c r="B74" s="240"/>
      <c r="C74" s="38"/>
      <c r="D74" s="249" t="str">
        <f>SEC_Comm!$D$64</f>
        <v>AGR_LAND</v>
      </c>
      <c r="F74" s="38"/>
      <c r="G74" s="38"/>
      <c r="H74" s="241">
        <v>1</v>
      </c>
      <c r="I74" s="38"/>
      <c r="J74" s="38"/>
      <c r="L74" s="242"/>
      <c r="M74" s="38"/>
      <c r="N74" s="38"/>
    </row>
    <row r="75" spans="2:19" ht="16" customHeight="1">
      <c r="B75" s="240"/>
      <c r="C75" s="38"/>
      <c r="D75" s="38"/>
      <c r="E75" s="251" t="str">
        <f>SEC_Comm!$D$86</f>
        <v>AGR_DEM_CROP_PULS-EDIB</v>
      </c>
      <c r="F75" s="38"/>
      <c r="G75" s="38"/>
      <c r="I75" s="38"/>
      <c r="J75" s="38"/>
      <c r="K75" s="243">
        <f>24.4/10</f>
        <v>2.44</v>
      </c>
      <c r="L75" s="242"/>
      <c r="M75" s="38"/>
      <c r="N75" s="38"/>
    </row>
    <row r="76" spans="2:19" ht="16" customHeight="1">
      <c r="B76" s="240"/>
      <c r="C76" s="38"/>
      <c r="D76" s="38"/>
      <c r="E76" s="235" t="str">
        <f>SEC_Comm!D57</f>
        <v>AGR_RESID_CROP_PULS-EDIB</v>
      </c>
      <c r="F76" s="38"/>
      <c r="G76" s="38"/>
      <c r="I76" s="167">
        <v>1.68116</v>
      </c>
      <c r="J76" s="38"/>
      <c r="L76" s="242"/>
      <c r="M76" s="38"/>
      <c r="N76" s="38"/>
    </row>
    <row r="77" spans="2:19" ht="16" customHeight="1">
      <c r="B77" s="244"/>
      <c r="C77" s="245"/>
      <c r="D77" s="245"/>
      <c r="E77" s="245"/>
      <c r="F77" s="246" t="str">
        <f>SEC_Comm!$D$35</f>
        <v>AGR_N2O</v>
      </c>
      <c r="G77" s="245"/>
      <c r="H77" s="160"/>
      <c r="I77" s="245"/>
      <c r="J77" s="245"/>
      <c r="K77" s="160"/>
      <c r="L77" s="247"/>
      <c r="M77" s="246">
        <v>1.5900000000000001E-3</v>
      </c>
      <c r="N77" s="246">
        <v>1.5900000000000001E-3</v>
      </c>
    </row>
    <row r="78" spans="2:19" ht="16" customHeight="1">
      <c r="B78" s="256" t="str">
        <f>SEC_Processes!D64</f>
        <v>AGR_LAND_CROP_POTATO</v>
      </c>
      <c r="C78" s="237" t="str">
        <f>SEC_Processes!E64</f>
        <v>AGR_LAND_CROP_POTATO</v>
      </c>
      <c r="D78" s="238"/>
      <c r="E78" s="238"/>
      <c r="F78" s="248"/>
      <c r="G78" s="237">
        <f>188583/1000</f>
        <v>188.583</v>
      </c>
      <c r="H78" s="238"/>
      <c r="I78" s="248"/>
      <c r="J78" s="237">
        <v>1</v>
      </c>
      <c r="K78" s="238"/>
      <c r="L78" s="239">
        <v>1</v>
      </c>
      <c r="M78" s="238"/>
      <c r="N78" s="238"/>
    </row>
    <row r="79" spans="2:19" ht="16" customHeight="1">
      <c r="B79" s="240"/>
      <c r="C79" s="38"/>
      <c r="D79" s="249" t="str">
        <f>SEC_Comm!$D$64</f>
        <v>AGR_LAND</v>
      </c>
      <c r="F79" s="38"/>
      <c r="G79" s="38"/>
      <c r="H79" s="241">
        <v>1</v>
      </c>
      <c r="I79" s="38"/>
      <c r="J79" s="38"/>
      <c r="L79" s="242"/>
      <c r="M79" s="38"/>
      <c r="N79" s="38"/>
    </row>
    <row r="80" spans="2:19" ht="16" customHeight="1">
      <c r="B80" s="240"/>
      <c r="C80" s="38"/>
      <c r="D80" s="38"/>
      <c r="E80" s="251" t="str">
        <f>SEC_Comm!$D$87</f>
        <v>AGR_DEM_CROP_POTATO</v>
      </c>
      <c r="F80" s="38"/>
      <c r="G80" s="38"/>
      <c r="I80" s="38"/>
      <c r="J80" s="38"/>
      <c r="K80" s="243">
        <f>296/10</f>
        <v>29.6</v>
      </c>
      <c r="L80" s="242"/>
      <c r="M80" s="38"/>
      <c r="N80" s="38"/>
    </row>
    <row r="81" spans="2:20" ht="16" customHeight="1">
      <c r="B81" s="240"/>
      <c r="C81" s="38"/>
      <c r="D81" s="38"/>
      <c r="E81" s="235" t="str">
        <f>SEC_Comm!D58</f>
        <v>AGR_RESID_CROP_POTATO</v>
      </c>
      <c r="F81" s="38"/>
      <c r="G81" s="38"/>
      <c r="I81" s="167">
        <v>1.5158</v>
      </c>
      <c r="J81" s="38"/>
      <c r="L81" s="242"/>
      <c r="M81" s="38"/>
      <c r="N81" s="38"/>
    </row>
    <row r="82" spans="2:20" ht="16" customHeight="1">
      <c r="B82" s="244"/>
      <c r="C82" s="245"/>
      <c r="D82" s="245"/>
      <c r="E82" s="245"/>
      <c r="F82" s="246" t="str">
        <f>SEC_Comm!$D$35</f>
        <v>AGR_N2O</v>
      </c>
      <c r="G82" s="245"/>
      <c r="H82" s="160"/>
      <c r="I82" s="245"/>
      <c r="J82" s="245"/>
      <c r="K82" s="160"/>
      <c r="L82" s="247"/>
      <c r="M82" s="246">
        <v>8.0999999999999996E-4</v>
      </c>
      <c r="N82" s="246">
        <v>8.0999999999999996E-4</v>
      </c>
    </row>
    <row r="83" spans="2:20" ht="16" customHeight="1">
      <c r="B83" s="256" t="str">
        <f>SEC_Processes!D65</f>
        <v>AGR_LAND_CROP_STR-HAY</v>
      </c>
      <c r="C83" s="237" t="str">
        <f>SEC_Processes!E65</f>
        <v>AGR_LAND_CROP_STR-HAY</v>
      </c>
      <c r="D83" s="238"/>
      <c r="E83" s="238"/>
      <c r="F83" s="248"/>
      <c r="G83" s="237">
        <f>2259708/1000</f>
        <v>2259.7080000000001</v>
      </c>
      <c r="H83" s="238"/>
      <c r="I83" s="248"/>
      <c r="J83" s="237">
        <v>1</v>
      </c>
      <c r="K83" s="238"/>
      <c r="L83" s="239">
        <v>1</v>
      </c>
      <c r="M83" s="238"/>
      <c r="N83" s="238"/>
    </row>
    <row r="84" spans="2:20" ht="16" customHeight="1">
      <c r="B84" s="240"/>
      <c r="C84" s="38"/>
      <c r="D84" s="249" t="str">
        <f>SEC_Comm!$D$64</f>
        <v>AGR_LAND</v>
      </c>
      <c r="F84" s="38"/>
      <c r="G84" s="38"/>
      <c r="H84" s="241">
        <v>1</v>
      </c>
      <c r="I84" s="38"/>
      <c r="J84" s="38"/>
      <c r="L84" s="242"/>
      <c r="M84" s="38"/>
      <c r="N84" s="38"/>
      <c r="S84" t="s">
        <v>694</v>
      </c>
    </row>
    <row r="85" spans="2:20" ht="16" customHeight="1">
      <c r="B85" s="240"/>
      <c r="C85" s="38"/>
      <c r="D85" s="38"/>
      <c r="E85" s="251" t="str">
        <f>SEC_Comm!$D$88</f>
        <v>AGR_DEM_CROP_STR-HAY</v>
      </c>
      <c r="F85" s="38"/>
      <c r="G85" s="38"/>
      <c r="I85" s="38"/>
      <c r="J85" s="38"/>
      <c r="K85" s="243">
        <f>58.8/10</f>
        <v>5.88</v>
      </c>
      <c r="L85" s="242"/>
      <c r="M85" s="38"/>
      <c r="N85" s="38"/>
    </row>
    <row r="86" spans="2:20" ht="16" customHeight="1">
      <c r="B86" s="240"/>
      <c r="C86" s="38"/>
      <c r="D86" s="38"/>
      <c r="E86" s="235" t="str">
        <f>SEC_Comm!D59</f>
        <v>AGR_RESID_CROP_STR-HAY</v>
      </c>
      <c r="F86" s="38"/>
      <c r="G86" s="38"/>
      <c r="I86" s="167">
        <v>0.81301999999999996</v>
      </c>
      <c r="J86" s="38"/>
      <c r="L86" s="242"/>
      <c r="M86" s="38"/>
      <c r="N86" s="38"/>
      <c r="S86" s="287"/>
    </row>
    <row r="87" spans="2:20" ht="16" customHeight="1">
      <c r="B87" s="244"/>
      <c r="C87" s="245"/>
      <c r="D87" s="245"/>
      <c r="E87" s="245"/>
      <c r="F87" s="246" t="str">
        <f>SEC_Comm!$D$35</f>
        <v>AGR_N2O</v>
      </c>
      <c r="G87" s="245"/>
      <c r="H87" s="160"/>
      <c r="I87" s="245"/>
      <c r="J87" s="245"/>
      <c r="K87" s="160"/>
      <c r="L87" s="247"/>
      <c r="M87" s="246">
        <v>1.33E-3</v>
      </c>
      <c r="N87" s="246">
        <v>1.33E-3</v>
      </c>
    </row>
    <row r="88" spans="2:20" ht="16" customHeight="1">
      <c r="B88" s="256" t="str">
        <f>SEC_Processes!D66</f>
        <v>AGR_LAND_CROP_OIL</v>
      </c>
      <c r="C88" s="237" t="str">
        <f>SEC_Processes!E66</f>
        <v>AGR_LAND_CROP_OIL</v>
      </c>
      <c r="D88" s="238"/>
      <c r="E88" s="238"/>
      <c r="F88" s="248"/>
      <c r="G88" s="237">
        <f>1189955/1000</f>
        <v>1189.9549999999999</v>
      </c>
      <c r="H88" s="238"/>
      <c r="I88" s="248"/>
      <c r="J88" s="237">
        <v>1</v>
      </c>
      <c r="K88" s="238"/>
      <c r="L88" s="239">
        <v>1</v>
      </c>
      <c r="M88" s="238"/>
      <c r="N88" s="238"/>
    </row>
    <row r="89" spans="2:20" ht="16" customHeight="1">
      <c r="B89" s="240"/>
      <c r="C89" s="38"/>
      <c r="D89" s="249" t="str">
        <f>SEC_Comm!$D$64</f>
        <v>AGR_LAND</v>
      </c>
      <c r="F89" s="38"/>
      <c r="G89" s="38"/>
      <c r="H89" s="241">
        <v>1</v>
      </c>
      <c r="I89" s="38"/>
      <c r="J89" s="38"/>
      <c r="L89" s="242"/>
      <c r="M89" s="38"/>
      <c r="N89" s="38"/>
      <c r="S89" s="285"/>
      <c r="T89" s="286"/>
    </row>
    <row r="90" spans="2:20" ht="16" customHeight="1">
      <c r="B90" s="240"/>
      <c r="C90" s="38"/>
      <c r="D90" s="38"/>
      <c r="E90" s="251" t="str">
        <f>SEC_Comm!$D$89</f>
        <v>AGR_DEM_CROP_OIL</v>
      </c>
      <c r="F90" s="38"/>
      <c r="G90" s="38"/>
      <c r="I90" s="38"/>
      <c r="J90" s="38"/>
      <c r="K90" s="243">
        <f>33/10</f>
        <v>3.3</v>
      </c>
      <c r="L90" s="242"/>
      <c r="M90" s="38"/>
      <c r="N90" s="38"/>
    </row>
    <row r="91" spans="2:20" ht="16" customHeight="1">
      <c r="B91" s="240"/>
      <c r="C91" s="38"/>
      <c r="D91" s="38"/>
      <c r="E91" s="235" t="str">
        <f>SEC_Comm!D60</f>
        <v>AGR_RESID_CROP_OIL</v>
      </c>
      <c r="F91" s="38"/>
      <c r="G91" s="38"/>
      <c r="I91" s="167">
        <v>2.6181999999999999</v>
      </c>
      <c r="J91" s="38"/>
      <c r="L91" s="242"/>
      <c r="M91" s="38"/>
      <c r="N91" s="38"/>
      <c r="S91" t="s">
        <v>698</v>
      </c>
    </row>
    <row r="92" spans="2:20" ht="16" customHeight="1">
      <c r="B92" s="244"/>
      <c r="C92" s="245"/>
      <c r="D92" s="245"/>
      <c r="E92" s="245"/>
      <c r="F92" s="246" t="str">
        <f>SEC_Comm!$D$35</f>
        <v>AGR_N2O</v>
      </c>
      <c r="G92" s="245"/>
      <c r="H92" s="160"/>
      <c r="I92" s="245"/>
      <c r="J92" s="245"/>
      <c r="K92" s="160"/>
      <c r="L92" s="247"/>
      <c r="M92" s="246">
        <v>1.4E-3</v>
      </c>
      <c r="N92" s="246">
        <v>1.4E-3</v>
      </c>
    </row>
    <row r="93" spans="2:20" ht="16" customHeight="1">
      <c r="B93" s="256" t="str">
        <f>SEC_Processes!D67</f>
        <v>AGR_LAND_CROP_FRUIT</v>
      </c>
      <c r="C93" s="237" t="str">
        <f>SEC_Processes!E67</f>
        <v>AGR_LAND_CROP_FRUIT</v>
      </c>
      <c r="D93" s="238"/>
      <c r="E93" s="238"/>
      <c r="F93" s="248"/>
      <c r="G93" s="237">
        <f>348362/1000</f>
        <v>348.36200000000002</v>
      </c>
      <c r="H93" s="238"/>
      <c r="I93" s="248"/>
      <c r="J93" s="237">
        <v>1</v>
      </c>
      <c r="K93" s="238"/>
      <c r="L93" s="239">
        <v>1</v>
      </c>
      <c r="M93" s="238"/>
      <c r="N93" s="238"/>
    </row>
    <row r="94" spans="2:20" ht="16" customHeight="1">
      <c r="B94" s="240"/>
      <c r="C94" s="38"/>
      <c r="D94" s="249" t="str">
        <f>SEC_Comm!$D$64</f>
        <v>AGR_LAND</v>
      </c>
      <c r="F94" s="38"/>
      <c r="G94" s="38"/>
      <c r="H94" s="241">
        <v>1</v>
      </c>
      <c r="I94" s="38"/>
      <c r="J94" s="38"/>
      <c r="L94" s="242"/>
      <c r="M94" s="38"/>
      <c r="N94" s="38"/>
      <c r="S94" s="279" t="s">
        <v>700</v>
      </c>
    </row>
    <row r="95" spans="2:20" ht="16" customHeight="1">
      <c r="B95" s="240"/>
      <c r="C95" s="38"/>
      <c r="D95" s="38"/>
      <c r="E95" s="251" t="str">
        <f>SEC_Comm!$D$90</f>
        <v>AGR_DEM_CROP_FRUIT</v>
      </c>
      <c r="F95" s="38"/>
      <c r="G95" s="38"/>
      <c r="I95" s="38"/>
      <c r="J95" s="38"/>
      <c r="K95" s="243">
        <f>SUM(AD98:AD109)/10</f>
        <v>12.744892126962615</v>
      </c>
      <c r="L95" s="242"/>
      <c r="M95" s="38"/>
      <c r="N95" s="38"/>
      <c r="S95" t="s">
        <v>701</v>
      </c>
    </row>
    <row r="96" spans="2:20" ht="16" customHeight="1">
      <c r="B96" s="240"/>
      <c r="C96" s="38"/>
      <c r="D96" s="38"/>
      <c r="E96" s="235" t="str">
        <f>SEC_Comm!D61</f>
        <v>AGR_RESID_CROP_FRUIT</v>
      </c>
      <c r="F96" s="38"/>
      <c r="G96" s="38"/>
      <c r="I96" s="167">
        <v>3.3967700000000001</v>
      </c>
      <c r="J96" s="38"/>
      <c r="L96" s="242"/>
      <c r="M96" s="38"/>
      <c r="N96" s="38"/>
      <c r="S96">
        <f>0.8</f>
        <v>0.8</v>
      </c>
    </row>
    <row r="97" spans="2:30" ht="16" customHeight="1">
      <c r="B97" s="244"/>
      <c r="C97" s="245"/>
      <c r="D97" s="245"/>
      <c r="E97" s="245"/>
      <c r="F97" s="246" t="str">
        <f>SEC_Comm!$D$35</f>
        <v>AGR_N2O</v>
      </c>
      <c r="G97" s="245"/>
      <c r="H97" s="160"/>
      <c r="I97" s="245"/>
      <c r="J97" s="245"/>
      <c r="K97" s="160"/>
      <c r="L97" s="247"/>
      <c r="M97" s="246">
        <v>1.3450000000000001E-3</v>
      </c>
      <c r="N97" s="246">
        <v>1.3450000000000001E-3</v>
      </c>
      <c r="U97" t="s">
        <v>676</v>
      </c>
      <c r="V97" t="s">
        <v>677</v>
      </c>
      <c r="W97" t="s">
        <v>678</v>
      </c>
    </row>
    <row r="98" spans="2:30" ht="16" customHeight="1">
      <c r="B98" s="256" t="str">
        <f>SEC_Processes!D68</f>
        <v>AGR_LAND_CROP_VEG</v>
      </c>
      <c r="C98" s="237" t="str">
        <f>SEC_Processes!E68</f>
        <v>AGR_LAND_CROP_VEG</v>
      </c>
      <c r="D98" s="238"/>
      <c r="E98" s="238"/>
      <c r="F98" s="248"/>
      <c r="G98" s="237">
        <f>149593/1000</f>
        <v>149.59299999999999</v>
      </c>
      <c r="H98" s="238"/>
      <c r="I98" s="248"/>
      <c r="J98" s="237">
        <v>1</v>
      </c>
      <c r="K98" s="238"/>
      <c r="L98" s="239">
        <v>1</v>
      </c>
      <c r="M98" s="238"/>
      <c r="N98" s="238"/>
      <c r="T98" t="s">
        <v>664</v>
      </c>
      <c r="U98" s="261">
        <v>13692</v>
      </c>
      <c r="V98" s="260">
        <v>459</v>
      </c>
      <c r="W98">
        <f t="shared" ref="W98:W108" si="1">V98/$V$112</f>
        <v>0.1462715105162524</v>
      </c>
      <c r="X98">
        <f>PRODUCT(V98:W98)</f>
        <v>67.138623326959845</v>
      </c>
      <c r="Z98" t="s">
        <v>652</v>
      </c>
      <c r="AA98" s="263">
        <v>150012</v>
      </c>
      <c r="AB98" s="264">
        <v>259.5</v>
      </c>
      <c r="AC98">
        <f t="shared" ref="AC98:AC109" si="2">AB98/$AB$111</f>
        <v>0.29312097594035919</v>
      </c>
      <c r="AD98">
        <f>PRODUCT(AB98:AC98)</f>
        <v>76.064893256523206</v>
      </c>
    </row>
    <row r="99" spans="2:30" ht="16" customHeight="1">
      <c r="B99" s="240"/>
      <c r="C99" s="38"/>
      <c r="D99" s="249" t="str">
        <f>SEC_Comm!$D$64</f>
        <v>AGR_LAND</v>
      </c>
      <c r="F99" s="38"/>
      <c r="G99" s="38"/>
      <c r="H99" s="241">
        <v>1</v>
      </c>
      <c r="I99" s="38"/>
      <c r="J99" s="38"/>
      <c r="L99" s="242"/>
      <c r="M99" s="38"/>
      <c r="N99" s="38"/>
      <c r="T99" t="s">
        <v>665</v>
      </c>
      <c r="U99" s="271">
        <v>4860</v>
      </c>
      <c r="V99" s="272">
        <v>261</v>
      </c>
      <c r="W99">
        <f t="shared" si="1"/>
        <v>8.3173996175908219E-2</v>
      </c>
      <c r="X99">
        <f t="shared" ref="X99:X108" si="3">PRODUCT(V99:W99)</f>
        <v>21.708413001912046</v>
      </c>
      <c r="Z99" t="s">
        <v>653</v>
      </c>
      <c r="AA99" s="263">
        <v>5587</v>
      </c>
      <c r="AB99" s="264">
        <v>141.4</v>
      </c>
      <c r="AC99">
        <f t="shared" si="2"/>
        <v>0.15971986897097029</v>
      </c>
      <c r="AD99">
        <f t="shared" ref="AD99:AD109" si="4">PRODUCT(AB99:AC99)</f>
        <v>22.5843894724952</v>
      </c>
    </row>
    <row r="100" spans="2:30" ht="16" customHeight="1">
      <c r="B100" s="240"/>
      <c r="C100" s="38"/>
      <c r="D100" s="38"/>
      <c r="E100" s="251" t="str">
        <f>SEC_Comm!$D$91</f>
        <v>AGR_DEM_CROP_VEG</v>
      </c>
      <c r="F100" s="38"/>
      <c r="G100" s="38"/>
      <c r="I100" s="38"/>
      <c r="J100" s="38"/>
      <c r="K100" s="243">
        <f>SUM(X98:X108)/10</f>
        <v>32.801593371574256</v>
      </c>
      <c r="L100" s="242"/>
      <c r="M100" s="38"/>
      <c r="N100" s="38"/>
      <c r="T100" t="s">
        <v>666</v>
      </c>
      <c r="U100" s="271">
        <v>22133</v>
      </c>
      <c r="V100" s="272">
        <v>286</v>
      </c>
      <c r="W100">
        <f t="shared" si="1"/>
        <v>9.1140854047163794E-2</v>
      </c>
      <c r="X100">
        <f t="shared" si="3"/>
        <v>26.066284257488846</v>
      </c>
      <c r="Z100" t="s">
        <v>654</v>
      </c>
      <c r="AA100" s="263">
        <v>16948</v>
      </c>
      <c r="AB100" s="264">
        <v>75</v>
      </c>
      <c r="AC100">
        <f t="shared" si="2"/>
        <v>8.4717045069467964E-2</v>
      </c>
      <c r="AD100">
        <f t="shared" si="4"/>
        <v>6.3537783802100973</v>
      </c>
    </row>
    <row r="101" spans="2:30" ht="16" customHeight="1">
      <c r="B101" s="240"/>
      <c r="C101" s="38"/>
      <c r="D101" s="38"/>
      <c r="E101" s="235" t="str">
        <f>SEC_Comm!D62</f>
        <v>AGR_RESID_CROP_VEG</v>
      </c>
      <c r="F101" s="38"/>
      <c r="G101" s="38"/>
      <c r="I101" s="167">
        <v>6.7866499999999998</v>
      </c>
      <c r="J101" s="38"/>
      <c r="L101" s="242"/>
      <c r="M101" s="38"/>
      <c r="N101" s="38"/>
      <c r="T101" t="s">
        <v>667</v>
      </c>
      <c r="U101" s="271">
        <v>14989</v>
      </c>
      <c r="V101" s="272">
        <v>385</v>
      </c>
      <c r="W101">
        <f t="shared" si="1"/>
        <v>0.12268961121733589</v>
      </c>
      <c r="X101">
        <f t="shared" si="3"/>
        <v>47.235500318674319</v>
      </c>
      <c r="Z101" t="s">
        <v>655</v>
      </c>
      <c r="AA101" s="263">
        <v>25329</v>
      </c>
      <c r="AB101" s="264">
        <v>66.599999999999994</v>
      </c>
      <c r="AC101">
        <f t="shared" si="2"/>
        <v>7.5228736021687545E-2</v>
      </c>
      <c r="AD101">
        <f t="shared" si="4"/>
        <v>5.01023381904439</v>
      </c>
    </row>
    <row r="102" spans="2:30" ht="16" customHeight="1">
      <c r="B102" s="244"/>
      <c r="C102" s="245"/>
      <c r="D102" s="245"/>
      <c r="E102" s="245"/>
      <c r="F102" s="246" t="str">
        <f>SEC_Comm!$D$35</f>
        <v>AGR_N2O</v>
      </c>
      <c r="G102" s="245"/>
      <c r="H102" s="160"/>
      <c r="I102" s="245"/>
      <c r="J102" s="245"/>
      <c r="K102" s="160"/>
      <c r="L102" s="247"/>
      <c r="M102" s="246">
        <v>2.0999999999999999E-3</v>
      </c>
      <c r="N102" s="246">
        <v>2.0999999999999999E-3</v>
      </c>
      <c r="T102" t="s">
        <v>669</v>
      </c>
      <c r="U102" s="271">
        <v>5657</v>
      </c>
      <c r="V102" s="272">
        <v>232</v>
      </c>
      <c r="W102">
        <f t="shared" si="1"/>
        <v>7.3932441045251748E-2</v>
      </c>
      <c r="X102">
        <f t="shared" si="3"/>
        <v>17.152326322498407</v>
      </c>
      <c r="Z102" t="s">
        <v>656</v>
      </c>
      <c r="AA102" s="268">
        <v>5678</v>
      </c>
      <c r="AB102" s="270">
        <v>39.5</v>
      </c>
      <c r="AC102">
        <f t="shared" si="2"/>
        <v>4.4617643736586464E-2</v>
      </c>
      <c r="AD102">
        <f t="shared" si="4"/>
        <v>1.7623969275951654</v>
      </c>
    </row>
    <row r="103" spans="2:30" ht="13">
      <c r="T103" t="s">
        <v>670</v>
      </c>
      <c r="U103" s="271">
        <v>5409</v>
      </c>
      <c r="V103" s="272">
        <v>314</v>
      </c>
      <c r="W103">
        <f t="shared" si="1"/>
        <v>0.10006373486297004</v>
      </c>
      <c r="X103">
        <f t="shared" si="3"/>
        <v>31.420012746972596</v>
      </c>
      <c r="Z103" t="s">
        <v>657</v>
      </c>
      <c r="AA103" s="268">
        <v>29731</v>
      </c>
      <c r="AB103" s="270">
        <v>60.4</v>
      </c>
      <c r="AC103">
        <f t="shared" si="2"/>
        <v>6.8225460295944867E-2</v>
      </c>
      <c r="AD103">
        <f t="shared" si="4"/>
        <v>4.1208178018750701</v>
      </c>
    </row>
    <row r="104" spans="2:30" ht="13">
      <c r="T104" t="s">
        <v>671</v>
      </c>
      <c r="U104" s="271">
        <v>7054</v>
      </c>
      <c r="V104" s="272">
        <v>210</v>
      </c>
      <c r="W104">
        <f t="shared" si="1"/>
        <v>6.6921606118546847E-2</v>
      </c>
      <c r="X104">
        <f t="shared" si="3"/>
        <v>14.053537284894839</v>
      </c>
      <c r="Z104" t="s">
        <v>658</v>
      </c>
      <c r="AA104" s="268">
        <v>21377</v>
      </c>
      <c r="AB104" s="270">
        <v>45</v>
      </c>
      <c r="AC104">
        <f t="shared" si="2"/>
        <v>5.0830227041680782E-2</v>
      </c>
      <c r="AD104">
        <f t="shared" si="4"/>
        <v>2.2873602168756353</v>
      </c>
    </row>
    <row r="105" spans="2:30" ht="13">
      <c r="D105" s="220" t="s">
        <v>617</v>
      </c>
      <c r="E105" s="40"/>
      <c r="T105" t="s">
        <v>672</v>
      </c>
      <c r="U105" s="271">
        <v>3364</v>
      </c>
      <c r="V105" s="272">
        <v>315</v>
      </c>
      <c r="W105">
        <f t="shared" si="1"/>
        <v>0.10038240917782026</v>
      </c>
      <c r="X105">
        <f t="shared" si="3"/>
        <v>31.620458891013385</v>
      </c>
      <c r="Z105" t="s">
        <v>659</v>
      </c>
      <c r="AA105" s="268">
        <v>44407</v>
      </c>
      <c r="AB105" s="270">
        <v>29.2</v>
      </c>
      <c r="AC105">
        <f t="shared" si="2"/>
        <v>3.2983169547046193E-2</v>
      </c>
      <c r="AD105">
        <f t="shared" si="4"/>
        <v>0.96310855077374879</v>
      </c>
    </row>
    <row r="106" spans="2:30" ht="13">
      <c r="B106" s="71" t="s">
        <v>77</v>
      </c>
      <c r="C106" s="72" t="s">
        <v>151</v>
      </c>
      <c r="D106" s="71" t="s">
        <v>134</v>
      </c>
      <c r="E106" s="161" t="s">
        <v>578</v>
      </c>
      <c r="T106" t="s">
        <v>673</v>
      </c>
      <c r="U106" s="271">
        <v>9061</v>
      </c>
      <c r="V106" s="272">
        <v>445</v>
      </c>
      <c r="W106">
        <f t="shared" si="1"/>
        <v>0.14181007010834926</v>
      </c>
      <c r="X106">
        <f t="shared" si="3"/>
        <v>63.105481198215422</v>
      </c>
      <c r="Z106" t="s">
        <v>660</v>
      </c>
      <c r="AA106" s="268">
        <v>12401</v>
      </c>
      <c r="AB106" s="270">
        <v>49.9</v>
      </c>
      <c r="AC106">
        <f t="shared" si="2"/>
        <v>5.6365073986219358E-2</v>
      </c>
      <c r="AD106">
        <f t="shared" si="4"/>
        <v>2.8126171919123459</v>
      </c>
    </row>
    <row r="107" spans="2:30" ht="13.5" thickBot="1">
      <c r="B107" s="74" t="s">
        <v>435</v>
      </c>
      <c r="C107" s="74" t="s">
        <v>436</v>
      </c>
      <c r="D107" s="74" t="s">
        <v>438</v>
      </c>
      <c r="E107" s="74" t="s">
        <v>579</v>
      </c>
      <c r="T107" t="s">
        <v>674</v>
      </c>
      <c r="U107" s="271">
        <v>13827</v>
      </c>
      <c r="V107" s="272">
        <v>111</v>
      </c>
      <c r="W107">
        <f t="shared" si="1"/>
        <v>3.5372848948374759E-2</v>
      </c>
      <c r="X107">
        <f t="shared" si="3"/>
        <v>3.9263862332695982</v>
      </c>
      <c r="Z107" t="s">
        <v>661</v>
      </c>
      <c r="AA107" s="268">
        <v>14069</v>
      </c>
      <c r="AB107" s="270">
        <v>38</v>
      </c>
      <c r="AC107">
        <f t="shared" si="2"/>
        <v>4.2923302835197102E-2</v>
      </c>
      <c r="AD107">
        <f t="shared" si="4"/>
        <v>1.6310855077374899</v>
      </c>
    </row>
    <row r="108" spans="2:30" ht="13">
      <c r="B108" s="86" t="str">
        <f>SEC_Processes!D30</f>
        <v>AGR_IMP_DUMMY_NRG_LAND</v>
      </c>
      <c r="C108" s="86" t="str">
        <f>SEC_Processes!E30</f>
        <v>Dummy Land Import</v>
      </c>
      <c r="D108" s="86" t="str">
        <f>SEC_Comm!$D$64</f>
        <v>AGR_LAND</v>
      </c>
      <c r="E108" s="86">
        <v>1E-3</v>
      </c>
      <c r="T108" t="s">
        <v>675</v>
      </c>
      <c r="U108" s="271">
        <v>41905</v>
      </c>
      <c r="V108" s="272">
        <v>120</v>
      </c>
      <c r="W108">
        <f t="shared" si="1"/>
        <v>3.8240917782026769E-2</v>
      </c>
      <c r="X108">
        <f t="shared" si="3"/>
        <v>4.5889101338432123</v>
      </c>
      <c r="Z108" t="s">
        <v>662</v>
      </c>
      <c r="AA108" s="268">
        <v>1696</v>
      </c>
      <c r="AB108" s="270">
        <v>49.1</v>
      </c>
      <c r="AC108">
        <f t="shared" si="2"/>
        <v>5.5461425505478369E-2</v>
      </c>
      <c r="AD108">
        <f t="shared" si="4"/>
        <v>2.7231559923189881</v>
      </c>
    </row>
    <row r="109" spans="2:30" ht="13.5" thickBot="1">
      <c r="B109" s="81"/>
      <c r="C109" s="81"/>
      <c r="D109" s="81"/>
      <c r="E109" s="81"/>
      <c r="T109" s="283" t="s">
        <v>692</v>
      </c>
      <c r="U109">
        <f>75.2*1000</f>
        <v>75200</v>
      </c>
      <c r="V109" s="282">
        <v>175</v>
      </c>
      <c r="Z109" t="s">
        <v>663</v>
      </c>
      <c r="AA109" s="273">
        <v>11520</v>
      </c>
      <c r="AB109" s="274">
        <v>31.7</v>
      </c>
      <c r="AC109">
        <f t="shared" si="2"/>
        <v>3.5807071049361795E-2</v>
      </c>
      <c r="AD109">
        <f t="shared" si="4"/>
        <v>1.1350841522647688</v>
      </c>
    </row>
    <row r="110" spans="2:30">
      <c r="T110" s="283" t="s">
        <v>691</v>
      </c>
      <c r="U110">
        <f>41.9*1000</f>
        <v>41900</v>
      </c>
      <c r="V110">
        <f>120</f>
        <v>120</v>
      </c>
      <c r="AA110" s="265">
        <f>SUM(AA98:AA109)</f>
        <v>338755</v>
      </c>
      <c r="AB110">
        <f>SUM(AD98:AD109)/10</f>
        <v>12.744892126962615</v>
      </c>
    </row>
    <row r="111" spans="2:30">
      <c r="U111" s="265">
        <f>SUM(U98:U108)</f>
        <v>141951</v>
      </c>
      <c r="V111">
        <f>SUM(X98:X108)/10</f>
        <v>32.801593371574256</v>
      </c>
      <c r="W111">
        <f>SUM(W98:W108)</f>
        <v>1</v>
      </c>
      <c r="X111">
        <f>PRODUCT(V111:W111)</f>
        <v>32.801593371574256</v>
      </c>
      <c r="AB111" s="269">
        <f>SUM(AB98:AB109)</f>
        <v>885.30000000000007</v>
      </c>
    </row>
    <row r="112" spans="2:30">
      <c r="V112" s="265">
        <f>SUM(V98:V108)</f>
        <v>3138</v>
      </c>
    </row>
    <row r="115" spans="20:38" ht="14.5">
      <c r="Z115" s="300" t="s">
        <v>689</v>
      </c>
      <c r="AA115" s="300"/>
      <c r="AB115" s="300"/>
      <c r="AC115" s="300"/>
      <c r="AD115" s="300"/>
      <c r="AE115" s="300"/>
      <c r="AF115" s="300"/>
      <c r="AG115" s="300"/>
      <c r="AH115" s="300"/>
      <c r="AI115" s="300"/>
      <c r="AJ115" s="300"/>
      <c r="AK115" s="300"/>
      <c r="AL115" s="300"/>
    </row>
    <row r="116" spans="20:38" ht="14.5">
      <c r="T116" t="s">
        <v>651</v>
      </c>
      <c r="U116" t="s">
        <v>676</v>
      </c>
      <c r="V116" t="s">
        <v>677</v>
      </c>
      <c r="W116" t="s">
        <v>688</v>
      </c>
      <c r="Z116" s="300" t="s">
        <v>690</v>
      </c>
      <c r="AA116" s="300"/>
      <c r="AB116" s="300"/>
      <c r="AC116" s="300"/>
      <c r="AD116" s="300"/>
      <c r="AE116" s="300"/>
      <c r="AF116" s="300"/>
      <c r="AG116" s="300"/>
      <c r="AH116" s="300"/>
      <c r="AI116" s="300"/>
      <c r="AJ116" s="300"/>
      <c r="AK116" s="300"/>
      <c r="AL116" s="300"/>
    </row>
    <row r="117" spans="20:38" ht="13">
      <c r="T117" t="s">
        <v>664</v>
      </c>
      <c r="U117" s="261">
        <v>13692</v>
      </c>
      <c r="V117" s="260">
        <v>459</v>
      </c>
      <c r="W117">
        <f>U117*V117</f>
        <v>6284628</v>
      </c>
      <c r="X117" t="s">
        <v>693</v>
      </c>
    </row>
    <row r="118" spans="20:38" ht="13">
      <c r="T118" t="s">
        <v>665</v>
      </c>
      <c r="U118" s="271">
        <v>4860</v>
      </c>
      <c r="V118" s="272">
        <v>261</v>
      </c>
      <c r="W118">
        <f t="shared" ref="W118:W128" si="5">U118*V118</f>
        <v>1268460</v>
      </c>
    </row>
    <row r="119" spans="20:38" ht="13">
      <c r="T119" t="s">
        <v>666</v>
      </c>
      <c r="U119" s="271">
        <v>22133</v>
      </c>
      <c r="V119" s="272">
        <v>286</v>
      </c>
      <c r="W119">
        <f t="shared" si="5"/>
        <v>6330038</v>
      </c>
    </row>
    <row r="120" spans="20:38" ht="13">
      <c r="T120" t="s">
        <v>667</v>
      </c>
      <c r="U120" s="271">
        <v>14989</v>
      </c>
      <c r="V120" s="272">
        <v>385</v>
      </c>
      <c r="W120">
        <f t="shared" si="5"/>
        <v>5770765</v>
      </c>
    </row>
    <row r="121" spans="20:38" ht="13">
      <c r="T121" t="s">
        <v>668</v>
      </c>
      <c r="U121" s="271">
        <v>7642</v>
      </c>
      <c r="V121" s="272">
        <v>331</v>
      </c>
      <c r="W121">
        <f t="shared" si="5"/>
        <v>2529502</v>
      </c>
    </row>
    <row r="122" spans="20:38" ht="13">
      <c r="T122" t="s">
        <v>669</v>
      </c>
      <c r="U122" s="271">
        <v>5657</v>
      </c>
      <c r="V122" s="272">
        <v>232</v>
      </c>
      <c r="W122">
        <f t="shared" si="5"/>
        <v>1312424</v>
      </c>
    </row>
    <row r="123" spans="20:38" ht="13">
      <c r="T123" t="s">
        <v>670</v>
      </c>
      <c r="U123" s="271">
        <v>5409</v>
      </c>
      <c r="V123" s="272">
        <v>314</v>
      </c>
      <c r="W123">
        <f t="shared" si="5"/>
        <v>1698426</v>
      </c>
    </row>
    <row r="124" spans="20:38" ht="13">
      <c r="T124" t="s">
        <v>671</v>
      </c>
      <c r="U124" s="271">
        <v>7054</v>
      </c>
      <c r="V124" s="272">
        <v>210</v>
      </c>
      <c r="W124">
        <f t="shared" si="5"/>
        <v>1481340</v>
      </c>
    </row>
    <row r="125" spans="20:38" ht="13">
      <c r="T125" t="s">
        <v>672</v>
      </c>
      <c r="U125" s="271">
        <v>3364</v>
      </c>
      <c r="V125" s="272">
        <v>315</v>
      </c>
      <c r="W125">
        <f t="shared" si="5"/>
        <v>1059660</v>
      </c>
    </row>
    <row r="126" spans="20:38" ht="13">
      <c r="T126" t="s">
        <v>673</v>
      </c>
      <c r="U126" s="271">
        <v>9061</v>
      </c>
      <c r="V126" s="272">
        <v>445</v>
      </c>
      <c r="W126">
        <f t="shared" si="5"/>
        <v>4032145</v>
      </c>
    </row>
    <row r="127" spans="20:38" ht="13">
      <c r="T127" t="s">
        <v>674</v>
      </c>
      <c r="U127" s="271">
        <v>13827</v>
      </c>
      <c r="V127" s="272">
        <v>111</v>
      </c>
      <c r="W127">
        <f t="shared" si="5"/>
        <v>1534797</v>
      </c>
    </row>
    <row r="128" spans="20:38" ht="13">
      <c r="T128" t="s">
        <v>675</v>
      </c>
      <c r="U128" s="271">
        <v>41905</v>
      </c>
      <c r="V128" s="272">
        <v>120</v>
      </c>
      <c r="W128">
        <f t="shared" si="5"/>
        <v>5028600</v>
      </c>
    </row>
  </sheetData>
  <mergeCells count="2">
    <mergeCell ref="Z115:AL115"/>
    <mergeCell ref="Z116:AL116"/>
  </mergeCells>
  <hyperlinks>
    <hyperlink ref="U52" r:id="rId1" xr:uid="{9E34DD06-B4BC-4EF8-949F-7BCE58BC6E46}"/>
    <hyperlink ref="U51" r:id="rId2" xr:uid="{4062E77E-0B0D-470B-9280-1D3A1B923C0A}"/>
    <hyperlink ref="S62" r:id="rId3" xr:uid="{B37889CF-C6B6-4459-A4DE-8984BB5BA150}"/>
    <hyperlink ref="S94" r:id="rId4" xr:uid="{E3F9D7E5-0EE1-48BD-AB95-7A697DCFEA77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M71"/>
  <sheetViews>
    <sheetView topLeftCell="C3" zoomScale="63" zoomScaleNormal="100" workbookViewId="0">
      <selection activeCell="F5" sqref="F5:L5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5" width="11.54296875" customWidth="1"/>
    <col min="16" max="17" width="10.453125" customWidth="1"/>
    <col min="19" max="19" width="12.1796875" bestFit="1" customWidth="1"/>
  </cols>
  <sheetData>
    <row r="2" spans="2:65" ht="13">
      <c r="B2" s="164"/>
      <c r="C2" s="164"/>
      <c r="D2" s="164"/>
      <c r="F2" s="220" t="s">
        <v>617</v>
      </c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1"/>
      <c r="R2" s="221"/>
    </row>
    <row r="3" spans="2:65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580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586</v>
      </c>
      <c r="N3" s="291" t="s">
        <v>587</v>
      </c>
      <c r="O3" s="71" t="s">
        <v>588</v>
      </c>
      <c r="P3" s="222" t="s">
        <v>160</v>
      </c>
      <c r="Q3" s="222" t="s">
        <v>159</v>
      </c>
      <c r="R3" s="222" t="s">
        <v>158</v>
      </c>
      <c r="S3" s="281" t="s">
        <v>572</v>
      </c>
    </row>
    <row r="4" spans="2:65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 t="s">
        <v>589</v>
      </c>
      <c r="G4" s="74" t="s">
        <v>589</v>
      </c>
      <c r="H4" s="74" t="s">
        <v>589</v>
      </c>
      <c r="I4" s="74" t="s">
        <v>589</v>
      </c>
      <c r="J4" s="74" t="s">
        <v>589</v>
      </c>
      <c r="K4" s="74" t="s">
        <v>589</v>
      </c>
      <c r="L4" s="74" t="s">
        <v>589</v>
      </c>
      <c r="M4" s="74" t="s">
        <v>590</v>
      </c>
      <c r="N4" s="292" t="s">
        <v>704</v>
      </c>
      <c r="O4" s="74" t="s">
        <v>591</v>
      </c>
      <c r="P4" s="74"/>
      <c r="Q4" s="74"/>
      <c r="R4" s="74" t="s">
        <v>593</v>
      </c>
      <c r="AI4">
        <f>3030.7</f>
        <v>3030.7</v>
      </c>
    </row>
    <row r="5" spans="2:65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0">
        <v>8000</v>
      </c>
      <c r="M5" s="86"/>
      <c r="N5" s="80"/>
      <c r="P5" s="86">
        <v>0.01</v>
      </c>
      <c r="Q5" s="86">
        <v>0.1</v>
      </c>
      <c r="R5" s="86">
        <v>1</v>
      </c>
      <c r="S5" s="80">
        <v>1</v>
      </c>
    </row>
    <row r="6" spans="2:65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172"/>
      <c r="Q6" s="172"/>
      <c r="R6" s="172"/>
      <c r="S6" s="168"/>
    </row>
    <row r="7" spans="2:65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8"/>
      <c r="Q7" s="38"/>
      <c r="R7" s="38"/>
      <c r="AI7">
        <f>AI4*AK8</f>
        <v>5309.7864</v>
      </c>
    </row>
    <row r="8" spans="2:65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172"/>
      <c r="Q8" s="172"/>
      <c r="R8" s="172"/>
      <c r="S8" s="168"/>
      <c r="AK8">
        <v>1.752</v>
      </c>
      <c r="BK8">
        <v>2.9</v>
      </c>
      <c r="BL8">
        <v>39.700000000000003</v>
      </c>
      <c r="BM8">
        <f>BL8/BK8</f>
        <v>13.689655172413795</v>
      </c>
    </row>
    <row r="9" spans="2:65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8"/>
      <c r="Q9" s="38"/>
      <c r="R9" s="38"/>
      <c r="BK9">
        <v>7.3</v>
      </c>
      <c r="BL9">
        <v>99.3</v>
      </c>
      <c r="BM9">
        <f t="shared" ref="BM9:BM11" si="0">BL9/BK9</f>
        <v>13.602739726027398</v>
      </c>
    </row>
    <row r="10" spans="2:65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172"/>
      <c r="Q10" s="172"/>
      <c r="R10" s="172"/>
      <c r="S10" s="168"/>
      <c r="AI10">
        <f>5309.78</f>
        <v>5309.78</v>
      </c>
      <c r="BK10">
        <v>9.1</v>
      </c>
      <c r="BL10">
        <v>124.1</v>
      </c>
      <c r="BM10">
        <f t="shared" si="0"/>
        <v>13.637362637362637</v>
      </c>
    </row>
    <row r="11" spans="2:65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8"/>
      <c r="Q11" s="38"/>
      <c r="R11" s="38"/>
      <c r="BK11">
        <v>19.3</v>
      </c>
      <c r="BL11">
        <v>302.60000000000002</v>
      </c>
      <c r="BM11">
        <f t="shared" si="0"/>
        <v>15.678756476683938</v>
      </c>
    </row>
    <row r="12" spans="2:65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172"/>
      <c r="Q12" s="172"/>
      <c r="R12" s="172"/>
      <c r="S12" s="168"/>
    </row>
    <row r="13" spans="2:65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8"/>
      <c r="Q13" s="38"/>
      <c r="R13" s="38"/>
    </row>
    <row r="14" spans="2:65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172"/>
      <c r="Q14" s="172"/>
      <c r="R14" s="172"/>
      <c r="S14" s="168"/>
    </row>
    <row r="15" spans="2:65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8"/>
      <c r="Q15" s="38"/>
      <c r="R15" s="38"/>
    </row>
    <row r="16" spans="2:65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172"/>
      <c r="Q16" s="172"/>
      <c r="R16" s="172"/>
      <c r="S16" s="168"/>
    </row>
    <row r="17" spans="2:36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8"/>
      <c r="Q17" s="38"/>
      <c r="R17" s="38"/>
    </row>
    <row r="18" spans="2:36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172"/>
      <c r="Q18" s="172"/>
      <c r="R18" s="172"/>
      <c r="S18" s="168"/>
    </row>
    <row r="19" spans="2:36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8"/>
      <c r="Q19" s="38"/>
      <c r="R19" s="38"/>
      <c r="AF19">
        <f>F5*R5*S5</f>
        <v>374</v>
      </c>
      <c r="AG19" t="s">
        <v>596</v>
      </c>
    </row>
    <row r="20" spans="2:36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172"/>
      <c r="Q20" s="172"/>
      <c r="R20" s="172"/>
      <c r="S20" s="168"/>
    </row>
    <row r="21" spans="2:36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8"/>
      <c r="Q21" s="38"/>
      <c r="R21" s="38"/>
      <c r="AF21">
        <f>F5</f>
        <v>374</v>
      </c>
    </row>
    <row r="22" spans="2:36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172"/>
      <c r="Q22" s="172"/>
      <c r="R22" s="172"/>
      <c r="S22" s="168"/>
      <c r="AF22">
        <f>AF19/O6</f>
        <v>1989.3617021276596</v>
      </c>
      <c r="AG22" t="s">
        <v>685</v>
      </c>
    </row>
    <row r="23" spans="2:36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8"/>
      <c r="Q23" s="38"/>
      <c r="R23" s="38"/>
      <c r="AF23">
        <f>AF19*N30</f>
        <v>374</v>
      </c>
    </row>
    <row r="24" spans="2:36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172"/>
      <c r="Q24" s="172"/>
      <c r="R24" s="172"/>
      <c r="S24" s="168"/>
    </row>
    <row r="25" spans="2:36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8"/>
      <c r="Q25" s="38"/>
      <c r="R25" s="38"/>
    </row>
    <row r="26" spans="2:36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172"/>
      <c r="Q26" s="172"/>
      <c r="R26" s="172"/>
      <c r="S26" s="168"/>
      <c r="AE26" s="290">
        <f>SEC_Comm!AA12</f>
        <v>0</v>
      </c>
      <c r="AF26" s="290"/>
      <c r="AG26" s="290"/>
      <c r="AH26" s="290"/>
      <c r="AI26" s="290">
        <v>23</v>
      </c>
      <c r="AJ26" s="290">
        <f>AI26/1000</f>
        <v>2.3E-2</v>
      </c>
    </row>
    <row r="27" spans="2:36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8"/>
      <c r="Q27" s="38"/>
      <c r="R27" s="38"/>
    </row>
    <row r="28" spans="2:36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172"/>
      <c r="Q28" s="172"/>
      <c r="R28" s="172"/>
      <c r="S28" s="168"/>
    </row>
    <row r="29" spans="2:36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8"/>
      <c r="Q29" s="38"/>
      <c r="R29" s="38"/>
    </row>
    <row r="30" spans="2:36" ht="13" thickBot="1">
      <c r="E30" s="293" t="str">
        <f>SEC_Comm!D16</f>
        <v>AGR_BIOG</v>
      </c>
      <c r="F30" s="293"/>
      <c r="G30" s="293"/>
      <c r="H30" s="293"/>
      <c r="I30" s="293"/>
      <c r="J30" s="293"/>
      <c r="K30" s="293"/>
      <c r="L30" s="293"/>
      <c r="M30" s="293"/>
      <c r="N30" s="293">
        <v>1</v>
      </c>
    </row>
    <row r="33" spans="2:18" ht="13">
      <c r="F33" s="220" t="s">
        <v>617</v>
      </c>
      <c r="G33" s="220"/>
      <c r="H33" s="220"/>
      <c r="I33" s="220"/>
    </row>
    <row r="34" spans="2:18" ht="13">
      <c r="B34" s="164"/>
      <c r="C34" s="164"/>
      <c r="D34" s="164"/>
      <c r="J34" s="220"/>
      <c r="K34" s="220"/>
      <c r="L34" s="220"/>
      <c r="M34" s="220"/>
      <c r="N34" s="220"/>
      <c r="O34" s="220"/>
      <c r="P34" s="221"/>
      <c r="Q34" s="221"/>
      <c r="R34" s="221"/>
    </row>
    <row r="37" spans="2:18" ht="16" customHeight="1"/>
    <row r="38" spans="2:18" ht="16" customHeight="1"/>
    <row r="45" spans="2:18" ht="13">
      <c r="J45" s="71" t="s">
        <v>705</v>
      </c>
    </row>
    <row r="46" spans="2:18" ht="38" thickBot="1">
      <c r="J46" s="74" t="s">
        <v>592</v>
      </c>
    </row>
    <row r="47" spans="2:18">
      <c r="J47" s="86"/>
    </row>
    <row r="48" spans="2:18">
      <c r="J48" s="294">
        <v>0.05</v>
      </c>
    </row>
    <row r="49" spans="10:10">
      <c r="J49" s="294">
        <v>0.05</v>
      </c>
    </row>
    <row r="50" spans="10:10">
      <c r="J50" s="294">
        <v>0.2</v>
      </c>
    </row>
    <row r="51" spans="10:10">
      <c r="J51" s="294">
        <v>0.01</v>
      </c>
    </row>
    <row r="52" spans="10:10">
      <c r="J52" s="294">
        <v>0.05</v>
      </c>
    </row>
    <row r="53" spans="10:10">
      <c r="J53" s="294">
        <v>0.05</v>
      </c>
    </row>
    <row r="54" spans="10:10">
      <c r="J54" s="294">
        <v>0.05</v>
      </c>
    </row>
    <row r="55" spans="10:10">
      <c r="J55" s="294">
        <v>0.04</v>
      </c>
    </row>
    <row r="56" spans="10:10">
      <c r="J56" s="294">
        <v>0.04</v>
      </c>
    </row>
    <row r="57" spans="10:10">
      <c r="J57" s="294">
        <v>0.04</v>
      </c>
    </row>
    <row r="58" spans="10:10">
      <c r="J58" s="294">
        <v>0.04</v>
      </c>
    </row>
    <row r="59" spans="10:10">
      <c r="J59" s="294">
        <v>0.01</v>
      </c>
    </row>
    <row r="60" spans="10:10">
      <c r="J60" s="294">
        <v>0.01</v>
      </c>
    </row>
    <row r="61" spans="10:10">
      <c r="J61" s="294">
        <v>0.04</v>
      </c>
    </row>
    <row r="62" spans="10:10">
      <c r="J62" s="294">
        <v>0.04</v>
      </c>
    </row>
    <row r="63" spans="10:10">
      <c r="J63" s="294">
        <v>0.04</v>
      </c>
    </row>
    <row r="64" spans="10:10">
      <c r="J64" s="294">
        <v>0.03</v>
      </c>
    </row>
    <row r="65" spans="10:10">
      <c r="J65" s="294">
        <v>0.03</v>
      </c>
    </row>
    <row r="66" spans="10:10">
      <c r="J66" s="294">
        <v>0.03</v>
      </c>
    </row>
    <row r="67" spans="10:10">
      <c r="J67" s="294">
        <v>0.03</v>
      </c>
    </row>
    <row r="68" spans="10:10">
      <c r="J68" s="294">
        <v>0.03</v>
      </c>
    </row>
    <row r="69" spans="10:10">
      <c r="J69" s="294">
        <v>0.05</v>
      </c>
    </row>
    <row r="70" spans="10:10">
      <c r="J70" s="294">
        <v>0.03</v>
      </c>
    </row>
    <row r="71" spans="10:10">
      <c r="J71" s="294">
        <v>0.03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79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468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1" t="s">
        <v>162</v>
      </c>
      <c r="E4" s="301"/>
      <c r="F4" s="301"/>
      <c r="G4" s="301"/>
      <c r="H4" s="301"/>
      <c r="I4" s="301"/>
      <c r="J4" s="301"/>
      <c r="K4" s="301"/>
      <c r="L4" s="301"/>
      <c r="M4" s="301"/>
      <c r="N4" s="301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2" t="s">
        <v>163</v>
      </c>
      <c r="E11" s="302"/>
      <c r="F11" s="302"/>
      <c r="G11" s="302"/>
      <c r="H11" s="302"/>
      <c r="I11" s="302"/>
      <c r="J11" s="302"/>
      <c r="K11" s="302"/>
      <c r="L11" s="302"/>
      <c r="M11" s="302"/>
      <c r="N11" s="302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2024-11-08T12:44:39Z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578071236610412</vt:r8>
  </property>
</Properties>
</file>