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56500" yWindow="5980" windowWidth="28800" windowHeight="17480" tabRatio="500" activeTab="1"/>
  </bookViews>
  <sheets>
    <sheet name="25K Results" sheetId="1" r:id="rId1"/>
    <sheet name="12.5K Results" sheetId="8" r:id="rId2"/>
    <sheet name="MCSA Case 1 Pstudy" sheetId="6" r:id="rId3"/>
    <sheet name="Threshold Stud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9" i="8" l="1"/>
  <c r="K46" i="8"/>
  <c r="K47" i="8"/>
  <c r="K48" i="8"/>
  <c r="K49" i="8"/>
  <c r="K45" i="8"/>
  <c r="J54" i="8"/>
  <c r="J55" i="8"/>
  <c r="J56" i="8"/>
  <c r="J57" i="8"/>
  <c r="J53" i="8"/>
  <c r="I57" i="8"/>
  <c r="I56" i="8"/>
  <c r="I55" i="8"/>
  <c r="I54" i="8"/>
  <c r="I53" i="8"/>
  <c r="K73" i="8"/>
  <c r="K74" i="8"/>
  <c r="K75" i="8"/>
  <c r="K76" i="8"/>
  <c r="K72" i="8"/>
  <c r="K64" i="8"/>
  <c r="K65" i="8"/>
  <c r="K66" i="8"/>
  <c r="K67" i="8"/>
  <c r="K63" i="8"/>
  <c r="E73" i="8"/>
  <c r="E74" i="8"/>
  <c r="E75" i="8"/>
  <c r="E76" i="8"/>
  <c r="E72" i="8"/>
  <c r="E64" i="8"/>
  <c r="E65" i="8"/>
  <c r="E66" i="8"/>
  <c r="E67" i="8"/>
  <c r="E63" i="8"/>
  <c r="J73" i="8"/>
  <c r="J74" i="8"/>
  <c r="J75" i="8"/>
  <c r="J76" i="8"/>
  <c r="J72" i="8"/>
  <c r="I73" i="8"/>
  <c r="I74" i="8"/>
  <c r="I75" i="8"/>
  <c r="I76" i="8"/>
  <c r="I72" i="8"/>
  <c r="H73" i="8"/>
  <c r="H74" i="8"/>
  <c r="H75" i="8"/>
  <c r="H76" i="8"/>
  <c r="H72" i="8"/>
  <c r="J64" i="8"/>
  <c r="J65" i="8"/>
  <c r="J66" i="8"/>
  <c r="J67" i="8"/>
  <c r="J63" i="8"/>
  <c r="I64" i="8"/>
  <c r="I65" i="8"/>
  <c r="I66" i="8"/>
  <c r="I67" i="8"/>
  <c r="I63" i="8"/>
  <c r="H64" i="8"/>
  <c r="H65" i="8"/>
  <c r="H66" i="8"/>
  <c r="H67" i="8"/>
  <c r="H63" i="8"/>
  <c r="D73" i="8"/>
  <c r="D74" i="8"/>
  <c r="D75" i="8"/>
  <c r="D76" i="8"/>
  <c r="D72" i="8"/>
  <c r="C73" i="8"/>
  <c r="C74" i="8"/>
  <c r="C75" i="8"/>
  <c r="C76" i="8"/>
  <c r="C72" i="8"/>
  <c r="B73" i="8"/>
  <c r="B74" i="8"/>
  <c r="B75" i="8"/>
  <c r="B76" i="8"/>
  <c r="B72" i="8"/>
  <c r="B64" i="8"/>
  <c r="B65" i="8"/>
  <c r="B66" i="8"/>
  <c r="B67" i="8"/>
  <c r="B63" i="8"/>
  <c r="C64" i="8"/>
  <c r="C65" i="8"/>
  <c r="C66" i="8"/>
  <c r="C67" i="8"/>
  <c r="C63" i="8"/>
  <c r="D64" i="8"/>
  <c r="D65" i="8"/>
  <c r="D66" i="8"/>
  <c r="D67" i="8"/>
  <c r="D63" i="8"/>
  <c r="M48" i="8"/>
  <c r="E57" i="8"/>
  <c r="E56" i="8"/>
  <c r="E55" i="8"/>
  <c r="E54" i="8"/>
  <c r="E53" i="8"/>
  <c r="M47" i="8"/>
  <c r="M46" i="8"/>
  <c r="M45" i="8"/>
  <c r="F39" i="8"/>
  <c r="F38" i="8"/>
  <c r="F37" i="8"/>
  <c r="F36" i="8"/>
  <c r="F35" i="8"/>
  <c r="F30" i="8"/>
  <c r="F29" i="8"/>
  <c r="F28" i="8"/>
  <c r="F27" i="8"/>
  <c r="F26" i="8"/>
  <c r="F18" i="8"/>
  <c r="F19" i="8"/>
  <c r="F20" i="8"/>
  <c r="F21" i="8"/>
  <c r="F17" i="8"/>
  <c r="I36" i="8"/>
  <c r="I37" i="8"/>
  <c r="I38" i="8"/>
  <c r="I39" i="8"/>
  <c r="I35" i="8"/>
  <c r="I27" i="8"/>
  <c r="I28" i="8"/>
  <c r="I29" i="8"/>
  <c r="I30" i="8"/>
  <c r="I26" i="8"/>
  <c r="I18" i="8"/>
  <c r="I19" i="8"/>
  <c r="I20" i="8"/>
  <c r="I21" i="8"/>
  <c r="I17" i="8"/>
  <c r="H17" i="8"/>
  <c r="O32" i="8"/>
  <c r="E49" i="8"/>
  <c r="E48" i="8"/>
  <c r="E47" i="8"/>
  <c r="E46" i="8"/>
  <c r="E45" i="8"/>
  <c r="B11" i="8"/>
  <c r="I11" i="8"/>
  <c r="J11" i="8"/>
  <c r="L11" i="8"/>
  <c r="B10" i="8"/>
  <c r="I10" i="8"/>
  <c r="J10" i="8"/>
  <c r="L10" i="8"/>
  <c r="B9" i="8"/>
  <c r="I9" i="8"/>
  <c r="J9" i="8"/>
  <c r="L9" i="8"/>
  <c r="B8" i="8"/>
  <c r="I8" i="8"/>
  <c r="J8" i="8"/>
  <c r="L8" i="8"/>
  <c r="B7" i="8"/>
  <c r="I7" i="8"/>
  <c r="J7" i="8"/>
  <c r="L7" i="8"/>
  <c r="D72" i="1"/>
  <c r="D73" i="1"/>
  <c r="D74" i="1"/>
  <c r="D75" i="1"/>
  <c r="D71" i="1"/>
  <c r="D81" i="1"/>
  <c r="D82" i="1"/>
  <c r="D83" i="1"/>
  <c r="D84" i="1"/>
  <c r="D80" i="1"/>
  <c r="C81" i="1"/>
  <c r="C82" i="1"/>
  <c r="C83" i="1"/>
  <c r="C84" i="1"/>
  <c r="C80" i="1"/>
  <c r="B81" i="1"/>
  <c r="B82" i="1"/>
  <c r="B83" i="1"/>
  <c r="B84" i="1"/>
  <c r="B80" i="1"/>
  <c r="C72" i="1"/>
  <c r="C73" i="1"/>
  <c r="C74" i="1"/>
  <c r="C75" i="1"/>
  <c r="C71" i="1"/>
  <c r="B72" i="1"/>
  <c r="B73" i="1"/>
  <c r="B74" i="1"/>
  <c r="B75" i="1"/>
  <c r="B71" i="1"/>
  <c r="L64" i="1"/>
  <c r="L62" i="1"/>
  <c r="L63" i="1"/>
  <c r="L30" i="7"/>
  <c r="L31" i="7"/>
  <c r="O30" i="7"/>
  <c r="P30" i="7"/>
  <c r="O31" i="7"/>
  <c r="P31" i="7"/>
  <c r="O32" i="7"/>
  <c r="P32" i="7"/>
  <c r="O33" i="7"/>
  <c r="P33" i="7"/>
  <c r="L32" i="7"/>
  <c r="L33" i="7"/>
  <c r="L25" i="7"/>
  <c r="L24" i="7"/>
  <c r="L23" i="7"/>
  <c r="L22" i="7"/>
  <c r="L21" i="7"/>
  <c r="E33" i="7"/>
  <c r="M33" i="7"/>
  <c r="E32" i="7"/>
  <c r="M31" i="7"/>
  <c r="E31" i="7"/>
  <c r="M30" i="7"/>
  <c r="E30" i="7"/>
  <c r="P25" i="7"/>
  <c r="O25" i="7"/>
  <c r="M25" i="7"/>
  <c r="E25" i="7"/>
  <c r="P24" i="7"/>
  <c r="O24" i="7"/>
  <c r="E24" i="7"/>
  <c r="P23" i="7"/>
  <c r="O23" i="7"/>
  <c r="M23" i="7"/>
  <c r="E23" i="7"/>
  <c r="P22" i="7"/>
  <c r="O22" i="7"/>
  <c r="M22" i="7"/>
  <c r="E22" i="7"/>
  <c r="P21" i="7"/>
  <c r="O21" i="7"/>
  <c r="M21" i="7"/>
  <c r="E21" i="7"/>
  <c r="L13" i="7"/>
  <c r="L12" i="7"/>
  <c r="E12" i="7"/>
  <c r="E13" i="7"/>
  <c r="O12" i="7"/>
  <c r="P12" i="7"/>
  <c r="O13" i="7"/>
  <c r="P13" i="7"/>
  <c r="M12" i="7"/>
  <c r="M13" i="7"/>
  <c r="L14" i="7"/>
  <c r="L17" i="7"/>
  <c r="O14" i="7"/>
  <c r="P14" i="7"/>
  <c r="M14" i="7"/>
  <c r="E14" i="7"/>
  <c r="P15" i="7"/>
  <c r="O15" i="7"/>
  <c r="L15" i="7"/>
  <c r="E15" i="7"/>
  <c r="M17" i="7"/>
  <c r="M16" i="7"/>
  <c r="P17" i="7"/>
  <c r="O17" i="7"/>
  <c r="E17" i="7"/>
  <c r="P16" i="7"/>
  <c r="O16" i="7"/>
  <c r="L16" i="7"/>
  <c r="E16" i="7"/>
  <c r="L8" i="7"/>
  <c r="P4" i="7"/>
  <c r="P5" i="7"/>
  <c r="P6" i="7"/>
  <c r="P7" i="7"/>
  <c r="P8" i="7"/>
  <c r="O4" i="7"/>
  <c r="O5" i="7"/>
  <c r="O6" i="7"/>
  <c r="O7" i="7"/>
  <c r="O8" i="7"/>
  <c r="L4" i="7"/>
  <c r="L7" i="7"/>
  <c r="L6" i="7"/>
  <c r="E4" i="7"/>
  <c r="E5" i="7"/>
  <c r="E6" i="7"/>
  <c r="E7" i="7"/>
  <c r="E8" i="7"/>
  <c r="L5" i="7"/>
  <c r="L3" i="7"/>
  <c r="P3" i="7"/>
  <c r="O3" i="7"/>
  <c r="E3" i="7"/>
  <c r="P66" i="1"/>
  <c r="O66" i="1"/>
  <c r="E66" i="1"/>
  <c r="P65" i="1"/>
  <c r="O65" i="1"/>
  <c r="E65" i="1"/>
  <c r="P64" i="1"/>
  <c r="O64" i="1"/>
  <c r="E64" i="1"/>
  <c r="P63" i="1"/>
  <c r="O63" i="1"/>
  <c r="E63" i="1"/>
  <c r="P62" i="1"/>
  <c r="O62" i="1"/>
  <c r="E62" i="1"/>
  <c r="L46" i="1"/>
  <c r="L44" i="1"/>
  <c r="L45" i="1"/>
  <c r="L57" i="1"/>
  <c r="L56" i="1"/>
  <c r="L55" i="1"/>
  <c r="N54" i="1"/>
  <c r="N55" i="1"/>
  <c r="N56" i="1"/>
  <c r="N57" i="1"/>
  <c r="L54" i="1"/>
  <c r="L53" i="1"/>
  <c r="R54" i="1"/>
  <c r="R55" i="1"/>
  <c r="R56" i="1"/>
  <c r="R57" i="1"/>
  <c r="R53" i="1"/>
  <c r="P45" i="1"/>
  <c r="P46" i="1"/>
  <c r="P47" i="1"/>
  <c r="P48" i="1"/>
  <c r="P44" i="1"/>
  <c r="Q54" i="1"/>
  <c r="Q55" i="1"/>
  <c r="Q56" i="1"/>
  <c r="Q57" i="1"/>
  <c r="Q53" i="1"/>
  <c r="O45" i="1"/>
  <c r="O46" i="1"/>
  <c r="O47" i="1"/>
  <c r="O48" i="1"/>
  <c r="O44" i="1"/>
  <c r="N53" i="1"/>
  <c r="E53" i="1"/>
  <c r="E54" i="1"/>
  <c r="E55" i="1"/>
  <c r="E56" i="1"/>
  <c r="E57" i="1"/>
  <c r="E44" i="1"/>
  <c r="E45" i="1"/>
  <c r="E46" i="1"/>
  <c r="E47" i="1"/>
  <c r="E48" i="1"/>
  <c r="B40" i="1"/>
  <c r="B39" i="1"/>
  <c r="B38" i="1"/>
  <c r="B37" i="1"/>
  <c r="B36" i="1"/>
  <c r="F36" i="1"/>
  <c r="F37" i="1"/>
  <c r="F38" i="1"/>
  <c r="F39" i="1"/>
  <c r="F40" i="1"/>
  <c r="F35" i="1"/>
  <c r="H36" i="1"/>
  <c r="H37" i="1"/>
  <c r="H38" i="1"/>
  <c r="H39" i="1"/>
  <c r="H40" i="1"/>
  <c r="H35" i="1"/>
  <c r="B35" i="1"/>
  <c r="B31" i="1"/>
  <c r="B30" i="1"/>
  <c r="B29" i="1"/>
  <c r="B28" i="1"/>
  <c r="I40" i="1"/>
  <c r="I39" i="1"/>
  <c r="I38" i="1"/>
  <c r="I37" i="1"/>
  <c r="I36" i="1"/>
  <c r="I35" i="1"/>
  <c r="I31" i="1"/>
  <c r="I30" i="1"/>
  <c r="I29" i="1"/>
  <c r="I28" i="1"/>
  <c r="I27" i="1"/>
  <c r="I26" i="1"/>
  <c r="I18" i="1"/>
  <c r="I19" i="1"/>
  <c r="I20" i="1"/>
  <c r="I21" i="1"/>
  <c r="I22" i="1"/>
  <c r="I17" i="1"/>
  <c r="B27" i="1"/>
  <c r="F27" i="1"/>
  <c r="F28" i="1"/>
  <c r="F29" i="1"/>
  <c r="F30" i="1"/>
  <c r="F31" i="1"/>
  <c r="F26" i="1"/>
  <c r="H27" i="1"/>
  <c r="H28" i="1"/>
  <c r="H29" i="1"/>
  <c r="H30" i="1"/>
  <c r="H31" i="1"/>
  <c r="H26" i="1"/>
  <c r="B26" i="1"/>
  <c r="B22" i="1"/>
  <c r="B21" i="1"/>
  <c r="F20" i="1"/>
  <c r="B20" i="1"/>
  <c r="B19" i="1"/>
  <c r="B18" i="1"/>
  <c r="F18" i="1"/>
  <c r="F19" i="1"/>
  <c r="F21" i="1"/>
  <c r="F22" i="1"/>
  <c r="H18" i="1"/>
  <c r="H19" i="1"/>
  <c r="H20" i="1"/>
  <c r="H21" i="1"/>
  <c r="H22" i="1"/>
  <c r="H17" i="1"/>
  <c r="F17" i="1"/>
  <c r="B17" i="1"/>
  <c r="AE24" i="6"/>
  <c r="AI24" i="6"/>
  <c r="AF24" i="6"/>
  <c r="AE29" i="6"/>
  <c r="AI29" i="6"/>
  <c r="AF29" i="6"/>
  <c r="AE28" i="6"/>
  <c r="AI28" i="6"/>
  <c r="AF28" i="6"/>
  <c r="AE18" i="6"/>
  <c r="AI18" i="6"/>
  <c r="AF18" i="6"/>
  <c r="AE39" i="6"/>
  <c r="AI39" i="6"/>
  <c r="AH9" i="6"/>
  <c r="AE37" i="6"/>
  <c r="AE38" i="6"/>
  <c r="AE40" i="6"/>
  <c r="AE41" i="6"/>
  <c r="AE42" i="6"/>
  <c r="AF37" i="6"/>
  <c r="AI37" i="6"/>
  <c r="AF38" i="6"/>
  <c r="AI38" i="6"/>
  <c r="AF39" i="6"/>
  <c r="AF40" i="6"/>
  <c r="AI40" i="6"/>
  <c r="AF41" i="6"/>
  <c r="AI41" i="6"/>
  <c r="AF42" i="6"/>
  <c r="AI42" i="6"/>
  <c r="AF36" i="6"/>
  <c r="AE36" i="6"/>
  <c r="AI36" i="6"/>
  <c r="AE6" i="6"/>
  <c r="AI6" i="6"/>
  <c r="AE7" i="6"/>
  <c r="AI7" i="6"/>
  <c r="AE8" i="6"/>
  <c r="AI8" i="6"/>
  <c r="AE9" i="6"/>
  <c r="AI9" i="6"/>
  <c r="AE10" i="6"/>
  <c r="AI10" i="6"/>
  <c r="AE11" i="6"/>
  <c r="AI11" i="6"/>
  <c r="AE13" i="6"/>
  <c r="AI13" i="6"/>
  <c r="AE14" i="6"/>
  <c r="AI14" i="6"/>
  <c r="AE15" i="6"/>
  <c r="AI15" i="6"/>
  <c r="AE16" i="6"/>
  <c r="AI16" i="6"/>
  <c r="AE17" i="6"/>
  <c r="AI17" i="6"/>
  <c r="AE21" i="6"/>
  <c r="AI21" i="6"/>
  <c r="AE22" i="6"/>
  <c r="AI22" i="6"/>
  <c r="AE23" i="6"/>
  <c r="AI23" i="6"/>
  <c r="AE27" i="6"/>
  <c r="AI27" i="6"/>
  <c r="AE32" i="6"/>
  <c r="AI32" i="6"/>
  <c r="AE5" i="6"/>
  <c r="AI5" i="6"/>
  <c r="AF6" i="6"/>
  <c r="AF7" i="6"/>
  <c r="AF8" i="6"/>
  <c r="AF9" i="6"/>
  <c r="AF10" i="6"/>
  <c r="AF11" i="6"/>
  <c r="AF13" i="6"/>
  <c r="AF14" i="6"/>
  <c r="AF15" i="6"/>
  <c r="AF16" i="6"/>
  <c r="AF17" i="6"/>
  <c r="AF21" i="6"/>
  <c r="AF22" i="6"/>
  <c r="AF23" i="6"/>
  <c r="AF27" i="6"/>
  <c r="AF32" i="6"/>
  <c r="AF5" i="6"/>
  <c r="J8" i="1"/>
  <c r="J9" i="1"/>
  <c r="J10" i="1"/>
  <c r="J11" i="1"/>
  <c r="J12" i="1"/>
  <c r="J7" i="1"/>
  <c r="B8" i="1"/>
  <c r="I8" i="1"/>
  <c r="B9" i="1"/>
  <c r="I9" i="1"/>
  <c r="B10" i="1"/>
  <c r="I10" i="1"/>
  <c r="B11" i="1"/>
  <c r="I11" i="1"/>
  <c r="B12" i="1"/>
  <c r="I12" i="1"/>
  <c r="B7" i="1"/>
  <c r="I7" i="1"/>
  <c r="L8" i="1"/>
  <c r="L9" i="1"/>
  <c r="L10" i="1"/>
  <c r="L11" i="1"/>
  <c r="L12" i="1"/>
  <c r="L7" i="1"/>
</calcChain>
</file>

<file path=xl/sharedStrings.xml><?xml version="1.0" encoding="utf-8"?>
<sst xmlns="http://schemas.openxmlformats.org/spreadsheetml/2006/main" count="316" uniqueCount="99">
  <si>
    <t>MCSA Preconditioning Analysis</t>
  </si>
  <si>
    <t>Problem 4</t>
  </si>
  <si>
    <t>Pins/Assembly</t>
  </si>
  <si>
    <t># Assemblies</t>
  </si>
  <si>
    <t>Radial Mesh</t>
  </si>
  <si>
    <t>Energy Groups</t>
  </si>
  <si>
    <t># DOFs</t>
  </si>
  <si>
    <t>PN Order</t>
  </si>
  <si>
    <t>SPN Order</t>
  </si>
  <si>
    <t>Axial Levels</t>
  </si>
  <si>
    <t># Cores</t>
  </si>
  <si>
    <t>Case Id</t>
  </si>
  <si>
    <t>CASE DEFINITIONS</t>
  </si>
  <si>
    <t>Eigenvalue Iters</t>
  </si>
  <si>
    <t>Eigenvalue</t>
  </si>
  <si>
    <t>ARNOLDI-BELOS-GMRES-ILUT</t>
  </si>
  <si>
    <t>Total GMRES Iters</t>
  </si>
  <si>
    <t>Solve Time (s)</t>
  </si>
  <si>
    <t>Total Time (s)</t>
  </si>
  <si>
    <t>ARNOLDI-BELOS-GMRES-AMG</t>
  </si>
  <si>
    <t>ARNOLDI-BELOS-GMRES-MGE</t>
  </si>
  <si>
    <t>Histories per Iteration</t>
  </si>
  <si>
    <t># Nodes</t>
  </si>
  <si>
    <t>DOFs per Core</t>
  </si>
  <si>
    <t>ARNOLDI-MCLS-MCSA-AINV</t>
  </si>
  <si>
    <t>Case 1</t>
  </si>
  <si>
    <t>Num Smooth</t>
  </si>
  <si>
    <t>Num Histories</t>
  </si>
  <si>
    <t>Parameter Studies for Sparse Approximate Inverse Preconditioning</t>
  </si>
  <si>
    <t>Threshold</t>
  </si>
  <si>
    <t>Levels</t>
  </si>
  <si>
    <t>DOFs = 717,876</t>
  </si>
  <si>
    <t>1 Iters</t>
  </si>
  <si>
    <t>1 time</t>
  </si>
  <si>
    <t>2 Iters</t>
  </si>
  <si>
    <t>2 time</t>
  </si>
  <si>
    <t>3 Iters</t>
  </si>
  <si>
    <t>3 time</t>
  </si>
  <si>
    <t>4 Iters</t>
  </si>
  <si>
    <t>4 time</t>
  </si>
  <si>
    <t>5 Iters</t>
  </si>
  <si>
    <t>5 time</t>
  </si>
  <si>
    <t>6 Iters</t>
  </si>
  <si>
    <t>6 time</t>
  </si>
  <si>
    <t>7 Iters</t>
  </si>
  <si>
    <t>7 time</t>
  </si>
  <si>
    <t>8 Iters</t>
  </si>
  <si>
    <t>8 time</t>
  </si>
  <si>
    <t>9 Iters</t>
  </si>
  <si>
    <t>9 time</t>
  </si>
  <si>
    <t>10 Iters</t>
  </si>
  <si>
    <t>10 time</t>
  </si>
  <si>
    <t>11 Iters</t>
  </si>
  <si>
    <t>11 time</t>
  </si>
  <si>
    <t>12 Iters</t>
  </si>
  <si>
    <t>12 time</t>
  </si>
  <si>
    <t>13 Iters</t>
  </si>
  <si>
    <t>13 time</t>
  </si>
  <si>
    <t>Total Iters</t>
  </si>
  <si>
    <t>Total Time</t>
  </si>
  <si>
    <t>Solve Time</t>
  </si>
  <si>
    <t>Prec Time</t>
  </si>
  <si>
    <t># Matvecs</t>
  </si>
  <si>
    <t>Richardson FP</t>
  </si>
  <si>
    <t>Total MCSA Iters</t>
  </si>
  <si>
    <t>Solve Fraction</t>
  </si>
  <si>
    <t>Smooth Steps</t>
  </si>
  <si>
    <t>Linear/Eigen</t>
  </si>
  <si>
    <t>ILUT Ratio</t>
  </si>
  <si>
    <t>AMG Ratio</t>
  </si>
  <si>
    <t>MGE Ratio</t>
  </si>
  <si>
    <t>MCSA SOLVE TIME RATIO</t>
  </si>
  <si>
    <t>MCSA TOTAL TIME RATIO</t>
  </si>
  <si>
    <t>Total Anderson Iters</t>
  </si>
  <si>
    <t>MM Time</t>
  </si>
  <si>
    <t>ARNOLDI-MCLS-ANDERSON(10)-MCSA-AINV</t>
  </si>
  <si>
    <t>MV Time</t>
  </si>
  <si>
    <t>Model Eval Time</t>
  </si>
  <si>
    <t>Anderson Overhead</t>
  </si>
  <si>
    <t>MC Time</t>
  </si>
  <si>
    <t>Other Solve Time</t>
  </si>
  <si>
    <t>Other Total Time</t>
  </si>
  <si>
    <t>ARNOLDI-MCLS-MCSA-AINV-Threshold</t>
  </si>
  <si>
    <t xml:space="preserve">        &lt;ParameterList name="ParaSails"&gt;</t>
  </si>
  <si>
    <t xml:space="preserve">          &lt;Parameter name="ParaSails: Threshold" type="double" value="0.05"/&gt;</t>
  </si>
  <si>
    <t xml:space="preserve">          &lt;Parameter name="ParaSails: Number of Levels" type="int" value="2"/&gt;</t>
  </si>
  <si>
    <t xml:space="preserve">          &lt;Parameter name="ParaSails: Filter" type="double" value="0.0"/&gt;</t>
  </si>
  <si>
    <t xml:space="preserve">          &lt;Parameter name="ParaSails: Symmetry" type="int" value="0"/&gt;</t>
  </si>
  <si>
    <t xml:space="preserve">          &lt;Parameter name="ParaSails: Load Balance" type="int" value="1"/&gt;</t>
  </si>
  <si>
    <t xml:space="preserve">        &lt;/ParameterList&gt;</t>
  </si>
  <si>
    <t>Parasails Settings:</t>
  </si>
  <si>
    <t>Setup Time (s)</t>
  </si>
  <si>
    <t>ILUT SOLVE RATIO</t>
  </si>
  <si>
    <t>ILUT TOTAL RATIO</t>
  </si>
  <si>
    <t>Total Richardson Iters</t>
  </si>
  <si>
    <t>ARNOLDI-MCLS-RICHARDSON-AINV</t>
  </si>
  <si>
    <t>MCSA Ratio</t>
  </si>
  <si>
    <t>FP Ratio</t>
  </si>
  <si>
    <t>Setup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</si>
</sst>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00000000"/>
    <numFmt numFmtId="165" formatCode="0.0000000000"/>
    <numFmt numFmtId="166" formatCode="0.0"/>
    <numFmt numFmtId="167" formatCode="0.000"/>
    <numFmt numFmtId="168" formatCode="0.0E+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scheme val="minor"/>
    </font>
    <font>
      <b/>
      <i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/>
    <xf numFmtId="3" fontId="0" fillId="0" borderId="0" xfId="0" applyNumberFormat="1" applyFont="1"/>
    <xf numFmtId="2" fontId="0" fillId="0" borderId="0" xfId="0" applyNumberFormat="1"/>
    <xf numFmtId="0" fontId="7" fillId="0" borderId="0" xfId="0" applyFont="1"/>
    <xf numFmtId="3" fontId="7" fillId="0" borderId="0" xfId="0" applyNumberFormat="1" applyFont="1"/>
    <xf numFmtId="2" fontId="7" fillId="0" borderId="0" xfId="0" applyNumberFormat="1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2" fontId="1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6" fillId="0" borderId="0" xfId="0" applyFont="1"/>
    <xf numFmtId="165" fontId="6" fillId="0" borderId="0" xfId="0" applyNumberFormat="1" applyFont="1"/>
    <xf numFmtId="167" fontId="6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168" fontId="0" fillId="0" borderId="0" xfId="0" applyNumberFormat="1"/>
    <xf numFmtId="168" fontId="0" fillId="0" borderId="0" xfId="0" applyNumberFormat="1" applyFont="1"/>
    <xf numFmtId="3" fontId="1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right"/>
    </xf>
    <xf numFmtId="0" fontId="9" fillId="0" borderId="0" xfId="0" applyFont="1"/>
    <xf numFmtId="168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3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3" fillId="0" borderId="0" xfId="0" applyNumberFormat="1" applyFont="1"/>
  </cellXfs>
  <cellStyles count="3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workbookViewId="0">
      <selection activeCell="M25" sqref="M25"/>
    </sheetView>
  </sheetViews>
  <sheetFormatPr baseColWidth="10" defaultRowHeight="15" x14ac:dyDescent="0"/>
  <cols>
    <col min="1" max="1" width="10" customWidth="1"/>
    <col min="2" max="2" width="18.1640625" bestFit="1" customWidth="1"/>
    <col min="3" max="3" width="14.5" bestFit="1" customWidth="1"/>
    <col min="4" max="4" width="15" bestFit="1" customWidth="1"/>
    <col min="5" max="5" width="13.33203125" bestFit="1" customWidth="1"/>
    <col min="6" max="6" width="14.6640625" customWidth="1"/>
    <col min="7" max="7" width="12.5" bestFit="1" customWidth="1"/>
    <col min="8" max="8" width="10.83203125" bestFit="1" customWidth="1"/>
    <col min="9" max="9" width="11.6640625" bestFit="1" customWidth="1"/>
    <col min="10" max="10" width="11" bestFit="1" customWidth="1"/>
    <col min="11" max="11" width="10" bestFit="1" customWidth="1"/>
    <col min="12" max="12" width="13.1640625" bestFit="1" customWidth="1"/>
    <col min="13" max="13" width="19.5" bestFit="1" customWidth="1"/>
    <col min="14" max="14" width="17.83203125" bestFit="1" customWidth="1"/>
    <col min="15" max="15" width="19.5" bestFit="1" customWidth="1"/>
    <col min="16" max="16" width="15.5" bestFit="1" customWidth="1"/>
    <col min="17" max="17" width="15.33203125" bestFit="1" customWidth="1"/>
    <col min="18" max="18" width="15.5" bestFit="1" customWidth="1"/>
  </cols>
  <sheetData>
    <row r="1" spans="1:12">
      <c r="A1" s="2" t="s">
        <v>0</v>
      </c>
    </row>
    <row r="3" spans="1:12">
      <c r="A3" s="3" t="s">
        <v>1</v>
      </c>
    </row>
    <row r="5" spans="1:12">
      <c r="A5" s="3" t="s">
        <v>12</v>
      </c>
    </row>
    <row r="6" spans="1:12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22</v>
      </c>
      <c r="L6" s="1" t="s">
        <v>23</v>
      </c>
    </row>
    <row r="7" spans="1:12">
      <c r="A7" s="5">
        <v>1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1</v>
      </c>
      <c r="I7" s="4">
        <f>B7*C7*D7*D7*E7*(H7+2)*(F7+1)/2</f>
        <v>717876</v>
      </c>
      <c r="J7">
        <f>K7*16</f>
        <v>32</v>
      </c>
      <c r="K7">
        <v>2</v>
      </c>
      <c r="L7" s="4">
        <f>I7/J7</f>
        <v>22433.625</v>
      </c>
    </row>
    <row r="8" spans="1:12">
      <c r="A8" s="5">
        <v>2</v>
      </c>
      <c r="B8">
        <f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5</v>
      </c>
      <c r="I8" s="4">
        <f t="shared" ref="I8:I12" si="0">B8*C8*D8*D8*E8*(H8+2)*(F8+1)/2</f>
        <v>1675044</v>
      </c>
      <c r="J8">
        <f t="shared" ref="J8:J12" si="1">K8*16</f>
        <v>64</v>
      </c>
      <c r="K8">
        <v>4</v>
      </c>
      <c r="L8" s="4">
        <f t="shared" ref="L8:L12" si="2">I8/J8</f>
        <v>26172.5625</v>
      </c>
    </row>
    <row r="9" spans="1:12">
      <c r="A9" s="5">
        <v>3</v>
      </c>
      <c r="B9">
        <f t="shared" ref="B9:B12" si="3">17*17</f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10</v>
      </c>
      <c r="I9" s="4">
        <f t="shared" si="0"/>
        <v>2871504</v>
      </c>
      <c r="J9">
        <f t="shared" si="1"/>
        <v>128</v>
      </c>
      <c r="K9">
        <v>8</v>
      </c>
      <c r="L9" s="4">
        <f t="shared" si="2"/>
        <v>22433.625</v>
      </c>
    </row>
    <row r="10" spans="1:12">
      <c r="A10" s="5">
        <v>4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25</v>
      </c>
      <c r="I10" s="4">
        <f t="shared" si="0"/>
        <v>6460884</v>
      </c>
      <c r="J10">
        <f t="shared" si="1"/>
        <v>256</v>
      </c>
      <c r="K10">
        <v>16</v>
      </c>
      <c r="L10" s="4">
        <f t="shared" si="2"/>
        <v>25237.828125</v>
      </c>
    </row>
    <row r="11" spans="1:12">
      <c r="A11" s="5">
        <v>5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50</v>
      </c>
      <c r="I11" s="4">
        <f t="shared" si="0"/>
        <v>12443184</v>
      </c>
      <c r="J11">
        <f t="shared" si="1"/>
        <v>496</v>
      </c>
      <c r="K11">
        <v>31</v>
      </c>
      <c r="L11" s="4">
        <f t="shared" si="2"/>
        <v>25087.064516129034</v>
      </c>
    </row>
    <row r="12" spans="1:12">
      <c r="A12" s="5">
        <v>6</v>
      </c>
      <c r="B12">
        <f t="shared" si="3"/>
        <v>289</v>
      </c>
      <c r="C12">
        <v>9</v>
      </c>
      <c r="D12">
        <v>2</v>
      </c>
      <c r="E12">
        <v>23</v>
      </c>
      <c r="F12">
        <v>1</v>
      </c>
      <c r="G12">
        <v>1</v>
      </c>
      <c r="H12">
        <v>100</v>
      </c>
      <c r="I12" s="4">
        <f t="shared" si="0"/>
        <v>24407784</v>
      </c>
      <c r="J12">
        <f t="shared" si="1"/>
        <v>976</v>
      </c>
      <c r="K12">
        <v>61</v>
      </c>
      <c r="L12" s="4">
        <f t="shared" si="2"/>
        <v>25007.975409836065</v>
      </c>
    </row>
    <row r="15" spans="1:12">
      <c r="A15" s="3" t="s">
        <v>15</v>
      </c>
    </row>
    <row r="16" spans="1:12">
      <c r="A16" s="1" t="s">
        <v>11</v>
      </c>
      <c r="B16" s="1" t="s">
        <v>16</v>
      </c>
      <c r="C16" s="1" t="s">
        <v>13</v>
      </c>
      <c r="D16" s="1" t="s">
        <v>14</v>
      </c>
      <c r="E16" s="1" t="s">
        <v>65</v>
      </c>
      <c r="F16" s="1" t="s">
        <v>17</v>
      </c>
      <c r="G16" s="1" t="s">
        <v>18</v>
      </c>
      <c r="H16" s="1" t="s">
        <v>62</v>
      </c>
      <c r="I16" s="1" t="s">
        <v>67</v>
      </c>
    </row>
    <row r="17" spans="1:9">
      <c r="A17" s="6">
        <v>1</v>
      </c>
      <c r="B17">
        <f>35*12 +34</f>
        <v>454</v>
      </c>
      <c r="C17">
        <v>13</v>
      </c>
      <c r="D17" s="13">
        <v>1.1241137236000001</v>
      </c>
      <c r="E17">
        <v>0.93286000000000002</v>
      </c>
      <c r="F17" s="18">
        <f>E17*G17</f>
        <v>4.2617709100000001</v>
      </c>
      <c r="G17" s="18">
        <v>4.5685000000000002</v>
      </c>
      <c r="H17">
        <f>B17</f>
        <v>454</v>
      </c>
      <c r="I17" s="16">
        <f>B17/C17</f>
        <v>34.92307692307692</v>
      </c>
    </row>
    <row r="18" spans="1:9">
      <c r="A18" s="6">
        <v>2</v>
      </c>
      <c r="B18">
        <f>37*20+2*36+39+40+40+40</f>
        <v>971</v>
      </c>
      <c r="C18">
        <v>26</v>
      </c>
      <c r="D18" s="13">
        <v>1.1217344600000001</v>
      </c>
      <c r="E18">
        <v>0.95123000000000002</v>
      </c>
      <c r="F18" s="18">
        <f t="shared" ref="F18:F22" si="4">E18*G18</f>
        <v>11.73437328</v>
      </c>
      <c r="G18" s="18">
        <v>12.336</v>
      </c>
      <c r="H18">
        <f t="shared" ref="H18:H22" si="5">B18</f>
        <v>971</v>
      </c>
      <c r="I18" s="16">
        <f t="shared" ref="I18:I22" si="6">B18/C18</f>
        <v>37.346153846153847</v>
      </c>
    </row>
    <row r="19" spans="1:9">
      <c r="A19" s="6">
        <v>3</v>
      </c>
      <c r="B19">
        <f>41*7+42*2+41*5+42*4+41+42*3+44+44+43+44</f>
        <v>1086</v>
      </c>
      <c r="C19">
        <v>26</v>
      </c>
      <c r="D19" s="13">
        <v>1.1216287766999999</v>
      </c>
      <c r="E19">
        <v>0.95077999999999996</v>
      </c>
      <c r="F19" s="18">
        <f t="shared" si="4"/>
        <v>12.45426722</v>
      </c>
      <c r="G19" s="18">
        <v>13.099</v>
      </c>
      <c r="H19">
        <f t="shared" si="5"/>
        <v>1086</v>
      </c>
      <c r="I19" s="16">
        <f t="shared" si="6"/>
        <v>41.769230769230766</v>
      </c>
    </row>
    <row r="20" spans="1:9">
      <c r="A20" s="6">
        <v>4</v>
      </c>
      <c r="B20">
        <f>46*16+47+46*5+49*4</f>
        <v>1209</v>
      </c>
      <c r="C20">
        <v>26</v>
      </c>
      <c r="D20" s="13">
        <v>1.1215954205000001</v>
      </c>
      <c r="E20">
        <v>0.95526999999999995</v>
      </c>
      <c r="F20" s="18">
        <f t="shared" si="4"/>
        <v>18.142487840000001</v>
      </c>
      <c r="G20" s="18">
        <v>18.992000000000001</v>
      </c>
      <c r="H20">
        <f t="shared" si="5"/>
        <v>1209</v>
      </c>
      <c r="I20" s="16">
        <f t="shared" si="6"/>
        <v>46.5</v>
      </c>
    </row>
    <row r="21" spans="1:9">
      <c r="A21" s="6">
        <v>5</v>
      </c>
      <c r="B21">
        <f>55+56*21+59*3+60</f>
        <v>1468</v>
      </c>
      <c r="C21">
        <v>26</v>
      </c>
      <c r="D21" s="13">
        <v>1.1215878639000001</v>
      </c>
      <c r="E21">
        <v>0.96220000000000006</v>
      </c>
      <c r="F21" s="18">
        <f t="shared" si="4"/>
        <v>27.160019400000003</v>
      </c>
      <c r="G21" s="18">
        <v>28.227</v>
      </c>
      <c r="H21">
        <f t="shared" si="5"/>
        <v>1468</v>
      </c>
      <c r="I21" s="16">
        <f t="shared" si="6"/>
        <v>56.46153846153846</v>
      </c>
    </row>
    <row r="22" spans="1:9">
      <c r="A22" s="6">
        <v>6</v>
      </c>
      <c r="B22">
        <f>78*4+79*3+78*3+79+78+78+79*3+78+79*5+82+84+84+83</f>
        <v>2061</v>
      </c>
      <c r="C22">
        <v>26</v>
      </c>
      <c r="D22" s="13">
        <v>1.1215846503</v>
      </c>
      <c r="E22">
        <v>0.97236999999999996</v>
      </c>
      <c r="F22" s="18">
        <f t="shared" si="4"/>
        <v>44.216581009999999</v>
      </c>
      <c r="G22" s="18">
        <v>45.472999999999999</v>
      </c>
      <c r="H22">
        <f t="shared" si="5"/>
        <v>2061</v>
      </c>
      <c r="I22" s="16">
        <f t="shared" si="6"/>
        <v>79.269230769230774</v>
      </c>
    </row>
    <row r="23" spans="1:9">
      <c r="F23" s="18"/>
      <c r="G23" s="18"/>
    </row>
    <row r="24" spans="1:9">
      <c r="A24" s="3" t="s">
        <v>19</v>
      </c>
      <c r="F24" s="18"/>
      <c r="G24" s="18"/>
    </row>
    <row r="25" spans="1:9">
      <c r="A25" s="1" t="s">
        <v>11</v>
      </c>
      <c r="B25" s="1" t="s">
        <v>16</v>
      </c>
      <c r="C25" s="1" t="s">
        <v>13</v>
      </c>
      <c r="D25" s="1" t="s">
        <v>14</v>
      </c>
      <c r="E25" s="1" t="s">
        <v>65</v>
      </c>
      <c r="F25" s="19" t="s">
        <v>17</v>
      </c>
      <c r="G25" s="19" t="s">
        <v>18</v>
      </c>
      <c r="H25" s="1" t="s">
        <v>62</v>
      </c>
      <c r="I25" s="1" t="s">
        <v>67</v>
      </c>
    </row>
    <row r="26" spans="1:9">
      <c r="A26" s="6">
        <v>1</v>
      </c>
      <c r="B26">
        <f>13*16-5</f>
        <v>203</v>
      </c>
      <c r="C26">
        <v>13</v>
      </c>
      <c r="D26" s="14">
        <v>1.1241137634</v>
      </c>
      <c r="E26">
        <v>0.97023999999999999</v>
      </c>
      <c r="F26" s="18">
        <f>E26*G26</f>
        <v>9.9226444800000007</v>
      </c>
      <c r="G26" s="18">
        <v>10.227</v>
      </c>
      <c r="H26">
        <f>B26</f>
        <v>203</v>
      </c>
      <c r="I26" s="16">
        <f>B26/C26</f>
        <v>15.615384615384615</v>
      </c>
    </row>
    <row r="27" spans="1:9">
      <c r="A27" s="6">
        <v>2</v>
      </c>
      <c r="B27">
        <f>20+20+21+22*19+23*4</f>
        <v>571</v>
      </c>
      <c r="C27">
        <v>26</v>
      </c>
      <c r="D27" s="14">
        <v>1.1217344214</v>
      </c>
      <c r="E27">
        <v>0.98648999999999998</v>
      </c>
      <c r="F27" s="18">
        <f t="shared" ref="F27:F31" si="7">E27*G27</f>
        <v>44.027048700000002</v>
      </c>
      <c r="G27" s="18">
        <v>44.63</v>
      </c>
      <c r="H27">
        <f t="shared" ref="H27:H31" si="8">B27</f>
        <v>571</v>
      </c>
      <c r="I27" s="16">
        <f t="shared" ref="I27:I31" si="9">B27/C27</f>
        <v>21.96153846153846</v>
      </c>
    </row>
    <row r="28" spans="1:9">
      <c r="A28" s="6">
        <v>3</v>
      </c>
      <c r="B28">
        <f>22+22+23*5+24*2+23+24+23*4+24*2+23*5+24*4</f>
        <v>605</v>
      </c>
      <c r="C28">
        <v>26</v>
      </c>
      <c r="D28" s="14">
        <v>1.1216288163999999</v>
      </c>
      <c r="E28">
        <v>0.98626999999999998</v>
      </c>
      <c r="F28" s="18">
        <f t="shared" si="7"/>
        <v>46.137710599999998</v>
      </c>
      <c r="G28" s="18">
        <v>46.78</v>
      </c>
      <c r="H28">
        <f t="shared" si="8"/>
        <v>605</v>
      </c>
      <c r="I28" s="16">
        <f t="shared" si="9"/>
        <v>23.26923076923077</v>
      </c>
    </row>
    <row r="29" spans="1:9">
      <c r="A29" s="6">
        <v>4</v>
      </c>
      <c r="B29">
        <f>22*3+23*19+24*4</f>
        <v>599</v>
      </c>
      <c r="C29">
        <v>26</v>
      </c>
      <c r="D29" s="14">
        <v>1.1215954267999999</v>
      </c>
      <c r="E29">
        <v>0.98616999999999999</v>
      </c>
      <c r="F29" s="18">
        <f t="shared" si="7"/>
        <v>60.454193339999996</v>
      </c>
      <c r="G29" s="18">
        <v>61.302</v>
      </c>
      <c r="H29">
        <f t="shared" si="8"/>
        <v>599</v>
      </c>
      <c r="I29" s="16">
        <f t="shared" si="9"/>
        <v>23.03846153846154</v>
      </c>
    </row>
    <row r="30" spans="1:9">
      <c r="A30" s="6">
        <v>5</v>
      </c>
      <c r="B30">
        <f>21*2+22*20+23*4</f>
        <v>574</v>
      </c>
      <c r="C30">
        <v>26</v>
      </c>
      <c r="D30" s="14">
        <v>1.1215878622</v>
      </c>
      <c r="E30">
        <v>0.98448000000000002</v>
      </c>
      <c r="F30" s="18">
        <f t="shared" si="7"/>
        <v>70.287934079999999</v>
      </c>
      <c r="G30" s="18">
        <v>71.396000000000001</v>
      </c>
      <c r="H30">
        <f t="shared" si="8"/>
        <v>574</v>
      </c>
      <c r="I30" s="16">
        <f t="shared" si="9"/>
        <v>22.076923076923077</v>
      </c>
    </row>
    <row r="31" spans="1:9">
      <c r="A31" s="6">
        <v>6</v>
      </c>
      <c r="B31">
        <f>24*22+25*4</f>
        <v>628</v>
      </c>
      <c r="C31">
        <v>26</v>
      </c>
      <c r="D31" s="14">
        <v>1.1215846811000001</v>
      </c>
      <c r="E31">
        <v>0.98601000000000005</v>
      </c>
      <c r="F31" s="18">
        <f t="shared" si="7"/>
        <v>84.777139800000015</v>
      </c>
      <c r="G31" s="18">
        <v>85.98</v>
      </c>
      <c r="H31">
        <f t="shared" si="8"/>
        <v>628</v>
      </c>
      <c r="I31" s="16">
        <f t="shared" si="9"/>
        <v>24.153846153846153</v>
      </c>
    </row>
    <row r="32" spans="1:9">
      <c r="D32" s="14"/>
      <c r="F32" s="18"/>
      <c r="G32" s="18"/>
    </row>
    <row r="33" spans="1:16">
      <c r="A33" s="3" t="s">
        <v>20</v>
      </c>
      <c r="D33" s="14"/>
      <c r="F33" s="18"/>
      <c r="G33" s="18"/>
    </row>
    <row r="34" spans="1:16">
      <c r="A34" s="1" t="s">
        <v>11</v>
      </c>
      <c r="B34" s="1" t="s">
        <v>16</v>
      </c>
      <c r="C34" s="1" t="s">
        <v>13</v>
      </c>
      <c r="D34" s="15" t="s">
        <v>14</v>
      </c>
      <c r="E34" s="1" t="s">
        <v>65</v>
      </c>
      <c r="F34" s="19" t="s">
        <v>17</v>
      </c>
      <c r="G34" s="19" t="s">
        <v>18</v>
      </c>
      <c r="H34" s="1" t="s">
        <v>62</v>
      </c>
      <c r="I34" s="1" t="s">
        <v>67</v>
      </c>
    </row>
    <row r="35" spans="1:16">
      <c r="A35" s="6">
        <v>1</v>
      </c>
      <c r="B35">
        <f>13*13-3</f>
        <v>166</v>
      </c>
      <c r="C35">
        <v>13</v>
      </c>
      <c r="D35" s="14">
        <v>1.1241137896</v>
      </c>
      <c r="E35">
        <v>0.90800999999999998</v>
      </c>
      <c r="F35" s="18">
        <f>E35*G35</f>
        <v>7.386933753000001</v>
      </c>
      <c r="G35" s="18">
        <v>8.1353000000000009</v>
      </c>
      <c r="H35">
        <f>B35</f>
        <v>166</v>
      </c>
      <c r="I35" s="16">
        <f>B35/C35</f>
        <v>12.76923076923077</v>
      </c>
    </row>
    <row r="36" spans="1:16">
      <c r="A36" s="6">
        <v>2</v>
      </c>
      <c r="B36">
        <f>22*13+4*14</f>
        <v>342</v>
      </c>
      <c r="C36">
        <v>26</v>
      </c>
      <c r="D36" s="14">
        <v>1.1217344198999999</v>
      </c>
      <c r="E36">
        <v>0.94874999999999998</v>
      </c>
      <c r="F36" s="18">
        <f t="shared" ref="F36:F40" si="10">E36*G36</f>
        <v>26.007134999999998</v>
      </c>
      <c r="G36" s="18">
        <v>27.411999999999999</v>
      </c>
      <c r="H36">
        <f t="shared" ref="H36:H40" si="11">B36</f>
        <v>342</v>
      </c>
      <c r="I36" s="16">
        <f t="shared" ref="I36:I40" si="12">B36/C36</f>
        <v>13.153846153846153</v>
      </c>
    </row>
    <row r="37" spans="1:16">
      <c r="A37" s="6">
        <v>3</v>
      </c>
      <c r="B37">
        <f>22*14+4*15</f>
        <v>368</v>
      </c>
      <c r="C37">
        <v>26</v>
      </c>
      <c r="D37" s="14">
        <v>1.1216288096</v>
      </c>
      <c r="E37">
        <v>0.94979000000000002</v>
      </c>
      <c r="F37" s="18">
        <f t="shared" si="10"/>
        <v>27.76141191</v>
      </c>
      <c r="G37" s="18">
        <v>29.228999999999999</v>
      </c>
      <c r="H37">
        <f t="shared" si="11"/>
        <v>368</v>
      </c>
      <c r="I37" s="16">
        <f t="shared" si="12"/>
        <v>14.153846153846153</v>
      </c>
    </row>
    <row r="38" spans="1:16">
      <c r="A38" s="6">
        <v>4</v>
      </c>
      <c r="B38">
        <f>22*15+4*16</f>
        <v>394</v>
      </c>
      <c r="C38">
        <v>26</v>
      </c>
      <c r="D38" s="14">
        <v>1.1215954239999999</v>
      </c>
      <c r="E38">
        <v>0.95282</v>
      </c>
      <c r="F38" s="18">
        <f t="shared" si="10"/>
        <v>39.051327700000002</v>
      </c>
      <c r="G38" s="18">
        <v>40.984999999999999</v>
      </c>
      <c r="H38">
        <f t="shared" si="11"/>
        <v>394</v>
      </c>
      <c r="I38" s="16">
        <f t="shared" si="12"/>
        <v>15.153846153846153</v>
      </c>
    </row>
    <row r="39" spans="1:16">
      <c r="A39" s="6">
        <v>5</v>
      </c>
      <c r="B39">
        <f>17*22+4*18</f>
        <v>446</v>
      </c>
      <c r="C39">
        <v>26</v>
      </c>
      <c r="D39" s="14">
        <v>1.1215878505000001</v>
      </c>
      <c r="E39">
        <v>0.95179999999999998</v>
      </c>
      <c r="F39" s="18">
        <f t="shared" si="10"/>
        <v>50.965082799999998</v>
      </c>
      <c r="G39" s="18">
        <v>53.545999999999999</v>
      </c>
      <c r="H39">
        <f t="shared" si="11"/>
        <v>446</v>
      </c>
      <c r="I39" s="16">
        <f t="shared" si="12"/>
        <v>17.153846153846153</v>
      </c>
    </row>
    <row r="40" spans="1:16">
      <c r="A40" s="6">
        <v>6</v>
      </c>
      <c r="B40">
        <f>4*25+5*26+8*25+2*26+3*25+4*27</f>
        <v>665</v>
      </c>
      <c r="C40">
        <v>26</v>
      </c>
      <c r="D40" s="14">
        <v>1.1215846624000001</v>
      </c>
      <c r="E40">
        <v>0.96862999999999999</v>
      </c>
      <c r="F40" s="18">
        <f t="shared" si="10"/>
        <v>78.081264300000001</v>
      </c>
      <c r="G40" s="18">
        <v>80.61</v>
      </c>
      <c r="H40">
        <f t="shared" si="11"/>
        <v>665</v>
      </c>
      <c r="I40" s="16">
        <f t="shared" si="12"/>
        <v>25.576923076923077</v>
      </c>
    </row>
    <row r="41" spans="1:16">
      <c r="D41" s="14"/>
      <c r="F41" s="18"/>
      <c r="G41" s="18"/>
    </row>
    <row r="42" spans="1:16">
      <c r="A42" s="3" t="s">
        <v>24</v>
      </c>
      <c r="D42" s="14"/>
      <c r="F42" s="18"/>
      <c r="G42" s="18"/>
    </row>
    <row r="43" spans="1:16">
      <c r="A43" s="1" t="s">
        <v>11</v>
      </c>
      <c r="B43" s="1" t="s">
        <v>64</v>
      </c>
      <c r="C43" s="20" t="s">
        <v>13</v>
      </c>
      <c r="D43" s="21" t="s">
        <v>14</v>
      </c>
      <c r="E43" s="20" t="s">
        <v>67</v>
      </c>
      <c r="F43" s="20" t="s">
        <v>60</v>
      </c>
      <c r="G43" s="22" t="s">
        <v>74</v>
      </c>
      <c r="H43" s="22" t="s">
        <v>76</v>
      </c>
      <c r="I43" s="1" t="s">
        <v>79</v>
      </c>
      <c r="J43" s="20" t="s">
        <v>61</v>
      </c>
      <c r="K43" s="20" t="s">
        <v>59</v>
      </c>
      <c r="L43" s="20" t="s">
        <v>62</v>
      </c>
      <c r="M43" s="20" t="s">
        <v>21</v>
      </c>
      <c r="N43" s="20" t="s">
        <v>66</v>
      </c>
      <c r="O43" s="20" t="s">
        <v>81</v>
      </c>
      <c r="P43" s="20" t="s">
        <v>80</v>
      </c>
    </row>
    <row r="44" spans="1:16">
      <c r="A44" s="6">
        <v>2</v>
      </c>
      <c r="B44">
        <v>711</v>
      </c>
      <c r="C44">
        <v>26</v>
      </c>
      <c r="D44" s="14">
        <v>1.1217344145999999</v>
      </c>
      <c r="E44" s="9">
        <f t="shared" ref="E44:E48" si="13">B44/C44</f>
        <v>27.346153846153847</v>
      </c>
      <c r="F44" s="18">
        <v>64.707999999999998</v>
      </c>
      <c r="G44" s="18">
        <v>3.3100999999999998</v>
      </c>
      <c r="H44">
        <v>23.943999999999999</v>
      </c>
      <c r="I44">
        <v>34.83</v>
      </c>
      <c r="J44" s="16">
        <v>27.872</v>
      </c>
      <c r="K44" s="9">
        <v>107.22</v>
      </c>
      <c r="L44">
        <f>5818/2</f>
        <v>2909</v>
      </c>
      <c r="M44" s="4">
        <v>168000</v>
      </c>
      <c r="N44">
        <v>3</v>
      </c>
      <c r="O44" s="18">
        <f>K44-J44-I44-H44-G44</f>
        <v>17.263900000000003</v>
      </c>
      <c r="P44" s="18">
        <f>F44-G44-H44-I44</f>
        <v>2.6239000000000061</v>
      </c>
    </row>
    <row r="45" spans="1:16">
      <c r="A45" s="6">
        <v>3</v>
      </c>
      <c r="B45">
        <v>764</v>
      </c>
      <c r="C45">
        <v>26</v>
      </c>
      <c r="D45" s="14">
        <v>1.1216288072</v>
      </c>
      <c r="E45" s="9">
        <f t="shared" si="13"/>
        <v>29.384615384615383</v>
      </c>
      <c r="F45" s="18">
        <v>74.084000000000003</v>
      </c>
      <c r="G45" s="18">
        <v>3.7820999999999998</v>
      </c>
      <c r="H45">
        <v>27.8</v>
      </c>
      <c r="I45">
        <v>39.853999999999999</v>
      </c>
      <c r="J45" s="16">
        <v>28.085000000000001</v>
      </c>
      <c r="K45" s="9">
        <v>120.02</v>
      </c>
      <c r="L45">
        <f>6242/2</f>
        <v>3121</v>
      </c>
      <c r="M45" s="4">
        <v>288000</v>
      </c>
      <c r="N45">
        <v>3</v>
      </c>
      <c r="O45" s="18">
        <f t="shared" ref="O45:O48" si="14">K45-J45-I45-H45-G45</f>
        <v>20.498900000000003</v>
      </c>
      <c r="P45" s="18">
        <f t="shared" ref="P45:P48" si="15">F45-G45-H45-I45</f>
        <v>2.647900000000007</v>
      </c>
    </row>
    <row r="46" spans="1:16">
      <c r="A46" s="6">
        <v>4</v>
      </c>
      <c r="B46">
        <v>684</v>
      </c>
      <c r="C46">
        <v>26</v>
      </c>
      <c r="D46" s="14">
        <v>1.1215954282</v>
      </c>
      <c r="E46" s="9">
        <f t="shared" si="13"/>
        <v>26.307692307692307</v>
      </c>
      <c r="F46" s="18">
        <v>88.769000000000005</v>
      </c>
      <c r="G46" s="18">
        <v>5.5461</v>
      </c>
      <c r="H46">
        <v>34.582000000000001</v>
      </c>
      <c r="I46">
        <v>46.82</v>
      </c>
      <c r="J46" s="16">
        <v>35.841000000000001</v>
      </c>
      <c r="K46" s="9">
        <v>151.57</v>
      </c>
      <c r="L46">
        <f>5602/2</f>
        <v>2801</v>
      </c>
      <c r="M46" s="4">
        <v>646000</v>
      </c>
      <c r="N46">
        <v>3</v>
      </c>
      <c r="O46" s="18">
        <f t="shared" si="14"/>
        <v>28.780899999999992</v>
      </c>
      <c r="P46" s="18">
        <f t="shared" si="15"/>
        <v>1.8209000000000088</v>
      </c>
    </row>
    <row r="47" spans="1:16">
      <c r="A47" s="6">
        <v>5</v>
      </c>
      <c r="D47" s="14"/>
      <c r="E47" s="9" t="e">
        <f t="shared" si="13"/>
        <v>#DIV/0!</v>
      </c>
      <c r="G47" s="18"/>
      <c r="J47" s="16"/>
      <c r="K47" s="9"/>
      <c r="M47" s="4">
        <v>1245000</v>
      </c>
      <c r="N47">
        <v>3</v>
      </c>
      <c r="O47" s="18">
        <f t="shared" si="14"/>
        <v>0</v>
      </c>
      <c r="P47" s="18">
        <f t="shared" si="15"/>
        <v>0</v>
      </c>
    </row>
    <row r="48" spans="1:16">
      <c r="A48" s="6">
        <v>6</v>
      </c>
      <c r="D48" s="14"/>
      <c r="E48" s="9" t="e">
        <f t="shared" si="13"/>
        <v>#DIV/0!</v>
      </c>
      <c r="G48" s="18"/>
      <c r="J48" s="16"/>
      <c r="K48" s="9"/>
      <c r="M48" s="4">
        <v>2440000</v>
      </c>
      <c r="N48">
        <v>3</v>
      </c>
      <c r="O48" s="18">
        <f t="shared" si="14"/>
        <v>0</v>
      </c>
      <c r="P48" s="18">
        <f t="shared" si="15"/>
        <v>0</v>
      </c>
    </row>
    <row r="49" spans="1:18">
      <c r="D49" s="14"/>
      <c r="E49" s="9"/>
    </row>
    <row r="50" spans="1:18">
      <c r="D50" s="14"/>
      <c r="E50" s="9"/>
    </row>
    <row r="51" spans="1:18">
      <c r="A51" s="3" t="s">
        <v>75</v>
      </c>
      <c r="D51" s="14"/>
      <c r="E51" s="9"/>
      <c r="F51" s="18"/>
      <c r="G51" s="18"/>
    </row>
    <row r="52" spans="1:18">
      <c r="A52" s="1" t="s">
        <v>11</v>
      </c>
      <c r="B52" s="1" t="s">
        <v>73</v>
      </c>
      <c r="C52" s="1" t="s">
        <v>13</v>
      </c>
      <c r="D52" s="15" t="s">
        <v>14</v>
      </c>
      <c r="E52" s="17" t="s">
        <v>67</v>
      </c>
      <c r="F52" s="1" t="s">
        <v>60</v>
      </c>
      <c r="G52" s="19" t="s">
        <v>74</v>
      </c>
      <c r="H52" s="19" t="s">
        <v>76</v>
      </c>
      <c r="I52" s="1" t="s">
        <v>79</v>
      </c>
      <c r="J52" s="20" t="s">
        <v>61</v>
      </c>
      <c r="K52" s="20" t="s">
        <v>59</v>
      </c>
      <c r="L52" s="20" t="s">
        <v>62</v>
      </c>
      <c r="M52" s="1" t="s">
        <v>77</v>
      </c>
      <c r="N52" s="1" t="s">
        <v>78</v>
      </c>
      <c r="O52" s="1" t="s">
        <v>21</v>
      </c>
      <c r="P52" s="1" t="s">
        <v>66</v>
      </c>
      <c r="Q52" s="1" t="s">
        <v>81</v>
      </c>
      <c r="R52" s="1" t="s">
        <v>80</v>
      </c>
    </row>
    <row r="53" spans="1:18">
      <c r="A53" s="6">
        <v>2</v>
      </c>
      <c r="B53">
        <v>866</v>
      </c>
      <c r="C53">
        <v>26</v>
      </c>
      <c r="D53" s="14">
        <v>1.1217344024</v>
      </c>
      <c r="E53" s="9">
        <f>B53/C53</f>
        <v>33.307692307692307</v>
      </c>
      <c r="F53" s="18">
        <v>46.622</v>
      </c>
      <c r="G53" s="18">
        <v>2.6263000000000001</v>
      </c>
      <c r="H53">
        <v>30.36</v>
      </c>
      <c r="I53">
        <v>4.5391000000000004</v>
      </c>
      <c r="J53" s="9">
        <v>9.9009</v>
      </c>
      <c r="K53" s="9">
        <v>68.63</v>
      </c>
      <c r="L53" s="4">
        <f>8686/2</f>
        <v>4343</v>
      </c>
      <c r="M53">
        <v>36.378999999999998</v>
      </c>
      <c r="N53" s="9">
        <f>F53-M53</f>
        <v>10.243000000000002</v>
      </c>
      <c r="O53" s="4">
        <v>168000</v>
      </c>
      <c r="P53">
        <v>3</v>
      </c>
      <c r="Q53" s="18">
        <f>K53-J53-I53-H53-G53</f>
        <v>21.203699999999998</v>
      </c>
      <c r="R53" s="18">
        <f>F53-G53-H53-I53</f>
        <v>9.0965999999999987</v>
      </c>
    </row>
    <row r="54" spans="1:18">
      <c r="A54" s="6">
        <v>3</v>
      </c>
      <c r="B54">
        <v>895</v>
      </c>
      <c r="C54">
        <v>26</v>
      </c>
      <c r="D54" s="14">
        <v>1.1216287280999999</v>
      </c>
      <c r="E54" s="9">
        <f>B54/C54</f>
        <v>34.42307692307692</v>
      </c>
      <c r="F54" s="18">
        <v>49.704000000000001</v>
      </c>
      <c r="G54" s="18">
        <v>2.9609999999999999</v>
      </c>
      <c r="H54">
        <v>32.700000000000003</v>
      </c>
      <c r="I54">
        <v>4.4458000000000002</v>
      </c>
      <c r="J54" s="9">
        <v>9.9656000000000002</v>
      </c>
      <c r="K54" s="9">
        <v>74.040000000000006</v>
      </c>
      <c r="L54" s="4">
        <f>8976/2</f>
        <v>4488</v>
      </c>
      <c r="M54">
        <v>39.040999999999997</v>
      </c>
      <c r="N54" s="9">
        <f t="shared" ref="N54:N57" si="16">F54-M54</f>
        <v>10.663000000000004</v>
      </c>
      <c r="O54" s="4">
        <v>288000</v>
      </c>
      <c r="P54">
        <v>3</v>
      </c>
      <c r="Q54" s="18">
        <f t="shared" ref="Q54:Q57" si="17">K54-J54-I54-H54-G54</f>
        <v>23.967600000000012</v>
      </c>
      <c r="R54" s="18">
        <f t="shared" ref="R54:R57" si="18">F54-G54-H54-I54</f>
        <v>9.5971999999999991</v>
      </c>
    </row>
    <row r="55" spans="1:18">
      <c r="A55" s="6">
        <v>4</v>
      </c>
      <c r="B55">
        <v>913</v>
      </c>
      <c r="C55">
        <v>26</v>
      </c>
      <c r="D55" s="14">
        <v>1.1215954049000001</v>
      </c>
      <c r="E55" s="9">
        <f>B55/C55</f>
        <v>35.115384615384613</v>
      </c>
      <c r="F55" s="18">
        <v>67.92</v>
      </c>
      <c r="G55" s="18">
        <v>4.2489999999999997</v>
      </c>
      <c r="H55">
        <v>45.728000000000002</v>
      </c>
      <c r="I55">
        <v>5.1631999999999998</v>
      </c>
      <c r="J55" s="9">
        <v>12.683</v>
      </c>
      <c r="K55" s="9">
        <v>101.56</v>
      </c>
      <c r="L55" s="4">
        <f>9156/2</f>
        <v>4578</v>
      </c>
      <c r="M55">
        <v>53.398000000000003</v>
      </c>
      <c r="N55" s="9">
        <f t="shared" si="16"/>
        <v>14.521999999999998</v>
      </c>
      <c r="O55" s="4">
        <v>646000</v>
      </c>
      <c r="P55">
        <v>3</v>
      </c>
      <c r="Q55" s="18">
        <f t="shared" si="17"/>
        <v>33.736800000000002</v>
      </c>
      <c r="R55" s="18">
        <f t="shared" si="18"/>
        <v>12.779799999999998</v>
      </c>
    </row>
    <row r="56" spans="1:18">
      <c r="A56" s="6">
        <v>5</v>
      </c>
      <c r="B56">
        <v>933</v>
      </c>
      <c r="C56">
        <v>26</v>
      </c>
      <c r="D56" s="14">
        <v>1.1215878393000001</v>
      </c>
      <c r="E56" s="9">
        <f>B56/C56</f>
        <v>35.884615384615387</v>
      </c>
      <c r="F56" s="18">
        <v>86.058000000000007</v>
      </c>
      <c r="G56" s="18">
        <v>5.4046000000000003</v>
      </c>
      <c r="H56">
        <v>57.884999999999998</v>
      </c>
      <c r="I56">
        <v>5.9641999999999999</v>
      </c>
      <c r="J56" s="9">
        <v>13.41</v>
      </c>
      <c r="K56" s="9">
        <v>126.53</v>
      </c>
      <c r="L56" s="4">
        <f>9356/2</f>
        <v>4678</v>
      </c>
      <c r="M56">
        <v>67.683000000000007</v>
      </c>
      <c r="N56" s="9">
        <f t="shared" si="16"/>
        <v>18.375</v>
      </c>
      <c r="O56" s="4">
        <v>1245000</v>
      </c>
      <c r="P56">
        <v>3</v>
      </c>
      <c r="Q56" s="18">
        <f t="shared" si="17"/>
        <v>43.866199999999999</v>
      </c>
      <c r="R56" s="18">
        <f t="shared" si="18"/>
        <v>16.804200000000009</v>
      </c>
    </row>
    <row r="57" spans="1:18">
      <c r="A57" s="6">
        <v>6</v>
      </c>
      <c r="B57">
        <v>1038</v>
      </c>
      <c r="C57">
        <v>26</v>
      </c>
      <c r="D57" s="14">
        <v>1.1215847001000001</v>
      </c>
      <c r="E57" s="9">
        <f>B57/C57</f>
        <v>39.92307692307692</v>
      </c>
      <c r="F57" s="18">
        <v>115.38</v>
      </c>
      <c r="G57" s="18">
        <v>6.8735999999999997</v>
      </c>
      <c r="H57">
        <v>74.724999999999994</v>
      </c>
      <c r="I57">
        <v>8.4758999999999993</v>
      </c>
      <c r="J57" s="9">
        <v>13.342000000000001</v>
      </c>
      <c r="K57" s="9">
        <v>160.28</v>
      </c>
      <c r="L57" s="4">
        <f>10406/2</f>
        <v>5203</v>
      </c>
      <c r="M57">
        <v>91.736999999999995</v>
      </c>
      <c r="N57" s="9">
        <f t="shared" si="16"/>
        <v>23.643000000000001</v>
      </c>
      <c r="O57" s="4">
        <v>2440000</v>
      </c>
      <c r="P57">
        <v>3</v>
      </c>
      <c r="Q57" s="18">
        <f t="shared" si="17"/>
        <v>56.863500000000002</v>
      </c>
      <c r="R57" s="18">
        <f t="shared" si="18"/>
        <v>25.305500000000006</v>
      </c>
    </row>
    <row r="58" spans="1:18">
      <c r="M58" s="9"/>
    </row>
    <row r="59" spans="1:18">
      <c r="A59" s="3"/>
      <c r="D59" s="14"/>
      <c r="E59" s="9"/>
      <c r="F59" s="18"/>
      <c r="G59" s="18"/>
    </row>
    <row r="60" spans="1:18">
      <c r="A60" s="3" t="s">
        <v>82</v>
      </c>
      <c r="D60" s="14"/>
      <c r="F60" s="18"/>
      <c r="G60" s="18"/>
      <c r="Q60" s="1"/>
      <c r="R60" s="1"/>
    </row>
    <row r="61" spans="1:18">
      <c r="A61" s="1" t="s">
        <v>11</v>
      </c>
      <c r="B61" s="1" t="s">
        <v>64</v>
      </c>
      <c r="C61" s="20" t="s">
        <v>13</v>
      </c>
      <c r="D61" s="21" t="s">
        <v>14</v>
      </c>
      <c r="E61" s="20" t="s">
        <v>67</v>
      </c>
      <c r="F61" s="20" t="s">
        <v>60</v>
      </c>
      <c r="G61" s="22" t="s">
        <v>74</v>
      </c>
      <c r="H61" s="22" t="s">
        <v>76</v>
      </c>
      <c r="I61" s="1" t="s">
        <v>79</v>
      </c>
      <c r="J61" s="20" t="s">
        <v>61</v>
      </c>
      <c r="K61" s="20" t="s">
        <v>59</v>
      </c>
      <c r="L61" s="20" t="s">
        <v>62</v>
      </c>
      <c r="M61" s="20" t="s">
        <v>21</v>
      </c>
      <c r="N61" s="20" t="s">
        <v>66</v>
      </c>
      <c r="O61" s="20" t="s">
        <v>81</v>
      </c>
      <c r="P61" s="20" t="s">
        <v>80</v>
      </c>
      <c r="Q61" s="18"/>
      <c r="R61" s="18"/>
    </row>
    <row r="62" spans="1:18">
      <c r="A62" s="6">
        <v>2</v>
      </c>
      <c r="B62">
        <v>862</v>
      </c>
      <c r="C62">
        <v>26</v>
      </c>
      <c r="D62" s="14">
        <v>1.1217343898000001</v>
      </c>
      <c r="E62" s="9">
        <f t="shared" ref="E62:E66" si="19">B62/C62</f>
        <v>33.153846153846153</v>
      </c>
      <c r="F62" s="18">
        <v>30.358000000000001</v>
      </c>
      <c r="G62" s="18">
        <v>3.5703</v>
      </c>
      <c r="H62">
        <v>13.416</v>
      </c>
      <c r="I62">
        <v>7.3579999999999997</v>
      </c>
      <c r="J62" s="16">
        <v>27.914999999999999</v>
      </c>
      <c r="K62" s="9">
        <v>63.16</v>
      </c>
      <c r="L62">
        <f>3578/2</f>
        <v>1789</v>
      </c>
      <c r="M62" s="4">
        <v>168000</v>
      </c>
      <c r="N62">
        <v>1</v>
      </c>
      <c r="O62" s="18">
        <f>K62-J62-I62-H62-G62</f>
        <v>10.900699999999997</v>
      </c>
      <c r="P62" s="18">
        <f>F62-G62-H62-I62</f>
        <v>6.0137000000000009</v>
      </c>
      <c r="Q62" s="18"/>
      <c r="R62" s="18"/>
    </row>
    <row r="63" spans="1:18">
      <c r="A63" s="6">
        <v>3</v>
      </c>
      <c r="B63">
        <v>865</v>
      </c>
      <c r="C63">
        <v>26</v>
      </c>
      <c r="D63" s="14">
        <v>1.1216287663</v>
      </c>
      <c r="E63" s="9">
        <f t="shared" si="19"/>
        <v>33.269230769230766</v>
      </c>
      <c r="F63" s="18">
        <v>31.707999999999998</v>
      </c>
      <c r="G63" s="18">
        <v>4.069</v>
      </c>
      <c r="H63">
        <v>13.651999999999999</v>
      </c>
      <c r="I63">
        <v>7.4393000000000002</v>
      </c>
      <c r="J63" s="16">
        <v>28.103999999999999</v>
      </c>
      <c r="K63" s="9">
        <v>65.38</v>
      </c>
      <c r="L63">
        <f>3590/2</f>
        <v>1795</v>
      </c>
      <c r="M63" s="4">
        <v>288000</v>
      </c>
      <c r="N63">
        <v>1</v>
      </c>
      <c r="O63" s="18">
        <f t="shared" ref="O63:O66" si="20">K63-J63-I63-H63-G63</f>
        <v>12.1157</v>
      </c>
      <c r="P63" s="18">
        <f t="shared" ref="P63:P66" si="21">F63-G63-H63-I63</f>
        <v>6.5476999999999999</v>
      </c>
      <c r="Q63" s="18"/>
      <c r="R63" s="18"/>
    </row>
    <row r="64" spans="1:18">
      <c r="A64" s="6">
        <v>4</v>
      </c>
      <c r="B64">
        <v>1052</v>
      </c>
      <c r="C64">
        <v>26</v>
      </c>
      <c r="D64" s="14">
        <v>1.1215954241999999</v>
      </c>
      <c r="E64" s="9">
        <f t="shared" si="19"/>
        <v>40.46153846153846</v>
      </c>
      <c r="F64" s="18">
        <v>52.24</v>
      </c>
      <c r="G64" s="18">
        <v>5.9379999999999997</v>
      </c>
      <c r="H64">
        <v>22.029</v>
      </c>
      <c r="I64">
        <v>12.09</v>
      </c>
      <c r="J64" s="16">
        <v>35.856000000000002</v>
      </c>
      <c r="K64" s="9">
        <v>96.22</v>
      </c>
      <c r="L64">
        <f>4338/2</f>
        <v>2169</v>
      </c>
      <c r="M64" s="4">
        <v>646000</v>
      </c>
      <c r="N64">
        <v>1</v>
      </c>
      <c r="O64" s="18">
        <f t="shared" si="20"/>
        <v>20.307000000000002</v>
      </c>
      <c r="P64" s="18">
        <f t="shared" si="21"/>
        <v>12.183</v>
      </c>
      <c r="Q64" s="18"/>
      <c r="R64" s="18"/>
    </row>
    <row r="65" spans="1:18">
      <c r="A65" s="6">
        <v>5</v>
      </c>
      <c r="D65" s="14"/>
      <c r="E65" s="9" t="e">
        <f t="shared" si="19"/>
        <v>#DIV/0!</v>
      </c>
      <c r="G65" s="18"/>
      <c r="J65" s="16"/>
      <c r="K65" s="9"/>
      <c r="M65" s="4">
        <v>1245000</v>
      </c>
      <c r="N65">
        <v>1</v>
      </c>
      <c r="O65" s="18">
        <f t="shared" si="20"/>
        <v>0</v>
      </c>
      <c r="P65" s="18">
        <f t="shared" si="21"/>
        <v>0</v>
      </c>
      <c r="Q65" s="18"/>
      <c r="R65" s="18"/>
    </row>
    <row r="66" spans="1:18">
      <c r="A66" s="6">
        <v>6</v>
      </c>
      <c r="D66" s="14"/>
      <c r="E66" s="9" t="e">
        <f t="shared" si="19"/>
        <v>#DIV/0!</v>
      </c>
      <c r="G66" s="18"/>
      <c r="J66" s="16"/>
      <c r="K66" s="9"/>
      <c r="M66" s="4">
        <v>2440000</v>
      </c>
      <c r="N66">
        <v>1</v>
      </c>
      <c r="O66" s="18">
        <f t="shared" si="20"/>
        <v>0</v>
      </c>
      <c r="P66" s="18">
        <f t="shared" si="21"/>
        <v>0</v>
      </c>
    </row>
    <row r="69" spans="1:18">
      <c r="A69" s="3" t="s">
        <v>71</v>
      </c>
      <c r="F69" s="3"/>
    </row>
    <row r="70" spans="1:18">
      <c r="A70" s="1" t="s">
        <v>11</v>
      </c>
      <c r="B70" s="1" t="s">
        <v>68</v>
      </c>
      <c r="C70" s="1" t="s">
        <v>69</v>
      </c>
      <c r="D70" s="1" t="s">
        <v>70</v>
      </c>
      <c r="F70" s="1"/>
      <c r="G70" s="1"/>
      <c r="H70" s="1"/>
      <c r="I70" s="1"/>
      <c r="J70" s="1"/>
    </row>
    <row r="71" spans="1:18">
      <c r="A71" s="6">
        <v>2</v>
      </c>
      <c r="B71" s="9">
        <f>F62/F18</f>
        <v>2.5871002460559192</v>
      </c>
      <c r="C71" s="9">
        <f>F62/F27</f>
        <v>0.68953066118192929</v>
      </c>
      <c r="D71" s="9">
        <f>F62/F36</f>
        <v>1.1672950519155609</v>
      </c>
      <c r="F71" s="6"/>
      <c r="G71" s="9"/>
      <c r="H71" s="9"/>
      <c r="I71" s="9"/>
    </row>
    <row r="72" spans="1:18">
      <c r="A72" s="6">
        <v>3</v>
      </c>
      <c r="B72" s="9">
        <f t="shared" ref="B72:B75" si="22">F63/F19</f>
        <v>2.5459546868466822</v>
      </c>
      <c r="C72" s="9">
        <f t="shared" ref="C72:C75" si="23">F63/F28</f>
        <v>0.68724693071354948</v>
      </c>
      <c r="D72" s="9">
        <f t="shared" ref="D72:D75" si="24">F63/F37</f>
        <v>1.1421609283704475</v>
      </c>
      <c r="F72" s="6"/>
      <c r="G72" s="9"/>
      <c r="H72" s="9"/>
      <c r="I72" s="9"/>
    </row>
    <row r="73" spans="1:18">
      <c r="A73" s="6">
        <v>4</v>
      </c>
      <c r="B73" s="9">
        <f t="shared" si="22"/>
        <v>2.879428690304692</v>
      </c>
      <c r="C73" s="9">
        <f t="shared" si="23"/>
        <v>0.86412533380765488</v>
      </c>
      <c r="D73" s="9">
        <f t="shared" si="24"/>
        <v>1.3377266043633134</v>
      </c>
      <c r="F73" s="6"/>
      <c r="G73" s="9"/>
      <c r="H73" s="9"/>
      <c r="I73" s="9"/>
    </row>
    <row r="74" spans="1:18">
      <c r="A74" s="6">
        <v>5</v>
      </c>
      <c r="B74" s="9">
        <f t="shared" si="22"/>
        <v>0</v>
      </c>
      <c r="C74" s="9">
        <f t="shared" si="23"/>
        <v>0</v>
      </c>
      <c r="D74" s="9">
        <f t="shared" si="24"/>
        <v>0</v>
      </c>
      <c r="F74" s="6"/>
      <c r="G74" s="9"/>
      <c r="H74" s="9"/>
      <c r="I74" s="9"/>
    </row>
    <row r="75" spans="1:18">
      <c r="A75" s="6">
        <v>6</v>
      </c>
      <c r="B75" s="9">
        <f t="shared" si="22"/>
        <v>0</v>
      </c>
      <c r="C75" s="9">
        <f t="shared" si="23"/>
        <v>0</v>
      </c>
      <c r="D75" s="9">
        <f t="shared" si="24"/>
        <v>0</v>
      </c>
      <c r="F75" s="6"/>
      <c r="G75" s="9"/>
      <c r="H75" s="9"/>
      <c r="I75" s="9"/>
    </row>
    <row r="76" spans="1:18">
      <c r="B76" s="9"/>
      <c r="C76" s="9"/>
      <c r="D76" s="9"/>
      <c r="G76" s="9"/>
      <c r="H76" s="9"/>
      <c r="I76" s="9"/>
    </row>
    <row r="77" spans="1:18">
      <c r="B77" s="9"/>
      <c r="C77" s="9"/>
      <c r="D77" s="9"/>
      <c r="G77" s="9"/>
      <c r="H77" s="9"/>
      <c r="I77" s="9"/>
    </row>
    <row r="78" spans="1:18">
      <c r="A78" t="s">
        <v>72</v>
      </c>
      <c r="B78" s="9"/>
      <c r="C78" s="9"/>
      <c r="D78" s="9"/>
      <c r="G78" s="9"/>
      <c r="H78" s="9"/>
      <c r="I78" s="9"/>
    </row>
    <row r="79" spans="1:18">
      <c r="A79" s="1" t="s">
        <v>11</v>
      </c>
      <c r="B79" s="17" t="s">
        <v>68</v>
      </c>
      <c r="C79" s="17" t="s">
        <v>69</v>
      </c>
      <c r="D79" s="17" t="s">
        <v>70</v>
      </c>
      <c r="F79" s="1"/>
      <c r="G79" s="17"/>
      <c r="H79" s="17"/>
      <c r="I79" s="17"/>
      <c r="J79" s="17"/>
    </row>
    <row r="80" spans="1:18">
      <c r="A80" s="6">
        <v>2</v>
      </c>
      <c r="B80" s="9">
        <f>K62/G18</f>
        <v>5.1199740596627752</v>
      </c>
      <c r="C80" s="9">
        <f>K62/G27</f>
        <v>1.4151915751736499</v>
      </c>
      <c r="D80" s="9">
        <f>K62/G36</f>
        <v>2.3041003939880342</v>
      </c>
      <c r="F80" s="6"/>
      <c r="G80" s="9"/>
      <c r="H80" s="9"/>
      <c r="I80" s="9"/>
    </row>
    <row r="81" spans="1:9">
      <c r="A81" s="6">
        <v>3</v>
      </c>
      <c r="B81" s="9">
        <f t="shared" ref="B81:B84" si="25">K63/G19</f>
        <v>4.9912207038705239</v>
      </c>
      <c r="C81" s="9">
        <f t="shared" ref="C81:C84" si="26">K63/G28</f>
        <v>1.3976058144506198</v>
      </c>
      <c r="D81" s="9">
        <f t="shared" ref="D81:D84" si="27">K63/G37</f>
        <v>2.2368195969756064</v>
      </c>
      <c r="F81" s="6"/>
      <c r="G81" s="9"/>
      <c r="H81" s="9"/>
      <c r="I81" s="9"/>
    </row>
    <row r="82" spans="1:9">
      <c r="A82" s="6">
        <v>4</v>
      </c>
      <c r="B82" s="9">
        <f t="shared" si="25"/>
        <v>5.0663437236731248</v>
      </c>
      <c r="C82" s="9">
        <f t="shared" si="26"/>
        <v>1.569606211869107</v>
      </c>
      <c r="D82" s="9">
        <f t="shared" si="27"/>
        <v>2.3476881786019277</v>
      </c>
      <c r="F82" s="6"/>
      <c r="G82" s="9"/>
      <c r="H82" s="9"/>
      <c r="I82" s="9"/>
    </row>
    <row r="83" spans="1:9">
      <c r="A83" s="6">
        <v>5</v>
      </c>
      <c r="B83" s="9">
        <f t="shared" si="25"/>
        <v>0</v>
      </c>
      <c r="C83" s="9">
        <f t="shared" si="26"/>
        <v>0</v>
      </c>
      <c r="D83" s="9">
        <f t="shared" si="27"/>
        <v>0</v>
      </c>
      <c r="F83" s="6"/>
      <c r="G83" s="9"/>
      <c r="H83" s="9"/>
      <c r="I83" s="9"/>
    </row>
    <row r="84" spans="1:9">
      <c r="A84" s="6">
        <v>6</v>
      </c>
      <c r="B84" s="9">
        <f t="shared" si="25"/>
        <v>0</v>
      </c>
      <c r="C84" s="9">
        <f t="shared" si="26"/>
        <v>0</v>
      </c>
      <c r="D84" s="9">
        <f t="shared" si="27"/>
        <v>0</v>
      </c>
      <c r="F84" s="6"/>
      <c r="G84" s="9"/>
      <c r="H84" s="9"/>
      <c r="I84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tabSelected="1" topLeftCell="A23" workbookViewId="0">
      <selection activeCell="M77" sqref="M77"/>
    </sheetView>
  </sheetViews>
  <sheetFormatPr baseColWidth="10" defaultRowHeight="15" x14ac:dyDescent="0"/>
  <cols>
    <col min="1" max="1" width="10.83203125" customWidth="1"/>
    <col min="2" max="2" width="19.33203125" bestFit="1" customWidth="1"/>
    <col min="3" max="3" width="14.5" bestFit="1" customWidth="1"/>
    <col min="4" max="4" width="12.83203125" bestFit="1" customWidth="1"/>
    <col min="5" max="5" width="13.33203125" bestFit="1" customWidth="1"/>
    <col min="6" max="6" width="13.1640625" bestFit="1" customWidth="1"/>
    <col min="7" max="7" width="16" bestFit="1" customWidth="1"/>
    <col min="8" max="8" width="11" bestFit="1" customWidth="1"/>
    <col min="9" max="11" width="12.1640625" bestFit="1" customWidth="1"/>
    <col min="12" max="12" width="13.1640625" bestFit="1" customWidth="1"/>
    <col min="13" max="13" width="19.5" bestFit="1" customWidth="1"/>
    <col min="14" max="14" width="17.83203125" bestFit="1" customWidth="1"/>
    <col min="15" max="15" width="19.5" bestFit="1" customWidth="1"/>
    <col min="16" max="16" width="18" bestFit="1" customWidth="1"/>
    <col min="17" max="17" width="15.33203125" bestFit="1" customWidth="1"/>
    <col min="18" max="18" width="15.5" bestFit="1" customWidth="1"/>
  </cols>
  <sheetData>
    <row r="1" spans="1:15">
      <c r="A1" s="2" t="s">
        <v>0</v>
      </c>
    </row>
    <row r="3" spans="1:15">
      <c r="A3" s="3" t="s">
        <v>1</v>
      </c>
    </row>
    <row r="5" spans="1:15">
      <c r="A5" s="3" t="s">
        <v>12</v>
      </c>
    </row>
    <row r="6" spans="1:15">
      <c r="A6" s="1" t="s">
        <v>11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8</v>
      </c>
      <c r="G6" s="1" t="s">
        <v>7</v>
      </c>
      <c r="H6" s="1" t="s">
        <v>9</v>
      </c>
      <c r="I6" s="1" t="s">
        <v>6</v>
      </c>
      <c r="J6" s="1" t="s">
        <v>10</v>
      </c>
      <c r="K6" s="1" t="s">
        <v>22</v>
      </c>
      <c r="L6" s="1" t="s">
        <v>23</v>
      </c>
      <c r="N6">
        <v>1</v>
      </c>
      <c r="O6">
        <v>257</v>
      </c>
    </row>
    <row r="7" spans="1:15">
      <c r="A7" s="5">
        <v>2</v>
      </c>
      <c r="B7">
        <f>17*17</f>
        <v>289</v>
      </c>
      <c r="C7">
        <v>9</v>
      </c>
      <c r="D7">
        <v>2</v>
      </c>
      <c r="E7">
        <v>23</v>
      </c>
      <c r="F7">
        <v>1</v>
      </c>
      <c r="G7">
        <v>1</v>
      </c>
      <c r="H7">
        <v>5</v>
      </c>
      <c r="I7" s="4">
        <f t="shared" ref="I7:I11" si="0">B7*C7*D7*D7*E7*(H7+2)*(F7+1)/2</f>
        <v>1675044</v>
      </c>
      <c r="J7">
        <f t="shared" ref="J7:J11" si="1">K7*16</f>
        <v>128</v>
      </c>
      <c r="K7">
        <v>8</v>
      </c>
      <c r="L7" s="4">
        <f t="shared" ref="L7:L11" si="2">I7/J7</f>
        <v>13086.28125</v>
      </c>
      <c r="N7">
        <v>2</v>
      </c>
      <c r="O7">
        <v>254</v>
      </c>
    </row>
    <row r="8" spans="1:15">
      <c r="A8" s="5">
        <v>3</v>
      </c>
      <c r="B8">
        <f t="shared" ref="B8:B11" si="3">17*17</f>
        <v>289</v>
      </c>
      <c r="C8">
        <v>9</v>
      </c>
      <c r="D8">
        <v>2</v>
      </c>
      <c r="E8">
        <v>23</v>
      </c>
      <c r="F8">
        <v>1</v>
      </c>
      <c r="G8">
        <v>1</v>
      </c>
      <c r="H8">
        <v>10</v>
      </c>
      <c r="I8" s="4">
        <f t="shared" si="0"/>
        <v>2871504</v>
      </c>
      <c r="J8">
        <f t="shared" si="1"/>
        <v>256</v>
      </c>
      <c r="K8">
        <v>16</v>
      </c>
      <c r="L8" s="4">
        <f t="shared" si="2"/>
        <v>11216.8125</v>
      </c>
      <c r="N8">
        <v>3</v>
      </c>
      <c r="O8">
        <v>230</v>
      </c>
    </row>
    <row r="9" spans="1:15">
      <c r="A9" s="5">
        <v>4</v>
      </c>
      <c r="B9">
        <f t="shared" si="3"/>
        <v>289</v>
      </c>
      <c r="C9">
        <v>9</v>
      </c>
      <c r="D9">
        <v>2</v>
      </c>
      <c r="E9">
        <v>23</v>
      </c>
      <c r="F9">
        <v>1</v>
      </c>
      <c r="G9">
        <v>1</v>
      </c>
      <c r="H9">
        <v>25</v>
      </c>
      <c r="I9" s="4">
        <f t="shared" si="0"/>
        <v>6460884</v>
      </c>
      <c r="J9">
        <f t="shared" si="1"/>
        <v>512</v>
      </c>
      <c r="K9">
        <v>32</v>
      </c>
      <c r="L9" s="4">
        <f t="shared" si="2"/>
        <v>12618.9140625</v>
      </c>
      <c r="N9">
        <v>4</v>
      </c>
      <c r="O9">
        <v>237</v>
      </c>
    </row>
    <row r="10" spans="1:15">
      <c r="A10" s="5">
        <v>5</v>
      </c>
      <c r="B10">
        <f t="shared" si="3"/>
        <v>289</v>
      </c>
      <c r="C10">
        <v>9</v>
      </c>
      <c r="D10">
        <v>2</v>
      </c>
      <c r="E10">
        <v>23</v>
      </c>
      <c r="F10">
        <v>1</v>
      </c>
      <c r="G10">
        <v>1</v>
      </c>
      <c r="H10">
        <v>50</v>
      </c>
      <c r="I10" s="4">
        <f t="shared" si="0"/>
        <v>12443184</v>
      </c>
      <c r="J10">
        <f t="shared" si="1"/>
        <v>992</v>
      </c>
      <c r="K10">
        <v>62</v>
      </c>
      <c r="L10" s="4">
        <f t="shared" si="2"/>
        <v>12543.532258064517</v>
      </c>
      <c r="N10">
        <v>5</v>
      </c>
      <c r="O10">
        <v>228</v>
      </c>
    </row>
    <row r="11" spans="1:15">
      <c r="A11" s="5">
        <v>6</v>
      </c>
      <c r="B11">
        <f t="shared" si="3"/>
        <v>289</v>
      </c>
      <c r="C11">
        <v>9</v>
      </c>
      <c r="D11">
        <v>2</v>
      </c>
      <c r="E11">
        <v>23</v>
      </c>
      <c r="F11">
        <v>1</v>
      </c>
      <c r="G11">
        <v>1</v>
      </c>
      <c r="H11">
        <v>100</v>
      </c>
      <c r="I11" s="4">
        <f t="shared" si="0"/>
        <v>24407784</v>
      </c>
      <c r="J11">
        <f t="shared" si="1"/>
        <v>1952</v>
      </c>
      <c r="K11">
        <v>122</v>
      </c>
      <c r="L11" s="4">
        <f t="shared" si="2"/>
        <v>12503.987704918032</v>
      </c>
      <c r="N11">
        <v>6</v>
      </c>
      <c r="O11">
        <v>232</v>
      </c>
    </row>
    <row r="12" spans="1:15">
      <c r="N12">
        <v>7</v>
      </c>
      <c r="O12">
        <v>222</v>
      </c>
    </row>
    <row r="13" spans="1:15">
      <c r="N13">
        <v>8</v>
      </c>
      <c r="O13">
        <v>222</v>
      </c>
    </row>
    <row r="14" spans="1:15">
      <c r="N14">
        <v>9</v>
      </c>
      <c r="O14">
        <v>242</v>
      </c>
    </row>
    <row r="15" spans="1:15">
      <c r="A15" s="3" t="s">
        <v>15</v>
      </c>
      <c r="N15">
        <v>10</v>
      </c>
      <c r="O15">
        <v>239</v>
      </c>
    </row>
    <row r="16" spans="1:15">
      <c r="A16" s="1" t="s">
        <v>11</v>
      </c>
      <c r="B16" s="1" t="s">
        <v>16</v>
      </c>
      <c r="C16" s="1" t="s">
        <v>13</v>
      </c>
      <c r="D16" s="1" t="s">
        <v>14</v>
      </c>
      <c r="E16" s="1" t="s">
        <v>17</v>
      </c>
      <c r="F16" s="1" t="s">
        <v>91</v>
      </c>
      <c r="G16" s="1" t="s">
        <v>18</v>
      </c>
      <c r="H16" s="1" t="s">
        <v>62</v>
      </c>
      <c r="I16" s="1" t="s">
        <v>67</v>
      </c>
      <c r="N16">
        <v>11</v>
      </c>
      <c r="O16">
        <v>233</v>
      </c>
    </row>
    <row r="17" spans="1:15">
      <c r="A17" s="6">
        <v>2</v>
      </c>
      <c r="B17">
        <v>1087</v>
      </c>
      <c r="C17">
        <v>26</v>
      </c>
      <c r="D17" s="13">
        <v>1.1217344171000001</v>
      </c>
      <c r="E17" s="18">
        <v>6.5488</v>
      </c>
      <c r="F17" s="18">
        <f>G17-E17</f>
        <v>0.39139999999999997</v>
      </c>
      <c r="G17" s="18">
        <v>6.9401999999999999</v>
      </c>
      <c r="H17" s="4">
        <f>1165</f>
        <v>1165</v>
      </c>
      <c r="I17" s="16">
        <f>B17/C17</f>
        <v>41.807692307692307</v>
      </c>
      <c r="N17">
        <v>12</v>
      </c>
      <c r="O17">
        <v>227</v>
      </c>
    </row>
    <row r="18" spans="1:15">
      <c r="A18" s="6">
        <v>3</v>
      </c>
      <c r="B18">
        <v>1205</v>
      </c>
      <c r="C18">
        <v>26</v>
      </c>
      <c r="D18" s="13">
        <v>1.1216287740999999</v>
      </c>
      <c r="E18" s="18">
        <v>7.4561000000000002</v>
      </c>
      <c r="F18" s="18">
        <f t="shared" ref="F18:F21" si="4">G18-E18</f>
        <v>0.39079999999999959</v>
      </c>
      <c r="G18" s="18">
        <v>7.8468999999999998</v>
      </c>
      <c r="H18" s="4">
        <v>1282</v>
      </c>
      <c r="I18" s="16">
        <f>B18/C18</f>
        <v>46.346153846153847</v>
      </c>
      <c r="N18">
        <v>13</v>
      </c>
      <c r="O18">
        <v>225</v>
      </c>
    </row>
    <row r="19" spans="1:15">
      <c r="A19" s="6">
        <v>4</v>
      </c>
      <c r="B19">
        <v>1453</v>
      </c>
      <c r="C19">
        <v>26</v>
      </c>
      <c r="D19" s="13">
        <v>1.1215954189999999</v>
      </c>
      <c r="E19" s="18">
        <v>12.455</v>
      </c>
      <c r="F19" s="18">
        <f t="shared" si="4"/>
        <v>0.54899999999999949</v>
      </c>
      <c r="G19" s="18">
        <v>13.004</v>
      </c>
      <c r="H19" s="4">
        <v>1531</v>
      </c>
      <c r="I19" s="16">
        <f>B19/C19</f>
        <v>55.884615384615387</v>
      </c>
      <c r="N19">
        <v>14</v>
      </c>
      <c r="O19">
        <v>225</v>
      </c>
    </row>
    <row r="20" spans="1:15">
      <c r="A20" s="6">
        <v>5</v>
      </c>
      <c r="B20">
        <v>1675</v>
      </c>
      <c r="C20">
        <v>26</v>
      </c>
      <c r="D20" s="13">
        <v>1.1215878281</v>
      </c>
      <c r="E20" s="18">
        <v>18.356999999999999</v>
      </c>
      <c r="F20" s="18">
        <f t="shared" si="4"/>
        <v>0.74800000000000111</v>
      </c>
      <c r="G20" s="18">
        <v>19.105</v>
      </c>
      <c r="H20" s="4">
        <v>1753</v>
      </c>
      <c r="I20" s="16">
        <f>B20/C20</f>
        <v>64.42307692307692</v>
      </c>
      <c r="N20">
        <v>15</v>
      </c>
      <c r="O20">
        <v>227</v>
      </c>
    </row>
    <row r="21" spans="1:15">
      <c r="A21" s="6">
        <v>6</v>
      </c>
      <c r="B21">
        <v>2219</v>
      </c>
      <c r="C21">
        <v>26</v>
      </c>
      <c r="D21" s="13">
        <v>1.121584659</v>
      </c>
      <c r="E21" s="18">
        <v>28.655000000000001</v>
      </c>
      <c r="F21" s="18">
        <f t="shared" si="4"/>
        <v>0.91099999999999781</v>
      </c>
      <c r="G21" s="18">
        <v>29.565999999999999</v>
      </c>
      <c r="H21" s="4">
        <v>2297</v>
      </c>
      <c r="I21" s="16">
        <f>B21/C21</f>
        <v>85.34615384615384</v>
      </c>
      <c r="N21">
        <v>16</v>
      </c>
      <c r="O21">
        <v>237</v>
      </c>
    </row>
    <row r="22" spans="1:15">
      <c r="D22" s="13"/>
      <c r="E22" s="18"/>
      <c r="G22" s="18"/>
      <c r="H22" s="4"/>
      <c r="I22" s="16"/>
      <c r="N22">
        <v>17</v>
      </c>
      <c r="O22">
        <v>232</v>
      </c>
    </row>
    <row r="23" spans="1:15">
      <c r="E23" s="18"/>
      <c r="G23" s="18"/>
      <c r="H23" s="4"/>
      <c r="N23">
        <v>18</v>
      </c>
      <c r="O23">
        <v>223</v>
      </c>
    </row>
    <row r="24" spans="1:15">
      <c r="A24" s="3" t="s">
        <v>19</v>
      </c>
      <c r="E24" s="18"/>
      <c r="G24" s="18"/>
      <c r="H24" s="4"/>
      <c r="N24">
        <v>19</v>
      </c>
      <c r="O24">
        <v>221</v>
      </c>
    </row>
    <row r="25" spans="1:15">
      <c r="A25" s="1" t="s">
        <v>11</v>
      </c>
      <c r="B25" s="1" t="s">
        <v>16</v>
      </c>
      <c r="C25" s="1" t="s">
        <v>13</v>
      </c>
      <c r="D25" s="1" t="s">
        <v>14</v>
      </c>
      <c r="E25" s="19" t="s">
        <v>17</v>
      </c>
      <c r="F25" s="1" t="s">
        <v>91</v>
      </c>
      <c r="G25" s="19" t="s">
        <v>18</v>
      </c>
      <c r="H25" s="32" t="s">
        <v>62</v>
      </c>
      <c r="I25" s="1" t="s">
        <v>67</v>
      </c>
      <c r="N25">
        <v>20</v>
      </c>
      <c r="O25">
        <v>223</v>
      </c>
    </row>
    <row r="26" spans="1:15">
      <c r="A26" s="6">
        <v>2</v>
      </c>
      <c r="B26">
        <v>597</v>
      </c>
      <c r="C26">
        <v>26</v>
      </c>
      <c r="D26" s="14">
        <v>1.1217344212</v>
      </c>
      <c r="E26" s="18">
        <v>23.645</v>
      </c>
      <c r="F26" s="18">
        <f>G26-E26</f>
        <v>0.36500000000000199</v>
      </c>
      <c r="G26" s="18">
        <v>24.01</v>
      </c>
      <c r="H26" s="4">
        <v>675</v>
      </c>
      <c r="I26" s="16">
        <f>B26/C26</f>
        <v>22.96153846153846</v>
      </c>
      <c r="N26">
        <v>21</v>
      </c>
      <c r="O26">
        <v>230</v>
      </c>
    </row>
    <row r="27" spans="1:15">
      <c r="A27" s="6">
        <v>3</v>
      </c>
      <c r="B27">
        <v>637</v>
      </c>
      <c r="C27">
        <v>26</v>
      </c>
      <c r="D27" s="14">
        <v>1.1216288262</v>
      </c>
      <c r="E27" s="18">
        <v>25.658000000000001</v>
      </c>
      <c r="F27" s="18">
        <f t="shared" ref="F27:F30" si="5">G27-E27</f>
        <v>0.38499999999999801</v>
      </c>
      <c r="G27" s="18">
        <v>26.042999999999999</v>
      </c>
      <c r="H27" s="4">
        <v>715</v>
      </c>
      <c r="I27" s="16">
        <f>B27/C27</f>
        <v>24.5</v>
      </c>
      <c r="N27">
        <v>22</v>
      </c>
      <c r="O27">
        <v>227</v>
      </c>
    </row>
    <row r="28" spans="1:15">
      <c r="A28" s="6">
        <v>4</v>
      </c>
      <c r="B28">
        <v>650</v>
      </c>
      <c r="C28">
        <v>26</v>
      </c>
      <c r="D28" s="14">
        <v>1.1215954320999999</v>
      </c>
      <c r="E28" s="18">
        <v>36.871000000000002</v>
      </c>
      <c r="F28" s="18">
        <f t="shared" si="5"/>
        <v>0.54899999999999949</v>
      </c>
      <c r="G28" s="18">
        <v>37.42</v>
      </c>
      <c r="H28" s="4">
        <v>728</v>
      </c>
      <c r="I28" s="16">
        <f>B28/C28</f>
        <v>25</v>
      </c>
      <c r="N28">
        <v>23</v>
      </c>
      <c r="O28">
        <v>235</v>
      </c>
    </row>
    <row r="29" spans="1:15">
      <c r="A29" s="6">
        <v>5</v>
      </c>
      <c r="B29">
        <v>626</v>
      </c>
      <c r="C29">
        <v>26</v>
      </c>
      <c r="D29" s="14">
        <v>1.1215878608000001</v>
      </c>
      <c r="E29" s="18">
        <v>45.973999999999997</v>
      </c>
      <c r="F29" s="18">
        <f t="shared" si="5"/>
        <v>0.71300000000000097</v>
      </c>
      <c r="G29" s="18">
        <v>46.686999999999998</v>
      </c>
      <c r="H29" s="4">
        <v>704</v>
      </c>
      <c r="I29" s="16">
        <f>B29/C29</f>
        <v>24.076923076923077</v>
      </c>
      <c r="N29">
        <v>24</v>
      </c>
      <c r="O29">
        <v>230</v>
      </c>
    </row>
    <row r="30" spans="1:15">
      <c r="A30" s="6">
        <v>6</v>
      </c>
      <c r="B30">
        <v>675</v>
      </c>
      <c r="C30">
        <v>26</v>
      </c>
      <c r="D30" s="14">
        <v>1.1215846920999999</v>
      </c>
      <c r="E30" s="18">
        <v>63.267000000000003</v>
      </c>
      <c r="F30" s="18">
        <f t="shared" si="5"/>
        <v>0.89399999999999835</v>
      </c>
      <c r="G30" s="18">
        <v>64.161000000000001</v>
      </c>
      <c r="H30" s="4">
        <v>753</v>
      </c>
      <c r="I30" s="16">
        <f>B30/C30</f>
        <v>25.96153846153846</v>
      </c>
      <c r="N30">
        <v>25</v>
      </c>
      <c r="O30">
        <v>227</v>
      </c>
    </row>
    <row r="31" spans="1:15">
      <c r="D31" s="14"/>
      <c r="E31" s="18"/>
      <c r="G31" s="18"/>
      <c r="H31" s="4"/>
      <c r="I31" s="16"/>
      <c r="N31">
        <v>26</v>
      </c>
      <c r="O31">
        <v>231</v>
      </c>
    </row>
    <row r="32" spans="1:15">
      <c r="D32" s="14"/>
      <c r="E32" s="18"/>
      <c r="G32" s="18"/>
      <c r="H32" s="4"/>
      <c r="O32">
        <f>SUM(O6:O31)</f>
        <v>6016</v>
      </c>
    </row>
    <row r="33" spans="1:16">
      <c r="A33" s="3" t="s">
        <v>20</v>
      </c>
      <c r="D33" s="14"/>
      <c r="E33" s="18"/>
      <c r="G33" s="18"/>
      <c r="H33" s="4"/>
    </row>
    <row r="34" spans="1:16">
      <c r="A34" s="1" t="s">
        <v>11</v>
      </c>
      <c r="B34" s="1" t="s">
        <v>16</v>
      </c>
      <c r="C34" s="1" t="s">
        <v>13</v>
      </c>
      <c r="D34" s="15" t="s">
        <v>14</v>
      </c>
      <c r="E34" s="19" t="s">
        <v>17</v>
      </c>
      <c r="F34" s="1" t="s">
        <v>91</v>
      </c>
      <c r="G34" s="19" t="s">
        <v>18</v>
      </c>
      <c r="H34" s="32" t="s">
        <v>62</v>
      </c>
      <c r="I34" s="1" t="s">
        <v>67</v>
      </c>
    </row>
    <row r="35" spans="1:16">
      <c r="A35" s="6">
        <v>2</v>
      </c>
      <c r="B35">
        <v>368</v>
      </c>
      <c r="C35">
        <v>26</v>
      </c>
      <c r="D35" s="14">
        <v>1.1217344231999999</v>
      </c>
      <c r="E35" s="18">
        <v>14.914</v>
      </c>
      <c r="F35" s="18">
        <f>G35-E35</f>
        <v>0.80300000000000082</v>
      </c>
      <c r="G35" s="18">
        <v>15.717000000000001</v>
      </c>
      <c r="H35" s="4">
        <v>13842</v>
      </c>
      <c r="I35" s="16">
        <f>B35/C35</f>
        <v>14.153846153846153</v>
      </c>
    </row>
    <row r="36" spans="1:16">
      <c r="A36" s="6">
        <v>3</v>
      </c>
      <c r="B36">
        <v>394</v>
      </c>
      <c r="C36">
        <v>26</v>
      </c>
      <c r="D36" s="14">
        <v>1.1216287984</v>
      </c>
      <c r="E36" s="18">
        <v>16.202999999999999</v>
      </c>
      <c r="F36" s="18">
        <f t="shared" ref="F36:F39" si="6">G36-E36</f>
        <v>0.83600000000000207</v>
      </c>
      <c r="G36" s="18">
        <v>17.039000000000001</v>
      </c>
      <c r="H36" s="4">
        <v>14752</v>
      </c>
      <c r="I36" s="16">
        <f>B36/C36</f>
        <v>15.153846153846153</v>
      </c>
    </row>
    <row r="37" spans="1:16">
      <c r="A37" s="6">
        <v>4</v>
      </c>
      <c r="B37">
        <v>446</v>
      </c>
      <c r="C37">
        <v>26</v>
      </c>
      <c r="D37" s="14">
        <v>1.1215954190999999</v>
      </c>
      <c r="E37" s="18">
        <v>24.995999999999999</v>
      </c>
      <c r="F37" s="18">
        <f t="shared" si="6"/>
        <v>1.272000000000002</v>
      </c>
      <c r="G37" s="18">
        <v>26.268000000000001</v>
      </c>
      <c r="H37" s="4">
        <v>16572</v>
      </c>
      <c r="I37" s="16">
        <f>B37/C37</f>
        <v>17.153846153846153</v>
      </c>
    </row>
    <row r="38" spans="1:16">
      <c r="A38" s="6">
        <v>5</v>
      </c>
      <c r="B38">
        <v>498</v>
      </c>
      <c r="C38">
        <v>26</v>
      </c>
      <c r="D38" s="14">
        <v>1.121588</v>
      </c>
      <c r="E38" s="18">
        <v>33.738999999999997</v>
      </c>
      <c r="F38" s="18">
        <f t="shared" si="6"/>
        <v>1.5080000000000027</v>
      </c>
      <c r="G38" s="18">
        <v>35.247</v>
      </c>
      <c r="H38" s="4">
        <v>18392</v>
      </c>
      <c r="I38" s="16">
        <f>B38/C38</f>
        <v>19.153846153846153</v>
      </c>
    </row>
    <row r="39" spans="1:16">
      <c r="A39" s="6">
        <v>6</v>
      </c>
      <c r="B39">
        <v>726</v>
      </c>
      <c r="C39">
        <v>26</v>
      </c>
      <c r="D39" s="14">
        <v>1.1215846857</v>
      </c>
      <c r="E39" s="18">
        <v>50.058999999999997</v>
      </c>
      <c r="F39" s="18">
        <f t="shared" si="6"/>
        <v>1.8060000000000045</v>
      </c>
      <c r="G39" s="18">
        <v>51.865000000000002</v>
      </c>
      <c r="H39" s="4">
        <v>26302</v>
      </c>
      <c r="I39" s="16">
        <f>B39/C39</f>
        <v>27.923076923076923</v>
      </c>
    </row>
    <row r="40" spans="1:16">
      <c r="D40" s="14"/>
      <c r="F40" s="18"/>
      <c r="G40" s="18"/>
      <c r="I40" s="16"/>
    </row>
    <row r="41" spans="1:16">
      <c r="D41" s="14"/>
      <c r="F41" s="18"/>
      <c r="G41" s="18"/>
    </row>
    <row r="42" spans="1:16">
      <c r="A42" s="3"/>
      <c r="D42" s="14"/>
      <c r="F42" s="18"/>
      <c r="G42" s="18"/>
    </row>
    <row r="43" spans="1:16">
      <c r="A43" s="3" t="s">
        <v>82</v>
      </c>
      <c r="D43" s="14"/>
      <c r="F43" s="18"/>
      <c r="G43" s="18"/>
    </row>
    <row r="44" spans="1:16">
      <c r="A44" s="1" t="s">
        <v>11</v>
      </c>
      <c r="B44" s="1" t="s">
        <v>64</v>
      </c>
      <c r="C44" s="20" t="s">
        <v>13</v>
      </c>
      <c r="D44" s="21" t="s">
        <v>14</v>
      </c>
      <c r="E44" s="20" t="s">
        <v>67</v>
      </c>
      <c r="F44" s="20" t="s">
        <v>60</v>
      </c>
      <c r="G44" s="22" t="s">
        <v>74</v>
      </c>
      <c r="H44" s="22" t="s">
        <v>76</v>
      </c>
      <c r="I44" s="1" t="s">
        <v>79</v>
      </c>
      <c r="J44" s="20" t="s">
        <v>61</v>
      </c>
      <c r="K44" s="1" t="s">
        <v>98</v>
      </c>
      <c r="L44" s="20" t="s">
        <v>59</v>
      </c>
      <c r="M44" s="20" t="s">
        <v>62</v>
      </c>
      <c r="N44" s="20" t="s">
        <v>21</v>
      </c>
      <c r="O44" s="20" t="s">
        <v>66</v>
      </c>
      <c r="P44" s="20"/>
    </row>
    <row r="45" spans="1:16">
      <c r="A45" s="6">
        <v>2</v>
      </c>
      <c r="B45">
        <v>860</v>
      </c>
      <c r="C45">
        <v>26</v>
      </c>
      <c r="D45" s="14">
        <v>1.1217343895</v>
      </c>
      <c r="E45" s="9">
        <f t="shared" ref="E45:E49" si="7">B45/C45</f>
        <v>33.07692307692308</v>
      </c>
      <c r="F45" s="18">
        <v>19.052</v>
      </c>
      <c r="G45" s="18">
        <v>2.0371000000000001</v>
      </c>
      <c r="H45">
        <v>8.3087999999999997</v>
      </c>
      <c r="I45">
        <v>5.6818999999999997</v>
      </c>
      <c r="J45" s="16">
        <v>14.286</v>
      </c>
      <c r="K45" s="18">
        <f>L45-F45</f>
        <v>17.125999999999998</v>
      </c>
      <c r="L45" s="9">
        <v>36.177999999999997</v>
      </c>
      <c r="M45" s="4">
        <f>3570/2</f>
        <v>1785</v>
      </c>
      <c r="N45" s="4">
        <v>168000</v>
      </c>
      <c r="O45">
        <v>1</v>
      </c>
      <c r="P45" s="18"/>
    </row>
    <row r="46" spans="1:16">
      <c r="A46" s="6">
        <v>3</v>
      </c>
      <c r="B46">
        <v>864</v>
      </c>
      <c r="C46">
        <v>26</v>
      </c>
      <c r="D46" s="14">
        <v>1.1216287697</v>
      </c>
      <c r="E46" s="9">
        <f t="shared" si="7"/>
        <v>33.230769230769234</v>
      </c>
      <c r="F46" s="18">
        <v>19.145</v>
      </c>
      <c r="G46" s="18">
        <v>2.2995000000000001</v>
      </c>
      <c r="H46">
        <v>9.0739999999999998</v>
      </c>
      <c r="I46">
        <v>4.9493999999999998</v>
      </c>
      <c r="J46" s="16">
        <v>14.291</v>
      </c>
      <c r="K46" s="18">
        <f t="shared" ref="K46:K49" si="8">L46-F46</f>
        <v>17.452000000000002</v>
      </c>
      <c r="L46" s="9">
        <v>36.597000000000001</v>
      </c>
      <c r="M46" s="4">
        <f>3586/2</f>
        <v>1793</v>
      </c>
      <c r="N46" s="4">
        <v>288000</v>
      </c>
      <c r="O46">
        <v>1</v>
      </c>
      <c r="P46" s="18"/>
    </row>
    <row r="47" spans="1:16">
      <c r="A47" s="6">
        <v>4</v>
      </c>
      <c r="B47">
        <v>1052</v>
      </c>
      <c r="C47">
        <v>26</v>
      </c>
      <c r="D47" s="14">
        <v>1.1215953979</v>
      </c>
      <c r="E47" s="9">
        <f t="shared" si="7"/>
        <v>40.46153846153846</v>
      </c>
      <c r="F47" s="18">
        <v>32.847000000000001</v>
      </c>
      <c r="G47" s="18">
        <v>3.6</v>
      </c>
      <c r="H47">
        <v>16.106999999999999</v>
      </c>
      <c r="I47">
        <v>8.2309999999999999</v>
      </c>
      <c r="J47" s="16">
        <v>18.126000000000001</v>
      </c>
      <c r="K47" s="18">
        <f t="shared" si="8"/>
        <v>23.07</v>
      </c>
      <c r="L47" s="9">
        <v>55.917000000000002</v>
      </c>
      <c r="M47" s="4">
        <f>4338/2</f>
        <v>2169</v>
      </c>
      <c r="N47" s="4">
        <v>646000</v>
      </c>
      <c r="O47">
        <v>1</v>
      </c>
      <c r="P47" s="18"/>
    </row>
    <row r="48" spans="1:16">
      <c r="A48" s="6">
        <v>5</v>
      </c>
      <c r="B48">
        <v>1268</v>
      </c>
      <c r="C48">
        <v>26</v>
      </c>
      <c r="D48" s="14">
        <v>1.1215878095</v>
      </c>
      <c r="E48" s="9">
        <f t="shared" si="7"/>
        <v>48.769230769230766</v>
      </c>
      <c r="F48" s="18">
        <v>46.618000000000002</v>
      </c>
      <c r="G48" s="18">
        <v>4.5167999999999999</v>
      </c>
      <c r="H48">
        <v>25.16</v>
      </c>
      <c r="I48">
        <v>9.2162000000000006</v>
      </c>
      <c r="J48" s="16">
        <v>19.22</v>
      </c>
      <c r="K48" s="18">
        <f t="shared" si="8"/>
        <v>25.536999999999999</v>
      </c>
      <c r="L48" s="9">
        <v>72.155000000000001</v>
      </c>
      <c r="M48" s="4">
        <f>5202/2</f>
        <v>2601</v>
      </c>
      <c r="N48" s="4">
        <v>1245000</v>
      </c>
      <c r="O48">
        <v>1</v>
      </c>
      <c r="P48" s="18"/>
    </row>
    <row r="49" spans="1:18">
      <c r="A49" s="6">
        <v>6</v>
      </c>
      <c r="B49">
        <v>1744</v>
      </c>
      <c r="C49">
        <v>26</v>
      </c>
      <c r="D49" s="14">
        <v>1.1215845641</v>
      </c>
      <c r="E49" s="9">
        <f t="shared" si="7"/>
        <v>67.07692307692308</v>
      </c>
      <c r="F49" s="18">
        <v>83.284999999999997</v>
      </c>
      <c r="G49" s="18">
        <v>5.5119999999999996</v>
      </c>
      <c r="H49">
        <v>45.213000000000001</v>
      </c>
      <c r="I49">
        <v>15.571999999999999</v>
      </c>
      <c r="J49" s="16">
        <v>19.905000000000001</v>
      </c>
      <c r="K49" s="18">
        <f t="shared" si="8"/>
        <v>27.825000000000003</v>
      </c>
      <c r="L49" s="9">
        <v>111.11</v>
      </c>
      <c r="M49" s="4">
        <f>7106/2</f>
        <v>3553</v>
      </c>
      <c r="N49" s="4">
        <v>2440000</v>
      </c>
      <c r="O49">
        <v>1</v>
      </c>
      <c r="P49" s="18"/>
    </row>
    <row r="51" spans="1:18">
      <c r="A51" s="3" t="s">
        <v>95</v>
      </c>
      <c r="D51" s="14"/>
      <c r="F51" s="18"/>
      <c r="G51" s="18"/>
    </row>
    <row r="52" spans="1:18">
      <c r="A52" s="1" t="s">
        <v>11</v>
      </c>
      <c r="B52" s="1" t="s">
        <v>94</v>
      </c>
      <c r="C52" s="20" t="s">
        <v>13</v>
      </c>
      <c r="D52" s="21" t="s">
        <v>14</v>
      </c>
      <c r="E52" s="20" t="s">
        <v>67</v>
      </c>
      <c r="F52" s="20" t="s">
        <v>60</v>
      </c>
      <c r="G52" s="20" t="s">
        <v>61</v>
      </c>
      <c r="H52" s="20" t="s">
        <v>59</v>
      </c>
      <c r="I52" s="20" t="s">
        <v>62</v>
      </c>
      <c r="J52" s="20" t="s">
        <v>98</v>
      </c>
      <c r="M52" s="20"/>
      <c r="N52" s="20"/>
      <c r="O52" s="20"/>
      <c r="P52" s="20"/>
      <c r="Q52" s="1"/>
      <c r="R52" s="1"/>
    </row>
    <row r="53" spans="1:18">
      <c r="A53" s="6">
        <v>2</v>
      </c>
      <c r="B53">
        <v>4946</v>
      </c>
      <c r="C53">
        <v>26</v>
      </c>
      <c r="D53" s="14">
        <v>1.1217338814</v>
      </c>
      <c r="E53" s="9">
        <f t="shared" ref="E53:E57" si="9">B53/C53</f>
        <v>190.23076923076923</v>
      </c>
      <c r="F53" s="18">
        <v>23.579000000000001</v>
      </c>
      <c r="G53" s="16">
        <v>14.215999999999999</v>
      </c>
      <c r="H53" s="9">
        <v>38.265999999999998</v>
      </c>
      <c r="I53" s="4">
        <f>10016/2</f>
        <v>5008</v>
      </c>
      <c r="J53" s="18">
        <f>H53-F53</f>
        <v>14.686999999999998</v>
      </c>
      <c r="M53" s="4"/>
      <c r="O53" s="18"/>
      <c r="P53" s="18"/>
      <c r="Q53" s="18"/>
      <c r="R53" s="18"/>
    </row>
    <row r="54" spans="1:18">
      <c r="A54" s="6">
        <v>3</v>
      </c>
      <c r="B54">
        <v>4893</v>
      </c>
      <c r="C54">
        <v>26</v>
      </c>
      <c r="D54" s="14">
        <v>1.121628173</v>
      </c>
      <c r="E54" s="9">
        <f t="shared" si="9"/>
        <v>188.19230769230768</v>
      </c>
      <c r="F54" s="18">
        <v>25.233000000000001</v>
      </c>
      <c r="G54" s="16">
        <v>14.288</v>
      </c>
      <c r="H54" s="9">
        <v>40.031999999999996</v>
      </c>
      <c r="I54" s="4">
        <f>9916/2</f>
        <v>4958</v>
      </c>
      <c r="J54" s="18">
        <f t="shared" ref="J54:J57" si="10">H54-F54</f>
        <v>14.798999999999996</v>
      </c>
      <c r="M54" s="4"/>
      <c r="O54" s="18"/>
      <c r="P54" s="18"/>
      <c r="Q54" s="18"/>
      <c r="R54" s="18"/>
    </row>
    <row r="55" spans="1:18">
      <c r="A55" s="6">
        <v>4</v>
      </c>
      <c r="B55">
        <v>4927</v>
      </c>
      <c r="C55">
        <v>26</v>
      </c>
      <c r="D55" s="14">
        <v>1.1215948936</v>
      </c>
      <c r="E55" s="9">
        <f t="shared" si="9"/>
        <v>189.5</v>
      </c>
      <c r="F55" s="18">
        <v>37.563000000000002</v>
      </c>
      <c r="G55" s="16">
        <v>18.119</v>
      </c>
      <c r="H55" s="9">
        <v>56.387999999999998</v>
      </c>
      <c r="I55" s="4">
        <f>9984/2</f>
        <v>4992</v>
      </c>
      <c r="J55" s="18">
        <f t="shared" si="10"/>
        <v>18.824999999999996</v>
      </c>
      <c r="M55" s="4"/>
      <c r="O55" s="18"/>
      <c r="P55" s="18"/>
      <c r="Q55" s="18"/>
      <c r="R55" s="18"/>
    </row>
    <row r="56" spans="1:18">
      <c r="A56" s="6">
        <v>5</v>
      </c>
      <c r="B56">
        <v>5208</v>
      </c>
      <c r="C56">
        <v>26</v>
      </c>
      <c r="D56" s="14">
        <v>1.1215873573999999</v>
      </c>
      <c r="E56" s="9">
        <f t="shared" si="9"/>
        <v>200.30769230769232</v>
      </c>
      <c r="F56" s="18">
        <v>52.064999999999998</v>
      </c>
      <c r="G56" s="16">
        <v>19.295000000000002</v>
      </c>
      <c r="H56" s="9">
        <v>72.700999999999993</v>
      </c>
      <c r="I56" s="4">
        <f>10366/2</f>
        <v>5183</v>
      </c>
      <c r="J56" s="18">
        <f t="shared" si="10"/>
        <v>20.635999999999996</v>
      </c>
      <c r="M56" s="4"/>
      <c r="O56" s="18"/>
      <c r="P56" s="18"/>
      <c r="Q56" s="18"/>
      <c r="R56" s="18"/>
    </row>
    <row r="57" spans="1:18">
      <c r="A57" s="6">
        <v>6</v>
      </c>
      <c r="B57">
        <v>6016</v>
      </c>
      <c r="C57">
        <v>26</v>
      </c>
      <c r="D57" s="14">
        <v>1.1215842168000001</v>
      </c>
      <c r="E57" s="9">
        <f t="shared" si="9"/>
        <v>231.38461538461539</v>
      </c>
      <c r="F57" s="18">
        <v>77.912000000000006</v>
      </c>
      <c r="G57" s="16">
        <v>19.923999999999999</v>
      </c>
      <c r="H57" s="9">
        <v>99.036000000000001</v>
      </c>
      <c r="I57" s="4">
        <f>12154/2</f>
        <v>6077</v>
      </c>
      <c r="J57" s="18">
        <f t="shared" si="10"/>
        <v>21.123999999999995</v>
      </c>
      <c r="M57" s="4"/>
      <c r="O57" s="18"/>
      <c r="P57" s="18"/>
      <c r="Q57" s="18"/>
      <c r="R57" s="18"/>
    </row>
    <row r="58" spans="1:18">
      <c r="H58" s="9"/>
      <c r="I58" s="9"/>
    </row>
    <row r="59" spans="1:18">
      <c r="H59" s="9"/>
      <c r="I59" s="9"/>
    </row>
    <row r="60" spans="1:18">
      <c r="H60" s="9"/>
      <c r="I60" s="9"/>
      <c r="Q60" s="1"/>
      <c r="R60" s="1"/>
    </row>
    <row r="61" spans="1:18">
      <c r="A61" s="3" t="s">
        <v>71</v>
      </c>
      <c r="G61" s="3" t="s">
        <v>92</v>
      </c>
      <c r="I61" s="9"/>
      <c r="J61" s="9"/>
      <c r="Q61" s="18"/>
      <c r="R61" s="18"/>
    </row>
    <row r="62" spans="1:18">
      <c r="A62" s="1" t="s">
        <v>11</v>
      </c>
      <c r="B62" s="1" t="s">
        <v>68</v>
      </c>
      <c r="C62" s="1" t="s">
        <v>69</v>
      </c>
      <c r="D62" s="1" t="s">
        <v>70</v>
      </c>
      <c r="E62" s="1" t="s">
        <v>97</v>
      </c>
      <c r="G62" s="1" t="s">
        <v>11</v>
      </c>
      <c r="H62" s="1" t="s">
        <v>96</v>
      </c>
      <c r="I62" s="1" t="s">
        <v>69</v>
      </c>
      <c r="J62" s="1" t="s">
        <v>70</v>
      </c>
      <c r="K62" s="1" t="s">
        <v>97</v>
      </c>
      <c r="Q62" s="18"/>
      <c r="R62" s="18"/>
    </row>
    <row r="63" spans="1:18">
      <c r="A63" s="6">
        <v>2</v>
      </c>
      <c r="B63" s="9">
        <f>F45/E17</f>
        <v>2.9092352797459076</v>
      </c>
      <c r="C63" s="9">
        <f>F45/E26</f>
        <v>0.80575174455487419</v>
      </c>
      <c r="D63" s="9">
        <f>F45/E35</f>
        <v>1.2774574225559876</v>
      </c>
      <c r="E63" s="9">
        <f>F45/F53</f>
        <v>0.80800712498409599</v>
      </c>
      <c r="F63" s="9"/>
      <c r="G63" s="33">
        <v>2</v>
      </c>
      <c r="H63" s="9">
        <f>F45/E17</f>
        <v>2.9092352797459076</v>
      </c>
      <c r="I63" s="9">
        <f>E26/E17</f>
        <v>3.6105851453701443</v>
      </c>
      <c r="J63" s="9">
        <f>E35/E17</f>
        <v>2.2773637918397265</v>
      </c>
      <c r="K63" s="9">
        <f>F53/E17</f>
        <v>3.6005069631077449</v>
      </c>
      <c r="Q63" s="18"/>
      <c r="R63" s="18"/>
    </row>
    <row r="64" spans="1:18">
      <c r="A64" s="6">
        <v>3</v>
      </c>
      <c r="B64" s="9">
        <f t="shared" ref="B64:B67" si="11">F46/E18</f>
        <v>2.5676962487091104</v>
      </c>
      <c r="C64" s="9">
        <f t="shared" ref="C64:C67" si="12">F46/E27</f>
        <v>0.74616104139059936</v>
      </c>
      <c r="D64" s="9">
        <f t="shared" ref="D64:D67" si="13">F46/E36</f>
        <v>1.1815713139542061</v>
      </c>
      <c r="E64" s="9">
        <f t="shared" ref="E64:E67" si="14">F46/F54</f>
        <v>0.75872864899140013</v>
      </c>
      <c r="F64" s="9"/>
      <c r="G64" s="33">
        <v>3</v>
      </c>
      <c r="H64" s="9">
        <f>F46/E18</f>
        <v>2.5676962487091104</v>
      </c>
      <c r="I64" s="9">
        <f>E27/E18</f>
        <v>3.4412092112498494</v>
      </c>
      <c r="J64" s="9">
        <f>E36/E18</f>
        <v>2.1731199957082121</v>
      </c>
      <c r="K64" s="9">
        <f t="shared" ref="K64:K67" si="15">F54/E18</f>
        <v>3.3842089027775915</v>
      </c>
      <c r="Q64" s="18"/>
      <c r="R64" s="18"/>
    </row>
    <row r="65" spans="1:18">
      <c r="A65" s="6">
        <v>4</v>
      </c>
      <c r="B65" s="9">
        <f t="shared" si="11"/>
        <v>2.6372541148133282</v>
      </c>
      <c r="C65" s="9">
        <f t="shared" si="12"/>
        <v>0.89086273765289792</v>
      </c>
      <c r="D65" s="9">
        <f t="shared" si="13"/>
        <v>1.3140902544407107</v>
      </c>
      <c r="E65" s="9">
        <f t="shared" si="14"/>
        <v>0.87445092245028355</v>
      </c>
      <c r="F65" s="9"/>
      <c r="G65" s="33">
        <v>4</v>
      </c>
      <c r="H65" s="9">
        <f>F47/E19</f>
        <v>2.6372541148133282</v>
      </c>
      <c r="I65" s="9">
        <f>E28/E19</f>
        <v>2.960337213970293</v>
      </c>
      <c r="J65" s="9">
        <f>E37/E19</f>
        <v>2.006904857486953</v>
      </c>
      <c r="K65" s="9">
        <f t="shared" si="15"/>
        <v>3.0158972300281013</v>
      </c>
      <c r="Q65" s="18"/>
      <c r="R65" s="18"/>
    </row>
    <row r="66" spans="1:18">
      <c r="A66" s="6">
        <v>5</v>
      </c>
      <c r="B66" s="9">
        <f t="shared" si="11"/>
        <v>2.5395217083401431</v>
      </c>
      <c r="C66" s="9">
        <f t="shared" si="12"/>
        <v>1.0140079175185976</v>
      </c>
      <c r="D66" s="9">
        <f t="shared" si="13"/>
        <v>1.3817244138830436</v>
      </c>
      <c r="E66" s="9">
        <f t="shared" si="14"/>
        <v>0.89538077403245953</v>
      </c>
      <c r="F66" s="9"/>
      <c r="G66" s="33">
        <v>5</v>
      </c>
      <c r="H66" s="9">
        <f>F48/E20</f>
        <v>2.5395217083401431</v>
      </c>
      <c r="I66" s="9">
        <f>E29/E20</f>
        <v>2.5044397232663287</v>
      </c>
      <c r="J66" s="9">
        <f>E38/E20</f>
        <v>1.8379364819959687</v>
      </c>
      <c r="K66" s="9">
        <f t="shared" si="15"/>
        <v>2.8362477529008006</v>
      </c>
    </row>
    <row r="67" spans="1:18">
      <c r="A67" s="6">
        <v>6</v>
      </c>
      <c r="B67" s="9">
        <f t="shared" si="11"/>
        <v>2.906473564822893</v>
      </c>
      <c r="C67" s="9">
        <f t="shared" si="12"/>
        <v>1.3164050768963282</v>
      </c>
      <c r="D67" s="9">
        <f t="shared" si="13"/>
        <v>1.6637367905871072</v>
      </c>
      <c r="E67" s="9">
        <f t="shared" si="14"/>
        <v>1.0689624191395419</v>
      </c>
      <c r="F67" s="9"/>
      <c r="G67" s="33">
        <v>6</v>
      </c>
      <c r="H67" s="9">
        <f>F49/E21</f>
        <v>2.906473564822893</v>
      </c>
      <c r="I67" s="9">
        <f>E30/E21</f>
        <v>2.2078869307276219</v>
      </c>
      <c r="J67" s="9">
        <f>E39/E21</f>
        <v>1.7469551561682077</v>
      </c>
      <c r="K67" s="9">
        <f t="shared" si="15"/>
        <v>2.7189670214622232</v>
      </c>
    </row>
    <row r="68" spans="1:18"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8"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8">
      <c r="A70" s="3" t="s">
        <v>72</v>
      </c>
      <c r="B70" s="9"/>
      <c r="C70" s="9"/>
      <c r="D70" s="9"/>
      <c r="E70" s="9"/>
      <c r="F70" s="9"/>
      <c r="G70" s="34" t="s">
        <v>93</v>
      </c>
      <c r="H70" s="9"/>
      <c r="I70" s="9"/>
      <c r="J70" s="9"/>
      <c r="K70" s="9"/>
    </row>
    <row r="71" spans="1:18">
      <c r="A71" s="1" t="s">
        <v>11</v>
      </c>
      <c r="B71" s="17" t="s">
        <v>68</v>
      </c>
      <c r="C71" s="17" t="s">
        <v>69</v>
      </c>
      <c r="D71" s="17" t="s">
        <v>70</v>
      </c>
      <c r="E71" s="17" t="s">
        <v>97</v>
      </c>
      <c r="F71" s="9"/>
      <c r="G71" s="17" t="s">
        <v>11</v>
      </c>
      <c r="H71" s="17" t="s">
        <v>96</v>
      </c>
      <c r="I71" s="17" t="s">
        <v>69</v>
      </c>
      <c r="J71" s="17" t="s">
        <v>70</v>
      </c>
      <c r="K71" s="17" t="s">
        <v>97</v>
      </c>
    </row>
    <row r="72" spans="1:18">
      <c r="A72" s="6">
        <v>2</v>
      </c>
      <c r="B72" s="9">
        <f>L45/G17</f>
        <v>5.2128180744070773</v>
      </c>
      <c r="C72" s="9">
        <f>L45/G26</f>
        <v>1.506788837984173</v>
      </c>
      <c r="D72" s="9">
        <f>L45/G35</f>
        <v>2.301838773302793</v>
      </c>
      <c r="E72" s="9">
        <f>L45/H53</f>
        <v>0.94543458945277792</v>
      </c>
      <c r="F72" s="9"/>
      <c r="G72" s="33">
        <v>2</v>
      </c>
      <c r="H72" s="9">
        <f>L45/G17</f>
        <v>5.2128180744070773</v>
      </c>
      <c r="I72" s="9">
        <f>G26/G17</f>
        <v>3.4595544796979918</v>
      </c>
      <c r="J72" s="9">
        <f>G35/G17</f>
        <v>2.2646321431659029</v>
      </c>
      <c r="K72" s="9">
        <f>H53/G17</f>
        <v>5.5136739575228377</v>
      </c>
    </row>
    <row r="73" spans="1:18">
      <c r="A73" s="6">
        <v>3</v>
      </c>
      <c r="B73" s="9">
        <f>L46/G18</f>
        <v>4.6638800035682886</v>
      </c>
      <c r="C73" s="9">
        <f>L46/G27</f>
        <v>1.4052528510540261</v>
      </c>
      <c r="D73" s="9">
        <f>L46/G36</f>
        <v>2.1478373143963845</v>
      </c>
      <c r="E73" s="9">
        <f>L46/H54</f>
        <v>0.91419364508393297</v>
      </c>
      <c r="F73" s="9"/>
      <c r="G73" s="33">
        <v>3</v>
      </c>
      <c r="H73" s="9">
        <f>L46/G18</f>
        <v>4.6638800035682886</v>
      </c>
      <c r="I73" s="9">
        <f>G27/G18</f>
        <v>3.3188902623966152</v>
      </c>
      <c r="J73" s="9">
        <f>G36/G18</f>
        <v>2.1714307560947637</v>
      </c>
      <c r="K73" s="9">
        <f t="shared" ref="K73:K76" si="16">H54/G18</f>
        <v>5.1016324918120528</v>
      </c>
    </row>
    <row r="74" spans="1:18">
      <c r="A74" s="6">
        <v>4</v>
      </c>
      <c r="B74" s="9">
        <f>L47/G19</f>
        <v>4.299984620116887</v>
      </c>
      <c r="C74" s="9">
        <f>L47/G28</f>
        <v>1.4943078567610903</v>
      </c>
      <c r="D74" s="9">
        <f>L47/G37</f>
        <v>2.1287117405207856</v>
      </c>
      <c r="E74" s="9">
        <f>L47/H55</f>
        <v>0.99164715896999367</v>
      </c>
      <c r="F74" s="9"/>
      <c r="G74" s="33">
        <v>4</v>
      </c>
      <c r="H74" s="9">
        <f>L47/G19</f>
        <v>4.299984620116887</v>
      </c>
      <c r="I74" s="9">
        <f>G28/G19</f>
        <v>2.8775761304214091</v>
      </c>
      <c r="J74" s="9">
        <f>G37/G19</f>
        <v>2.019993848046755</v>
      </c>
      <c r="K74" s="9">
        <f t="shared" si="16"/>
        <v>4.3362042448477389</v>
      </c>
    </row>
    <row r="75" spans="1:18">
      <c r="A75" s="6">
        <v>5</v>
      </c>
      <c r="B75" s="9">
        <f>L48/G20</f>
        <v>3.7767600104684638</v>
      </c>
      <c r="C75" s="9">
        <f>L48/G29</f>
        <v>1.5455051727461606</v>
      </c>
      <c r="D75" s="9">
        <f>L48/G38</f>
        <v>2.0471245779782676</v>
      </c>
      <c r="E75" s="9">
        <f>L48/H56</f>
        <v>0.99248978693553058</v>
      </c>
      <c r="F75" s="9"/>
      <c r="G75" s="33">
        <v>5</v>
      </c>
      <c r="H75" s="9">
        <f>L48/G20</f>
        <v>3.7767600104684638</v>
      </c>
      <c r="I75" s="9">
        <f>G29/G20</f>
        <v>2.443705836168542</v>
      </c>
      <c r="J75" s="9">
        <f>G38/G20</f>
        <v>1.8449097095001308</v>
      </c>
      <c r="K75" s="9">
        <f t="shared" si="16"/>
        <v>3.805338916514001</v>
      </c>
    </row>
    <row r="76" spans="1:18">
      <c r="A76" s="6">
        <v>6</v>
      </c>
      <c r="B76" s="9">
        <f>L49/G21</f>
        <v>3.7580328756003518</v>
      </c>
      <c r="C76" s="9">
        <f>L49/G30</f>
        <v>1.7317373482333505</v>
      </c>
      <c r="D76" s="9">
        <f>L49/G39</f>
        <v>2.1422924901185771</v>
      </c>
      <c r="E76" s="9">
        <f>L49/H57</f>
        <v>1.1219152631366371</v>
      </c>
      <c r="F76" s="9"/>
      <c r="G76" s="33">
        <v>6</v>
      </c>
      <c r="H76" s="9">
        <f>L49/G21</f>
        <v>3.7580328756003518</v>
      </c>
      <c r="I76" s="9">
        <f>G30/G21</f>
        <v>2.1700940269228171</v>
      </c>
      <c r="J76" s="9">
        <f>G39/G21</f>
        <v>1.7542109179462897</v>
      </c>
      <c r="K76" s="9">
        <f t="shared" si="16"/>
        <v>3.349658391395522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workbookViewId="0">
      <selection activeCell="A17" sqref="A17:XFD17"/>
    </sheetView>
  </sheetViews>
  <sheetFormatPr baseColWidth="10" defaultColWidth="13.33203125" defaultRowHeight="15" x14ac:dyDescent="0"/>
  <cols>
    <col min="1" max="1" width="13" customWidth="1"/>
    <col min="2" max="2" width="14" bestFit="1" customWidth="1"/>
    <col min="3" max="3" width="9.5" bestFit="1" customWidth="1"/>
    <col min="4" max="4" width="13" bestFit="1" customWidth="1"/>
    <col min="5" max="22" width="6.5" bestFit="1" customWidth="1"/>
    <col min="23" max="30" width="7.5" bestFit="1" customWidth="1"/>
    <col min="31" max="31" width="9.6640625" bestFit="1" customWidth="1"/>
    <col min="32" max="32" width="10.33203125" bestFit="1" customWidth="1"/>
    <col min="33" max="33" width="10" bestFit="1" customWidth="1"/>
  </cols>
  <sheetData>
    <row r="1" spans="1:35">
      <c r="A1" s="1" t="s">
        <v>28</v>
      </c>
    </row>
    <row r="3" spans="1:35">
      <c r="A3" s="3" t="s">
        <v>25</v>
      </c>
      <c r="B3" t="s">
        <v>31</v>
      </c>
    </row>
    <row r="4" spans="1:35">
      <c r="A4" s="1" t="s">
        <v>26</v>
      </c>
      <c r="B4" s="1" t="s">
        <v>30</v>
      </c>
      <c r="C4" s="1" t="s">
        <v>29</v>
      </c>
      <c r="D4" s="1" t="s">
        <v>27</v>
      </c>
      <c r="E4" s="1" t="s">
        <v>32</v>
      </c>
      <c r="F4" s="1" t="s">
        <v>33</v>
      </c>
      <c r="G4" s="1" t="s">
        <v>34</v>
      </c>
      <c r="H4" s="1" t="s">
        <v>35</v>
      </c>
      <c r="I4" s="1" t="s">
        <v>36</v>
      </c>
      <c r="J4" s="1" t="s">
        <v>37</v>
      </c>
      <c r="K4" s="1" t="s">
        <v>38</v>
      </c>
      <c r="L4" s="1" t="s">
        <v>39</v>
      </c>
      <c r="M4" s="1" t="s">
        <v>40</v>
      </c>
      <c r="N4" s="1" t="s">
        <v>41</v>
      </c>
      <c r="O4" s="1" t="s">
        <v>42</v>
      </c>
      <c r="P4" s="1" t="s">
        <v>43</v>
      </c>
      <c r="Q4" s="1" t="s">
        <v>44</v>
      </c>
      <c r="R4" s="1" t="s">
        <v>45</v>
      </c>
      <c r="S4" s="1" t="s">
        <v>46</v>
      </c>
      <c r="T4" s="1" t="s">
        <v>47</v>
      </c>
      <c r="U4" s="1" t="s">
        <v>48</v>
      </c>
      <c r="V4" s="1" t="s">
        <v>49</v>
      </c>
      <c r="W4" s="1" t="s">
        <v>50</v>
      </c>
      <c r="X4" s="1" t="s">
        <v>51</v>
      </c>
      <c r="Y4" s="1" t="s">
        <v>52</v>
      </c>
      <c r="Z4" s="1" t="s">
        <v>53</v>
      </c>
      <c r="AA4" s="1" t="s">
        <v>54</v>
      </c>
      <c r="AB4" s="1" t="s">
        <v>55</v>
      </c>
      <c r="AC4" s="1" t="s">
        <v>56</v>
      </c>
      <c r="AD4" s="1" t="s">
        <v>57</v>
      </c>
      <c r="AE4" s="1" t="s">
        <v>58</v>
      </c>
      <c r="AF4" s="1" t="s">
        <v>60</v>
      </c>
      <c r="AG4" s="1" t="s">
        <v>61</v>
      </c>
      <c r="AH4" s="1" t="s">
        <v>59</v>
      </c>
      <c r="AI4" s="1" t="s">
        <v>62</v>
      </c>
    </row>
    <row r="5" spans="1:35">
      <c r="A5" s="7">
        <v>5</v>
      </c>
      <c r="B5" s="7">
        <v>1</v>
      </c>
      <c r="C5" s="7">
        <v>1E-3</v>
      </c>
      <c r="D5" s="8">
        <v>75000</v>
      </c>
      <c r="E5" s="7">
        <v>19</v>
      </c>
      <c r="F5" s="7">
        <v>1.784</v>
      </c>
      <c r="G5" s="7">
        <v>20</v>
      </c>
      <c r="H5" s="7">
        <v>2.0819000000000001</v>
      </c>
      <c r="I5" s="7">
        <v>22</v>
      </c>
      <c r="J5" s="7">
        <v>2.282</v>
      </c>
      <c r="K5" s="7">
        <v>20</v>
      </c>
      <c r="L5" s="7">
        <v>2.06</v>
      </c>
      <c r="M5" s="7">
        <v>23</v>
      </c>
      <c r="N5" s="7">
        <v>2.63</v>
      </c>
      <c r="O5" s="7">
        <v>21</v>
      </c>
      <c r="P5" s="7">
        <v>2.04</v>
      </c>
      <c r="Q5" s="7">
        <v>21</v>
      </c>
      <c r="R5" s="7">
        <v>2.42</v>
      </c>
      <c r="S5" s="7">
        <v>23</v>
      </c>
      <c r="T5" s="7">
        <v>2.4300000000000002</v>
      </c>
      <c r="U5" s="7">
        <v>22</v>
      </c>
      <c r="V5" s="7">
        <v>2.4300000000000002</v>
      </c>
      <c r="W5" s="7">
        <v>21</v>
      </c>
      <c r="X5" s="7">
        <v>2.27</v>
      </c>
      <c r="Y5" s="7">
        <v>21</v>
      </c>
      <c r="Z5" s="7">
        <v>2.2770000000000001</v>
      </c>
      <c r="AA5" s="7">
        <v>21</v>
      </c>
      <c r="AB5" s="7">
        <v>2.1589999999999998</v>
      </c>
      <c r="AC5" s="7">
        <v>21</v>
      </c>
      <c r="AD5" s="7">
        <v>2.1429999999999998</v>
      </c>
      <c r="AE5">
        <f>E5+G5+I5+K5+M5+O5+Q5+S5+U5+W5+Y5+AA5+AC5</f>
        <v>275</v>
      </c>
      <c r="AF5" s="9">
        <f>F5+H5+J5+L5+N5+P5+R5+T5+V5+X5+Z5+AB5+AD5</f>
        <v>29.006900000000002</v>
      </c>
      <c r="AG5">
        <v>33.700000000000003</v>
      </c>
      <c r="AH5">
        <v>68.7</v>
      </c>
      <c r="AI5">
        <f>(A5+1)*AE5</f>
        <v>1650</v>
      </c>
    </row>
    <row r="6" spans="1:35">
      <c r="A6" s="7">
        <v>5</v>
      </c>
      <c r="B6" s="7">
        <v>1</v>
      </c>
      <c r="C6" s="7">
        <v>0.01</v>
      </c>
      <c r="D6" s="8">
        <v>75000</v>
      </c>
      <c r="E6" s="7">
        <v>22</v>
      </c>
      <c r="F6" s="7">
        <v>1.7</v>
      </c>
      <c r="G6" s="7">
        <v>22</v>
      </c>
      <c r="H6" s="7">
        <v>1.84</v>
      </c>
      <c r="I6" s="7">
        <v>22</v>
      </c>
      <c r="J6" s="7">
        <v>1.84</v>
      </c>
      <c r="K6" s="7">
        <v>22</v>
      </c>
      <c r="L6" s="7">
        <v>1.81</v>
      </c>
      <c r="M6" s="7">
        <v>24</v>
      </c>
      <c r="N6" s="7">
        <v>2.33</v>
      </c>
      <c r="O6" s="7">
        <v>24</v>
      </c>
      <c r="P6" s="7">
        <v>2.2400000000000002</v>
      </c>
      <c r="Q6" s="7">
        <v>25</v>
      </c>
      <c r="R6" s="7">
        <v>2.34</v>
      </c>
      <c r="S6" s="7">
        <v>22</v>
      </c>
      <c r="T6" s="7">
        <v>1.66</v>
      </c>
      <c r="U6" s="7">
        <v>21</v>
      </c>
      <c r="V6" s="7">
        <v>1.736</v>
      </c>
      <c r="W6" s="7">
        <v>22</v>
      </c>
      <c r="X6" s="7">
        <v>1.7</v>
      </c>
      <c r="Y6" s="7">
        <v>22</v>
      </c>
      <c r="Z6" s="7">
        <v>1.89</v>
      </c>
      <c r="AA6" s="7">
        <v>22</v>
      </c>
      <c r="AB6" s="7">
        <v>1.72</v>
      </c>
      <c r="AC6" s="7">
        <v>21</v>
      </c>
      <c r="AD6" s="7">
        <v>1.66</v>
      </c>
      <c r="AE6">
        <f t="shared" ref="AE6:AE15" si="0">E6+G6+I6+K6+M6+O6+Q6+S6+U6+W6+Y6+AA6+AC6</f>
        <v>291</v>
      </c>
      <c r="AF6" s="9">
        <f t="shared" ref="AF6:AF15" si="1">F6+H6+J6+L6+N6+P6+R6+T6+V6+X6+Z6+AB6+AD6</f>
        <v>24.465999999999998</v>
      </c>
      <c r="AG6">
        <v>10.9</v>
      </c>
      <c r="AH6">
        <v>38.700000000000003</v>
      </c>
      <c r="AI6">
        <f t="shared" ref="AI6:AI15" si="2">(A6+1)*AE6</f>
        <v>1746</v>
      </c>
    </row>
    <row r="7" spans="1:35">
      <c r="A7" s="7">
        <v>5</v>
      </c>
      <c r="B7" s="7">
        <v>1</v>
      </c>
      <c r="C7" s="7">
        <v>0.05</v>
      </c>
      <c r="D7" s="8">
        <v>75000</v>
      </c>
      <c r="E7" s="7">
        <v>27</v>
      </c>
      <c r="F7" s="7">
        <v>1.94</v>
      </c>
      <c r="G7" s="7">
        <v>30</v>
      </c>
      <c r="H7" s="7">
        <v>2.4500000000000002</v>
      </c>
      <c r="I7" s="7">
        <v>27</v>
      </c>
      <c r="J7" s="7">
        <v>1.93</v>
      </c>
      <c r="K7" s="7">
        <v>26</v>
      </c>
      <c r="L7" s="7">
        <v>1.86</v>
      </c>
      <c r="M7" s="7">
        <v>29</v>
      </c>
      <c r="N7" s="7">
        <v>2.3199999999999998</v>
      </c>
      <c r="O7" s="7">
        <v>30</v>
      </c>
      <c r="P7" s="7">
        <v>2.59</v>
      </c>
      <c r="Q7" s="7">
        <v>25</v>
      </c>
      <c r="R7" s="7">
        <v>1.86</v>
      </c>
      <c r="S7" s="7">
        <v>28</v>
      </c>
      <c r="T7" s="7">
        <v>2.31</v>
      </c>
      <c r="U7" s="7">
        <v>28</v>
      </c>
      <c r="V7" s="7">
        <v>2.14</v>
      </c>
      <c r="W7" s="7">
        <v>27</v>
      </c>
      <c r="X7" s="7">
        <v>2</v>
      </c>
      <c r="Y7" s="7">
        <v>28</v>
      </c>
      <c r="Z7" s="7">
        <v>2.2000000000000002</v>
      </c>
      <c r="AA7" s="7">
        <v>30</v>
      </c>
      <c r="AB7" s="7">
        <v>2.69</v>
      </c>
      <c r="AC7" s="7">
        <v>28</v>
      </c>
      <c r="AD7" s="7">
        <v>4.45</v>
      </c>
      <c r="AE7">
        <f t="shared" si="0"/>
        <v>363</v>
      </c>
      <c r="AF7" s="9">
        <f t="shared" si="1"/>
        <v>30.74</v>
      </c>
      <c r="AG7">
        <v>2.38</v>
      </c>
      <c r="AH7">
        <v>33.9</v>
      </c>
      <c r="AI7">
        <f t="shared" si="2"/>
        <v>2178</v>
      </c>
    </row>
    <row r="8" spans="1:35">
      <c r="A8" s="7">
        <v>5</v>
      </c>
      <c r="B8" s="7">
        <v>1</v>
      </c>
      <c r="C8" s="7">
        <v>0.1</v>
      </c>
      <c r="D8" s="8">
        <v>75000</v>
      </c>
      <c r="E8" s="7">
        <v>98</v>
      </c>
      <c r="F8" s="7">
        <v>9.5</v>
      </c>
      <c r="G8" s="7">
        <v>125</v>
      </c>
      <c r="H8" s="7">
        <v>12.2</v>
      </c>
      <c r="I8" s="7">
        <v>102</v>
      </c>
      <c r="J8">
        <v>9.65</v>
      </c>
      <c r="K8" s="7">
        <v>85</v>
      </c>
      <c r="L8" s="7">
        <v>7.5</v>
      </c>
      <c r="M8" s="7">
        <v>74</v>
      </c>
      <c r="N8" s="7">
        <v>6.89</v>
      </c>
      <c r="O8" s="7">
        <v>108</v>
      </c>
      <c r="P8" s="7">
        <v>10.4</v>
      </c>
      <c r="Q8" s="7">
        <v>63</v>
      </c>
      <c r="R8" s="7">
        <v>5.48</v>
      </c>
      <c r="S8" s="7">
        <v>67</v>
      </c>
      <c r="T8" s="7">
        <v>6.28</v>
      </c>
      <c r="U8" s="7">
        <v>72</v>
      </c>
      <c r="V8" s="7">
        <v>5.98</v>
      </c>
      <c r="W8" s="7">
        <v>74</v>
      </c>
      <c r="X8" s="7">
        <v>6.78</v>
      </c>
      <c r="Y8" s="7">
        <v>83</v>
      </c>
      <c r="Z8" s="7">
        <v>7.68</v>
      </c>
      <c r="AA8" s="7">
        <v>82</v>
      </c>
      <c r="AB8" s="7">
        <v>7.5</v>
      </c>
      <c r="AC8" s="7">
        <v>65</v>
      </c>
      <c r="AD8" s="7">
        <v>5.84</v>
      </c>
      <c r="AE8">
        <f t="shared" si="0"/>
        <v>1098</v>
      </c>
      <c r="AF8" s="9">
        <f t="shared" si="1"/>
        <v>101.68</v>
      </c>
      <c r="AG8">
        <v>1.22</v>
      </c>
      <c r="AH8">
        <v>105.5</v>
      </c>
      <c r="AI8">
        <f t="shared" si="2"/>
        <v>6588</v>
      </c>
    </row>
    <row r="9" spans="1:35">
      <c r="A9" s="7">
        <v>5</v>
      </c>
      <c r="B9" s="7">
        <v>2</v>
      </c>
      <c r="C9" s="7">
        <v>0.01</v>
      </c>
      <c r="D9" s="8">
        <v>75000</v>
      </c>
      <c r="E9" s="7">
        <v>13</v>
      </c>
      <c r="F9" s="7">
        <v>1.1890000000000001</v>
      </c>
      <c r="G9" s="7">
        <v>13</v>
      </c>
      <c r="H9" s="7">
        <v>1.08</v>
      </c>
      <c r="I9" s="7">
        <v>12</v>
      </c>
      <c r="J9" s="7">
        <v>0.97499999999999998</v>
      </c>
      <c r="K9" s="7">
        <v>12</v>
      </c>
      <c r="L9" s="7">
        <v>1.02</v>
      </c>
      <c r="M9" s="7">
        <v>14</v>
      </c>
      <c r="N9" s="7">
        <v>1.26</v>
      </c>
      <c r="O9" s="7">
        <v>12</v>
      </c>
      <c r="P9" s="7">
        <v>0.99099999999999999</v>
      </c>
      <c r="Q9" s="7">
        <v>12</v>
      </c>
      <c r="R9" s="7">
        <v>0.99299999999999999</v>
      </c>
      <c r="S9" s="7">
        <v>13</v>
      </c>
      <c r="T9" s="7">
        <v>1.097</v>
      </c>
      <c r="U9" s="7">
        <v>12</v>
      </c>
      <c r="V9" s="7">
        <v>0.90400000000000003</v>
      </c>
      <c r="W9" s="7">
        <v>13</v>
      </c>
      <c r="X9" s="7">
        <v>1.07</v>
      </c>
      <c r="Y9" s="7">
        <v>12</v>
      </c>
      <c r="Z9" s="7">
        <v>0.94</v>
      </c>
      <c r="AA9" s="7">
        <v>12</v>
      </c>
      <c r="AB9" s="7">
        <v>0.91700000000000004</v>
      </c>
      <c r="AC9" s="7">
        <v>12</v>
      </c>
      <c r="AD9" s="7">
        <v>1.01</v>
      </c>
      <c r="AE9">
        <f t="shared" ref="AE9:AF11" si="3">E9+G9+I9+K9+M9+O9+Q9+S9+U9+W9+Y9+AA9+AC9</f>
        <v>162</v>
      </c>
      <c r="AF9" s="9">
        <f t="shared" si="3"/>
        <v>13.446</v>
      </c>
      <c r="AG9">
        <v>74.010000000000005</v>
      </c>
      <c r="AH9">
        <f>92.89</f>
        <v>92.89</v>
      </c>
      <c r="AI9">
        <f>(A9+1)*AE9</f>
        <v>972</v>
      </c>
    </row>
    <row r="10" spans="1:35">
      <c r="A10" s="7">
        <v>5</v>
      </c>
      <c r="B10" s="7">
        <v>2</v>
      </c>
      <c r="C10" s="7">
        <v>0.05</v>
      </c>
      <c r="D10" s="8">
        <v>75000</v>
      </c>
      <c r="E10" s="7">
        <v>13</v>
      </c>
      <c r="F10" s="7">
        <v>0.91200000000000003</v>
      </c>
      <c r="G10" s="7">
        <v>13</v>
      </c>
      <c r="H10" s="7">
        <v>0.85499999999999998</v>
      </c>
      <c r="I10" s="7">
        <v>12</v>
      </c>
      <c r="J10" s="7">
        <v>0.79600000000000004</v>
      </c>
      <c r="K10" s="7">
        <v>13</v>
      </c>
      <c r="L10" s="7">
        <v>0.98</v>
      </c>
      <c r="M10" s="7">
        <v>12</v>
      </c>
      <c r="N10" s="7">
        <v>0.81299999999999994</v>
      </c>
      <c r="O10" s="7">
        <v>13</v>
      </c>
      <c r="P10" s="7">
        <v>0.97199999999999998</v>
      </c>
      <c r="Q10" s="7">
        <v>14</v>
      </c>
      <c r="R10" s="7">
        <v>1.08</v>
      </c>
      <c r="S10" s="7">
        <v>13</v>
      </c>
      <c r="T10" s="7">
        <v>0.89500000000000002</v>
      </c>
      <c r="U10" s="7">
        <v>13</v>
      </c>
      <c r="V10" s="7">
        <v>0.91800000000000004</v>
      </c>
      <c r="W10" s="7">
        <v>13</v>
      </c>
      <c r="X10" s="7">
        <v>0.97599999999999998</v>
      </c>
      <c r="Y10" s="7">
        <v>14</v>
      </c>
      <c r="Z10" s="7">
        <v>1.1599999999999999</v>
      </c>
      <c r="AA10" s="7">
        <v>13</v>
      </c>
      <c r="AB10" s="7">
        <v>0.90600000000000003</v>
      </c>
      <c r="AC10" s="7">
        <v>13</v>
      </c>
      <c r="AD10" s="7">
        <v>0.95</v>
      </c>
      <c r="AE10">
        <f t="shared" si="3"/>
        <v>169</v>
      </c>
      <c r="AF10" s="9">
        <f t="shared" si="3"/>
        <v>12.212999999999999</v>
      </c>
      <c r="AG10">
        <v>11.63</v>
      </c>
      <c r="AH10">
        <v>28.8</v>
      </c>
      <c r="AI10">
        <f>(A10+1)*AE10</f>
        <v>1014</v>
      </c>
    </row>
    <row r="11" spans="1:35">
      <c r="A11" s="7">
        <v>5</v>
      </c>
      <c r="B11" s="7">
        <v>2</v>
      </c>
      <c r="C11" s="7">
        <v>0.1</v>
      </c>
      <c r="D11" s="8">
        <v>75000</v>
      </c>
      <c r="E11" s="7">
        <v>183</v>
      </c>
      <c r="F11" s="7">
        <v>17.2</v>
      </c>
      <c r="G11" s="7">
        <v>194</v>
      </c>
      <c r="H11" s="7">
        <v>19.100000000000001</v>
      </c>
      <c r="I11" s="7">
        <v>188</v>
      </c>
      <c r="J11" s="7">
        <v>17.3</v>
      </c>
      <c r="K11" s="7">
        <v>187</v>
      </c>
      <c r="L11" s="7">
        <v>18.2</v>
      </c>
      <c r="M11" s="7">
        <v>339</v>
      </c>
      <c r="N11" s="7">
        <v>33.6</v>
      </c>
      <c r="O11" s="7">
        <v>197</v>
      </c>
      <c r="P11" s="7">
        <v>18.899999999999999</v>
      </c>
      <c r="Q11" s="7">
        <v>283</v>
      </c>
      <c r="R11" s="7">
        <v>27.8</v>
      </c>
      <c r="S11" s="7">
        <v>150</v>
      </c>
      <c r="T11" s="7">
        <v>15.2</v>
      </c>
      <c r="U11" s="7">
        <v>196</v>
      </c>
      <c r="V11" s="7">
        <v>20.3</v>
      </c>
      <c r="W11" s="7">
        <v>191</v>
      </c>
      <c r="X11" s="7">
        <v>19.399999999999999</v>
      </c>
      <c r="Y11" s="7">
        <v>261</v>
      </c>
      <c r="Z11" s="7">
        <v>26.2</v>
      </c>
      <c r="AA11" s="7">
        <v>256</v>
      </c>
      <c r="AB11" s="7">
        <v>27.3</v>
      </c>
      <c r="AC11" s="7">
        <v>125</v>
      </c>
      <c r="AD11" s="7">
        <v>12.9</v>
      </c>
      <c r="AE11">
        <f t="shared" si="3"/>
        <v>2750</v>
      </c>
      <c r="AF11" s="9">
        <f t="shared" si="3"/>
        <v>273.39999999999998</v>
      </c>
      <c r="AG11">
        <v>4.32</v>
      </c>
      <c r="AH11">
        <v>281.60000000000002</v>
      </c>
      <c r="AI11">
        <f>(A11+1)*AE11</f>
        <v>16500</v>
      </c>
    </row>
    <row r="13" spans="1:35">
      <c r="A13" s="7">
        <v>4</v>
      </c>
      <c r="B13" s="7">
        <v>1</v>
      </c>
      <c r="C13" s="7">
        <v>1E-3</v>
      </c>
      <c r="D13" s="8">
        <v>75000</v>
      </c>
      <c r="E13" s="7">
        <v>25</v>
      </c>
      <c r="F13" s="7">
        <v>2.29</v>
      </c>
      <c r="G13" s="7">
        <v>27</v>
      </c>
      <c r="H13" s="7">
        <v>2.88</v>
      </c>
      <c r="I13" s="7">
        <v>26</v>
      </c>
      <c r="J13" s="7">
        <v>2.35</v>
      </c>
      <c r="K13" s="7">
        <v>27</v>
      </c>
      <c r="L13" s="7">
        <v>2.63</v>
      </c>
      <c r="M13" s="7">
        <v>26</v>
      </c>
      <c r="N13" s="7">
        <v>2.67</v>
      </c>
      <c r="O13" s="7">
        <v>27</v>
      </c>
      <c r="P13" s="7">
        <v>2.66</v>
      </c>
      <c r="Q13" s="7">
        <v>28</v>
      </c>
      <c r="R13" s="7">
        <v>2.62</v>
      </c>
      <c r="S13" s="7">
        <v>25</v>
      </c>
      <c r="T13" s="7">
        <v>2.31</v>
      </c>
      <c r="U13" s="7">
        <v>26</v>
      </c>
      <c r="V13" s="7">
        <v>2.42</v>
      </c>
      <c r="W13" s="7">
        <v>27</v>
      </c>
      <c r="X13" s="7">
        <v>2.39</v>
      </c>
      <c r="Y13" s="7">
        <v>25</v>
      </c>
      <c r="Z13" s="7">
        <v>2.25</v>
      </c>
      <c r="AA13" s="7">
        <v>27</v>
      </c>
      <c r="AB13" s="7">
        <v>2.66</v>
      </c>
      <c r="AC13" s="7">
        <v>27</v>
      </c>
      <c r="AD13" s="7">
        <v>2.77</v>
      </c>
      <c r="AE13">
        <f t="shared" si="0"/>
        <v>343</v>
      </c>
      <c r="AF13" s="9">
        <f t="shared" si="1"/>
        <v>32.9</v>
      </c>
      <c r="AG13">
        <v>33.700000000000003</v>
      </c>
      <c r="AH13">
        <v>72.5</v>
      </c>
      <c r="AI13">
        <f t="shared" si="2"/>
        <v>1715</v>
      </c>
    </row>
    <row r="14" spans="1:35">
      <c r="A14" s="7">
        <v>4</v>
      </c>
      <c r="B14" s="7">
        <v>1</v>
      </c>
      <c r="C14" s="7">
        <v>0.01</v>
      </c>
      <c r="D14" s="8">
        <v>75000</v>
      </c>
      <c r="E14" s="7">
        <v>27</v>
      </c>
      <c r="F14" s="7">
        <v>2.0499999999999998</v>
      </c>
      <c r="G14" s="7">
        <v>28</v>
      </c>
      <c r="H14" s="7">
        <v>2.2400000000000002</v>
      </c>
      <c r="I14" s="7">
        <v>27</v>
      </c>
      <c r="J14" s="7">
        <v>1.9</v>
      </c>
      <c r="K14" s="7">
        <v>27</v>
      </c>
      <c r="L14" s="7">
        <v>1.9</v>
      </c>
      <c r="M14" s="7">
        <v>28</v>
      </c>
      <c r="N14" s="7">
        <v>2.06</v>
      </c>
      <c r="O14" s="7">
        <v>28</v>
      </c>
      <c r="P14" s="7">
        <v>2.15</v>
      </c>
      <c r="Q14" s="7">
        <v>29</v>
      </c>
      <c r="R14" s="7">
        <v>2.16</v>
      </c>
      <c r="S14" s="7">
        <v>30</v>
      </c>
      <c r="T14" s="7">
        <v>2.42</v>
      </c>
      <c r="U14" s="7">
        <v>30</v>
      </c>
      <c r="V14" s="7">
        <v>2.48</v>
      </c>
      <c r="W14" s="7">
        <v>26</v>
      </c>
      <c r="X14" s="7">
        <v>1.97</v>
      </c>
      <c r="Y14" s="7">
        <v>27</v>
      </c>
      <c r="Z14" s="7">
        <v>1.85</v>
      </c>
      <c r="AA14" s="7">
        <v>28</v>
      </c>
      <c r="AB14" s="7">
        <v>2.25</v>
      </c>
      <c r="AC14" s="7">
        <v>27</v>
      </c>
      <c r="AD14" s="7">
        <v>1.98</v>
      </c>
      <c r="AE14">
        <f t="shared" si="0"/>
        <v>362</v>
      </c>
      <c r="AF14" s="9">
        <f t="shared" si="1"/>
        <v>27.410000000000004</v>
      </c>
      <c r="AG14">
        <v>10.96</v>
      </c>
      <c r="AH14">
        <v>41.6</v>
      </c>
      <c r="AI14">
        <f t="shared" si="2"/>
        <v>1810</v>
      </c>
    </row>
    <row r="15" spans="1:35">
      <c r="A15" s="7">
        <v>4</v>
      </c>
      <c r="B15" s="7">
        <v>1</v>
      </c>
      <c r="C15" s="7">
        <v>0.05</v>
      </c>
      <c r="D15" s="8">
        <v>75000</v>
      </c>
      <c r="E15" s="7">
        <v>37</v>
      </c>
      <c r="F15" s="7">
        <v>2.54</v>
      </c>
      <c r="G15" s="7">
        <v>45</v>
      </c>
      <c r="H15" s="7">
        <v>3.47</v>
      </c>
      <c r="I15" s="7">
        <v>39</v>
      </c>
      <c r="J15" s="7">
        <v>2.93</v>
      </c>
      <c r="K15" s="7">
        <v>37</v>
      </c>
      <c r="L15" s="7">
        <v>2.77</v>
      </c>
      <c r="M15" s="7">
        <v>38</v>
      </c>
      <c r="N15" s="7">
        <v>2.64</v>
      </c>
      <c r="O15" s="7">
        <v>38</v>
      </c>
      <c r="P15" s="7">
        <v>2.5</v>
      </c>
      <c r="Q15" s="7">
        <v>36</v>
      </c>
      <c r="R15" s="7">
        <v>2.4700000000000002</v>
      </c>
      <c r="S15" s="7">
        <v>48</v>
      </c>
      <c r="T15" s="7">
        <v>3.98</v>
      </c>
      <c r="U15" s="7">
        <v>37</v>
      </c>
      <c r="V15" s="7">
        <v>2.58</v>
      </c>
      <c r="W15" s="7">
        <v>39</v>
      </c>
      <c r="X15" s="7">
        <v>3.22</v>
      </c>
      <c r="Y15" s="7">
        <v>39</v>
      </c>
      <c r="Z15" s="7">
        <v>2.84</v>
      </c>
      <c r="AA15" s="7">
        <v>43</v>
      </c>
      <c r="AB15" s="7">
        <v>3.57</v>
      </c>
      <c r="AC15" s="7">
        <v>39</v>
      </c>
      <c r="AD15" s="7">
        <v>3.06</v>
      </c>
      <c r="AE15">
        <f t="shared" si="0"/>
        <v>515</v>
      </c>
      <c r="AF15" s="9">
        <f t="shared" si="1"/>
        <v>38.57</v>
      </c>
      <c r="AG15">
        <v>2.39</v>
      </c>
      <c r="AH15">
        <v>44.1</v>
      </c>
      <c r="AI15">
        <f t="shared" si="2"/>
        <v>2575</v>
      </c>
    </row>
    <row r="16" spans="1:35">
      <c r="A16" s="7">
        <v>4</v>
      </c>
      <c r="B16" s="7">
        <v>2</v>
      </c>
      <c r="C16" s="7">
        <v>0.01</v>
      </c>
      <c r="D16" s="8">
        <v>75000</v>
      </c>
      <c r="E16" s="7">
        <v>14</v>
      </c>
      <c r="F16" s="7">
        <v>1.02</v>
      </c>
      <c r="G16" s="7">
        <v>15</v>
      </c>
      <c r="H16" s="7">
        <v>1.17</v>
      </c>
      <c r="I16" s="7">
        <v>14</v>
      </c>
      <c r="J16" s="7">
        <v>1.01</v>
      </c>
      <c r="K16" s="7">
        <v>14</v>
      </c>
      <c r="L16" s="7">
        <v>1.004</v>
      </c>
      <c r="M16" s="7">
        <v>14</v>
      </c>
      <c r="N16" s="7">
        <v>0.97899999999999998</v>
      </c>
      <c r="O16" s="7">
        <v>14</v>
      </c>
      <c r="P16" s="7">
        <v>1.1100000000000001</v>
      </c>
      <c r="Q16" s="7">
        <v>13</v>
      </c>
      <c r="R16" s="7">
        <v>8.82</v>
      </c>
      <c r="S16" s="7">
        <v>14</v>
      </c>
      <c r="T16" s="7">
        <v>1.08</v>
      </c>
      <c r="U16" s="7">
        <v>13</v>
      </c>
      <c r="V16" s="7">
        <v>0.91300000000000003</v>
      </c>
      <c r="W16" s="7">
        <v>14</v>
      </c>
      <c r="X16" s="7">
        <v>1.01</v>
      </c>
      <c r="Y16" s="7">
        <v>14</v>
      </c>
      <c r="Z16" s="7">
        <v>1.06</v>
      </c>
      <c r="AA16" s="7">
        <v>14</v>
      </c>
      <c r="AB16" s="7">
        <v>1.04</v>
      </c>
      <c r="AC16" s="7">
        <v>14</v>
      </c>
      <c r="AD16" s="7">
        <v>1.21</v>
      </c>
      <c r="AE16">
        <f t="shared" ref="AE16:AF18" si="4">E16+G16+I16+K16+M16+O16+Q16+S16+U16+W16+Y16+AA16+AC16</f>
        <v>181</v>
      </c>
      <c r="AF16" s="9">
        <f t="shared" si="4"/>
        <v>21.426000000000002</v>
      </c>
      <c r="AG16">
        <v>73.400000000000006</v>
      </c>
      <c r="AH16">
        <v>92.5</v>
      </c>
      <c r="AI16">
        <f>(A16+1)*AE16</f>
        <v>905</v>
      </c>
    </row>
    <row r="17" spans="1:35">
      <c r="A17" s="7">
        <v>4</v>
      </c>
      <c r="B17" s="7">
        <v>2</v>
      </c>
      <c r="C17" s="7">
        <v>0.05</v>
      </c>
      <c r="D17" s="8">
        <v>75000</v>
      </c>
      <c r="E17" s="7">
        <v>16</v>
      </c>
      <c r="F17" s="7">
        <v>1.0269999999999999</v>
      </c>
      <c r="G17" s="7">
        <v>15</v>
      </c>
      <c r="H17" s="7">
        <v>1.01</v>
      </c>
      <c r="I17" s="7">
        <v>15</v>
      </c>
      <c r="J17" s="7">
        <v>0.98699999999999999</v>
      </c>
      <c r="K17" s="7">
        <v>16</v>
      </c>
      <c r="L17" s="7">
        <v>1.1599999999999999</v>
      </c>
      <c r="M17" s="7">
        <v>15</v>
      </c>
      <c r="N17" s="7">
        <v>1.03</v>
      </c>
      <c r="O17" s="7">
        <v>16</v>
      </c>
      <c r="P17" s="7">
        <v>1.0900000000000001</v>
      </c>
      <c r="Q17" s="7">
        <v>15</v>
      </c>
      <c r="R17" s="7">
        <v>0.99299999999999999</v>
      </c>
      <c r="S17" s="7">
        <v>14</v>
      </c>
      <c r="T17" s="7">
        <v>0.86</v>
      </c>
      <c r="U17" s="7">
        <v>15</v>
      </c>
      <c r="V17" s="7">
        <v>0.91</v>
      </c>
      <c r="W17" s="7">
        <v>15</v>
      </c>
      <c r="X17" s="7">
        <v>0.93799999999999994</v>
      </c>
      <c r="Y17" s="7">
        <v>15</v>
      </c>
      <c r="Z17" s="7">
        <v>0.94399999999999995</v>
      </c>
      <c r="AA17" s="7">
        <v>15</v>
      </c>
      <c r="AB17" s="7">
        <v>0.95</v>
      </c>
      <c r="AC17" s="7">
        <v>16</v>
      </c>
      <c r="AD17" s="7">
        <v>1.05</v>
      </c>
      <c r="AE17">
        <f t="shared" si="4"/>
        <v>198</v>
      </c>
      <c r="AF17" s="9">
        <f t="shared" si="4"/>
        <v>12.949000000000002</v>
      </c>
      <c r="AG17">
        <v>11.65</v>
      </c>
      <c r="AH17">
        <v>29.5</v>
      </c>
      <c r="AI17">
        <f>(A17+1)*AE17</f>
        <v>990</v>
      </c>
    </row>
    <row r="18" spans="1:35">
      <c r="A18" s="7">
        <v>4</v>
      </c>
      <c r="B18" s="7">
        <v>3</v>
      </c>
      <c r="C18" s="7">
        <v>0.05</v>
      </c>
      <c r="D18" s="8">
        <v>75000</v>
      </c>
      <c r="E18" s="7">
        <v>10</v>
      </c>
      <c r="F18" s="7">
        <v>0.61</v>
      </c>
      <c r="G18" s="7">
        <v>11</v>
      </c>
      <c r="H18" s="7">
        <v>0.69799999999999995</v>
      </c>
      <c r="I18" s="7">
        <v>10</v>
      </c>
      <c r="J18" s="7">
        <v>0.71899999999999997</v>
      </c>
      <c r="K18" s="7">
        <v>10</v>
      </c>
      <c r="L18" s="7">
        <v>0.68799999999999994</v>
      </c>
      <c r="M18" s="7">
        <v>10</v>
      </c>
      <c r="N18" s="7">
        <v>0.65800000000000003</v>
      </c>
      <c r="O18" s="7">
        <v>10</v>
      </c>
      <c r="P18" s="7">
        <v>0.64900000000000002</v>
      </c>
      <c r="Q18" s="7">
        <v>11</v>
      </c>
      <c r="R18" s="7">
        <v>0.72399999999999998</v>
      </c>
      <c r="S18" s="7">
        <v>10</v>
      </c>
      <c r="T18" s="7">
        <v>0.63400000000000001</v>
      </c>
      <c r="U18" s="7">
        <v>10</v>
      </c>
      <c r="V18" s="7">
        <v>0.63300000000000001</v>
      </c>
      <c r="W18" s="7">
        <v>10</v>
      </c>
      <c r="X18" s="7">
        <v>0.66400000000000003</v>
      </c>
      <c r="Y18" s="7">
        <v>10</v>
      </c>
      <c r="Z18" s="7">
        <v>0.61499999999999999</v>
      </c>
      <c r="AA18" s="7">
        <v>10</v>
      </c>
      <c r="AB18" s="7">
        <v>0.622</v>
      </c>
      <c r="AC18" s="7">
        <v>10</v>
      </c>
      <c r="AD18" s="7">
        <v>0.63700000000000001</v>
      </c>
      <c r="AE18">
        <f t="shared" si="4"/>
        <v>132</v>
      </c>
      <c r="AF18" s="9">
        <f t="shared" si="4"/>
        <v>8.5510000000000002</v>
      </c>
      <c r="AG18">
        <v>45.04</v>
      </c>
      <c r="AH18">
        <v>61.3</v>
      </c>
      <c r="AI18">
        <f>(A18+1)*AE18</f>
        <v>660</v>
      </c>
    </row>
    <row r="19" spans="1:35">
      <c r="A19" s="7"/>
      <c r="B19" s="7"/>
      <c r="C19" s="7"/>
      <c r="D19" s="8"/>
      <c r="E19" s="7"/>
      <c r="F19" s="7"/>
      <c r="G19" s="7"/>
      <c r="AF19" s="9"/>
    </row>
    <row r="21" spans="1:35">
      <c r="A21" s="7">
        <v>3</v>
      </c>
      <c r="B21" s="7">
        <v>1</v>
      </c>
      <c r="C21" s="7">
        <v>0.01</v>
      </c>
      <c r="D21" s="8">
        <v>75000</v>
      </c>
      <c r="E21" s="7">
        <v>38</v>
      </c>
      <c r="F21" s="7">
        <v>2.4900000000000002</v>
      </c>
      <c r="G21" s="7">
        <v>45</v>
      </c>
      <c r="H21" s="7">
        <v>3.25</v>
      </c>
      <c r="I21" s="7">
        <v>43</v>
      </c>
      <c r="J21" s="7">
        <v>3.13</v>
      </c>
      <c r="K21" s="7">
        <v>48</v>
      </c>
      <c r="L21" s="7">
        <v>3.68</v>
      </c>
      <c r="M21" s="7">
        <v>41</v>
      </c>
      <c r="N21" s="7">
        <v>2.85</v>
      </c>
      <c r="O21" s="7">
        <v>47</v>
      </c>
      <c r="P21" s="7">
        <v>3.36</v>
      </c>
      <c r="Q21" s="7">
        <v>44</v>
      </c>
      <c r="R21" s="7">
        <v>3.07</v>
      </c>
      <c r="S21" s="7">
        <v>50</v>
      </c>
      <c r="T21" s="7">
        <v>3.97</v>
      </c>
      <c r="U21" s="7">
        <v>46</v>
      </c>
      <c r="V21" s="7">
        <v>3.2</v>
      </c>
      <c r="W21" s="7">
        <v>48</v>
      </c>
      <c r="X21" s="7">
        <v>3.6</v>
      </c>
      <c r="Y21" s="7">
        <v>42</v>
      </c>
      <c r="Z21" s="7">
        <v>2.9</v>
      </c>
      <c r="AA21" s="7">
        <v>43</v>
      </c>
      <c r="AB21" s="7">
        <v>3.02</v>
      </c>
      <c r="AC21" s="7">
        <v>47</v>
      </c>
      <c r="AD21" s="7">
        <v>3.4</v>
      </c>
      <c r="AE21">
        <f t="shared" ref="AE21:AF24" si="5">E21+G21+I21+K21+M21+O21+Q21+S21+U21+W21+Y21+AA21+AC21</f>
        <v>582</v>
      </c>
      <c r="AF21" s="9">
        <f t="shared" si="5"/>
        <v>41.92</v>
      </c>
      <c r="AG21">
        <v>10.9</v>
      </c>
      <c r="AH21">
        <v>56</v>
      </c>
      <c r="AI21">
        <f>(A21+1)*AE21</f>
        <v>2328</v>
      </c>
    </row>
    <row r="22" spans="1:35">
      <c r="A22" s="7">
        <v>3</v>
      </c>
      <c r="B22" s="7">
        <v>2</v>
      </c>
      <c r="C22" s="7">
        <v>0.01</v>
      </c>
      <c r="D22" s="8">
        <v>75000</v>
      </c>
      <c r="E22" s="7">
        <v>18</v>
      </c>
      <c r="F22" s="7">
        <v>1.35</v>
      </c>
      <c r="G22" s="7">
        <v>17</v>
      </c>
      <c r="H22" s="7">
        <v>1.19</v>
      </c>
      <c r="I22" s="7">
        <v>16</v>
      </c>
      <c r="J22" s="7">
        <v>0.98799999999999999</v>
      </c>
      <c r="K22" s="7">
        <v>17</v>
      </c>
      <c r="L22" s="7">
        <v>1.18</v>
      </c>
      <c r="M22" s="7">
        <v>17</v>
      </c>
      <c r="N22" s="7">
        <v>1.1499999999999999</v>
      </c>
      <c r="O22" s="7">
        <v>16</v>
      </c>
      <c r="P22" s="7">
        <v>1.002</v>
      </c>
      <c r="Q22" s="7">
        <v>17</v>
      </c>
      <c r="R22" s="7">
        <v>1.19</v>
      </c>
      <c r="S22" s="7">
        <v>17</v>
      </c>
      <c r="T22" s="7">
        <v>1.1599999999999999</v>
      </c>
      <c r="U22" s="7">
        <v>17</v>
      </c>
      <c r="V22" s="7">
        <v>1.1000000000000001</v>
      </c>
      <c r="W22" s="7">
        <v>16</v>
      </c>
      <c r="X22" s="7">
        <v>1.05</v>
      </c>
      <c r="Y22" s="7">
        <v>16</v>
      </c>
      <c r="Z22" s="7">
        <v>1.03</v>
      </c>
      <c r="AA22" s="7">
        <v>16</v>
      </c>
      <c r="AB22" s="7">
        <v>1.01</v>
      </c>
      <c r="AC22" s="7">
        <v>16</v>
      </c>
      <c r="AD22" s="7">
        <v>1.04</v>
      </c>
      <c r="AE22">
        <f t="shared" si="5"/>
        <v>216</v>
      </c>
      <c r="AF22" s="9">
        <f t="shared" si="5"/>
        <v>14.440000000000001</v>
      </c>
      <c r="AG22">
        <v>73.22</v>
      </c>
      <c r="AH22">
        <v>93.1</v>
      </c>
      <c r="AI22">
        <f>(A22+1)*AE22</f>
        <v>864</v>
      </c>
    </row>
    <row r="23" spans="1:35" s="10" customFormat="1">
      <c r="A23" s="10">
        <v>3</v>
      </c>
      <c r="B23" s="10">
        <v>2</v>
      </c>
      <c r="C23" s="10">
        <v>0.05</v>
      </c>
      <c r="D23" s="11">
        <v>75000</v>
      </c>
      <c r="E23" s="10">
        <v>18</v>
      </c>
      <c r="F23" s="10">
        <v>1.04</v>
      </c>
      <c r="G23" s="10">
        <v>18</v>
      </c>
      <c r="H23" s="10">
        <v>1.0900000000000001</v>
      </c>
      <c r="I23" s="10">
        <v>19</v>
      </c>
      <c r="J23" s="10">
        <v>1.1399999999999999</v>
      </c>
      <c r="K23" s="10">
        <v>19</v>
      </c>
      <c r="L23" s="10">
        <v>1.17</v>
      </c>
      <c r="M23" s="10">
        <v>19</v>
      </c>
      <c r="N23" s="10">
        <v>1.3</v>
      </c>
      <c r="O23" s="10">
        <v>18</v>
      </c>
      <c r="P23" s="10">
        <v>1.19</v>
      </c>
      <c r="Q23" s="10">
        <v>19</v>
      </c>
      <c r="R23" s="10">
        <v>1.21</v>
      </c>
      <c r="S23" s="10">
        <v>19</v>
      </c>
      <c r="T23" s="10">
        <v>1.1000000000000001</v>
      </c>
      <c r="U23" s="10">
        <v>18</v>
      </c>
      <c r="V23" s="10">
        <v>1.08</v>
      </c>
      <c r="W23" s="10">
        <v>19</v>
      </c>
      <c r="X23" s="10">
        <v>1.22</v>
      </c>
      <c r="Y23" s="10">
        <v>18</v>
      </c>
      <c r="Z23" s="10">
        <v>1.1000000000000001</v>
      </c>
      <c r="AA23" s="10">
        <v>18</v>
      </c>
      <c r="AB23" s="10">
        <v>1.05</v>
      </c>
      <c r="AC23" s="10">
        <v>19</v>
      </c>
      <c r="AD23" s="10">
        <v>1.1000000000000001</v>
      </c>
      <c r="AE23" s="10">
        <f t="shared" si="5"/>
        <v>241</v>
      </c>
      <c r="AF23" s="12">
        <f t="shared" si="5"/>
        <v>14.790000000000001</v>
      </c>
      <c r="AG23" s="10">
        <v>11.6</v>
      </c>
      <c r="AH23" s="10">
        <v>31.3</v>
      </c>
      <c r="AI23" s="10">
        <f>(A23+1)*AE23</f>
        <v>964</v>
      </c>
    </row>
    <row r="24" spans="1:35">
      <c r="A24" s="7">
        <v>3</v>
      </c>
      <c r="B24" s="7">
        <v>3</v>
      </c>
      <c r="C24" s="7">
        <v>0.05</v>
      </c>
      <c r="D24" s="8">
        <v>75000</v>
      </c>
      <c r="E24" s="7">
        <v>12</v>
      </c>
      <c r="F24" s="7">
        <v>0.82599999999999996</v>
      </c>
      <c r="G24" s="7">
        <v>12</v>
      </c>
      <c r="H24" s="7">
        <v>0.72</v>
      </c>
      <c r="I24" s="7">
        <v>12</v>
      </c>
      <c r="J24" s="7">
        <v>0.67</v>
      </c>
      <c r="K24" s="7">
        <v>13</v>
      </c>
      <c r="L24" s="7">
        <v>0.73</v>
      </c>
      <c r="M24" s="7">
        <v>12</v>
      </c>
      <c r="N24" s="7">
        <v>0.74</v>
      </c>
      <c r="O24" s="7">
        <v>12</v>
      </c>
      <c r="P24" s="7">
        <v>0.71</v>
      </c>
      <c r="Q24" s="7">
        <v>12</v>
      </c>
      <c r="R24" s="7">
        <v>0.70199999999999996</v>
      </c>
      <c r="S24" s="7">
        <v>12</v>
      </c>
      <c r="T24" s="7">
        <v>0.68600000000000005</v>
      </c>
      <c r="U24" s="7">
        <v>12</v>
      </c>
      <c r="V24" s="7">
        <v>0.69</v>
      </c>
      <c r="W24" s="7">
        <v>12</v>
      </c>
      <c r="X24" s="7">
        <v>0.66600000000000004</v>
      </c>
      <c r="Y24" s="7">
        <v>12</v>
      </c>
      <c r="Z24" s="7">
        <v>0.64900000000000002</v>
      </c>
      <c r="AA24" s="7">
        <v>12</v>
      </c>
      <c r="AB24" s="7">
        <v>0.71</v>
      </c>
      <c r="AC24" s="7">
        <v>12</v>
      </c>
      <c r="AD24" s="7">
        <v>0.59499999999999997</v>
      </c>
      <c r="AE24">
        <f t="shared" si="5"/>
        <v>157</v>
      </c>
      <c r="AF24" s="9">
        <f t="shared" si="5"/>
        <v>9.0940000000000012</v>
      </c>
      <c r="AG24">
        <v>45.02</v>
      </c>
      <c r="AH24">
        <v>61.6</v>
      </c>
      <c r="AI24">
        <f>(A24+1)*AE24</f>
        <v>628</v>
      </c>
    </row>
    <row r="27" spans="1:35">
      <c r="A27" s="7">
        <v>2</v>
      </c>
      <c r="B27" s="7">
        <v>1</v>
      </c>
      <c r="C27" s="7">
        <v>0.01</v>
      </c>
      <c r="D27" s="8">
        <v>75000</v>
      </c>
      <c r="E27" s="7">
        <v>207</v>
      </c>
      <c r="F27" s="7">
        <v>13.5</v>
      </c>
      <c r="G27" s="7">
        <v>178</v>
      </c>
      <c r="H27" s="7">
        <v>11.8</v>
      </c>
      <c r="I27" s="7">
        <v>258</v>
      </c>
      <c r="J27" s="7">
        <v>17.399999999999999</v>
      </c>
      <c r="K27" s="7">
        <v>187</v>
      </c>
      <c r="L27" s="7">
        <v>11.9</v>
      </c>
      <c r="M27" s="7">
        <v>168</v>
      </c>
      <c r="N27" s="7">
        <v>10.7</v>
      </c>
      <c r="O27" s="7">
        <v>208</v>
      </c>
      <c r="P27" s="7">
        <v>13.6</v>
      </c>
      <c r="Q27" s="7">
        <v>204</v>
      </c>
      <c r="R27" s="7">
        <v>13.2</v>
      </c>
      <c r="S27" s="7">
        <v>215</v>
      </c>
      <c r="T27" s="7">
        <v>14.4</v>
      </c>
      <c r="U27" s="7">
        <v>185</v>
      </c>
      <c r="V27" s="7">
        <v>12.1</v>
      </c>
      <c r="W27" s="7">
        <v>194</v>
      </c>
      <c r="X27" s="7">
        <v>12.8</v>
      </c>
      <c r="Y27" s="7">
        <v>205</v>
      </c>
      <c r="Z27" s="7">
        <v>13.6</v>
      </c>
      <c r="AA27" s="7">
        <v>164</v>
      </c>
      <c r="AB27" s="7">
        <v>10.7</v>
      </c>
      <c r="AC27" s="7">
        <v>221</v>
      </c>
      <c r="AD27" s="7">
        <v>14.4</v>
      </c>
      <c r="AE27">
        <f t="shared" ref="AE27:AF29" si="6">E27+G27+I27+K27+M27+O27+Q27+S27+U27+W27+Y27+AA27+AC27</f>
        <v>2594</v>
      </c>
      <c r="AF27" s="9">
        <f t="shared" si="6"/>
        <v>170.1</v>
      </c>
      <c r="AG27">
        <v>10.9</v>
      </c>
      <c r="AH27">
        <v>184.5</v>
      </c>
      <c r="AI27">
        <f>(A27+1)*AE27</f>
        <v>7782</v>
      </c>
    </row>
    <row r="28" spans="1:35">
      <c r="A28" s="7">
        <v>2</v>
      </c>
      <c r="B28" s="7">
        <v>2</v>
      </c>
      <c r="C28" s="7">
        <v>0.01</v>
      </c>
      <c r="D28" s="8">
        <v>75000</v>
      </c>
      <c r="E28" s="7">
        <v>22</v>
      </c>
      <c r="F28" s="7">
        <v>1.23</v>
      </c>
      <c r="G28" s="7">
        <v>23</v>
      </c>
      <c r="H28" s="7">
        <v>1.39</v>
      </c>
      <c r="I28" s="7">
        <v>23</v>
      </c>
      <c r="J28" s="7">
        <v>1.36</v>
      </c>
      <c r="K28" s="7">
        <v>25</v>
      </c>
      <c r="L28" s="7">
        <v>1.54</v>
      </c>
      <c r="M28" s="7">
        <v>25</v>
      </c>
      <c r="N28" s="7">
        <v>1.677</v>
      </c>
      <c r="O28" s="7">
        <v>24</v>
      </c>
      <c r="P28" s="7">
        <v>1.49</v>
      </c>
      <c r="Q28" s="7">
        <v>24</v>
      </c>
      <c r="R28" s="7">
        <v>1.42</v>
      </c>
      <c r="S28" s="7">
        <v>23</v>
      </c>
      <c r="T28" s="7">
        <v>1.43</v>
      </c>
      <c r="U28" s="7">
        <v>23</v>
      </c>
      <c r="V28" s="7">
        <v>1.41</v>
      </c>
      <c r="W28" s="7">
        <v>25</v>
      </c>
      <c r="X28" s="7">
        <v>1.52</v>
      </c>
      <c r="Y28" s="7">
        <v>23</v>
      </c>
      <c r="Z28" s="7">
        <v>1.35</v>
      </c>
      <c r="AA28" s="7">
        <v>24</v>
      </c>
      <c r="AB28" s="7">
        <v>1.53</v>
      </c>
      <c r="AC28" s="7">
        <v>24</v>
      </c>
      <c r="AD28" s="7">
        <v>1.51</v>
      </c>
      <c r="AE28">
        <f t="shared" si="6"/>
        <v>308</v>
      </c>
      <c r="AF28" s="9">
        <f t="shared" si="6"/>
        <v>18.857000000000003</v>
      </c>
      <c r="AG28">
        <v>73.2</v>
      </c>
      <c r="AH28">
        <v>97.6</v>
      </c>
      <c r="AI28">
        <f>(A28+1)*AE28</f>
        <v>924</v>
      </c>
    </row>
    <row r="29" spans="1:35">
      <c r="A29" s="7">
        <v>2</v>
      </c>
      <c r="B29" s="7">
        <v>2</v>
      </c>
      <c r="C29" s="7">
        <v>0.05</v>
      </c>
      <c r="D29" s="8">
        <v>75000</v>
      </c>
      <c r="E29" s="7">
        <v>27</v>
      </c>
      <c r="F29" s="7">
        <v>1.34</v>
      </c>
      <c r="G29" s="7">
        <v>27</v>
      </c>
      <c r="H29" s="7">
        <v>1.4</v>
      </c>
      <c r="I29" s="7">
        <v>29</v>
      </c>
      <c r="J29" s="7">
        <v>1.56</v>
      </c>
      <c r="K29" s="7">
        <v>28</v>
      </c>
      <c r="L29" s="7">
        <v>1.67</v>
      </c>
      <c r="M29" s="7">
        <v>26</v>
      </c>
      <c r="N29" s="7">
        <v>1.41</v>
      </c>
      <c r="O29" s="7">
        <v>29</v>
      </c>
      <c r="P29" s="7">
        <v>1.58</v>
      </c>
      <c r="Q29" s="7">
        <v>28</v>
      </c>
      <c r="R29" s="7">
        <v>1.51</v>
      </c>
      <c r="S29" s="7">
        <v>29</v>
      </c>
      <c r="T29" s="7">
        <v>1.71</v>
      </c>
      <c r="U29" s="7">
        <v>26</v>
      </c>
      <c r="V29" s="7">
        <v>1.37</v>
      </c>
      <c r="W29" s="7">
        <v>26</v>
      </c>
      <c r="X29" s="7">
        <v>1.35</v>
      </c>
      <c r="Y29" s="7">
        <v>26</v>
      </c>
      <c r="Z29" s="7">
        <v>1.4</v>
      </c>
      <c r="AA29" s="7">
        <v>27</v>
      </c>
      <c r="AB29" s="7">
        <v>1.43</v>
      </c>
      <c r="AC29" s="7">
        <v>30</v>
      </c>
      <c r="AD29" s="7">
        <v>1.82</v>
      </c>
      <c r="AE29">
        <f t="shared" si="6"/>
        <v>358</v>
      </c>
      <c r="AF29" s="9">
        <f t="shared" si="6"/>
        <v>19.55</v>
      </c>
      <c r="AG29">
        <v>11.6</v>
      </c>
      <c r="AH29">
        <v>36.1</v>
      </c>
      <c r="AI29">
        <f>(A29+1)*AE29</f>
        <v>1074</v>
      </c>
    </row>
    <row r="30" spans="1:35">
      <c r="A30" s="7"/>
      <c r="B30" s="7"/>
      <c r="C30" s="7"/>
      <c r="D30" s="8"/>
      <c r="AF30" s="9"/>
    </row>
    <row r="32" spans="1:35">
      <c r="A32" s="7">
        <v>1</v>
      </c>
      <c r="B32" s="7">
        <v>2</v>
      </c>
      <c r="C32" s="7">
        <v>0.01</v>
      </c>
      <c r="D32" s="8">
        <v>75000</v>
      </c>
      <c r="E32" s="7">
        <v>297</v>
      </c>
      <c r="F32" s="7">
        <v>15.1</v>
      </c>
      <c r="G32" s="7">
        <v>327</v>
      </c>
      <c r="H32" s="7">
        <v>16.7</v>
      </c>
      <c r="I32" s="7">
        <v>277</v>
      </c>
      <c r="J32" s="7">
        <v>13.96</v>
      </c>
      <c r="K32" s="7">
        <v>363</v>
      </c>
      <c r="L32" s="7">
        <v>18.8</v>
      </c>
      <c r="M32" s="7">
        <v>345</v>
      </c>
      <c r="N32" s="7">
        <v>17.68</v>
      </c>
      <c r="O32" s="7">
        <v>371</v>
      </c>
      <c r="P32" s="7">
        <v>18.899999999999999</v>
      </c>
      <c r="Q32" s="7">
        <v>323</v>
      </c>
      <c r="R32" s="7">
        <v>16.5</v>
      </c>
      <c r="S32" s="7">
        <v>394</v>
      </c>
      <c r="T32" s="7">
        <v>20.8</v>
      </c>
      <c r="U32" s="7">
        <v>325</v>
      </c>
      <c r="V32" s="7">
        <v>16.7</v>
      </c>
      <c r="W32" s="7">
        <v>342</v>
      </c>
      <c r="X32" s="7">
        <v>17.8</v>
      </c>
      <c r="Y32" s="7">
        <v>359</v>
      </c>
      <c r="Z32" s="7">
        <v>18.7</v>
      </c>
      <c r="AA32" s="7">
        <v>271</v>
      </c>
      <c r="AB32" s="7">
        <v>13.8</v>
      </c>
      <c r="AC32" s="7">
        <v>308</v>
      </c>
      <c r="AD32" s="7">
        <v>15.6</v>
      </c>
      <c r="AE32">
        <f>E32+G32+I32+K32+M32+O32+Q32+S32+U32+W32+Y32+AA32+AC32</f>
        <v>4302</v>
      </c>
      <c r="AF32" s="9">
        <f>F32+H32+J32+L32+N32+P32+R32+T32+V32+X32+Z32+AB32+AD32</f>
        <v>221.04000000000002</v>
      </c>
      <c r="AG32">
        <v>72.900000000000006</v>
      </c>
      <c r="AH32">
        <v>299.3</v>
      </c>
      <c r="AI32">
        <f>(A32+1)*AE32</f>
        <v>8604</v>
      </c>
    </row>
    <row r="34" spans="1:35">
      <c r="A34" s="7"/>
      <c r="B34" s="7"/>
      <c r="C34" s="7"/>
      <c r="D34" s="8"/>
      <c r="AF34" s="9"/>
    </row>
    <row r="35" spans="1:35">
      <c r="A35" s="7"/>
      <c r="B35" s="7"/>
      <c r="C35" s="7"/>
      <c r="D35" s="8"/>
      <c r="AF35" s="9"/>
    </row>
    <row r="36" spans="1:35">
      <c r="A36" s="1" t="s">
        <v>63</v>
      </c>
      <c r="B36" s="7">
        <v>1</v>
      </c>
      <c r="C36" s="7">
        <v>1E-3</v>
      </c>
      <c r="E36">
        <v>343</v>
      </c>
      <c r="G36">
        <v>304</v>
      </c>
      <c r="I36">
        <v>306</v>
      </c>
      <c r="K36">
        <v>292</v>
      </c>
      <c r="M36">
        <v>301</v>
      </c>
      <c r="O36">
        <v>315</v>
      </c>
      <c r="Q36">
        <v>298</v>
      </c>
      <c r="S36">
        <v>276</v>
      </c>
      <c r="U36">
        <v>256</v>
      </c>
      <c r="W36">
        <v>261</v>
      </c>
      <c r="Y36">
        <v>247</v>
      </c>
      <c r="AA36">
        <v>230</v>
      </c>
      <c r="AC36">
        <v>226</v>
      </c>
      <c r="AE36">
        <f t="shared" ref="AE36:AE42" si="7">E36+G36+I36+K36+M36+O36+Q36+S36+U36+W36+Y36+AA36+AC36</f>
        <v>3655</v>
      </c>
      <c r="AF36" s="9">
        <f t="shared" ref="AF36:AF42" si="8">AH36-AG36</f>
        <v>25</v>
      </c>
      <c r="AG36">
        <v>33.799999999999997</v>
      </c>
      <c r="AH36">
        <v>58.8</v>
      </c>
      <c r="AI36">
        <f t="shared" ref="AI36:AI42" si="9">AE36</f>
        <v>3655</v>
      </c>
    </row>
    <row r="37" spans="1:35">
      <c r="B37" s="7">
        <v>1</v>
      </c>
      <c r="C37" s="7">
        <v>0.01</v>
      </c>
      <c r="E37">
        <v>343</v>
      </c>
      <c r="G37">
        <v>304</v>
      </c>
      <c r="I37">
        <v>306</v>
      </c>
      <c r="K37">
        <v>292</v>
      </c>
      <c r="M37">
        <v>301</v>
      </c>
      <c r="O37">
        <v>315</v>
      </c>
      <c r="Q37">
        <v>298</v>
      </c>
      <c r="S37">
        <v>276</v>
      </c>
      <c r="U37">
        <v>256</v>
      </c>
      <c r="W37">
        <v>261</v>
      </c>
      <c r="Y37">
        <v>247</v>
      </c>
      <c r="AA37">
        <v>230</v>
      </c>
      <c r="AC37">
        <v>226</v>
      </c>
      <c r="AE37">
        <f t="shared" si="7"/>
        <v>3655</v>
      </c>
      <c r="AF37" s="9">
        <f t="shared" si="8"/>
        <v>17.170000000000002</v>
      </c>
      <c r="AG37">
        <v>10.95</v>
      </c>
      <c r="AH37">
        <v>28.12</v>
      </c>
      <c r="AI37">
        <f t="shared" si="9"/>
        <v>3655</v>
      </c>
    </row>
    <row r="38" spans="1:35">
      <c r="B38" s="7">
        <v>1</v>
      </c>
      <c r="C38" s="7">
        <v>0.05</v>
      </c>
      <c r="E38">
        <v>342</v>
      </c>
      <c r="G38">
        <v>303</v>
      </c>
      <c r="I38">
        <v>305</v>
      </c>
      <c r="K38">
        <v>292</v>
      </c>
      <c r="M38">
        <v>300</v>
      </c>
      <c r="O38">
        <v>315</v>
      </c>
      <c r="Q38">
        <v>298</v>
      </c>
      <c r="S38">
        <v>275</v>
      </c>
      <c r="U38">
        <v>256</v>
      </c>
      <c r="W38">
        <v>261</v>
      </c>
      <c r="Y38">
        <v>247</v>
      </c>
      <c r="AA38">
        <v>230</v>
      </c>
      <c r="AC38">
        <v>225</v>
      </c>
      <c r="AE38">
        <f t="shared" si="7"/>
        <v>3649</v>
      </c>
      <c r="AF38" s="9">
        <f t="shared" si="8"/>
        <v>14.650000000000002</v>
      </c>
      <c r="AG38">
        <v>2.38</v>
      </c>
      <c r="AH38">
        <v>17.03</v>
      </c>
      <c r="AI38">
        <f t="shared" si="9"/>
        <v>3649</v>
      </c>
    </row>
    <row r="39" spans="1:35">
      <c r="B39" s="7">
        <v>1</v>
      </c>
      <c r="C39" s="7">
        <v>0.1</v>
      </c>
      <c r="E39">
        <v>342</v>
      </c>
      <c r="G39">
        <v>303</v>
      </c>
      <c r="I39">
        <v>305</v>
      </c>
      <c r="K39">
        <v>292</v>
      </c>
      <c r="M39">
        <v>300</v>
      </c>
      <c r="O39">
        <v>314</v>
      </c>
      <c r="Q39">
        <v>298</v>
      </c>
      <c r="S39">
        <v>275</v>
      </c>
      <c r="U39">
        <v>256</v>
      </c>
      <c r="W39">
        <v>261</v>
      </c>
      <c r="Y39">
        <v>247</v>
      </c>
      <c r="AA39">
        <v>230</v>
      </c>
      <c r="AC39">
        <v>225</v>
      </c>
      <c r="AE39">
        <f t="shared" si="7"/>
        <v>3648</v>
      </c>
      <c r="AF39" s="9">
        <f t="shared" si="8"/>
        <v>13.868</v>
      </c>
      <c r="AG39">
        <v>1.212</v>
      </c>
      <c r="AH39">
        <v>15.08</v>
      </c>
      <c r="AI39">
        <f t="shared" si="9"/>
        <v>3648</v>
      </c>
    </row>
    <row r="40" spans="1:35">
      <c r="B40" s="7">
        <v>2</v>
      </c>
      <c r="C40" s="7">
        <v>0.01</v>
      </c>
      <c r="E40">
        <v>208</v>
      </c>
      <c r="G40">
        <v>185</v>
      </c>
      <c r="I40">
        <v>186</v>
      </c>
      <c r="K40">
        <v>178</v>
      </c>
      <c r="M40">
        <v>180</v>
      </c>
      <c r="O40">
        <v>193</v>
      </c>
      <c r="Q40">
        <v>182</v>
      </c>
      <c r="S40">
        <v>168</v>
      </c>
      <c r="U40">
        <v>157</v>
      </c>
      <c r="W40">
        <v>160</v>
      </c>
      <c r="Y40">
        <v>152</v>
      </c>
      <c r="AA40">
        <v>143</v>
      </c>
      <c r="AC40">
        <v>138</v>
      </c>
      <c r="AE40">
        <f t="shared" si="7"/>
        <v>2230</v>
      </c>
      <c r="AF40" s="9">
        <f t="shared" si="8"/>
        <v>14.394999999999996</v>
      </c>
      <c r="AG40">
        <v>74.03</v>
      </c>
      <c r="AH40">
        <v>88.424999999999997</v>
      </c>
      <c r="AI40">
        <f t="shared" si="9"/>
        <v>2230</v>
      </c>
    </row>
    <row r="41" spans="1:35">
      <c r="B41" s="7">
        <v>2</v>
      </c>
      <c r="C41" s="7">
        <v>0.05</v>
      </c>
      <c r="E41">
        <v>209</v>
      </c>
      <c r="G41">
        <v>186</v>
      </c>
      <c r="I41">
        <v>186</v>
      </c>
      <c r="K41">
        <v>178</v>
      </c>
      <c r="M41">
        <v>183</v>
      </c>
      <c r="O41">
        <v>193</v>
      </c>
      <c r="Q41">
        <v>182</v>
      </c>
      <c r="S41">
        <v>168</v>
      </c>
      <c r="U41">
        <v>157</v>
      </c>
      <c r="W41">
        <v>160</v>
      </c>
      <c r="Y41">
        <v>152</v>
      </c>
      <c r="AA41">
        <v>143</v>
      </c>
      <c r="AC41">
        <v>139</v>
      </c>
      <c r="AE41">
        <f t="shared" si="7"/>
        <v>2236</v>
      </c>
      <c r="AF41" s="9">
        <f t="shared" si="8"/>
        <v>10.329999999999998</v>
      </c>
      <c r="AG41">
        <v>11.64</v>
      </c>
      <c r="AH41">
        <v>21.97</v>
      </c>
      <c r="AI41">
        <f t="shared" si="9"/>
        <v>2236</v>
      </c>
    </row>
    <row r="42" spans="1:35">
      <c r="B42" s="7">
        <v>2</v>
      </c>
      <c r="C42" s="7">
        <v>0.1</v>
      </c>
      <c r="E42">
        <v>210</v>
      </c>
      <c r="G42">
        <v>190</v>
      </c>
      <c r="I42">
        <v>190</v>
      </c>
      <c r="K42">
        <v>182</v>
      </c>
      <c r="M42">
        <v>187</v>
      </c>
      <c r="O42">
        <v>197</v>
      </c>
      <c r="Q42">
        <v>186</v>
      </c>
      <c r="S42">
        <v>173</v>
      </c>
      <c r="U42">
        <v>162</v>
      </c>
      <c r="W42">
        <v>166</v>
      </c>
      <c r="Y42">
        <v>157</v>
      </c>
      <c r="AA42">
        <v>145</v>
      </c>
      <c r="AC42">
        <v>138</v>
      </c>
      <c r="AE42">
        <f t="shared" si="7"/>
        <v>2283</v>
      </c>
      <c r="AF42" s="9">
        <f t="shared" si="8"/>
        <v>9.5800000000000018</v>
      </c>
      <c r="AG42">
        <v>4.3</v>
      </c>
      <c r="AH42">
        <v>13.88</v>
      </c>
      <c r="AI42">
        <f t="shared" si="9"/>
        <v>2283</v>
      </c>
    </row>
    <row r="43" spans="1:35">
      <c r="A43" s="7"/>
      <c r="B43" s="7"/>
      <c r="C43" s="7"/>
      <c r="D43" s="8"/>
      <c r="AF43" s="9"/>
    </row>
    <row r="45" spans="1:35">
      <c r="A45" s="1"/>
    </row>
    <row r="55" spans="32:32">
      <c r="AF55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P61" sqref="P61"/>
    </sheetView>
  </sheetViews>
  <sheetFormatPr baseColWidth="10" defaultRowHeight="15" x14ac:dyDescent="0"/>
  <cols>
    <col min="1" max="1" width="10.1640625" style="25" customWidth="1"/>
    <col min="2" max="2" width="15.1640625" bestFit="1" customWidth="1"/>
    <col min="3" max="3" width="14.5" bestFit="1" customWidth="1"/>
    <col min="4" max="4" width="10.1640625" bestFit="1" customWidth="1"/>
    <col min="5" max="5" width="11.6640625" bestFit="1" customWidth="1"/>
    <col min="6" max="6" width="10.33203125" bestFit="1" customWidth="1"/>
    <col min="7" max="7" width="9.33203125" bestFit="1" customWidth="1"/>
    <col min="8" max="9" width="8.6640625" bestFit="1" customWidth="1"/>
    <col min="10" max="10" width="9.33203125" bestFit="1" customWidth="1"/>
    <col min="11" max="11" width="10" bestFit="1" customWidth="1"/>
    <col min="12" max="12" width="9.6640625" bestFit="1" customWidth="1"/>
    <col min="13" max="13" width="19.5" bestFit="1" customWidth="1"/>
    <col min="14" max="14" width="12.6640625" bestFit="1" customWidth="1"/>
    <col min="15" max="15" width="15.33203125" bestFit="1" customWidth="1"/>
    <col min="16" max="16" width="15.5" bestFit="1" customWidth="1"/>
  </cols>
  <sheetData>
    <row r="1" spans="1:18">
      <c r="A1" s="23" t="s">
        <v>82</v>
      </c>
      <c r="D1" s="14"/>
      <c r="F1" s="18"/>
      <c r="G1" s="18"/>
      <c r="R1" s="29" t="s">
        <v>90</v>
      </c>
    </row>
    <row r="2" spans="1:18">
      <c r="A2" s="24" t="s">
        <v>29</v>
      </c>
      <c r="B2" s="1" t="s">
        <v>64</v>
      </c>
      <c r="C2" s="20" t="s">
        <v>13</v>
      </c>
      <c r="D2" s="21" t="s">
        <v>14</v>
      </c>
      <c r="E2" s="20" t="s">
        <v>67</v>
      </c>
      <c r="F2" s="20" t="s">
        <v>60</v>
      </c>
      <c r="G2" s="22" t="s">
        <v>74</v>
      </c>
      <c r="H2" s="22" t="s">
        <v>76</v>
      </c>
      <c r="I2" s="1" t="s">
        <v>79</v>
      </c>
      <c r="J2" s="20" t="s">
        <v>61</v>
      </c>
      <c r="K2" s="20" t="s">
        <v>59</v>
      </c>
      <c r="L2" s="20" t="s">
        <v>62</v>
      </c>
      <c r="M2" s="20" t="s">
        <v>21</v>
      </c>
      <c r="N2" s="20" t="s">
        <v>66</v>
      </c>
      <c r="O2" s="20" t="s">
        <v>81</v>
      </c>
      <c r="P2" s="20" t="s">
        <v>80</v>
      </c>
      <c r="R2" t="s">
        <v>83</v>
      </c>
    </row>
    <row r="3" spans="1:18">
      <c r="A3" s="30">
        <v>0</v>
      </c>
      <c r="B3">
        <v>707</v>
      </c>
      <c r="C3">
        <v>26</v>
      </c>
      <c r="D3" s="14"/>
      <c r="E3" s="9">
        <f t="shared" ref="E3:E8" si="0">B3/C3</f>
        <v>27.192307692307693</v>
      </c>
      <c r="F3" s="18">
        <v>64.111000000000004</v>
      </c>
      <c r="G3" s="18">
        <v>5.7859999999999996</v>
      </c>
      <c r="H3">
        <v>22.745999999999999</v>
      </c>
      <c r="I3">
        <v>34.369999999999997</v>
      </c>
      <c r="J3" s="16">
        <v>27.896999999999998</v>
      </c>
      <c r="K3" s="9">
        <v>109.84</v>
      </c>
      <c r="L3">
        <f>5786/2</f>
        <v>2893</v>
      </c>
      <c r="M3" s="4">
        <v>168000</v>
      </c>
      <c r="N3">
        <v>3</v>
      </c>
      <c r="O3" s="18">
        <f>K3-J3-I3-H3-G3</f>
        <v>19.041000000000018</v>
      </c>
      <c r="P3" s="18">
        <f>F3-G3-H3-I3</f>
        <v>1.2090000000000103</v>
      </c>
      <c r="R3" t="s">
        <v>84</v>
      </c>
    </row>
    <row r="4" spans="1:18">
      <c r="A4" s="30">
        <v>1E-4</v>
      </c>
      <c r="B4">
        <v>688</v>
      </c>
      <c r="C4">
        <v>26</v>
      </c>
      <c r="E4" s="9">
        <f t="shared" si="0"/>
        <v>26.46153846153846</v>
      </c>
      <c r="F4">
        <v>56.332000000000001</v>
      </c>
      <c r="G4">
        <v>3.9963000000000002</v>
      </c>
      <c r="H4">
        <v>22.077000000000002</v>
      </c>
      <c r="I4">
        <v>26.138999999999999</v>
      </c>
      <c r="J4">
        <v>27.96</v>
      </c>
      <c r="K4">
        <v>91.477999999999994</v>
      </c>
      <c r="L4">
        <f>5634/2</f>
        <v>2817</v>
      </c>
      <c r="M4" s="4">
        <v>168000</v>
      </c>
      <c r="N4">
        <v>3</v>
      </c>
      <c r="O4" s="18">
        <f t="shared" ref="O4:O8" si="1">K4-J4-I4-H4-G4</f>
        <v>11.305699999999989</v>
      </c>
      <c r="P4" s="18">
        <f t="shared" ref="P4:P8" si="2">F4-G4-H4-I4</f>
        <v>4.1197000000000017</v>
      </c>
      <c r="R4" t="s">
        <v>85</v>
      </c>
    </row>
    <row r="5" spans="1:18">
      <c r="A5" s="30">
        <v>1E-3</v>
      </c>
      <c r="B5">
        <v>602</v>
      </c>
      <c r="C5">
        <v>26</v>
      </c>
      <c r="D5" s="14"/>
      <c r="E5" s="9">
        <f t="shared" si="0"/>
        <v>23.153846153846153</v>
      </c>
      <c r="F5" s="18">
        <v>46.18</v>
      </c>
      <c r="G5" s="18">
        <v>3.7787999999999999</v>
      </c>
      <c r="H5">
        <v>19.338999999999999</v>
      </c>
      <c r="I5">
        <v>19.902000000000001</v>
      </c>
      <c r="J5" s="16">
        <v>27.870999999999999</v>
      </c>
      <c r="K5" s="9">
        <v>80</v>
      </c>
      <c r="L5">
        <f>4946/2</f>
        <v>2473</v>
      </c>
      <c r="M5" s="4">
        <v>168000</v>
      </c>
      <c r="N5">
        <v>3</v>
      </c>
      <c r="O5" s="18">
        <f t="shared" si="1"/>
        <v>9.1092000000000048</v>
      </c>
      <c r="P5" s="18">
        <f t="shared" si="2"/>
        <v>3.1602000000000032</v>
      </c>
      <c r="R5" t="s">
        <v>86</v>
      </c>
    </row>
    <row r="6" spans="1:18">
      <c r="A6" s="30">
        <v>0.01</v>
      </c>
      <c r="B6">
        <v>614</v>
      </c>
      <c r="C6">
        <v>26</v>
      </c>
      <c r="D6" s="14"/>
      <c r="E6" s="9">
        <f t="shared" si="0"/>
        <v>23.615384615384617</v>
      </c>
      <c r="F6" s="18">
        <v>32.186999999999998</v>
      </c>
      <c r="G6" s="18">
        <v>3.5670000000000002</v>
      </c>
      <c r="H6">
        <v>19.754000000000001</v>
      </c>
      <c r="I6">
        <v>5.5372000000000003</v>
      </c>
      <c r="J6" s="16">
        <v>27.9</v>
      </c>
      <c r="K6" s="9">
        <v>65.974999999999994</v>
      </c>
      <c r="L6">
        <f>5042/2</f>
        <v>2521</v>
      </c>
      <c r="M6" s="4">
        <v>168000</v>
      </c>
      <c r="N6">
        <v>3</v>
      </c>
      <c r="O6" s="18">
        <f t="shared" si="1"/>
        <v>9.2167999999999957</v>
      </c>
      <c r="P6" s="18">
        <f t="shared" si="2"/>
        <v>3.3287999999999958</v>
      </c>
      <c r="R6" t="s">
        <v>87</v>
      </c>
    </row>
    <row r="7" spans="1:18">
      <c r="A7" s="30">
        <v>0.1</v>
      </c>
      <c r="B7">
        <v>1404</v>
      </c>
      <c r="C7">
        <v>26</v>
      </c>
      <c r="D7" s="14"/>
      <c r="E7" s="9">
        <f t="shared" si="0"/>
        <v>54</v>
      </c>
      <c r="F7" s="18">
        <v>69.028000000000006</v>
      </c>
      <c r="G7" s="18">
        <v>3.4849000000000001</v>
      </c>
      <c r="H7">
        <v>45.067</v>
      </c>
      <c r="I7">
        <v>6.3548</v>
      </c>
      <c r="J7" s="16">
        <v>27.88</v>
      </c>
      <c r="K7" s="9">
        <v>101.42</v>
      </c>
      <c r="L7">
        <f>11362/2</f>
        <v>5681</v>
      </c>
      <c r="M7" s="4">
        <v>168000</v>
      </c>
      <c r="N7">
        <v>3</v>
      </c>
      <c r="O7" s="18">
        <f t="shared" si="1"/>
        <v>18.633300000000009</v>
      </c>
      <c r="P7" s="18">
        <f t="shared" si="2"/>
        <v>14.121300000000009</v>
      </c>
      <c r="R7" t="s">
        <v>88</v>
      </c>
    </row>
    <row r="8" spans="1:18">
      <c r="A8" s="30">
        <v>0.5</v>
      </c>
      <c r="B8">
        <v>1404</v>
      </c>
      <c r="C8">
        <v>26</v>
      </c>
      <c r="D8" s="14"/>
      <c r="E8" s="9">
        <f t="shared" si="0"/>
        <v>54</v>
      </c>
      <c r="F8" s="18">
        <v>68.805000000000007</v>
      </c>
      <c r="G8" s="18">
        <v>3.4861</v>
      </c>
      <c r="H8">
        <v>45.131999999999998</v>
      </c>
      <c r="I8">
        <v>6.34</v>
      </c>
      <c r="J8" s="16">
        <v>27.899000000000001</v>
      </c>
      <c r="K8" s="9">
        <v>101.15</v>
      </c>
      <c r="L8">
        <f>11362/2</f>
        <v>5681</v>
      </c>
      <c r="M8" s="4">
        <v>168000</v>
      </c>
      <c r="N8">
        <v>3</v>
      </c>
      <c r="O8" s="18">
        <f t="shared" si="1"/>
        <v>18.292900000000003</v>
      </c>
      <c r="P8" s="18">
        <f t="shared" si="2"/>
        <v>13.846900000000016</v>
      </c>
      <c r="R8" t="s">
        <v>89</v>
      </c>
    </row>
    <row r="11" spans="1:18">
      <c r="A11" s="24" t="s">
        <v>29</v>
      </c>
      <c r="B11" s="1" t="s">
        <v>64</v>
      </c>
      <c r="C11" s="20" t="s">
        <v>13</v>
      </c>
      <c r="D11" s="21" t="s">
        <v>14</v>
      </c>
      <c r="E11" s="20" t="s">
        <v>67</v>
      </c>
      <c r="F11" s="20" t="s">
        <v>60</v>
      </c>
      <c r="G11" s="22" t="s">
        <v>74</v>
      </c>
      <c r="H11" s="22" t="s">
        <v>76</v>
      </c>
      <c r="I11" s="1" t="s">
        <v>79</v>
      </c>
      <c r="J11" s="20" t="s">
        <v>61</v>
      </c>
      <c r="K11" s="20" t="s">
        <v>59</v>
      </c>
      <c r="L11" s="20" t="s">
        <v>62</v>
      </c>
      <c r="M11" s="20" t="s">
        <v>21</v>
      </c>
      <c r="N11" s="20" t="s">
        <v>66</v>
      </c>
      <c r="O11" s="20" t="s">
        <v>81</v>
      </c>
      <c r="P11" s="20" t="s">
        <v>80</v>
      </c>
    </row>
    <row r="12" spans="1:18">
      <c r="A12" s="28">
        <v>0.01</v>
      </c>
      <c r="B12">
        <v>703</v>
      </c>
      <c r="C12">
        <v>26</v>
      </c>
      <c r="E12" s="9">
        <f t="shared" ref="E12:E15" si="3">B12/C12</f>
        <v>27.03846153846154</v>
      </c>
      <c r="F12">
        <v>32.173000000000002</v>
      </c>
      <c r="G12">
        <v>3.5629</v>
      </c>
      <c r="H12">
        <v>22.721</v>
      </c>
      <c r="I12">
        <v>1.6339999999999999</v>
      </c>
      <c r="J12">
        <v>27.9</v>
      </c>
      <c r="K12">
        <v>64.924999999999997</v>
      </c>
      <c r="L12">
        <f>5754/2</f>
        <v>2877</v>
      </c>
      <c r="M12" s="31">
        <f>M15/10</f>
        <v>16800</v>
      </c>
      <c r="N12">
        <v>3</v>
      </c>
      <c r="O12" s="18">
        <f t="shared" ref="O12:O13" si="4">K12-J12-I12-H12-G12</f>
        <v>9.1070999999999991</v>
      </c>
      <c r="P12" s="18">
        <f t="shared" ref="P12:P13" si="5">F12-G12-H12-I12</f>
        <v>4.2551000000000023</v>
      </c>
    </row>
    <row r="13" spans="1:18">
      <c r="A13" s="28">
        <v>0.01</v>
      </c>
      <c r="B13">
        <v>656</v>
      </c>
      <c r="C13">
        <v>26</v>
      </c>
      <c r="E13" s="9">
        <f t="shared" si="3"/>
        <v>25.23076923076923</v>
      </c>
      <c r="F13">
        <v>31.021999999999998</v>
      </c>
      <c r="G13">
        <v>3.5878000000000001</v>
      </c>
      <c r="H13">
        <v>21.286999999999999</v>
      </c>
      <c r="I13">
        <v>2.2172999999999998</v>
      </c>
      <c r="J13">
        <v>27.9</v>
      </c>
      <c r="K13">
        <v>63.77</v>
      </c>
      <c r="L13">
        <f>5378/2</f>
        <v>2689</v>
      </c>
      <c r="M13" s="31">
        <f>M15/5</f>
        <v>33600</v>
      </c>
      <c r="N13">
        <v>3</v>
      </c>
      <c r="O13" s="18">
        <f t="shared" si="4"/>
        <v>8.7779000000000043</v>
      </c>
      <c r="P13" s="18">
        <f t="shared" si="5"/>
        <v>3.9298999999999982</v>
      </c>
    </row>
    <row r="14" spans="1:18">
      <c r="A14" s="28">
        <v>0.01</v>
      </c>
      <c r="B14">
        <v>628</v>
      </c>
      <c r="C14">
        <v>26</v>
      </c>
      <c r="E14" s="9">
        <f t="shared" si="3"/>
        <v>24.153846153846153</v>
      </c>
      <c r="F14">
        <v>30.68</v>
      </c>
      <c r="G14">
        <v>3.58</v>
      </c>
      <c r="H14">
        <v>20.812999999999999</v>
      </c>
      <c r="I14">
        <v>3.4838</v>
      </c>
      <c r="J14">
        <v>27.9</v>
      </c>
      <c r="K14">
        <v>63.44</v>
      </c>
      <c r="L14">
        <f>5154/2</f>
        <v>2577</v>
      </c>
      <c r="M14" s="31">
        <f>M15/2</f>
        <v>84000</v>
      </c>
      <c r="N14">
        <v>3</v>
      </c>
      <c r="O14" s="18">
        <f t="shared" ref="O14" si="6">K14-J14-I14-H14-G14</f>
        <v>7.663199999999998</v>
      </c>
      <c r="P14" s="18">
        <f t="shared" ref="P14" si="7">F14-G14-H14-I14</f>
        <v>2.8032000000000026</v>
      </c>
    </row>
    <row r="15" spans="1:18">
      <c r="A15" s="28">
        <v>0.01</v>
      </c>
      <c r="B15">
        <v>614</v>
      </c>
      <c r="C15">
        <v>26</v>
      </c>
      <c r="D15" s="14"/>
      <c r="E15" s="9">
        <f t="shared" si="3"/>
        <v>23.615384615384617</v>
      </c>
      <c r="F15" s="18">
        <v>32.186999999999998</v>
      </c>
      <c r="G15" s="18">
        <v>3.5670000000000002</v>
      </c>
      <c r="H15">
        <v>19.754000000000001</v>
      </c>
      <c r="I15">
        <v>5.5372000000000003</v>
      </c>
      <c r="J15" s="16">
        <v>27.9</v>
      </c>
      <c r="K15" s="9">
        <v>65.974999999999994</v>
      </c>
      <c r="L15">
        <f>5042/2</f>
        <v>2521</v>
      </c>
      <c r="M15" s="31">
        <v>168000</v>
      </c>
      <c r="N15">
        <v>3</v>
      </c>
      <c r="O15" s="18">
        <f t="shared" ref="O15" si="8">K15-J15-I15-H15-G15</f>
        <v>9.2167999999999957</v>
      </c>
      <c r="P15" s="18">
        <f t="shared" ref="P15" si="9">F15-G15-H15-I15</f>
        <v>3.3287999999999958</v>
      </c>
    </row>
    <row r="16" spans="1:18">
      <c r="A16" s="28">
        <v>0.01</v>
      </c>
      <c r="B16">
        <v>607</v>
      </c>
      <c r="C16">
        <v>26</v>
      </c>
      <c r="E16" s="9">
        <f>B16/C16</f>
        <v>23.346153846153847</v>
      </c>
      <c r="F16">
        <v>35.802</v>
      </c>
      <c r="G16">
        <v>3.5476999999999999</v>
      </c>
      <c r="H16">
        <v>19.523</v>
      </c>
      <c r="I16">
        <v>9.4649999999999999</v>
      </c>
      <c r="J16">
        <v>27.9</v>
      </c>
      <c r="K16">
        <v>68.58</v>
      </c>
      <c r="L16">
        <f>5634/2</f>
        <v>2817</v>
      </c>
      <c r="M16" s="31">
        <f>M15*2</f>
        <v>336000</v>
      </c>
      <c r="N16">
        <v>3</v>
      </c>
      <c r="O16" s="18">
        <f>K16-J16-I16-H16-G16</f>
        <v>8.1443000000000012</v>
      </c>
      <c r="P16" s="18">
        <f>F16-G16-H16-I16</f>
        <v>3.2663000000000011</v>
      </c>
    </row>
    <row r="17" spans="1:16">
      <c r="A17" s="28">
        <v>0.01</v>
      </c>
      <c r="B17">
        <v>595</v>
      </c>
      <c r="C17">
        <v>26</v>
      </c>
      <c r="D17" s="14"/>
      <c r="E17" s="9">
        <f>B17/C17</f>
        <v>22.884615384615383</v>
      </c>
      <c r="F17" s="18">
        <v>46.658999999999999</v>
      </c>
      <c r="G17" s="18">
        <v>3.5729000000000002</v>
      </c>
      <c r="H17">
        <v>19.7</v>
      </c>
      <c r="I17">
        <v>20.82</v>
      </c>
      <c r="J17" s="16">
        <v>27.9</v>
      </c>
      <c r="K17" s="9">
        <v>79.42</v>
      </c>
      <c r="L17">
        <f>4890/2</f>
        <v>2445</v>
      </c>
      <c r="M17" s="31">
        <f>M15*5</f>
        <v>840000</v>
      </c>
      <c r="N17">
        <v>3</v>
      </c>
      <c r="O17" s="18">
        <f>K17-J17-I17-H17-G17</f>
        <v>7.4271000000000029</v>
      </c>
      <c r="P17" s="18">
        <f>F17-G17-H17-I17</f>
        <v>2.5661000000000023</v>
      </c>
    </row>
    <row r="18" spans="1:16">
      <c r="A18" s="26"/>
    </row>
    <row r="20" spans="1:16">
      <c r="A20" s="24" t="s">
        <v>29</v>
      </c>
      <c r="B20" s="1" t="s">
        <v>64</v>
      </c>
      <c r="C20" s="20" t="s">
        <v>13</v>
      </c>
      <c r="D20" s="21" t="s">
        <v>14</v>
      </c>
      <c r="E20" s="20" t="s">
        <v>67</v>
      </c>
      <c r="F20" s="20" t="s">
        <v>60</v>
      </c>
      <c r="G20" s="22" t="s">
        <v>74</v>
      </c>
      <c r="H20" s="22" t="s">
        <v>76</v>
      </c>
      <c r="I20" s="1" t="s">
        <v>79</v>
      </c>
      <c r="J20" s="20" t="s">
        <v>61</v>
      </c>
      <c r="K20" s="20" t="s">
        <v>59</v>
      </c>
      <c r="L20" s="20" t="s">
        <v>62</v>
      </c>
      <c r="M20" s="20" t="s">
        <v>21</v>
      </c>
      <c r="N20" s="20" t="s">
        <v>66</v>
      </c>
      <c r="O20" s="20" t="s">
        <v>81</v>
      </c>
      <c r="P20" s="20" t="s">
        <v>80</v>
      </c>
    </row>
    <row r="21" spans="1:16">
      <c r="A21" s="28">
        <v>0.01</v>
      </c>
      <c r="B21">
        <v>910</v>
      </c>
      <c r="C21">
        <v>26</v>
      </c>
      <c r="E21" s="9">
        <f t="shared" ref="E21:E24" si="10">B21/C21</f>
        <v>35</v>
      </c>
      <c r="F21">
        <v>33.947000000000003</v>
      </c>
      <c r="G21">
        <v>3.5556999999999999</v>
      </c>
      <c r="H21">
        <v>21.789000000000001</v>
      </c>
      <c r="I21">
        <v>2.1789000000000001</v>
      </c>
      <c r="J21">
        <v>27.9</v>
      </c>
      <c r="K21">
        <v>66.709999999999994</v>
      </c>
      <c r="L21">
        <f>5590/2</f>
        <v>2795</v>
      </c>
      <c r="M21" s="31">
        <f>M24/10</f>
        <v>16800</v>
      </c>
      <c r="N21">
        <v>2</v>
      </c>
      <c r="O21" s="18">
        <f t="shared" ref="O21:O24" si="11">K21-J21-I21-H21-G21</f>
        <v>11.286399999999995</v>
      </c>
      <c r="P21" s="18">
        <f t="shared" ref="P21:P24" si="12">F21-G21-H21-I21</f>
        <v>6.4233999999999991</v>
      </c>
    </row>
    <row r="22" spans="1:16">
      <c r="A22" s="28">
        <v>0.01</v>
      </c>
      <c r="B22">
        <v>777</v>
      </c>
      <c r="C22">
        <v>26</v>
      </c>
      <c r="E22" s="9">
        <f t="shared" si="10"/>
        <v>29.884615384615383</v>
      </c>
      <c r="F22">
        <v>29.646000000000001</v>
      </c>
      <c r="G22">
        <v>3.5636000000000001</v>
      </c>
      <c r="H22">
        <v>18.587</v>
      </c>
      <c r="I22">
        <v>2.4954000000000001</v>
      </c>
      <c r="J22">
        <v>27.9</v>
      </c>
      <c r="K22">
        <v>62.43</v>
      </c>
      <c r="L22">
        <f>4792/2</f>
        <v>2396</v>
      </c>
      <c r="M22" s="31">
        <f>M24/5</f>
        <v>33600</v>
      </c>
      <c r="N22">
        <v>2</v>
      </c>
      <c r="O22" s="18">
        <f t="shared" si="11"/>
        <v>9.8839999999999968</v>
      </c>
      <c r="P22" s="18">
        <f t="shared" si="12"/>
        <v>5</v>
      </c>
    </row>
    <row r="23" spans="1:16">
      <c r="A23" s="28">
        <v>0.01</v>
      </c>
      <c r="B23">
        <v>715</v>
      </c>
      <c r="C23">
        <v>26</v>
      </c>
      <c r="E23" s="9">
        <f t="shared" si="10"/>
        <v>27.5</v>
      </c>
      <c r="F23">
        <v>28.788</v>
      </c>
      <c r="G23">
        <v>3.5596999999999999</v>
      </c>
      <c r="H23">
        <v>17.033999999999999</v>
      </c>
      <c r="I23">
        <v>3.8656000000000001</v>
      </c>
      <c r="J23">
        <v>27.9</v>
      </c>
      <c r="K23">
        <v>61.62</v>
      </c>
      <c r="L23">
        <f>4420/2</f>
        <v>2210</v>
      </c>
      <c r="M23" s="31">
        <f>M24/2</f>
        <v>84000</v>
      </c>
      <c r="N23">
        <v>2</v>
      </c>
      <c r="O23" s="18">
        <f t="shared" si="11"/>
        <v>9.2606999999999999</v>
      </c>
      <c r="P23" s="18">
        <f t="shared" si="12"/>
        <v>4.3287000000000013</v>
      </c>
    </row>
    <row r="24" spans="1:16">
      <c r="A24" s="28">
        <v>0.01</v>
      </c>
      <c r="B24">
        <v>696</v>
      </c>
      <c r="C24">
        <v>26</v>
      </c>
      <c r="D24" s="14"/>
      <c r="E24" s="9">
        <f t="shared" si="10"/>
        <v>26.76923076923077</v>
      </c>
      <c r="F24" s="18">
        <v>30.477</v>
      </c>
      <c r="G24" s="18">
        <v>3.5588000000000002</v>
      </c>
      <c r="H24">
        <v>16.666</v>
      </c>
      <c r="I24">
        <v>6.0956999999999999</v>
      </c>
      <c r="J24" s="16">
        <v>27.9</v>
      </c>
      <c r="K24" s="9">
        <v>63.223999999999997</v>
      </c>
      <c r="L24">
        <f>4306/2</f>
        <v>2153</v>
      </c>
      <c r="M24" s="31">
        <v>168000</v>
      </c>
      <c r="N24">
        <v>2</v>
      </c>
      <c r="O24" s="18">
        <f t="shared" si="11"/>
        <v>9.0034999999999972</v>
      </c>
      <c r="P24" s="18">
        <f t="shared" si="12"/>
        <v>4.1564999999999985</v>
      </c>
    </row>
    <row r="25" spans="1:16">
      <c r="A25" s="28">
        <v>0.01</v>
      </c>
      <c r="B25">
        <v>687</v>
      </c>
      <c r="C25">
        <v>26</v>
      </c>
      <c r="E25" s="9">
        <f>B25/C25</f>
        <v>26.423076923076923</v>
      </c>
      <c r="F25">
        <v>34.53</v>
      </c>
      <c r="G25">
        <v>3.5598000000000001</v>
      </c>
      <c r="H25">
        <v>16.405999999999999</v>
      </c>
      <c r="I25">
        <v>10.462999999999999</v>
      </c>
      <c r="J25">
        <v>27.9</v>
      </c>
      <c r="K25">
        <v>67.3</v>
      </c>
      <c r="L25">
        <f>4252/2</f>
        <v>2126</v>
      </c>
      <c r="M25" s="31">
        <f>M24*2</f>
        <v>336000</v>
      </c>
      <c r="N25">
        <v>2</v>
      </c>
      <c r="O25" s="18">
        <f>K25-J25-I25-H25-G25</f>
        <v>8.9711999999999996</v>
      </c>
      <c r="P25" s="18">
        <f>F25-G25-H25-I25</f>
        <v>4.101200000000004</v>
      </c>
    </row>
    <row r="26" spans="1:16">
      <c r="A26" s="28"/>
      <c r="D26" s="14"/>
      <c r="E26" s="9"/>
      <c r="F26" s="18"/>
      <c r="G26" s="18"/>
      <c r="J26" s="16"/>
      <c r="K26" s="9"/>
      <c r="M26" s="27"/>
      <c r="O26" s="18"/>
      <c r="P26" s="18"/>
    </row>
    <row r="29" spans="1:16">
      <c r="A29" s="24" t="s">
        <v>29</v>
      </c>
      <c r="B29" s="1" t="s">
        <v>64</v>
      </c>
      <c r="C29" s="20" t="s">
        <v>13</v>
      </c>
      <c r="D29" s="21" t="s">
        <v>14</v>
      </c>
      <c r="E29" s="20" t="s">
        <v>67</v>
      </c>
      <c r="F29" s="20" t="s">
        <v>60</v>
      </c>
      <c r="G29" s="22" t="s">
        <v>74</v>
      </c>
      <c r="H29" s="22" t="s">
        <v>76</v>
      </c>
      <c r="I29" s="1" t="s">
        <v>79</v>
      </c>
      <c r="J29" s="20" t="s">
        <v>61</v>
      </c>
      <c r="K29" s="20" t="s">
        <v>59</v>
      </c>
      <c r="L29" s="20" t="s">
        <v>62</v>
      </c>
      <c r="M29" s="20" t="s">
        <v>21</v>
      </c>
      <c r="N29" s="20" t="s">
        <v>66</v>
      </c>
      <c r="O29" s="20" t="s">
        <v>81</v>
      </c>
      <c r="P29" s="20" t="s">
        <v>80</v>
      </c>
    </row>
    <row r="30" spans="1:16">
      <c r="A30" s="28">
        <v>0.01</v>
      </c>
      <c r="B30">
        <v>1508</v>
      </c>
      <c r="C30">
        <v>26</v>
      </c>
      <c r="E30" s="9">
        <f>B30/C30</f>
        <v>58</v>
      </c>
      <c r="F30">
        <v>45.271000000000001</v>
      </c>
      <c r="G30">
        <v>3.5798000000000001</v>
      </c>
      <c r="H30">
        <v>23.388000000000002</v>
      </c>
      <c r="I30">
        <v>5.17</v>
      </c>
      <c r="J30">
        <v>27.9</v>
      </c>
      <c r="K30">
        <v>78.099999999999994</v>
      </c>
      <c r="L30">
        <f>6162/2</f>
        <v>3081</v>
      </c>
      <c r="M30" s="31">
        <f>M32/5</f>
        <v>33600</v>
      </c>
      <c r="N30">
        <v>1</v>
      </c>
      <c r="O30" s="18">
        <f t="shared" ref="O30:O33" si="13">K30-J30-I30-H30-G30</f>
        <v>18.062199999999994</v>
      </c>
      <c r="P30" s="18">
        <f t="shared" ref="P30:P33" si="14">F30-G30-H30-I30</f>
        <v>13.1332</v>
      </c>
    </row>
    <row r="31" spans="1:16">
      <c r="A31" s="28">
        <v>0.01</v>
      </c>
      <c r="B31">
        <v>961</v>
      </c>
      <c r="C31">
        <v>26</v>
      </c>
      <c r="E31" s="9">
        <f>B31/C31</f>
        <v>36.96153846153846</v>
      </c>
      <c r="F31">
        <v>30.945</v>
      </c>
      <c r="G31">
        <v>3.5655000000000001</v>
      </c>
      <c r="H31">
        <v>14.944000000000001</v>
      </c>
      <c r="I31">
        <v>5.3040000000000003</v>
      </c>
      <c r="J31">
        <v>27.9</v>
      </c>
      <c r="K31">
        <v>63.73</v>
      </c>
      <c r="L31">
        <f>3974/2</f>
        <v>1987</v>
      </c>
      <c r="M31" s="31">
        <f>M32/2</f>
        <v>84000</v>
      </c>
      <c r="N31">
        <v>1</v>
      </c>
      <c r="O31" s="18">
        <f t="shared" si="13"/>
        <v>12.016499999999995</v>
      </c>
      <c r="P31" s="18">
        <f t="shared" si="14"/>
        <v>7.1314999999999991</v>
      </c>
    </row>
    <row r="32" spans="1:16">
      <c r="A32" s="28">
        <v>0.01</v>
      </c>
      <c r="B32">
        <v>860</v>
      </c>
      <c r="C32">
        <v>26</v>
      </c>
      <c r="E32" s="9">
        <f>B32/C32</f>
        <v>33.07692307692308</v>
      </c>
      <c r="F32">
        <v>30.295000000000002</v>
      </c>
      <c r="G32">
        <v>3.5670000000000002</v>
      </c>
      <c r="H32">
        <v>13.381</v>
      </c>
      <c r="I32">
        <v>7.4284999999999997</v>
      </c>
      <c r="J32">
        <v>27.89</v>
      </c>
      <c r="K32">
        <v>63.069000000000003</v>
      </c>
      <c r="L32">
        <f>3570/2</f>
        <v>1785</v>
      </c>
      <c r="M32" s="31">
        <v>168000</v>
      </c>
      <c r="N32">
        <v>1</v>
      </c>
      <c r="O32" s="18">
        <f t="shared" si="13"/>
        <v>10.802500000000002</v>
      </c>
      <c r="P32" s="18">
        <f t="shared" si="14"/>
        <v>5.9185000000000016</v>
      </c>
    </row>
    <row r="33" spans="1:16">
      <c r="A33" s="28">
        <v>0.01</v>
      </c>
      <c r="B33">
        <v>820</v>
      </c>
      <c r="C33">
        <v>26</v>
      </c>
      <c r="D33" s="14"/>
      <c r="E33" s="9">
        <f>B33/C33</f>
        <v>31.53846153846154</v>
      </c>
      <c r="F33" s="18">
        <v>33.74</v>
      </c>
      <c r="G33" s="18">
        <v>3.56</v>
      </c>
      <c r="H33">
        <v>12.832000000000001</v>
      </c>
      <c r="I33">
        <v>11.917</v>
      </c>
      <c r="J33" s="16">
        <v>27.9</v>
      </c>
      <c r="K33" s="9">
        <v>66.53</v>
      </c>
      <c r="L33">
        <f>3410/2</f>
        <v>1705</v>
      </c>
      <c r="M33" s="31">
        <f>M32*2</f>
        <v>336000</v>
      </c>
      <c r="N33">
        <v>1</v>
      </c>
      <c r="O33" s="18">
        <f t="shared" si="13"/>
        <v>10.321</v>
      </c>
      <c r="P33" s="18">
        <f t="shared" si="14"/>
        <v>5.4310000000000027</v>
      </c>
    </row>
    <row r="35" spans="1:16">
      <c r="A35" s="28"/>
      <c r="M35" s="31"/>
      <c r="O35" s="18"/>
      <c r="P35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25K Results</vt:lpstr>
      <vt:lpstr>12.5K Results</vt:lpstr>
      <vt:lpstr>MCSA Case 1 Pstudy</vt:lpstr>
      <vt:lpstr>Threshold 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Slattery</dc:creator>
  <cp:lastModifiedBy>Stuart Slattery</cp:lastModifiedBy>
  <dcterms:created xsi:type="dcterms:W3CDTF">2014-08-18T19:34:03Z</dcterms:created>
  <dcterms:modified xsi:type="dcterms:W3CDTF">2014-09-15T15:18:44Z</dcterms:modified>
</cp:coreProperties>
</file>