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905"/>
  </bookViews>
  <sheets>
    <sheet name="J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6" i="1" l="1"/>
  <c r="J736" i="1"/>
  <c r="R736" i="1" s="1"/>
  <c r="S736" i="1" s="1"/>
  <c r="P652" i="1"/>
  <c r="R652" i="1"/>
  <c r="S652" i="1" s="1"/>
  <c r="J709" i="1"/>
  <c r="R709" i="1"/>
  <c r="S709" i="1" s="1"/>
  <c r="P709" i="1"/>
  <c r="R707" i="1"/>
  <c r="S707" i="1" s="1"/>
  <c r="P707" i="1"/>
  <c r="R811" i="1"/>
  <c r="S811" i="1" s="1"/>
  <c r="P811" i="1"/>
  <c r="P322" i="1"/>
  <c r="R322" i="1" s="1"/>
  <c r="S322" i="1" s="1"/>
  <c r="P320" i="1"/>
  <c r="R320" i="1" s="1"/>
  <c r="S320" i="1" s="1"/>
  <c r="J321" i="1"/>
  <c r="P321" i="1"/>
  <c r="P318" i="1"/>
  <c r="R318" i="1" s="1"/>
  <c r="S318" i="1" s="1"/>
  <c r="J319" i="1"/>
  <c r="P319" i="1"/>
  <c r="J159" i="1"/>
  <c r="P159" i="1"/>
  <c r="R159" i="1" s="1"/>
  <c r="S159" i="1" s="1"/>
  <c r="P157" i="1"/>
  <c r="R157" i="1" s="1"/>
  <c r="S157" i="1" s="1"/>
  <c r="P76" i="1"/>
  <c r="R76" i="1" s="1"/>
  <c r="S76" i="1" s="1"/>
  <c r="P77" i="1"/>
  <c r="R77" i="1" s="1"/>
  <c r="S77" i="1" s="1"/>
  <c r="P69" i="1"/>
  <c r="R69" i="1" s="1"/>
  <c r="S69" i="1" s="1"/>
  <c r="P66" i="1"/>
  <c r="R66" i="1" s="1"/>
  <c r="S66" i="1" s="1"/>
  <c r="P64" i="1"/>
  <c r="R64" i="1" s="1"/>
  <c r="S64" i="1" s="1"/>
  <c r="P52" i="1"/>
  <c r="R52" i="1" s="1"/>
  <c r="S52" i="1" s="1"/>
  <c r="P34" i="1"/>
  <c r="R34" i="1" s="1"/>
  <c r="S34" i="1" s="1"/>
  <c r="P496" i="1"/>
  <c r="R496" i="1" s="1"/>
  <c r="S496" i="1" s="1"/>
  <c r="P205" i="1"/>
  <c r="R205" i="1" s="1"/>
  <c r="S205" i="1" s="1"/>
  <c r="P206" i="1"/>
  <c r="R206" i="1" s="1"/>
  <c r="S206" i="1" s="1"/>
  <c r="J166" i="1"/>
  <c r="P166" i="1"/>
  <c r="P74" i="1"/>
  <c r="R74" i="1" s="1"/>
  <c r="S74" i="1" s="1"/>
  <c r="P73" i="1"/>
  <c r="R73" i="1" s="1"/>
  <c r="S73" i="1" s="1"/>
  <c r="P55" i="1"/>
  <c r="R55" i="1" s="1"/>
  <c r="S55" i="1" s="1"/>
  <c r="R319" i="1" l="1"/>
  <c r="S319" i="1" s="1"/>
  <c r="R321" i="1"/>
  <c r="S321" i="1" s="1"/>
  <c r="R166" i="1"/>
  <c r="S166" i="1" s="1"/>
  <c r="P462" i="1"/>
  <c r="J941" i="1"/>
  <c r="J940" i="1"/>
  <c r="P940" i="1"/>
  <c r="P986" i="1"/>
  <c r="R986" i="1" s="1"/>
  <c r="S986" i="1" s="1"/>
  <c r="P983" i="1"/>
  <c r="R983" i="1" s="1"/>
  <c r="S983" i="1" s="1"/>
  <c r="P980" i="1"/>
  <c r="R980" i="1" s="1"/>
  <c r="S980" i="1" s="1"/>
  <c r="P978" i="1"/>
  <c r="R978" i="1" s="1"/>
  <c r="S978" i="1" s="1"/>
  <c r="P976" i="1"/>
  <c r="J976" i="1"/>
  <c r="P975" i="1"/>
  <c r="J975" i="1"/>
  <c r="P974" i="1"/>
  <c r="J974" i="1"/>
  <c r="P973" i="1"/>
  <c r="J973" i="1"/>
  <c r="P972" i="1"/>
  <c r="R972" i="1" s="1"/>
  <c r="S972" i="1" s="1"/>
  <c r="P971" i="1"/>
  <c r="J971" i="1"/>
  <c r="P970" i="1"/>
  <c r="J970" i="1"/>
  <c r="P969" i="1"/>
  <c r="J969" i="1"/>
  <c r="P968" i="1"/>
  <c r="J968" i="1"/>
  <c r="P966" i="1"/>
  <c r="R966" i="1" s="1"/>
  <c r="S966" i="1" s="1"/>
  <c r="P965" i="1"/>
  <c r="R965" i="1" s="1"/>
  <c r="S965" i="1" s="1"/>
  <c r="P964" i="1"/>
  <c r="R964" i="1" s="1"/>
  <c r="S964" i="1" s="1"/>
  <c r="P963" i="1"/>
  <c r="R963" i="1" s="1"/>
  <c r="S963" i="1" s="1"/>
  <c r="P962" i="1"/>
  <c r="R962" i="1" s="1"/>
  <c r="S962" i="1" s="1"/>
  <c r="P961" i="1"/>
  <c r="R961" i="1" s="1"/>
  <c r="S961" i="1" s="1"/>
  <c r="P960" i="1"/>
  <c r="R960" i="1" s="1"/>
  <c r="S960" i="1" s="1"/>
  <c r="P959" i="1"/>
  <c r="R959" i="1" s="1"/>
  <c r="S959" i="1" s="1"/>
  <c r="P958" i="1"/>
  <c r="R958" i="1" s="1"/>
  <c r="S958" i="1" s="1"/>
  <c r="P957" i="1"/>
  <c r="R957" i="1" s="1"/>
  <c r="S957" i="1" s="1"/>
  <c r="P956" i="1"/>
  <c r="R956" i="1" s="1"/>
  <c r="S956" i="1" s="1"/>
  <c r="P955" i="1"/>
  <c r="R955" i="1" s="1"/>
  <c r="S955" i="1" s="1"/>
  <c r="P952" i="1"/>
  <c r="J952" i="1"/>
  <c r="P951" i="1"/>
  <c r="J951" i="1"/>
  <c r="P950" i="1"/>
  <c r="J950" i="1"/>
  <c r="P949" i="1"/>
  <c r="J949" i="1"/>
  <c r="P948" i="1"/>
  <c r="J948" i="1"/>
  <c r="P946" i="1"/>
  <c r="R946" i="1" s="1"/>
  <c r="S946" i="1" s="1"/>
  <c r="S945" i="1"/>
  <c r="P943" i="1"/>
  <c r="J943" i="1"/>
  <c r="P942" i="1"/>
  <c r="J942" i="1"/>
  <c r="P941" i="1"/>
  <c r="P937" i="1"/>
  <c r="R937" i="1" s="1"/>
  <c r="S937" i="1" s="1"/>
  <c r="S936" i="1"/>
  <c r="P934" i="1"/>
  <c r="R934" i="1" s="1"/>
  <c r="S934" i="1" s="1"/>
  <c r="P933" i="1"/>
  <c r="R933" i="1" s="1"/>
  <c r="S933" i="1" s="1"/>
  <c r="P932" i="1"/>
  <c r="J932" i="1"/>
  <c r="P931" i="1"/>
  <c r="J931" i="1"/>
  <c r="P929" i="1"/>
  <c r="R929" i="1" s="1"/>
  <c r="S929" i="1" s="1"/>
  <c r="P928" i="1"/>
  <c r="R928" i="1" s="1"/>
  <c r="S928" i="1" s="1"/>
  <c r="P926" i="1"/>
  <c r="R926" i="1" s="1"/>
  <c r="S926" i="1" s="1"/>
  <c r="P925" i="1"/>
  <c r="R925" i="1" s="1"/>
  <c r="S925" i="1" s="1"/>
  <c r="P924" i="1"/>
  <c r="R924" i="1" s="1"/>
  <c r="S924" i="1" s="1"/>
  <c r="P920" i="1"/>
  <c r="J920" i="1"/>
  <c r="P917" i="1"/>
  <c r="J917" i="1"/>
  <c r="P916" i="1"/>
  <c r="J916" i="1"/>
  <c r="P915" i="1"/>
  <c r="R915" i="1" s="1"/>
  <c r="S915" i="1" s="1"/>
  <c r="P914" i="1"/>
  <c r="R914" i="1" s="1"/>
  <c r="S914" i="1" s="1"/>
  <c r="J913" i="1"/>
  <c r="P913" i="1"/>
  <c r="J912" i="1"/>
  <c r="P912" i="1"/>
  <c r="P910" i="1"/>
  <c r="R910" i="1" s="1"/>
  <c r="S910" i="1" s="1"/>
  <c r="P909" i="1"/>
  <c r="R909" i="1" s="1"/>
  <c r="S909" i="1" s="1"/>
  <c r="P908" i="1"/>
  <c r="R908" i="1" s="1"/>
  <c r="S908" i="1" s="1"/>
  <c r="P907" i="1"/>
  <c r="R907" i="1" s="1"/>
  <c r="S907" i="1" s="1"/>
  <c r="P906" i="1"/>
  <c r="R906" i="1" s="1"/>
  <c r="S906" i="1" s="1"/>
  <c r="P904" i="1"/>
  <c r="R904" i="1" s="1"/>
  <c r="S904" i="1" s="1"/>
  <c r="P903" i="1"/>
  <c r="R903" i="1" s="1"/>
  <c r="S903" i="1" s="1"/>
  <c r="P902" i="1"/>
  <c r="R902" i="1" s="1"/>
  <c r="S902" i="1" s="1"/>
  <c r="P901" i="1"/>
  <c r="R901" i="1" s="1"/>
  <c r="S901" i="1" s="1"/>
  <c r="P900" i="1"/>
  <c r="R900" i="1" s="1"/>
  <c r="S900" i="1" s="1"/>
  <c r="P898" i="1"/>
  <c r="R898" i="1" s="1"/>
  <c r="S898" i="1" s="1"/>
  <c r="P895" i="1"/>
  <c r="R895" i="1" s="1"/>
  <c r="S895" i="1" s="1"/>
  <c r="P892" i="1"/>
  <c r="R892" i="1" s="1"/>
  <c r="S892" i="1" s="1"/>
  <c r="P891" i="1"/>
  <c r="R891" i="1" s="1"/>
  <c r="S891" i="1" s="1"/>
  <c r="P890" i="1"/>
  <c r="R890" i="1" s="1"/>
  <c r="S890" i="1" s="1"/>
  <c r="P888" i="1"/>
  <c r="J888" i="1"/>
  <c r="P887" i="1"/>
  <c r="J887" i="1"/>
  <c r="P886" i="1"/>
  <c r="J886" i="1"/>
  <c r="P884" i="1"/>
  <c r="R884" i="1" s="1"/>
  <c r="S884" i="1" s="1"/>
  <c r="P882" i="1"/>
  <c r="R882" i="1" s="1"/>
  <c r="S882" i="1" s="1"/>
  <c r="P881" i="1"/>
  <c r="R881" i="1" s="1"/>
  <c r="S881" i="1" s="1"/>
  <c r="P878" i="1"/>
  <c r="R878" i="1" s="1"/>
  <c r="S878" i="1" s="1"/>
  <c r="P876" i="1"/>
  <c r="R876" i="1" s="1"/>
  <c r="S876" i="1" s="1"/>
  <c r="P875" i="1"/>
  <c r="R875" i="1" s="1"/>
  <c r="S875" i="1" s="1"/>
  <c r="P874" i="1"/>
  <c r="R874" i="1" s="1"/>
  <c r="S874" i="1" s="1"/>
  <c r="P873" i="1"/>
  <c r="R873" i="1" s="1"/>
  <c r="S873" i="1" s="1"/>
  <c r="P872" i="1"/>
  <c r="R872" i="1" s="1"/>
  <c r="S872" i="1" s="1"/>
  <c r="P870" i="1"/>
  <c r="J870" i="1"/>
  <c r="P869" i="1"/>
  <c r="J869" i="1"/>
  <c r="J868" i="1"/>
  <c r="P868" i="1"/>
  <c r="P867" i="1"/>
  <c r="J867" i="1"/>
  <c r="P866" i="1"/>
  <c r="R866" i="1" s="1"/>
  <c r="S866" i="1" s="1"/>
  <c r="P865" i="1"/>
  <c r="J865" i="1"/>
  <c r="P864" i="1"/>
  <c r="J864" i="1"/>
  <c r="J863" i="1"/>
  <c r="P863" i="1"/>
  <c r="P862" i="1"/>
  <c r="J862" i="1"/>
  <c r="P861" i="1"/>
  <c r="J861" i="1"/>
  <c r="P860" i="1"/>
  <c r="R860" i="1" s="1"/>
  <c r="S860" i="1" s="1"/>
  <c r="P859" i="1"/>
  <c r="J859" i="1"/>
  <c r="P858" i="1"/>
  <c r="J858" i="1"/>
  <c r="P857" i="1"/>
  <c r="J857" i="1"/>
  <c r="P856" i="1"/>
  <c r="J856" i="1"/>
  <c r="P855" i="1"/>
  <c r="J855" i="1"/>
  <c r="P854" i="1"/>
  <c r="J854" i="1"/>
  <c r="P853" i="1"/>
  <c r="J853" i="1"/>
  <c r="P852" i="1"/>
  <c r="J852" i="1"/>
  <c r="P850" i="1"/>
  <c r="R850" i="1" s="1"/>
  <c r="S850" i="1" s="1"/>
  <c r="P849" i="1"/>
  <c r="R849" i="1" s="1"/>
  <c r="S849" i="1" s="1"/>
  <c r="P848" i="1"/>
  <c r="R848" i="1" s="1"/>
  <c r="S848" i="1" s="1"/>
  <c r="P847" i="1"/>
  <c r="R847" i="1" s="1"/>
  <c r="S847" i="1" s="1"/>
  <c r="P846" i="1"/>
  <c r="R846" i="1" s="1"/>
  <c r="S846" i="1" s="1"/>
  <c r="P845" i="1"/>
  <c r="R845" i="1" s="1"/>
  <c r="S845" i="1" s="1"/>
  <c r="P844" i="1"/>
  <c r="R844" i="1" s="1"/>
  <c r="S844" i="1" s="1"/>
  <c r="P843" i="1"/>
  <c r="R843" i="1" s="1"/>
  <c r="S843" i="1" s="1"/>
  <c r="P842" i="1"/>
  <c r="R842" i="1" s="1"/>
  <c r="S842" i="1" s="1"/>
  <c r="P841" i="1"/>
  <c r="J841" i="1"/>
  <c r="P840" i="1"/>
  <c r="R840" i="1" s="1"/>
  <c r="S840" i="1" s="1"/>
  <c r="P839" i="1"/>
  <c r="R839" i="1" s="1"/>
  <c r="S839" i="1" s="1"/>
  <c r="P838" i="1"/>
  <c r="R838" i="1" s="1"/>
  <c r="S838" i="1" s="1"/>
  <c r="P835" i="1"/>
  <c r="J835" i="1"/>
  <c r="P833" i="1"/>
  <c r="R833" i="1" s="1"/>
  <c r="S833" i="1" s="1"/>
  <c r="P832" i="1"/>
  <c r="R832" i="1" s="1"/>
  <c r="S832" i="1" s="1"/>
  <c r="P828" i="1"/>
  <c r="J828" i="1"/>
  <c r="P827" i="1"/>
  <c r="J827" i="1"/>
  <c r="P825" i="1"/>
  <c r="R825" i="1" s="1"/>
  <c r="S825" i="1" s="1"/>
  <c r="P824" i="1"/>
  <c r="J824" i="1"/>
  <c r="P823" i="1"/>
  <c r="J823" i="1"/>
  <c r="P822" i="1"/>
  <c r="J822" i="1"/>
  <c r="P819" i="1"/>
  <c r="J819" i="1"/>
  <c r="P818" i="1"/>
  <c r="J818" i="1"/>
  <c r="P817" i="1"/>
  <c r="R817" i="1" s="1"/>
  <c r="S817" i="1" s="1"/>
  <c r="P816" i="1"/>
  <c r="R816" i="1" s="1"/>
  <c r="S816" i="1" s="1"/>
  <c r="P815" i="1"/>
  <c r="J815" i="1"/>
  <c r="P814" i="1"/>
  <c r="J814" i="1"/>
  <c r="P812" i="1"/>
  <c r="R812" i="1" s="1"/>
  <c r="S812" i="1" s="1"/>
  <c r="P810" i="1"/>
  <c r="R810" i="1" s="1"/>
  <c r="S810" i="1" s="1"/>
  <c r="P806" i="1"/>
  <c r="R806" i="1" s="1"/>
  <c r="S806" i="1" s="1"/>
  <c r="P804" i="1"/>
  <c r="R804" i="1" s="1"/>
  <c r="S804" i="1" s="1"/>
  <c r="P802" i="1"/>
  <c r="R802" i="1" s="1"/>
  <c r="S802" i="1" s="1"/>
  <c r="P800" i="1"/>
  <c r="R800" i="1" s="1"/>
  <c r="S800" i="1" s="1"/>
  <c r="P799" i="1"/>
  <c r="J799" i="1"/>
  <c r="P798" i="1"/>
  <c r="J798" i="1"/>
  <c r="P796" i="1"/>
  <c r="R796" i="1" s="1"/>
  <c r="S796" i="1" s="1"/>
  <c r="P795" i="1"/>
  <c r="R795" i="1" s="1"/>
  <c r="S795" i="1" s="1"/>
  <c r="P791" i="1"/>
  <c r="J791" i="1"/>
  <c r="P790" i="1"/>
  <c r="J790" i="1"/>
  <c r="P789" i="1"/>
  <c r="J789" i="1"/>
  <c r="P788" i="1"/>
  <c r="J788" i="1"/>
  <c r="P787" i="1"/>
  <c r="J787" i="1"/>
  <c r="P786" i="1"/>
  <c r="J786" i="1"/>
  <c r="P785" i="1"/>
  <c r="J785" i="1"/>
  <c r="J784" i="1"/>
  <c r="P784" i="1"/>
  <c r="P783" i="1"/>
  <c r="J783" i="1"/>
  <c r="P781" i="1"/>
  <c r="R781" i="1" s="1"/>
  <c r="S781" i="1" s="1"/>
  <c r="P780" i="1"/>
  <c r="R780" i="1" s="1"/>
  <c r="S780" i="1" s="1"/>
  <c r="P779" i="1"/>
  <c r="R779" i="1" s="1"/>
  <c r="S779" i="1" s="1"/>
  <c r="P778" i="1"/>
  <c r="R778" i="1" s="1"/>
  <c r="S778" i="1" s="1"/>
  <c r="P777" i="1"/>
  <c r="R777" i="1" s="1"/>
  <c r="S777" i="1" s="1"/>
  <c r="P776" i="1"/>
  <c r="R776" i="1" s="1"/>
  <c r="S776" i="1" s="1"/>
  <c r="P773" i="1"/>
  <c r="J773" i="1"/>
  <c r="P771" i="1"/>
  <c r="R771" i="1" s="1"/>
  <c r="S771" i="1" s="1"/>
  <c r="P767" i="1"/>
  <c r="R767" i="1" s="1"/>
  <c r="S767" i="1" s="1"/>
  <c r="P766" i="1"/>
  <c r="R766" i="1" s="1"/>
  <c r="S766" i="1" s="1"/>
  <c r="P765" i="1"/>
  <c r="R765" i="1" s="1"/>
  <c r="S765" i="1" s="1"/>
  <c r="P764" i="1"/>
  <c r="R764" i="1" s="1"/>
  <c r="S764" i="1" s="1"/>
  <c r="P763" i="1"/>
  <c r="R763" i="1" s="1"/>
  <c r="S763" i="1" s="1"/>
  <c r="P761" i="1"/>
  <c r="R761" i="1" s="1"/>
  <c r="S761" i="1" s="1"/>
  <c r="P760" i="1"/>
  <c r="R760" i="1" s="1"/>
  <c r="S760" i="1" s="1"/>
  <c r="P759" i="1"/>
  <c r="R759" i="1" s="1"/>
  <c r="S759" i="1" s="1"/>
  <c r="P758" i="1"/>
  <c r="R758" i="1" s="1"/>
  <c r="S758" i="1" s="1"/>
  <c r="P757" i="1"/>
  <c r="R757" i="1" s="1"/>
  <c r="S757" i="1" s="1"/>
  <c r="P756" i="1"/>
  <c r="R756" i="1" s="1"/>
  <c r="S756" i="1" s="1"/>
  <c r="P754" i="1"/>
  <c r="J754" i="1"/>
  <c r="P752" i="1"/>
  <c r="R752" i="1" s="1"/>
  <c r="S752" i="1" s="1"/>
  <c r="P751" i="1"/>
  <c r="R751" i="1" s="1"/>
  <c r="S751" i="1" s="1"/>
  <c r="P750" i="1"/>
  <c r="R750" i="1" s="1"/>
  <c r="S750" i="1" s="1"/>
  <c r="P747" i="1"/>
  <c r="R747" i="1" s="1"/>
  <c r="S747" i="1" s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J738" i="1"/>
  <c r="P738" i="1"/>
  <c r="J737" i="1"/>
  <c r="P737" i="1"/>
  <c r="P734" i="1"/>
  <c r="R734" i="1" s="1"/>
  <c r="S734" i="1" s="1"/>
  <c r="P733" i="1"/>
  <c r="R733" i="1" s="1"/>
  <c r="S733" i="1" s="1"/>
  <c r="P732" i="1"/>
  <c r="R732" i="1" s="1"/>
  <c r="S732" i="1" s="1"/>
  <c r="P731" i="1"/>
  <c r="R731" i="1" s="1"/>
  <c r="S731" i="1" s="1"/>
  <c r="P730" i="1"/>
  <c r="R730" i="1" s="1"/>
  <c r="S730" i="1" s="1"/>
  <c r="P729" i="1"/>
  <c r="R729" i="1" s="1"/>
  <c r="S729" i="1" s="1"/>
  <c r="P728" i="1"/>
  <c r="R728" i="1" s="1"/>
  <c r="S728" i="1" s="1"/>
  <c r="P727" i="1"/>
  <c r="R727" i="1" s="1"/>
  <c r="S727" i="1" s="1"/>
  <c r="P726" i="1"/>
  <c r="R726" i="1" s="1"/>
  <c r="S726" i="1" s="1"/>
  <c r="P725" i="1"/>
  <c r="R725" i="1" s="1"/>
  <c r="S725" i="1" s="1"/>
  <c r="P724" i="1"/>
  <c r="R724" i="1" s="1"/>
  <c r="S724" i="1" s="1"/>
  <c r="P723" i="1"/>
  <c r="R723" i="1" s="1"/>
  <c r="S723" i="1" s="1"/>
  <c r="P722" i="1"/>
  <c r="R722" i="1" s="1"/>
  <c r="S722" i="1" s="1"/>
  <c r="P721" i="1"/>
  <c r="R721" i="1" s="1"/>
  <c r="S721" i="1" s="1"/>
  <c r="H718" i="1"/>
  <c r="P718" i="1" s="1"/>
  <c r="R718" i="1" s="1"/>
  <c r="S718" i="1" s="1"/>
  <c r="P716" i="1"/>
  <c r="J716" i="1"/>
  <c r="P715" i="1"/>
  <c r="R715" i="1" s="1"/>
  <c r="S715" i="1" s="1"/>
  <c r="P714" i="1"/>
  <c r="J714" i="1"/>
  <c r="P712" i="1"/>
  <c r="R712" i="1" s="1"/>
  <c r="S712" i="1" s="1"/>
  <c r="P711" i="1"/>
  <c r="R711" i="1" s="1"/>
  <c r="S711" i="1" s="1"/>
  <c r="P710" i="1"/>
  <c r="R710" i="1" s="1"/>
  <c r="S710" i="1" s="1"/>
  <c r="P708" i="1"/>
  <c r="R708" i="1" s="1"/>
  <c r="S708" i="1" s="1"/>
  <c r="P706" i="1"/>
  <c r="R706" i="1" s="1"/>
  <c r="S706" i="1" s="1"/>
  <c r="P705" i="1"/>
  <c r="R705" i="1" s="1"/>
  <c r="S705" i="1" s="1"/>
  <c r="P702" i="1"/>
  <c r="R702" i="1" s="1"/>
  <c r="S702" i="1" s="1"/>
  <c r="P701" i="1"/>
  <c r="R701" i="1" s="1"/>
  <c r="S701" i="1" s="1"/>
  <c r="P700" i="1"/>
  <c r="R700" i="1" s="1"/>
  <c r="S700" i="1" s="1"/>
  <c r="P698" i="1"/>
  <c r="J698" i="1"/>
  <c r="P697" i="1"/>
  <c r="J697" i="1"/>
  <c r="P696" i="1"/>
  <c r="R696" i="1" s="1"/>
  <c r="S696" i="1" s="1"/>
  <c r="P695" i="1"/>
  <c r="J695" i="1"/>
  <c r="P694" i="1"/>
  <c r="J694" i="1"/>
  <c r="P692" i="1"/>
  <c r="R692" i="1" s="1"/>
  <c r="S692" i="1" s="1"/>
  <c r="P691" i="1"/>
  <c r="R691" i="1" s="1"/>
  <c r="S691" i="1" s="1"/>
  <c r="P690" i="1"/>
  <c r="R690" i="1" s="1"/>
  <c r="S690" i="1" s="1"/>
  <c r="P689" i="1"/>
  <c r="R689" i="1" s="1"/>
  <c r="S689" i="1" s="1"/>
  <c r="P688" i="1"/>
  <c r="R688" i="1" s="1"/>
  <c r="S688" i="1" s="1"/>
  <c r="P687" i="1"/>
  <c r="R687" i="1" s="1"/>
  <c r="S687" i="1" s="1"/>
  <c r="P686" i="1"/>
  <c r="R686" i="1" s="1"/>
  <c r="S686" i="1" s="1"/>
  <c r="P683" i="1"/>
  <c r="R683" i="1" s="1"/>
  <c r="S683" i="1" s="1"/>
  <c r="P682" i="1"/>
  <c r="R682" i="1" s="1"/>
  <c r="S682" i="1" s="1"/>
  <c r="P679" i="1"/>
  <c r="R679" i="1" s="1"/>
  <c r="S679" i="1" s="1"/>
  <c r="P678" i="1"/>
  <c r="R678" i="1" s="1"/>
  <c r="S678" i="1" s="1"/>
  <c r="P677" i="1"/>
  <c r="R677" i="1" s="1"/>
  <c r="S677" i="1" s="1"/>
  <c r="P676" i="1"/>
  <c r="R676" i="1" s="1"/>
  <c r="S676" i="1" s="1"/>
  <c r="P675" i="1"/>
  <c r="R675" i="1" s="1"/>
  <c r="S675" i="1" s="1"/>
  <c r="P672" i="1"/>
  <c r="R672" i="1" s="1"/>
  <c r="S672" i="1" s="1"/>
  <c r="P670" i="1"/>
  <c r="J670" i="1"/>
  <c r="P669" i="1"/>
  <c r="J669" i="1"/>
  <c r="P668" i="1"/>
  <c r="J668" i="1"/>
  <c r="P667" i="1"/>
  <c r="J667" i="1"/>
  <c r="P666" i="1"/>
  <c r="J666" i="1"/>
  <c r="P665" i="1"/>
  <c r="J665" i="1"/>
  <c r="P664" i="1"/>
  <c r="J664" i="1"/>
  <c r="P663" i="1"/>
  <c r="J663" i="1"/>
  <c r="J662" i="1"/>
  <c r="P662" i="1"/>
  <c r="P661" i="1"/>
  <c r="J661" i="1"/>
  <c r="P660" i="1"/>
  <c r="R660" i="1" s="1"/>
  <c r="S660" i="1" s="1"/>
  <c r="P659" i="1"/>
  <c r="J659" i="1"/>
  <c r="P658" i="1"/>
  <c r="J658" i="1"/>
  <c r="J657" i="1"/>
  <c r="P657" i="1"/>
  <c r="J656" i="1"/>
  <c r="P656" i="1"/>
  <c r="P655" i="1"/>
  <c r="J655" i="1"/>
  <c r="P654" i="1"/>
  <c r="J654" i="1"/>
  <c r="P653" i="1"/>
  <c r="J653" i="1"/>
  <c r="P651" i="1"/>
  <c r="J651" i="1"/>
  <c r="P649" i="1"/>
  <c r="R649" i="1" s="1"/>
  <c r="S649" i="1" s="1"/>
  <c r="P648" i="1"/>
  <c r="R648" i="1" s="1"/>
  <c r="S648" i="1" s="1"/>
  <c r="P647" i="1"/>
  <c r="R647" i="1" s="1"/>
  <c r="S647" i="1" s="1"/>
  <c r="P646" i="1"/>
  <c r="R646" i="1" s="1"/>
  <c r="S646" i="1" s="1"/>
  <c r="P645" i="1"/>
  <c r="R645" i="1" s="1"/>
  <c r="S645" i="1" s="1"/>
  <c r="P644" i="1"/>
  <c r="R644" i="1" s="1"/>
  <c r="S644" i="1" s="1"/>
  <c r="P640" i="1"/>
  <c r="R640" i="1" s="1"/>
  <c r="S640" i="1" s="1"/>
  <c r="P639" i="1"/>
  <c r="R639" i="1" s="1"/>
  <c r="S639" i="1" s="1"/>
  <c r="P638" i="1"/>
  <c r="R638" i="1" s="1"/>
  <c r="S638" i="1" s="1"/>
  <c r="P637" i="1"/>
  <c r="R637" i="1" s="1"/>
  <c r="S637" i="1" s="1"/>
  <c r="P636" i="1"/>
  <c r="R636" i="1" s="1"/>
  <c r="S636" i="1" s="1"/>
  <c r="P633" i="1"/>
  <c r="R633" i="1" s="1"/>
  <c r="S633" i="1" s="1"/>
  <c r="P632" i="1"/>
  <c r="R632" i="1" s="1"/>
  <c r="S632" i="1" s="1"/>
  <c r="P630" i="1"/>
  <c r="J630" i="1"/>
  <c r="P627" i="1"/>
  <c r="J627" i="1"/>
  <c r="P626" i="1"/>
  <c r="J626" i="1"/>
  <c r="P624" i="1"/>
  <c r="R624" i="1" s="1"/>
  <c r="S624" i="1" s="1"/>
  <c r="P621" i="1"/>
  <c r="R621" i="1" s="1"/>
  <c r="S621" i="1" s="1"/>
  <c r="P619" i="1"/>
  <c r="J619" i="1"/>
  <c r="P618" i="1"/>
  <c r="J618" i="1"/>
  <c r="P616" i="1"/>
  <c r="R616" i="1" s="1"/>
  <c r="S616" i="1" s="1"/>
  <c r="P614" i="1"/>
  <c r="R614" i="1" s="1"/>
  <c r="S614" i="1" s="1"/>
  <c r="P613" i="1"/>
  <c r="J613" i="1"/>
  <c r="P610" i="1"/>
  <c r="J610" i="1"/>
  <c r="P609" i="1"/>
  <c r="J609" i="1"/>
  <c r="P608" i="1"/>
  <c r="J608" i="1"/>
  <c r="P606" i="1"/>
  <c r="R606" i="1" s="1"/>
  <c r="S606" i="1" s="1"/>
  <c r="P603" i="1"/>
  <c r="J603" i="1"/>
  <c r="P602" i="1"/>
  <c r="J602" i="1"/>
  <c r="P600" i="1"/>
  <c r="R600" i="1" s="1"/>
  <c r="S600" i="1" s="1"/>
  <c r="P599" i="1"/>
  <c r="R599" i="1" s="1"/>
  <c r="S599" i="1" s="1"/>
  <c r="P598" i="1"/>
  <c r="R598" i="1" s="1"/>
  <c r="S598" i="1" s="1"/>
  <c r="P597" i="1"/>
  <c r="R597" i="1" s="1"/>
  <c r="S597" i="1" s="1"/>
  <c r="P596" i="1"/>
  <c r="R596" i="1" s="1"/>
  <c r="S596" i="1" s="1"/>
  <c r="P595" i="1"/>
  <c r="R595" i="1" s="1"/>
  <c r="S595" i="1" s="1"/>
  <c r="P594" i="1"/>
  <c r="R594" i="1" s="1"/>
  <c r="S594" i="1" s="1"/>
  <c r="P591" i="1"/>
  <c r="R591" i="1" s="1"/>
  <c r="S591" i="1" s="1"/>
  <c r="P590" i="1"/>
  <c r="R590" i="1" s="1"/>
  <c r="S590" i="1" s="1"/>
  <c r="P588" i="1"/>
  <c r="R588" i="1" s="1"/>
  <c r="S588" i="1" s="1"/>
  <c r="P586" i="1"/>
  <c r="R586" i="1" s="1"/>
  <c r="S586" i="1" s="1"/>
  <c r="P585" i="1"/>
  <c r="R585" i="1" s="1"/>
  <c r="S585" i="1" s="1"/>
  <c r="P584" i="1"/>
  <c r="R584" i="1" s="1"/>
  <c r="S584" i="1" s="1"/>
  <c r="P583" i="1"/>
  <c r="R583" i="1" s="1"/>
  <c r="S583" i="1" s="1"/>
  <c r="P582" i="1"/>
  <c r="R582" i="1" s="1"/>
  <c r="S582" i="1" s="1"/>
  <c r="P581" i="1"/>
  <c r="R581" i="1" s="1"/>
  <c r="S581" i="1" s="1"/>
  <c r="P580" i="1"/>
  <c r="R580" i="1" s="1"/>
  <c r="S580" i="1" s="1"/>
  <c r="P579" i="1"/>
  <c r="R579" i="1" s="1"/>
  <c r="S579" i="1" s="1"/>
  <c r="P578" i="1"/>
  <c r="R578" i="1" s="1"/>
  <c r="S578" i="1" s="1"/>
  <c r="P577" i="1"/>
  <c r="R577" i="1" s="1"/>
  <c r="S577" i="1" s="1"/>
  <c r="P576" i="1"/>
  <c r="R576" i="1" s="1"/>
  <c r="S576" i="1" s="1"/>
  <c r="P575" i="1"/>
  <c r="R575" i="1" s="1"/>
  <c r="S575" i="1" s="1"/>
  <c r="P574" i="1"/>
  <c r="R574" i="1" s="1"/>
  <c r="S574" i="1" s="1"/>
  <c r="P573" i="1"/>
  <c r="R573" i="1" s="1"/>
  <c r="S573" i="1" s="1"/>
  <c r="P572" i="1"/>
  <c r="R572" i="1" s="1"/>
  <c r="S572" i="1" s="1"/>
  <c r="P571" i="1"/>
  <c r="R571" i="1" s="1"/>
  <c r="S571" i="1" s="1"/>
  <c r="P570" i="1"/>
  <c r="R570" i="1" s="1"/>
  <c r="S570" i="1" s="1"/>
  <c r="P569" i="1"/>
  <c r="R569" i="1" s="1"/>
  <c r="S569" i="1" s="1"/>
  <c r="P568" i="1"/>
  <c r="R568" i="1" s="1"/>
  <c r="S568" i="1" s="1"/>
  <c r="P567" i="1"/>
  <c r="R567" i="1" s="1"/>
  <c r="S567" i="1" s="1"/>
  <c r="P566" i="1"/>
  <c r="R566" i="1" s="1"/>
  <c r="S566" i="1" s="1"/>
  <c r="P565" i="1"/>
  <c r="R565" i="1" s="1"/>
  <c r="S565" i="1" s="1"/>
  <c r="P564" i="1"/>
  <c r="R564" i="1" s="1"/>
  <c r="S564" i="1" s="1"/>
  <c r="P563" i="1"/>
  <c r="R563" i="1" s="1"/>
  <c r="S563" i="1" s="1"/>
  <c r="P562" i="1"/>
  <c r="J562" i="1"/>
  <c r="P561" i="1"/>
  <c r="R561" i="1" s="1"/>
  <c r="S561" i="1" s="1"/>
  <c r="P560" i="1"/>
  <c r="R560" i="1" s="1"/>
  <c r="S560" i="1" s="1"/>
  <c r="P559" i="1"/>
  <c r="R559" i="1" s="1"/>
  <c r="S559" i="1" s="1"/>
  <c r="P557" i="1"/>
  <c r="J557" i="1"/>
  <c r="P556" i="1"/>
  <c r="J556" i="1"/>
  <c r="P555" i="1"/>
  <c r="J555" i="1"/>
  <c r="P554" i="1"/>
  <c r="J554" i="1"/>
  <c r="J553" i="1"/>
  <c r="P553" i="1"/>
  <c r="P552" i="1"/>
  <c r="J552" i="1"/>
  <c r="P551" i="1"/>
  <c r="J551" i="1"/>
  <c r="P550" i="1"/>
  <c r="J550" i="1"/>
  <c r="P549" i="1"/>
  <c r="R549" i="1" s="1"/>
  <c r="S549" i="1" s="1"/>
  <c r="P548" i="1"/>
  <c r="J548" i="1"/>
  <c r="J547" i="1"/>
  <c r="P547" i="1"/>
  <c r="P546" i="1"/>
  <c r="J546" i="1"/>
  <c r="P545" i="1"/>
  <c r="J545" i="1"/>
  <c r="P544" i="1"/>
  <c r="J544" i="1"/>
  <c r="P543" i="1"/>
  <c r="J543" i="1"/>
  <c r="P542" i="1"/>
  <c r="J542" i="1"/>
  <c r="P541" i="1"/>
  <c r="J541" i="1"/>
  <c r="P540" i="1"/>
  <c r="J540" i="1"/>
  <c r="P539" i="1"/>
  <c r="J539" i="1"/>
  <c r="P538" i="1"/>
  <c r="J538" i="1"/>
  <c r="P537" i="1"/>
  <c r="J537" i="1"/>
  <c r="P536" i="1"/>
  <c r="R536" i="1" s="1"/>
  <c r="S536" i="1" s="1"/>
  <c r="P535" i="1"/>
  <c r="J535" i="1"/>
  <c r="P534" i="1"/>
  <c r="J534" i="1"/>
  <c r="P533" i="1"/>
  <c r="R533" i="1" s="1"/>
  <c r="S533" i="1" s="1"/>
  <c r="P531" i="1"/>
  <c r="R531" i="1" s="1"/>
  <c r="S531" i="1" s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5" i="1"/>
  <c r="R525" i="1" s="1"/>
  <c r="S525" i="1" s="1"/>
  <c r="P524" i="1"/>
  <c r="R524" i="1" s="1"/>
  <c r="S524" i="1" s="1"/>
  <c r="P523" i="1"/>
  <c r="R523" i="1" s="1"/>
  <c r="S523" i="1" s="1"/>
  <c r="P522" i="1"/>
  <c r="R522" i="1" s="1"/>
  <c r="S522" i="1" s="1"/>
  <c r="P521" i="1"/>
  <c r="R521" i="1" s="1"/>
  <c r="S521" i="1" s="1"/>
  <c r="P520" i="1"/>
  <c r="R520" i="1" s="1"/>
  <c r="S520" i="1" s="1"/>
  <c r="P519" i="1"/>
  <c r="R519" i="1" s="1"/>
  <c r="S519" i="1" s="1"/>
  <c r="P518" i="1"/>
  <c r="R518" i="1" s="1"/>
  <c r="S518" i="1" s="1"/>
  <c r="P517" i="1"/>
  <c r="R517" i="1" s="1"/>
  <c r="S517" i="1" s="1"/>
  <c r="P516" i="1"/>
  <c r="R516" i="1" s="1"/>
  <c r="S516" i="1" s="1"/>
  <c r="P514" i="1"/>
  <c r="R514" i="1" s="1"/>
  <c r="S514" i="1" s="1"/>
  <c r="P513" i="1"/>
  <c r="R513" i="1" s="1"/>
  <c r="S513" i="1" s="1"/>
  <c r="P511" i="1"/>
  <c r="R511" i="1" s="1"/>
  <c r="S511" i="1" s="1"/>
  <c r="P510" i="1"/>
  <c r="R510" i="1" s="1"/>
  <c r="S510" i="1" s="1"/>
  <c r="P509" i="1"/>
  <c r="R509" i="1" s="1"/>
  <c r="S509" i="1" s="1"/>
  <c r="P508" i="1"/>
  <c r="R508" i="1" s="1"/>
  <c r="S508" i="1" s="1"/>
  <c r="P505" i="1"/>
  <c r="J505" i="1"/>
  <c r="P504" i="1"/>
  <c r="J504" i="1"/>
  <c r="P503" i="1"/>
  <c r="R503" i="1" s="1"/>
  <c r="S503" i="1" s="1"/>
  <c r="P502" i="1"/>
  <c r="R502" i="1" s="1"/>
  <c r="S502" i="1" s="1"/>
  <c r="P501" i="1"/>
  <c r="R501" i="1" s="1"/>
  <c r="S501" i="1" s="1"/>
  <c r="P500" i="1"/>
  <c r="J500" i="1"/>
  <c r="P499" i="1"/>
  <c r="R499" i="1" s="1"/>
  <c r="S499" i="1" s="1"/>
  <c r="P497" i="1"/>
  <c r="R497" i="1" s="1"/>
  <c r="S497" i="1" s="1"/>
  <c r="P495" i="1"/>
  <c r="R495" i="1" s="1"/>
  <c r="S495" i="1" s="1"/>
  <c r="P494" i="1"/>
  <c r="R494" i="1" s="1"/>
  <c r="S494" i="1" s="1"/>
  <c r="P493" i="1"/>
  <c r="R493" i="1" s="1"/>
  <c r="S493" i="1" s="1"/>
  <c r="P492" i="1"/>
  <c r="R492" i="1" s="1"/>
  <c r="S492" i="1" s="1"/>
  <c r="P491" i="1"/>
  <c r="R491" i="1" s="1"/>
  <c r="S491" i="1" s="1"/>
  <c r="P490" i="1"/>
  <c r="R490" i="1" s="1"/>
  <c r="S490" i="1" s="1"/>
  <c r="P489" i="1"/>
  <c r="R489" i="1" s="1"/>
  <c r="S489" i="1" s="1"/>
  <c r="P488" i="1"/>
  <c r="R488" i="1" s="1"/>
  <c r="S488" i="1" s="1"/>
  <c r="P487" i="1"/>
  <c r="R487" i="1" s="1"/>
  <c r="S487" i="1" s="1"/>
  <c r="P483" i="1"/>
  <c r="J483" i="1"/>
  <c r="P482" i="1"/>
  <c r="J482" i="1"/>
  <c r="P480" i="1"/>
  <c r="R480" i="1" s="1"/>
  <c r="S480" i="1" s="1"/>
  <c r="P479" i="1"/>
  <c r="R479" i="1" s="1"/>
  <c r="S479" i="1" s="1"/>
  <c r="P476" i="1"/>
  <c r="R476" i="1" s="1"/>
  <c r="S476" i="1" s="1"/>
  <c r="P475" i="1"/>
  <c r="R475" i="1" s="1"/>
  <c r="S475" i="1" s="1"/>
  <c r="J472" i="1"/>
  <c r="P472" i="1"/>
  <c r="J471" i="1"/>
  <c r="P471" i="1"/>
  <c r="P470" i="1"/>
  <c r="J470" i="1"/>
  <c r="P468" i="1"/>
  <c r="R468" i="1" s="1"/>
  <c r="S468" i="1" s="1"/>
  <c r="P467" i="1"/>
  <c r="R467" i="1" s="1"/>
  <c r="S467" i="1" s="1"/>
  <c r="P464" i="1"/>
  <c r="R464" i="1" s="1"/>
  <c r="S464" i="1" s="1"/>
  <c r="J463" i="1"/>
  <c r="P463" i="1"/>
  <c r="J462" i="1"/>
  <c r="J461" i="1"/>
  <c r="P461" i="1"/>
  <c r="P459" i="1"/>
  <c r="R459" i="1" s="1"/>
  <c r="S459" i="1" s="1"/>
  <c r="P458" i="1"/>
  <c r="R458" i="1" s="1"/>
  <c r="S458" i="1" s="1"/>
  <c r="P457" i="1"/>
  <c r="R457" i="1" s="1"/>
  <c r="S457" i="1" s="1"/>
  <c r="P456" i="1"/>
  <c r="R456" i="1" s="1"/>
  <c r="S456" i="1" s="1"/>
  <c r="P455" i="1"/>
  <c r="R455" i="1" s="1"/>
  <c r="S455" i="1" s="1"/>
  <c r="P451" i="1"/>
  <c r="R451" i="1" s="1"/>
  <c r="S451" i="1" s="1"/>
  <c r="J448" i="1"/>
  <c r="P448" i="1"/>
  <c r="P447" i="1"/>
  <c r="J447" i="1"/>
  <c r="P446" i="1"/>
  <c r="J446" i="1"/>
  <c r="P445" i="1"/>
  <c r="J445" i="1"/>
  <c r="P443" i="1"/>
  <c r="R443" i="1" s="1"/>
  <c r="S443" i="1" s="1"/>
  <c r="P442" i="1"/>
  <c r="R442" i="1" s="1"/>
  <c r="S442" i="1" s="1"/>
  <c r="P441" i="1"/>
  <c r="R441" i="1" s="1"/>
  <c r="S441" i="1" s="1"/>
  <c r="P440" i="1"/>
  <c r="R440" i="1" s="1"/>
  <c r="S440" i="1" s="1"/>
  <c r="P439" i="1"/>
  <c r="R439" i="1" s="1"/>
  <c r="S439" i="1" s="1"/>
  <c r="P438" i="1"/>
  <c r="R438" i="1" s="1"/>
  <c r="S438" i="1" s="1"/>
  <c r="P435" i="1"/>
  <c r="R435" i="1" s="1"/>
  <c r="S435" i="1" s="1"/>
  <c r="P432" i="1"/>
  <c r="R432" i="1" s="1"/>
  <c r="S432" i="1" s="1"/>
  <c r="P430" i="1"/>
  <c r="R430" i="1" s="1"/>
  <c r="S430" i="1" s="1"/>
  <c r="J427" i="1"/>
  <c r="P427" i="1"/>
  <c r="J426" i="1"/>
  <c r="P426" i="1"/>
  <c r="P425" i="1"/>
  <c r="J425" i="1"/>
  <c r="P423" i="1"/>
  <c r="J423" i="1"/>
  <c r="J422" i="1"/>
  <c r="P422" i="1"/>
  <c r="P421" i="1"/>
  <c r="J421" i="1"/>
  <c r="P420" i="1"/>
  <c r="J420" i="1"/>
  <c r="P419" i="1"/>
  <c r="J419" i="1"/>
  <c r="P418" i="1"/>
  <c r="J418" i="1"/>
  <c r="J417" i="1"/>
  <c r="P417" i="1"/>
  <c r="P416" i="1"/>
  <c r="J416" i="1"/>
  <c r="S415" i="1"/>
  <c r="P413" i="1"/>
  <c r="J413" i="1"/>
  <c r="P412" i="1"/>
  <c r="J412" i="1"/>
  <c r="J411" i="1"/>
  <c r="P411" i="1"/>
  <c r="P409" i="1"/>
  <c r="J409" i="1"/>
  <c r="P408" i="1"/>
  <c r="J408" i="1"/>
  <c r="P407" i="1"/>
  <c r="J407" i="1"/>
  <c r="P406" i="1"/>
  <c r="J406" i="1"/>
  <c r="P405" i="1"/>
  <c r="J405" i="1"/>
  <c r="P401" i="1"/>
  <c r="J401" i="1"/>
  <c r="P399" i="1"/>
  <c r="R399" i="1" s="1"/>
  <c r="S399" i="1" s="1"/>
  <c r="P398" i="1"/>
  <c r="R398" i="1" s="1"/>
  <c r="S398" i="1" s="1"/>
  <c r="P395" i="1"/>
  <c r="J395" i="1"/>
  <c r="P394" i="1"/>
  <c r="J394" i="1"/>
  <c r="P393" i="1"/>
  <c r="J393" i="1"/>
  <c r="P388" i="1"/>
  <c r="J388" i="1"/>
  <c r="P387" i="1"/>
  <c r="J387" i="1"/>
  <c r="P385" i="1"/>
  <c r="R385" i="1" s="1"/>
  <c r="S385" i="1" s="1"/>
  <c r="P384" i="1"/>
  <c r="R384" i="1" s="1"/>
  <c r="S384" i="1" s="1"/>
  <c r="P383" i="1"/>
  <c r="R383" i="1" s="1"/>
  <c r="S383" i="1" s="1"/>
  <c r="P382" i="1"/>
  <c r="R382" i="1" s="1"/>
  <c r="S382" i="1" s="1"/>
  <c r="P381" i="1"/>
  <c r="R381" i="1" s="1"/>
  <c r="S381" i="1" s="1"/>
  <c r="P380" i="1"/>
  <c r="R380" i="1" s="1"/>
  <c r="S380" i="1" s="1"/>
  <c r="P379" i="1"/>
  <c r="R379" i="1" s="1"/>
  <c r="S379" i="1" s="1"/>
  <c r="P378" i="1"/>
  <c r="R378" i="1" s="1"/>
  <c r="S378" i="1" s="1"/>
  <c r="P377" i="1"/>
  <c r="R377" i="1" s="1"/>
  <c r="S377" i="1" s="1"/>
  <c r="P373" i="1"/>
  <c r="R373" i="1" s="1"/>
  <c r="S373" i="1" s="1"/>
  <c r="P372" i="1"/>
  <c r="R372" i="1" s="1"/>
  <c r="S372" i="1" s="1"/>
  <c r="P371" i="1"/>
  <c r="R371" i="1" s="1"/>
  <c r="S371" i="1" s="1"/>
  <c r="P370" i="1"/>
  <c r="R370" i="1" s="1"/>
  <c r="S370" i="1" s="1"/>
  <c r="P369" i="1"/>
  <c r="R369" i="1" s="1"/>
  <c r="S369" i="1" s="1"/>
  <c r="P368" i="1"/>
  <c r="R368" i="1" s="1"/>
  <c r="S368" i="1" s="1"/>
  <c r="P367" i="1"/>
  <c r="R367" i="1" s="1"/>
  <c r="S367" i="1" s="1"/>
  <c r="P364" i="1"/>
  <c r="R364" i="1" s="1"/>
  <c r="S364" i="1" s="1"/>
  <c r="P363" i="1"/>
  <c r="R363" i="1" s="1"/>
  <c r="S363" i="1" s="1"/>
  <c r="P361" i="1"/>
  <c r="R361" i="1" s="1"/>
  <c r="S361" i="1" s="1"/>
  <c r="P360" i="1"/>
  <c r="R360" i="1" s="1"/>
  <c r="S360" i="1" s="1"/>
  <c r="P359" i="1"/>
  <c r="R359" i="1" s="1"/>
  <c r="S359" i="1" s="1"/>
  <c r="P356" i="1"/>
  <c r="R356" i="1" s="1"/>
  <c r="S356" i="1" s="1"/>
  <c r="P354" i="1"/>
  <c r="J354" i="1"/>
  <c r="P350" i="1"/>
  <c r="J350" i="1"/>
  <c r="P349" i="1"/>
  <c r="J349" i="1"/>
  <c r="P346" i="1"/>
  <c r="J346" i="1"/>
  <c r="P345" i="1"/>
  <c r="J345" i="1"/>
  <c r="P344" i="1"/>
  <c r="J344" i="1"/>
  <c r="P343" i="1"/>
  <c r="J343" i="1"/>
  <c r="P341" i="1"/>
  <c r="R341" i="1" s="1"/>
  <c r="S341" i="1" s="1"/>
  <c r="P340" i="1"/>
  <c r="R340" i="1" s="1"/>
  <c r="S340" i="1" s="1"/>
  <c r="P339" i="1"/>
  <c r="R339" i="1" s="1"/>
  <c r="S339" i="1" s="1"/>
  <c r="P338" i="1"/>
  <c r="R338" i="1" s="1"/>
  <c r="S338" i="1" s="1"/>
  <c r="P337" i="1"/>
  <c r="R337" i="1" s="1"/>
  <c r="S337" i="1" s="1"/>
  <c r="P336" i="1"/>
  <c r="R336" i="1" s="1"/>
  <c r="S336" i="1" s="1"/>
  <c r="P335" i="1"/>
  <c r="R335" i="1" s="1"/>
  <c r="S335" i="1" s="1"/>
  <c r="P334" i="1"/>
  <c r="R334" i="1" s="1"/>
  <c r="S334" i="1" s="1"/>
  <c r="P333" i="1"/>
  <c r="R333" i="1" s="1"/>
  <c r="S333" i="1" s="1"/>
  <c r="P332" i="1"/>
  <c r="R332" i="1" s="1"/>
  <c r="S332" i="1" s="1"/>
  <c r="P329" i="1"/>
  <c r="J329" i="1"/>
  <c r="P328" i="1"/>
  <c r="J328" i="1"/>
  <c r="P325" i="1"/>
  <c r="J325" i="1"/>
  <c r="P324" i="1"/>
  <c r="J324" i="1"/>
  <c r="J323" i="1"/>
  <c r="P323" i="1"/>
  <c r="P316" i="1"/>
  <c r="R316" i="1" s="1"/>
  <c r="S316" i="1" s="1"/>
  <c r="P315" i="1"/>
  <c r="R315" i="1" s="1"/>
  <c r="S315" i="1" s="1"/>
  <c r="P314" i="1"/>
  <c r="R314" i="1" s="1"/>
  <c r="S314" i="1" s="1"/>
  <c r="P313" i="1"/>
  <c r="R313" i="1" s="1"/>
  <c r="S313" i="1" s="1"/>
  <c r="P312" i="1"/>
  <c r="R312" i="1" s="1"/>
  <c r="S312" i="1" s="1"/>
  <c r="P311" i="1"/>
  <c r="R311" i="1" s="1"/>
  <c r="S311" i="1" s="1"/>
  <c r="P310" i="1"/>
  <c r="R310" i="1" s="1"/>
  <c r="S310" i="1" s="1"/>
  <c r="P309" i="1"/>
  <c r="R309" i="1" s="1"/>
  <c r="S309" i="1" s="1"/>
  <c r="P308" i="1"/>
  <c r="R308" i="1" s="1"/>
  <c r="S308" i="1" s="1"/>
  <c r="P307" i="1"/>
  <c r="R307" i="1" s="1"/>
  <c r="S307" i="1" s="1"/>
  <c r="P306" i="1"/>
  <c r="R306" i="1" s="1"/>
  <c r="S306" i="1" s="1"/>
  <c r="P305" i="1"/>
  <c r="J305" i="1"/>
  <c r="P302" i="1"/>
  <c r="J302" i="1"/>
  <c r="P299" i="1"/>
  <c r="J299" i="1"/>
  <c r="P298" i="1"/>
  <c r="J298" i="1"/>
  <c r="P297" i="1"/>
  <c r="J297" i="1"/>
  <c r="P296" i="1"/>
  <c r="J296" i="1"/>
  <c r="P295" i="1"/>
  <c r="J295" i="1"/>
  <c r="P294" i="1"/>
  <c r="J294" i="1"/>
  <c r="P293" i="1"/>
  <c r="J293" i="1"/>
  <c r="P289" i="1"/>
  <c r="R289" i="1" s="1"/>
  <c r="S289" i="1" s="1"/>
  <c r="P286" i="1"/>
  <c r="R286" i="1" s="1"/>
  <c r="S286" i="1" s="1"/>
  <c r="P283" i="1"/>
  <c r="R283" i="1" s="1"/>
  <c r="S283" i="1" s="1"/>
  <c r="P279" i="1"/>
  <c r="J279" i="1"/>
  <c r="P278" i="1"/>
  <c r="J278" i="1"/>
  <c r="P276" i="1"/>
  <c r="R276" i="1" s="1"/>
  <c r="S276" i="1" s="1"/>
  <c r="P275" i="1"/>
  <c r="R275" i="1" s="1"/>
  <c r="S275" i="1" s="1"/>
  <c r="P274" i="1"/>
  <c r="R274" i="1" s="1"/>
  <c r="S274" i="1" s="1"/>
  <c r="P271" i="1"/>
  <c r="R271" i="1" s="1"/>
  <c r="S271" i="1" s="1"/>
  <c r="P268" i="1"/>
  <c r="J268" i="1"/>
  <c r="P267" i="1"/>
  <c r="J267" i="1"/>
  <c r="P266" i="1"/>
  <c r="J266" i="1"/>
  <c r="P264" i="1"/>
  <c r="R264" i="1" s="1"/>
  <c r="S264" i="1" s="1"/>
  <c r="P263" i="1"/>
  <c r="R263" i="1" s="1"/>
  <c r="S263" i="1" s="1"/>
  <c r="P262" i="1"/>
  <c r="R262" i="1" s="1"/>
  <c r="S262" i="1" s="1"/>
  <c r="P261" i="1"/>
  <c r="R261" i="1" s="1"/>
  <c r="S261" i="1" s="1"/>
  <c r="P258" i="1"/>
  <c r="J258" i="1"/>
  <c r="P257" i="1"/>
  <c r="J257" i="1"/>
  <c r="P255" i="1"/>
  <c r="R255" i="1" s="1"/>
  <c r="S255" i="1" s="1"/>
  <c r="P254" i="1"/>
  <c r="R254" i="1" s="1"/>
  <c r="S254" i="1" s="1"/>
  <c r="P251" i="1"/>
  <c r="J251" i="1"/>
  <c r="P250" i="1"/>
  <c r="R250" i="1" s="1"/>
  <c r="S250" i="1" s="1"/>
  <c r="P248" i="1"/>
  <c r="R248" i="1" s="1"/>
  <c r="S248" i="1" s="1"/>
  <c r="J246" i="1"/>
  <c r="P246" i="1"/>
  <c r="J245" i="1"/>
  <c r="J244" i="1"/>
  <c r="P244" i="1"/>
  <c r="P242" i="1"/>
  <c r="R242" i="1" s="1"/>
  <c r="S242" i="1" s="1"/>
  <c r="J241" i="1"/>
  <c r="H241" i="1"/>
  <c r="P241" i="1" s="1"/>
  <c r="P240" i="1"/>
  <c r="R240" i="1" s="1"/>
  <c r="S240" i="1" s="1"/>
  <c r="P239" i="1"/>
  <c r="R239" i="1" s="1"/>
  <c r="S239" i="1" s="1"/>
  <c r="P238" i="1"/>
  <c r="R238" i="1" s="1"/>
  <c r="S238" i="1" s="1"/>
  <c r="P237" i="1"/>
  <c r="R237" i="1" s="1"/>
  <c r="S237" i="1" s="1"/>
  <c r="P233" i="1"/>
  <c r="R233" i="1" s="1"/>
  <c r="S233" i="1" s="1"/>
  <c r="P232" i="1"/>
  <c r="R232" i="1" s="1"/>
  <c r="S232" i="1" s="1"/>
  <c r="P230" i="1"/>
  <c r="R230" i="1" s="1"/>
  <c r="S230" i="1" s="1"/>
  <c r="P227" i="1"/>
  <c r="R227" i="1" s="1"/>
  <c r="S227" i="1" s="1"/>
  <c r="P226" i="1"/>
  <c r="J226" i="1"/>
  <c r="P225" i="1"/>
  <c r="R225" i="1" s="1"/>
  <c r="S225" i="1" s="1"/>
  <c r="P224" i="1"/>
  <c r="J224" i="1"/>
  <c r="P222" i="1"/>
  <c r="R222" i="1" s="1"/>
  <c r="S222" i="1" s="1"/>
  <c r="P221" i="1"/>
  <c r="R221" i="1" s="1"/>
  <c r="S221" i="1" s="1"/>
  <c r="P220" i="1"/>
  <c r="R220" i="1" s="1"/>
  <c r="S220" i="1" s="1"/>
  <c r="P218" i="1"/>
  <c r="R218" i="1" s="1"/>
  <c r="S218" i="1" s="1"/>
  <c r="P215" i="1"/>
  <c r="J215" i="1"/>
  <c r="P214" i="1"/>
  <c r="J214" i="1"/>
  <c r="J213" i="1"/>
  <c r="P213" i="1"/>
  <c r="J212" i="1"/>
  <c r="P212" i="1"/>
  <c r="P211" i="1"/>
  <c r="J211" i="1"/>
  <c r="P210" i="1"/>
  <c r="J210" i="1"/>
  <c r="P209" i="1"/>
  <c r="R209" i="1" s="1"/>
  <c r="S209" i="1" s="1"/>
  <c r="P208" i="1"/>
  <c r="R208" i="1" s="1"/>
  <c r="S208" i="1" s="1"/>
  <c r="P204" i="1"/>
  <c r="J204" i="1"/>
  <c r="P203" i="1"/>
  <c r="J203" i="1"/>
  <c r="P201" i="1"/>
  <c r="R201" i="1" s="1"/>
  <c r="S201" i="1" s="1"/>
  <c r="P200" i="1"/>
  <c r="R200" i="1" s="1"/>
  <c r="S200" i="1" s="1"/>
  <c r="P199" i="1"/>
  <c r="R199" i="1" s="1"/>
  <c r="S199" i="1" s="1"/>
  <c r="P198" i="1"/>
  <c r="R198" i="1" s="1"/>
  <c r="S198" i="1" s="1"/>
  <c r="P197" i="1"/>
  <c r="R197" i="1" s="1"/>
  <c r="S197" i="1" s="1"/>
  <c r="P196" i="1"/>
  <c r="R196" i="1" s="1"/>
  <c r="S196" i="1" s="1"/>
  <c r="P195" i="1"/>
  <c r="R195" i="1" s="1"/>
  <c r="S195" i="1" s="1"/>
  <c r="P194" i="1"/>
  <c r="R194" i="1" s="1"/>
  <c r="S194" i="1" s="1"/>
  <c r="P193" i="1"/>
  <c r="R193" i="1" s="1"/>
  <c r="S193" i="1" s="1"/>
  <c r="P192" i="1"/>
  <c r="R192" i="1" s="1"/>
  <c r="S192" i="1" s="1"/>
  <c r="J189" i="1"/>
  <c r="P189" i="1"/>
  <c r="P188" i="1"/>
  <c r="J188" i="1"/>
  <c r="P187" i="1"/>
  <c r="J187" i="1"/>
  <c r="P186" i="1"/>
  <c r="J186" i="1"/>
  <c r="P185" i="1"/>
  <c r="J185" i="1"/>
  <c r="P184" i="1"/>
  <c r="J184" i="1"/>
  <c r="P183" i="1"/>
  <c r="J183" i="1"/>
  <c r="J182" i="1"/>
  <c r="P182" i="1"/>
  <c r="P181" i="1"/>
  <c r="J181" i="1"/>
  <c r="P180" i="1"/>
  <c r="J180" i="1"/>
  <c r="P179" i="1"/>
  <c r="J179" i="1"/>
  <c r="P178" i="1"/>
  <c r="J178" i="1"/>
  <c r="P177" i="1"/>
  <c r="J177" i="1"/>
  <c r="P176" i="1"/>
  <c r="J176" i="1"/>
  <c r="P175" i="1"/>
  <c r="J175" i="1"/>
  <c r="P174" i="1"/>
  <c r="J174" i="1"/>
  <c r="P173" i="1"/>
  <c r="J173" i="1"/>
  <c r="P172" i="1"/>
  <c r="J172" i="1"/>
  <c r="P171" i="1"/>
  <c r="J171" i="1"/>
  <c r="P170" i="1"/>
  <c r="J170" i="1"/>
  <c r="J168" i="1"/>
  <c r="H168" i="1"/>
  <c r="P168" i="1" s="1"/>
  <c r="J167" i="1"/>
  <c r="H167" i="1"/>
  <c r="P167" i="1" s="1"/>
  <c r="P165" i="1"/>
  <c r="J165" i="1"/>
  <c r="P164" i="1"/>
  <c r="J164" i="1"/>
  <c r="P163" i="1"/>
  <c r="J163" i="1"/>
  <c r="P162" i="1"/>
  <c r="J162" i="1"/>
  <c r="J161" i="1"/>
  <c r="P161" i="1"/>
  <c r="P160" i="1"/>
  <c r="J160" i="1"/>
  <c r="P158" i="1"/>
  <c r="J158" i="1"/>
  <c r="P156" i="1"/>
  <c r="J156" i="1"/>
  <c r="J155" i="1"/>
  <c r="P155" i="1"/>
  <c r="P154" i="1"/>
  <c r="J154" i="1"/>
  <c r="P151" i="1"/>
  <c r="J151" i="1"/>
  <c r="J150" i="1"/>
  <c r="P150" i="1"/>
  <c r="P149" i="1"/>
  <c r="J149" i="1"/>
  <c r="P148" i="1"/>
  <c r="J148" i="1"/>
  <c r="J147" i="1"/>
  <c r="P147" i="1"/>
  <c r="J146" i="1"/>
  <c r="P145" i="1"/>
  <c r="J145" i="1"/>
  <c r="P144" i="1"/>
  <c r="J144" i="1"/>
  <c r="P142" i="1"/>
  <c r="R142" i="1" s="1"/>
  <c r="S142" i="1" s="1"/>
  <c r="P141" i="1"/>
  <c r="R141" i="1" s="1"/>
  <c r="S141" i="1" s="1"/>
  <c r="P140" i="1"/>
  <c r="J140" i="1"/>
  <c r="P139" i="1"/>
  <c r="R139" i="1" s="1"/>
  <c r="S139" i="1" s="1"/>
  <c r="P138" i="1"/>
  <c r="J138" i="1"/>
  <c r="P137" i="1"/>
  <c r="J137" i="1"/>
  <c r="P136" i="1"/>
  <c r="R136" i="1" s="1"/>
  <c r="S136" i="1" s="1"/>
  <c r="P135" i="1"/>
  <c r="R135" i="1" s="1"/>
  <c r="S135" i="1" s="1"/>
  <c r="P134" i="1"/>
  <c r="R134" i="1" s="1"/>
  <c r="S134" i="1" s="1"/>
  <c r="P133" i="1"/>
  <c r="R133" i="1" s="1"/>
  <c r="S133" i="1" s="1"/>
  <c r="P132" i="1"/>
  <c r="R132" i="1" s="1"/>
  <c r="S132" i="1" s="1"/>
  <c r="P131" i="1"/>
  <c r="R131" i="1" s="1"/>
  <c r="S131" i="1" s="1"/>
  <c r="P130" i="1"/>
  <c r="R130" i="1" s="1"/>
  <c r="S130" i="1" s="1"/>
  <c r="P129" i="1"/>
  <c r="R129" i="1" s="1"/>
  <c r="S129" i="1" s="1"/>
  <c r="P128" i="1"/>
  <c r="R128" i="1" s="1"/>
  <c r="S128" i="1" s="1"/>
  <c r="P124" i="1"/>
  <c r="J124" i="1"/>
  <c r="J123" i="1"/>
  <c r="P123" i="1"/>
  <c r="P122" i="1"/>
  <c r="J122" i="1"/>
  <c r="P121" i="1"/>
  <c r="J121" i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3" i="1"/>
  <c r="J113" i="1"/>
  <c r="J112" i="1"/>
  <c r="P111" i="1"/>
  <c r="J111" i="1"/>
  <c r="J110" i="1"/>
  <c r="P110" i="1"/>
  <c r="J109" i="1"/>
  <c r="J108" i="1"/>
  <c r="P108" i="1"/>
  <c r="J107" i="1"/>
  <c r="P105" i="1"/>
  <c r="J105" i="1"/>
  <c r="P104" i="1"/>
  <c r="R104" i="1" s="1"/>
  <c r="S104" i="1" s="1"/>
  <c r="P103" i="1"/>
  <c r="R103" i="1" s="1"/>
  <c r="S103" i="1" s="1"/>
  <c r="P102" i="1"/>
  <c r="R102" i="1" s="1"/>
  <c r="S102" i="1" s="1"/>
  <c r="P101" i="1"/>
  <c r="R101" i="1" s="1"/>
  <c r="S101" i="1" s="1"/>
  <c r="P100" i="1"/>
  <c r="R100" i="1" s="1"/>
  <c r="S100" i="1" s="1"/>
  <c r="P99" i="1"/>
  <c r="R99" i="1" s="1"/>
  <c r="S99" i="1" s="1"/>
  <c r="P98" i="1"/>
  <c r="R98" i="1" s="1"/>
  <c r="S98" i="1" s="1"/>
  <c r="P97" i="1"/>
  <c r="R97" i="1" s="1"/>
  <c r="S97" i="1" s="1"/>
  <c r="P96" i="1"/>
  <c r="R96" i="1" s="1"/>
  <c r="S96" i="1" s="1"/>
  <c r="P95" i="1"/>
  <c r="R95" i="1" s="1"/>
  <c r="S95" i="1" s="1"/>
  <c r="P94" i="1"/>
  <c r="R94" i="1" s="1"/>
  <c r="S94" i="1" s="1"/>
  <c r="P93" i="1"/>
  <c r="R93" i="1" s="1"/>
  <c r="S93" i="1" s="1"/>
  <c r="P92" i="1"/>
  <c r="R92" i="1" s="1"/>
  <c r="S92" i="1" s="1"/>
  <c r="P91" i="1"/>
  <c r="R91" i="1" s="1"/>
  <c r="S91" i="1" s="1"/>
  <c r="P87" i="1"/>
  <c r="R87" i="1" s="1"/>
  <c r="S87" i="1" s="1"/>
  <c r="P86" i="1"/>
  <c r="R86" i="1" s="1"/>
  <c r="S86" i="1" s="1"/>
  <c r="S85" i="1"/>
  <c r="P83" i="1"/>
  <c r="R83" i="1" s="1"/>
  <c r="S83" i="1" s="1"/>
  <c r="P82" i="1"/>
  <c r="R82" i="1" s="1"/>
  <c r="S82" i="1" s="1"/>
  <c r="P81" i="1"/>
  <c r="R81" i="1" s="1"/>
  <c r="S81" i="1" s="1"/>
  <c r="P80" i="1"/>
  <c r="R80" i="1" s="1"/>
  <c r="S80" i="1" s="1"/>
  <c r="P79" i="1"/>
  <c r="R79" i="1" s="1"/>
  <c r="S79" i="1" s="1"/>
  <c r="P78" i="1"/>
  <c r="R78" i="1" s="1"/>
  <c r="S78" i="1" s="1"/>
  <c r="P75" i="1"/>
  <c r="R75" i="1" s="1"/>
  <c r="S75" i="1" s="1"/>
  <c r="P72" i="1"/>
  <c r="R72" i="1" s="1"/>
  <c r="S72" i="1" s="1"/>
  <c r="P71" i="1"/>
  <c r="R71" i="1" s="1"/>
  <c r="S71" i="1" s="1"/>
  <c r="P70" i="1"/>
  <c r="R70" i="1" s="1"/>
  <c r="S70" i="1" s="1"/>
  <c r="P68" i="1"/>
  <c r="R68" i="1" s="1"/>
  <c r="S68" i="1" s="1"/>
  <c r="P67" i="1"/>
  <c r="R67" i="1" s="1"/>
  <c r="S67" i="1" s="1"/>
  <c r="P65" i="1"/>
  <c r="R65" i="1" s="1"/>
  <c r="S65" i="1" s="1"/>
  <c r="P63" i="1"/>
  <c r="R63" i="1" s="1"/>
  <c r="S63" i="1" s="1"/>
  <c r="P62" i="1"/>
  <c r="R62" i="1" s="1"/>
  <c r="S62" i="1" s="1"/>
  <c r="P61" i="1"/>
  <c r="R61" i="1" s="1"/>
  <c r="S61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6" i="1"/>
  <c r="R56" i="1" s="1"/>
  <c r="S56" i="1" s="1"/>
  <c r="P54" i="1"/>
  <c r="R54" i="1" s="1"/>
  <c r="S54" i="1" s="1"/>
  <c r="P53" i="1"/>
  <c r="R53" i="1" s="1"/>
  <c r="S53" i="1" s="1"/>
  <c r="P51" i="1"/>
  <c r="R51" i="1" s="1"/>
  <c r="S51" i="1" s="1"/>
  <c r="P50" i="1"/>
  <c r="R50" i="1" s="1"/>
  <c r="S50" i="1" s="1"/>
  <c r="P49" i="1"/>
  <c r="R49" i="1" s="1"/>
  <c r="S49" i="1" s="1"/>
  <c r="P48" i="1"/>
  <c r="R48" i="1" s="1"/>
  <c r="S48" i="1" s="1"/>
  <c r="P45" i="1"/>
  <c r="R45" i="1" s="1"/>
  <c r="S45" i="1" s="1"/>
  <c r="P44" i="1"/>
  <c r="R44" i="1" s="1"/>
  <c r="S44" i="1" s="1"/>
  <c r="P43" i="1"/>
  <c r="R43" i="1" s="1"/>
  <c r="S43" i="1" s="1"/>
  <c r="P40" i="1"/>
  <c r="J40" i="1"/>
  <c r="P39" i="1"/>
  <c r="J39" i="1"/>
  <c r="P38" i="1"/>
  <c r="J38" i="1"/>
  <c r="P37" i="1"/>
  <c r="J37" i="1"/>
  <c r="P35" i="1"/>
  <c r="R35" i="1" s="1"/>
  <c r="S35" i="1" s="1"/>
  <c r="P30" i="1"/>
  <c r="J30" i="1"/>
  <c r="P29" i="1"/>
  <c r="J29" i="1"/>
  <c r="P28" i="1"/>
  <c r="J28" i="1"/>
  <c r="P26" i="1"/>
  <c r="R26" i="1" s="1"/>
  <c r="S26" i="1" s="1"/>
  <c r="P25" i="1"/>
  <c r="R25" i="1" s="1"/>
  <c r="S25" i="1" s="1"/>
  <c r="P24" i="1"/>
  <c r="R24" i="1" s="1"/>
  <c r="S24" i="1" s="1"/>
  <c r="P23" i="1"/>
  <c r="R23" i="1" s="1"/>
  <c r="S23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940" i="1" l="1"/>
  <c r="S940" i="1" s="1"/>
  <c r="R462" i="1"/>
  <c r="S462" i="1" s="1"/>
  <c r="R968" i="1"/>
  <c r="S968" i="1" s="1"/>
  <c r="R970" i="1"/>
  <c r="S970" i="1" s="1"/>
  <c r="R942" i="1"/>
  <c r="S942" i="1" s="1"/>
  <c r="R949" i="1"/>
  <c r="S949" i="1" s="1"/>
  <c r="R951" i="1"/>
  <c r="S951" i="1" s="1"/>
  <c r="R974" i="1"/>
  <c r="S974" i="1" s="1"/>
  <c r="R976" i="1"/>
  <c r="S976" i="1" s="1"/>
  <c r="R932" i="1"/>
  <c r="S932" i="1" s="1"/>
  <c r="R870" i="1"/>
  <c r="S870" i="1" s="1"/>
  <c r="R917" i="1"/>
  <c r="S917" i="1" s="1"/>
  <c r="R798" i="1"/>
  <c r="S798" i="1" s="1"/>
  <c r="R818" i="1"/>
  <c r="S818" i="1" s="1"/>
  <c r="R822" i="1"/>
  <c r="S822" i="1" s="1"/>
  <c r="R483" i="1"/>
  <c r="S483" i="1" s="1"/>
  <c r="R504" i="1"/>
  <c r="S504" i="1" s="1"/>
  <c r="R602" i="1"/>
  <c r="S602" i="1" s="1"/>
  <c r="R698" i="1"/>
  <c r="S698" i="1" s="1"/>
  <c r="R737" i="1"/>
  <c r="S737" i="1" s="1"/>
  <c r="R417" i="1"/>
  <c r="S417" i="1" s="1"/>
  <c r="R426" i="1"/>
  <c r="S426" i="1" s="1"/>
  <c r="R463" i="1"/>
  <c r="S463" i="1" s="1"/>
  <c r="R470" i="1"/>
  <c r="S470" i="1" s="1"/>
  <c r="R482" i="1"/>
  <c r="S482" i="1" s="1"/>
  <c r="R505" i="1"/>
  <c r="S505" i="1" s="1"/>
  <c r="R799" i="1"/>
  <c r="S799" i="1" s="1"/>
  <c r="R819" i="1"/>
  <c r="S819" i="1" s="1"/>
  <c r="R534" i="1"/>
  <c r="S534" i="1" s="1"/>
  <c r="R742" i="1"/>
  <c r="S742" i="1" s="1"/>
  <c r="R165" i="1"/>
  <c r="S165" i="1" s="1"/>
  <c r="R246" i="1"/>
  <c r="S246" i="1" s="1"/>
  <c r="R323" i="1"/>
  <c r="S323" i="1" s="1"/>
  <c r="R545" i="1"/>
  <c r="S545" i="1" s="1"/>
  <c r="R343" i="1"/>
  <c r="S343" i="1" s="1"/>
  <c r="R344" i="1"/>
  <c r="S344" i="1" s="1"/>
  <c r="R346" i="1"/>
  <c r="S346" i="1" s="1"/>
  <c r="R350" i="1"/>
  <c r="S350" i="1" s="1"/>
  <c r="R546" i="1"/>
  <c r="S546" i="1" s="1"/>
  <c r="R241" i="1"/>
  <c r="S241" i="1" s="1"/>
  <c r="R278" i="1"/>
  <c r="S278" i="1" s="1"/>
  <c r="R659" i="1"/>
  <c r="S659" i="1" s="1"/>
  <c r="R110" i="1"/>
  <c r="S110" i="1" s="1"/>
  <c r="R182" i="1"/>
  <c r="S182" i="1" s="1"/>
  <c r="R184" i="1"/>
  <c r="S184" i="1" s="1"/>
  <c r="R186" i="1"/>
  <c r="S186" i="1" s="1"/>
  <c r="R188" i="1"/>
  <c r="S188" i="1" s="1"/>
  <c r="R293" i="1"/>
  <c r="S293" i="1" s="1"/>
  <c r="R406" i="1"/>
  <c r="S406" i="1" s="1"/>
  <c r="R408" i="1"/>
  <c r="S408" i="1" s="1"/>
  <c r="R164" i="1"/>
  <c r="S164" i="1" s="1"/>
  <c r="R345" i="1"/>
  <c r="S345" i="1" s="1"/>
  <c r="R349" i="1"/>
  <c r="S349" i="1" s="1"/>
  <c r="R354" i="1"/>
  <c r="S354" i="1" s="1"/>
  <c r="R613" i="1"/>
  <c r="S613" i="1" s="1"/>
  <c r="R618" i="1"/>
  <c r="S618" i="1" s="1"/>
  <c r="R627" i="1"/>
  <c r="S627" i="1" s="1"/>
  <c r="R656" i="1"/>
  <c r="S656" i="1" s="1"/>
  <c r="R662" i="1"/>
  <c r="S662" i="1" s="1"/>
  <c r="R697" i="1"/>
  <c r="S697" i="1" s="1"/>
  <c r="R121" i="1"/>
  <c r="S121" i="1" s="1"/>
  <c r="R113" i="1"/>
  <c r="S113" i="1" s="1"/>
  <c r="R122" i="1"/>
  <c r="S122" i="1" s="1"/>
  <c r="R163" i="1"/>
  <c r="S163" i="1" s="1"/>
  <c r="R168" i="1"/>
  <c r="S168" i="1" s="1"/>
  <c r="R189" i="1"/>
  <c r="S189" i="1" s="1"/>
  <c r="R295" i="1"/>
  <c r="S295" i="1" s="1"/>
  <c r="R405" i="1"/>
  <c r="S405" i="1" s="1"/>
  <c r="R407" i="1"/>
  <c r="S407" i="1" s="1"/>
  <c r="R409" i="1"/>
  <c r="S409" i="1" s="1"/>
  <c r="R422" i="1"/>
  <c r="S422" i="1" s="1"/>
  <c r="R427" i="1"/>
  <c r="S427" i="1" s="1"/>
  <c r="R657" i="1"/>
  <c r="S657" i="1" s="1"/>
  <c r="R864" i="1"/>
  <c r="S864" i="1" s="1"/>
  <c r="R13" i="1"/>
  <c r="S13" i="1" s="1"/>
  <c r="R149" i="1"/>
  <c r="S149" i="1" s="1"/>
  <c r="R151" i="1"/>
  <c r="S151" i="1" s="1"/>
  <c r="R170" i="1"/>
  <c r="S170" i="1" s="1"/>
  <c r="R172" i="1"/>
  <c r="S172" i="1" s="1"/>
  <c r="R461" i="1"/>
  <c r="S461" i="1" s="1"/>
  <c r="R610" i="1"/>
  <c r="S610" i="1" s="1"/>
  <c r="R626" i="1"/>
  <c r="S626" i="1" s="1"/>
  <c r="R630" i="1"/>
  <c r="S630" i="1" s="1"/>
  <c r="R664" i="1"/>
  <c r="S664" i="1" s="1"/>
  <c r="R668" i="1"/>
  <c r="S668" i="1" s="1"/>
  <c r="R741" i="1"/>
  <c r="S741" i="1" s="1"/>
  <c r="R743" i="1"/>
  <c r="S743" i="1" s="1"/>
  <c r="R745" i="1"/>
  <c r="S745" i="1" s="1"/>
  <c r="R773" i="1"/>
  <c r="S773" i="1" s="1"/>
  <c r="R785" i="1"/>
  <c r="S785" i="1" s="1"/>
  <c r="R788" i="1"/>
  <c r="S788" i="1" s="1"/>
  <c r="R828" i="1"/>
  <c r="S828" i="1" s="1"/>
  <c r="R835" i="1"/>
  <c r="S835" i="1" s="1"/>
  <c r="R931" i="1"/>
  <c r="S931" i="1" s="1"/>
  <c r="R941" i="1"/>
  <c r="S941" i="1" s="1"/>
  <c r="R943" i="1"/>
  <c r="S943" i="1" s="1"/>
  <c r="R948" i="1"/>
  <c r="S948" i="1" s="1"/>
  <c r="R950" i="1"/>
  <c r="S950" i="1" s="1"/>
  <c r="R952" i="1"/>
  <c r="S952" i="1" s="1"/>
  <c r="R535" i="1"/>
  <c r="S535" i="1" s="1"/>
  <c r="R603" i="1"/>
  <c r="S603" i="1" s="1"/>
  <c r="R609" i="1"/>
  <c r="S609" i="1" s="1"/>
  <c r="R738" i="1"/>
  <c r="S738" i="1" s="1"/>
  <c r="R867" i="1"/>
  <c r="S867" i="1" s="1"/>
  <c r="R869" i="1"/>
  <c r="S869" i="1" s="1"/>
  <c r="R916" i="1"/>
  <c r="S916" i="1" s="1"/>
  <c r="R148" i="1"/>
  <c r="S148" i="1" s="1"/>
  <c r="R154" i="1"/>
  <c r="S154" i="1" s="1"/>
  <c r="R167" i="1"/>
  <c r="S167" i="1" s="1"/>
  <c r="R171" i="1"/>
  <c r="S171" i="1" s="1"/>
  <c r="R173" i="1"/>
  <c r="S173" i="1" s="1"/>
  <c r="R213" i="1"/>
  <c r="S213" i="1" s="1"/>
  <c r="R224" i="1"/>
  <c r="S224" i="1" s="1"/>
  <c r="R401" i="1"/>
  <c r="S401" i="1" s="1"/>
  <c r="R553" i="1"/>
  <c r="S553" i="1" s="1"/>
  <c r="R665" i="1"/>
  <c r="S665" i="1" s="1"/>
  <c r="R744" i="1"/>
  <c r="S744" i="1" s="1"/>
  <c r="R746" i="1"/>
  <c r="S746" i="1" s="1"/>
  <c r="R786" i="1"/>
  <c r="S786" i="1" s="1"/>
  <c r="R789" i="1"/>
  <c r="S789" i="1" s="1"/>
  <c r="R827" i="1"/>
  <c r="S827" i="1" s="1"/>
  <c r="R15" i="1"/>
  <c r="S15" i="1" s="1"/>
  <c r="R29" i="1"/>
  <c r="S29" i="1" s="1"/>
  <c r="R38" i="1"/>
  <c r="S38" i="1" s="1"/>
  <c r="R105" i="1"/>
  <c r="S105" i="1" s="1"/>
  <c r="R111" i="1"/>
  <c r="S111" i="1" s="1"/>
  <c r="R123" i="1"/>
  <c r="S123" i="1" s="1"/>
  <c r="R138" i="1"/>
  <c r="S138" i="1" s="1"/>
  <c r="R144" i="1"/>
  <c r="S144" i="1" s="1"/>
  <c r="R147" i="1"/>
  <c r="S147" i="1" s="1"/>
  <c r="R155" i="1"/>
  <c r="S155" i="1" s="1"/>
  <c r="R161" i="1"/>
  <c r="S161" i="1" s="1"/>
  <c r="R162" i="1"/>
  <c r="S162" i="1" s="1"/>
  <c r="R174" i="1"/>
  <c r="S174" i="1" s="1"/>
  <c r="R176" i="1"/>
  <c r="S176" i="1" s="1"/>
  <c r="R178" i="1"/>
  <c r="S178" i="1" s="1"/>
  <c r="R180" i="1"/>
  <c r="S180" i="1" s="1"/>
  <c r="R211" i="1"/>
  <c r="S211" i="1" s="1"/>
  <c r="R215" i="1"/>
  <c r="S215" i="1" s="1"/>
  <c r="R244" i="1"/>
  <c r="S244" i="1" s="1"/>
  <c r="R266" i="1"/>
  <c r="S266" i="1" s="1"/>
  <c r="R268" i="1"/>
  <c r="S268" i="1" s="1"/>
  <c r="R296" i="1"/>
  <c r="S296" i="1" s="1"/>
  <c r="R299" i="1"/>
  <c r="S299" i="1" s="1"/>
  <c r="R305" i="1"/>
  <c r="S305" i="1" s="1"/>
  <c r="R324" i="1"/>
  <c r="S324" i="1" s="1"/>
  <c r="R328" i="1"/>
  <c r="S328" i="1" s="1"/>
  <c r="R411" i="1"/>
  <c r="S411" i="1" s="1"/>
  <c r="R413" i="1"/>
  <c r="S413" i="1" s="1"/>
  <c r="R416" i="1"/>
  <c r="S416" i="1" s="1"/>
  <c r="R425" i="1"/>
  <c r="S425" i="1" s="1"/>
  <c r="R446" i="1"/>
  <c r="S446" i="1" s="1"/>
  <c r="R472" i="1"/>
  <c r="S472" i="1" s="1"/>
  <c r="R539" i="1"/>
  <c r="S539" i="1" s="1"/>
  <c r="R541" i="1"/>
  <c r="S541" i="1" s="1"/>
  <c r="R543" i="1"/>
  <c r="S543" i="1" s="1"/>
  <c r="R547" i="1"/>
  <c r="S547" i="1" s="1"/>
  <c r="R551" i="1"/>
  <c r="S551" i="1" s="1"/>
  <c r="R555" i="1"/>
  <c r="S555" i="1" s="1"/>
  <c r="R557" i="1"/>
  <c r="S557" i="1" s="1"/>
  <c r="R654" i="1"/>
  <c r="S654" i="1" s="1"/>
  <c r="R669" i="1"/>
  <c r="S669" i="1" s="1"/>
  <c r="R694" i="1"/>
  <c r="S694" i="1" s="1"/>
  <c r="R740" i="1"/>
  <c r="S740" i="1" s="1"/>
  <c r="R784" i="1"/>
  <c r="S784" i="1" s="1"/>
  <c r="R790" i="1"/>
  <c r="S790" i="1" s="1"/>
  <c r="R824" i="1"/>
  <c r="S824" i="1" s="1"/>
  <c r="R841" i="1"/>
  <c r="S841" i="1" s="1"/>
  <c r="R854" i="1"/>
  <c r="S854" i="1" s="1"/>
  <c r="R856" i="1"/>
  <c r="S856" i="1" s="1"/>
  <c r="R858" i="1"/>
  <c r="S858" i="1" s="1"/>
  <c r="R863" i="1"/>
  <c r="S863" i="1" s="1"/>
  <c r="R868" i="1"/>
  <c r="S868" i="1" s="1"/>
  <c r="R886" i="1"/>
  <c r="S886" i="1" s="1"/>
  <c r="R888" i="1"/>
  <c r="S888" i="1" s="1"/>
  <c r="R920" i="1"/>
  <c r="S920" i="1" s="1"/>
  <c r="R973" i="1"/>
  <c r="S973" i="1" s="1"/>
  <c r="R975" i="1"/>
  <c r="S975" i="1" s="1"/>
  <c r="R969" i="1"/>
  <c r="S969" i="1" s="1"/>
  <c r="R971" i="1"/>
  <c r="S971" i="1" s="1"/>
  <c r="R39" i="1"/>
  <c r="S39" i="1" s="1"/>
  <c r="R40" i="1"/>
  <c r="S40" i="1" s="1"/>
  <c r="R108" i="1"/>
  <c r="S108" i="1" s="1"/>
  <c r="R137" i="1"/>
  <c r="S137" i="1" s="1"/>
  <c r="R145" i="1"/>
  <c r="S145" i="1" s="1"/>
  <c r="R150" i="1"/>
  <c r="S150" i="1" s="1"/>
  <c r="R175" i="1"/>
  <c r="S175" i="1" s="1"/>
  <c r="R177" i="1"/>
  <c r="S177" i="1" s="1"/>
  <c r="R179" i="1"/>
  <c r="S179" i="1" s="1"/>
  <c r="R181" i="1"/>
  <c r="S181" i="1" s="1"/>
  <c r="R210" i="1"/>
  <c r="S210" i="1" s="1"/>
  <c r="R214" i="1"/>
  <c r="S214" i="1" s="1"/>
  <c r="R267" i="1"/>
  <c r="S267" i="1" s="1"/>
  <c r="R302" i="1"/>
  <c r="S302" i="1" s="1"/>
  <c r="R325" i="1"/>
  <c r="S325" i="1" s="1"/>
  <c r="R329" i="1"/>
  <c r="S329" i="1" s="1"/>
  <c r="R387" i="1"/>
  <c r="S387" i="1" s="1"/>
  <c r="R388" i="1"/>
  <c r="S388" i="1" s="1"/>
  <c r="R423" i="1"/>
  <c r="S423" i="1" s="1"/>
  <c r="R445" i="1"/>
  <c r="S445" i="1" s="1"/>
  <c r="R447" i="1"/>
  <c r="S447" i="1" s="1"/>
  <c r="R540" i="1"/>
  <c r="S540" i="1" s="1"/>
  <c r="R544" i="1"/>
  <c r="S544" i="1" s="1"/>
  <c r="R550" i="1"/>
  <c r="S550" i="1" s="1"/>
  <c r="R552" i="1"/>
  <c r="S552" i="1" s="1"/>
  <c r="R554" i="1"/>
  <c r="S554" i="1" s="1"/>
  <c r="R608" i="1"/>
  <c r="S608" i="1" s="1"/>
  <c r="R655" i="1"/>
  <c r="S655" i="1" s="1"/>
  <c r="R661" i="1"/>
  <c r="S661" i="1" s="1"/>
  <c r="R663" i="1"/>
  <c r="S663" i="1" s="1"/>
  <c r="R739" i="1"/>
  <c r="S739" i="1" s="1"/>
  <c r="R791" i="1"/>
  <c r="S791" i="1" s="1"/>
  <c r="R852" i="1"/>
  <c r="S852" i="1" s="1"/>
  <c r="R853" i="1"/>
  <c r="S853" i="1" s="1"/>
  <c r="R857" i="1"/>
  <c r="S857" i="1" s="1"/>
  <c r="R859" i="1"/>
  <c r="S859" i="1" s="1"/>
  <c r="R865" i="1"/>
  <c r="S865" i="1" s="1"/>
  <c r="R887" i="1"/>
  <c r="S887" i="1" s="1"/>
  <c r="R913" i="1"/>
  <c r="S913" i="1" s="1"/>
  <c r="R158" i="1"/>
  <c r="S158" i="1" s="1"/>
  <c r="R754" i="1"/>
  <c r="S754" i="1" s="1"/>
  <c r="R124" i="1"/>
  <c r="S124" i="1" s="1"/>
  <c r="R418" i="1"/>
  <c r="S418" i="1" s="1"/>
  <c r="R420" i="1"/>
  <c r="S420" i="1" s="1"/>
  <c r="R548" i="1"/>
  <c r="S548" i="1" s="1"/>
  <c r="R203" i="1"/>
  <c r="S203" i="1" s="1"/>
  <c r="R814" i="1"/>
  <c r="S814" i="1" s="1"/>
  <c r="R862" i="1"/>
  <c r="S862" i="1" s="1"/>
  <c r="R294" i="1"/>
  <c r="S294" i="1" s="1"/>
  <c r="R412" i="1"/>
  <c r="S412" i="1" s="1"/>
  <c r="R28" i="1"/>
  <c r="S28" i="1" s="1"/>
  <c r="R30" i="1"/>
  <c r="S30" i="1" s="1"/>
  <c r="R140" i="1"/>
  <c r="S140" i="1" s="1"/>
  <c r="R156" i="1"/>
  <c r="S156" i="1" s="1"/>
  <c r="R160" i="1"/>
  <c r="S160" i="1" s="1"/>
  <c r="R297" i="1"/>
  <c r="S297" i="1" s="1"/>
  <c r="R419" i="1"/>
  <c r="S419" i="1" s="1"/>
  <c r="R421" i="1"/>
  <c r="S421" i="1" s="1"/>
  <c r="R183" i="1"/>
  <c r="S183" i="1" s="1"/>
  <c r="R185" i="1"/>
  <c r="S185" i="1" s="1"/>
  <c r="R187" i="1"/>
  <c r="S187" i="1" s="1"/>
  <c r="R204" i="1"/>
  <c r="S204" i="1" s="1"/>
  <c r="R226" i="1"/>
  <c r="S226" i="1" s="1"/>
  <c r="R279" i="1"/>
  <c r="S279" i="1" s="1"/>
  <c r="R393" i="1"/>
  <c r="S393" i="1" s="1"/>
  <c r="R395" i="1"/>
  <c r="S395" i="1" s="1"/>
  <c r="R651" i="1"/>
  <c r="S651" i="1" s="1"/>
  <c r="R666" i="1"/>
  <c r="S666" i="1" s="1"/>
  <c r="R783" i="1"/>
  <c r="S783" i="1" s="1"/>
  <c r="R716" i="1"/>
  <c r="S716" i="1" s="1"/>
  <c r="R815" i="1"/>
  <c r="S815" i="1" s="1"/>
  <c r="R861" i="1"/>
  <c r="S861" i="1" s="1"/>
  <c r="R251" i="1"/>
  <c r="S251" i="1" s="1"/>
  <c r="R394" i="1"/>
  <c r="S394" i="1" s="1"/>
  <c r="R500" i="1"/>
  <c r="S500" i="1" s="1"/>
  <c r="R556" i="1"/>
  <c r="S556" i="1" s="1"/>
  <c r="R653" i="1"/>
  <c r="S653" i="1" s="1"/>
  <c r="R658" i="1"/>
  <c r="S658" i="1" s="1"/>
  <c r="R667" i="1"/>
  <c r="S667" i="1" s="1"/>
  <c r="R670" i="1"/>
  <c r="S670" i="1" s="1"/>
  <c r="R695" i="1"/>
  <c r="S695" i="1" s="1"/>
  <c r="R823" i="1"/>
  <c r="S823" i="1" s="1"/>
  <c r="P146" i="1"/>
  <c r="R146" i="1" s="1"/>
  <c r="S146" i="1" s="1"/>
  <c r="R212" i="1"/>
  <c r="S212" i="1" s="1"/>
  <c r="P107" i="1"/>
  <c r="R107" i="1" s="1"/>
  <c r="S107" i="1" s="1"/>
  <c r="P245" i="1"/>
  <c r="R245" i="1" s="1"/>
  <c r="S245" i="1" s="1"/>
  <c r="R37" i="1"/>
  <c r="S37" i="1" s="1"/>
  <c r="P109" i="1"/>
  <c r="R109" i="1" s="1"/>
  <c r="S109" i="1" s="1"/>
  <c r="P112" i="1"/>
  <c r="R112" i="1" s="1"/>
  <c r="S112" i="1" s="1"/>
  <c r="R257" i="1"/>
  <c r="S257" i="1" s="1"/>
  <c r="R298" i="1"/>
  <c r="S298" i="1" s="1"/>
  <c r="P391" i="1"/>
  <c r="R391" i="1" s="1"/>
  <c r="S391" i="1" s="1"/>
  <c r="R471" i="1"/>
  <c r="S471" i="1" s="1"/>
  <c r="R258" i="1"/>
  <c r="S258" i="1" s="1"/>
  <c r="R448" i="1"/>
  <c r="S448" i="1" s="1"/>
  <c r="R538" i="1"/>
  <c r="S538" i="1" s="1"/>
  <c r="R537" i="1"/>
  <c r="S537" i="1" s="1"/>
  <c r="P643" i="1"/>
  <c r="R643" i="1" s="1"/>
  <c r="S643" i="1" s="1"/>
  <c r="R714" i="1"/>
  <c r="S714" i="1" s="1"/>
  <c r="R787" i="1"/>
  <c r="S787" i="1" s="1"/>
  <c r="R542" i="1"/>
  <c r="S542" i="1" s="1"/>
  <c r="R562" i="1"/>
  <c r="S562" i="1" s="1"/>
  <c r="R619" i="1"/>
  <c r="S619" i="1" s="1"/>
  <c r="R912" i="1"/>
  <c r="S912" i="1" s="1"/>
  <c r="R855" i="1"/>
  <c r="S855" i="1" s="1"/>
  <c r="P905" i="1"/>
  <c r="R905" i="1" s="1"/>
  <c r="S905" i="1" s="1"/>
  <c r="S989" i="1" l="1"/>
  <c r="R989" i="1"/>
</calcChain>
</file>

<file path=xl/sharedStrings.xml><?xml version="1.0" encoding="utf-8"?>
<sst xmlns="http://schemas.openxmlformats.org/spreadsheetml/2006/main" count="5999" uniqueCount="855">
  <si>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</si>
  <si>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</si>
  <si>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</si>
  <si>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</si>
  <si>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</si>
  <si>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</si>
  <si>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</si>
  <si>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</si>
  <si>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</si>
  <si>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</si>
  <si>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</si>
  <si>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</si>
  <si>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</si>
  <si>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</si>
  <si>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</si>
  <si>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</si>
  <si>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</si>
  <si>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</si>
  <si>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</si>
  <si>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</si>
  <si>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</si>
  <si>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</si>
  <si>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</si>
  <si>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</si>
  <si>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</si>
  <si>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</si>
  <si>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</si>
  <si>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</si>
  <si>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</si>
  <si>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</si>
  <si>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</si>
  <si>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</si>
  <si>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</si>
  <si>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</si>
  <si>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B-24 (isi 12 pc)</t>
  </si>
  <si>
    <t>ASAHAN JOYKO B-72 (isi 24 pc)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</si>
  <si>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</si>
  <si>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</si>
  <si>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</si>
  <si>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</si>
  <si>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</si>
  <si>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</si>
  <si>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</si>
  <si>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</si>
  <si>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</si>
  <si>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</si>
  <si>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</si>
  <si>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</si>
  <si>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</si>
  <si>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</si>
  <si>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</si>
  <si>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</si>
  <si>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</si>
  <si>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</si>
  <si>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</si>
  <si>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</si>
  <si>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</si>
  <si>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</si>
  <si>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</si>
  <si>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</si>
  <si>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</si>
  <si>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</si>
  <si>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</si>
  <si>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</si>
  <si>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</si>
  <si>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</si>
  <si>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</si>
  <si>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</si>
  <si>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</si>
  <si>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</si>
  <si>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</si>
  <si>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</si>
  <si>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</si>
  <si>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</si>
  <si>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</si>
  <si>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</si>
  <si>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</si>
  <si>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</si>
  <si>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</si>
  <si>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</si>
  <si>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</si>
  <si>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</si>
  <si>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</si>
  <si>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</si>
  <si>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</si>
  <si>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</si>
  <si>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</si>
  <si>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</si>
  <si>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</si>
  <si>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</si>
  <si>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</si>
  <si>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</si>
  <si>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</si>
  <si>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</si>
  <si>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</si>
  <si>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</si>
  <si>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</si>
  <si>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</si>
  <si>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</si>
  <si>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</si>
  <si>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</si>
  <si>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</si>
  <si>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</si>
  <si>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</si>
  <si>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</si>
  <si>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</si>
  <si>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</si>
  <si>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</si>
  <si>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</si>
  <si>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</si>
  <si>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</si>
  <si>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</si>
  <si>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</si>
  <si>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</si>
  <si>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</si>
  <si>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</si>
  <si>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</si>
  <si>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</si>
  <si>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</si>
  <si>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</si>
  <si>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</si>
  <si>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</si>
  <si>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</si>
  <si>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</si>
  <si>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</si>
  <si>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</si>
  <si>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</si>
  <si>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</si>
  <si>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</si>
  <si>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</si>
  <si>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</si>
  <si>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</si>
  <si>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</si>
  <si>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</si>
  <si>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</si>
  <si>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</si>
  <si>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</si>
  <si>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</si>
  <si>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</si>
  <si>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</si>
  <si>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</si>
  <si>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</si>
  <si>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</si>
  <si>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</si>
  <si>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CT-634 DT (8M x 5MM)</t>
  </si>
  <si>
    <t>CORRECTION TAPE KENKO CT-634N (8M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</si>
  <si>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</si>
  <si>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</si>
  <si>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</si>
  <si>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</si>
  <si>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 (12M x 5MM)</t>
  </si>
  <si>
    <t>CORRECTION TAPE KENKO CT-902P (12M x 5MM) TRANSPARAN</t>
  </si>
  <si>
    <t>CORRECTION TAPE KENKO CT-902 DT (12M x 5MM)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</si>
  <si>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</si>
  <si>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</si>
  <si>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</si>
  <si>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</si>
  <si>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</si>
  <si>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</si>
  <si>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</si>
  <si>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</si>
  <si>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</si>
  <si>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</si>
  <si>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</si>
  <si>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</si>
  <si>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</si>
  <si>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</si>
  <si>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</si>
  <si>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</si>
  <si>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</si>
  <si>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</si>
  <si>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</si>
  <si>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</si>
  <si>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</si>
  <si>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</si>
  <si>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</si>
  <si>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</si>
  <si>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</si>
  <si>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</si>
  <si>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</si>
  <si>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</si>
  <si>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</si>
  <si>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</si>
  <si>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</si>
  <si>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</si>
  <si>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</si>
  <si>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</si>
  <si>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</si>
  <si>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</si>
  <si>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</si>
  <si>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</si>
  <si>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</si>
  <si>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</si>
  <si>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</si>
  <si>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</si>
  <si>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</si>
  <si>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</si>
  <si>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</si>
  <si>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</si>
  <si>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</si>
  <si>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</si>
  <si>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</si>
  <si>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</si>
  <si>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</si>
  <si>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</si>
  <si>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</si>
  <si>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</si>
  <si>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</si>
  <si>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</si>
  <si>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</si>
  <si>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</si>
  <si>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</si>
  <si>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</si>
  <si>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</si>
  <si>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</si>
  <si>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</si>
  <si>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</si>
  <si>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</si>
  <si>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</si>
  <si>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</si>
  <si>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</si>
  <si>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</si>
  <si>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</si>
  <si>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</si>
  <si>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</si>
  <si>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</si>
  <si>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</si>
  <si>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</si>
  <si>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</si>
  <si>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</si>
  <si>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</si>
  <si>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</si>
  <si>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</si>
  <si>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</si>
  <si>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</si>
  <si>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</si>
  <si>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</si>
  <si>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</si>
  <si>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</si>
  <si>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</si>
  <si>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</si>
  <si>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</si>
  <si>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</si>
  <si>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</si>
  <si>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</si>
  <si>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</si>
  <si>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</si>
  <si>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</si>
  <si>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</si>
  <si>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</si>
  <si>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</si>
  <si>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</si>
  <si>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</si>
  <si>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</si>
  <si>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</si>
  <si>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</si>
  <si>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</si>
  <si>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</si>
  <si>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</si>
  <si>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</si>
  <si>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</si>
  <si>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</si>
  <si>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</si>
  <si>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</si>
  <si>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</si>
  <si>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</si>
  <si>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</si>
  <si>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</si>
  <si>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</si>
  <si>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</si>
  <si>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</si>
  <si>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</si>
  <si>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</si>
  <si>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</si>
  <si>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</si>
  <si>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</si>
  <si>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</si>
  <si>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</si>
  <si>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</si>
  <si>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</si>
  <si>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</si>
  <si>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</si>
  <si>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</si>
  <si>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</si>
  <si>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</si>
  <si>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</si>
  <si>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</si>
  <si>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</si>
  <si>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</si>
  <si>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</si>
  <si>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</si>
  <si>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</si>
  <si>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</si>
  <si>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</si>
  <si>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</si>
  <si>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</si>
  <si>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</si>
  <si>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</si>
  <si>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</si>
  <si>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</si>
  <si>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</si>
  <si>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</si>
  <si>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</si>
  <si>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</si>
  <si>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</si>
  <si>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</si>
  <si>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</si>
  <si>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</si>
  <si>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</si>
  <si>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</si>
  <si>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</si>
  <si>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</si>
  <si>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</si>
  <si>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</si>
  <si>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</si>
  <si>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</si>
  <si>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</si>
  <si>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</si>
  <si>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</si>
  <si>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</si>
  <si>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</si>
  <si>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</si>
  <si>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</si>
  <si>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</si>
  <si>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</si>
  <si>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</si>
  <si>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</si>
  <si>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</si>
  <si>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</si>
  <si>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</si>
  <si>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</si>
  <si>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</si>
  <si>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</si>
  <si>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</si>
  <si>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</si>
  <si>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</si>
  <si>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</si>
  <si>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</si>
  <si>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</si>
  <si>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</si>
  <si>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</si>
  <si>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</si>
  <si>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</si>
  <si>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</si>
  <si>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</si>
  <si>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</si>
  <si>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</si>
  <si>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</si>
  <si>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</si>
  <si>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</si>
  <si>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</si>
  <si>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</si>
  <si>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</si>
  <si>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</si>
  <si>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</si>
  <si>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</si>
  <si>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</si>
  <si>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</si>
  <si>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</si>
  <si>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</si>
  <si>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</si>
  <si>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</si>
  <si>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</si>
  <si>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</si>
  <si>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</si>
  <si>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</si>
  <si>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</si>
  <si>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</si>
  <si>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</si>
  <si>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</si>
  <si>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</si>
  <si>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</si>
  <si>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</si>
  <si>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</si>
  <si>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</si>
  <si>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</si>
  <si>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</si>
  <si>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</si>
  <si>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</si>
  <si>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</si>
  <si>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</si>
  <si>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</si>
  <si>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</si>
  <si>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</si>
  <si>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</si>
  <si>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</si>
  <si>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</si>
  <si>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</si>
  <si>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</si>
  <si>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</si>
  <si>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</si>
  <si>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</si>
  <si>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</si>
  <si>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</si>
  <si>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</si>
  <si>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</si>
  <si>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</si>
  <si>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</si>
  <si>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</si>
  <si>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</si>
  <si>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</si>
  <si>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</si>
  <si>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</si>
  <si>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</si>
  <si>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</si>
  <si>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</si>
  <si>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</si>
  <si>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</si>
  <si>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</si>
  <si>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</si>
  <si>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</si>
  <si>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</si>
  <si>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TIZO TG-31763-DL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</si>
  <si>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</si>
  <si>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</si>
  <si>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</si>
  <si>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</si>
  <si>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</si>
  <si>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</si>
  <si>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</si>
  <si>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</si>
  <si>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</si>
  <si>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</si>
  <si>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</si>
  <si>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</si>
  <si>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</si>
  <si>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</si>
  <si>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</si>
  <si>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</si>
  <si>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</si>
  <si>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</si>
  <si>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</si>
  <si>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</si>
  <si>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</si>
  <si>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</si>
  <si>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</si>
  <si>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</si>
  <si>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</si>
  <si>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</si>
  <si>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</si>
  <si>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</si>
  <si>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</si>
  <si>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</si>
  <si>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</si>
  <si>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</si>
  <si>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</si>
  <si>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</si>
  <si>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</si>
  <si>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</si>
  <si>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</si>
  <si>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</si>
  <si>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</si>
  <si>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</si>
  <si>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</si>
  <si>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</si>
  <si>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</si>
  <si>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</si>
  <si>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</si>
  <si>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</si>
  <si>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</si>
  <si>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</si>
  <si>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</si>
  <si>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</si>
  <si>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</si>
  <si>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</si>
  <si>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</si>
  <si>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</si>
  <si>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</si>
  <si>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</si>
  <si>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</si>
  <si>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</si>
  <si>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</si>
  <si>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</si>
  <si>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</si>
  <si>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</si>
  <si>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</si>
  <si>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</si>
  <si>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</si>
  <si>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</si>
  <si>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</si>
  <si>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</si>
  <si>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</si>
  <si>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</si>
  <si>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</si>
  <si>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</si>
  <si>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</si>
  <si>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</si>
  <si>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</si>
  <si>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</si>
  <si>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</si>
  <si>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</si>
  <si>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</si>
  <si>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</si>
  <si>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</si>
  <si>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</si>
  <si>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</si>
  <si>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</si>
  <si>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</si>
  <si>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</si>
  <si>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</si>
  <si>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</si>
  <si>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</si>
  <si>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</si>
  <si>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</si>
  <si>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</si>
  <si>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</si>
  <si>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</si>
  <si>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</si>
  <si>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</si>
  <si>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</si>
  <si>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</si>
  <si>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</si>
  <si>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</si>
  <si>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</si>
  <si>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</si>
  <si>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</si>
  <si>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</si>
  <si>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</si>
  <si>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</si>
  <si>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</si>
  <si>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</si>
  <si>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</si>
  <si>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</si>
  <si>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</si>
  <si>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</si>
  <si>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</si>
  <si>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</si>
  <si>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</si>
  <si>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</si>
  <si>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</si>
  <si>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</si>
  <si>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</si>
  <si>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</si>
  <si>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</si>
  <si>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</si>
  <si>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</si>
  <si>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</si>
  <si>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</si>
  <si>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</si>
  <si>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</si>
  <si>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</si>
  <si>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</si>
  <si>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</si>
  <si>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</si>
  <si>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</si>
  <si>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</si>
  <si>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</si>
  <si>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</si>
  <si>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</si>
  <si>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</si>
  <si>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</si>
  <si>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</si>
  <si>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</si>
  <si>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</si>
  <si>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</si>
  <si>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</si>
  <si>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</si>
  <si>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</si>
  <si>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</si>
  <si>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</si>
  <si>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</si>
  <si>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</si>
  <si>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</si>
  <si>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</si>
  <si>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</si>
  <si>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</si>
  <si>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</si>
  <si>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</si>
  <si>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</si>
  <si>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</si>
  <si>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</si>
  <si>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</si>
  <si>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</si>
  <si>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</si>
  <si>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</si>
  <si>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</si>
  <si>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</si>
  <si>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</si>
  <si>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</si>
  <si>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</si>
  <si>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</si>
  <si>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</si>
  <si>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</si>
  <si>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</si>
  <si>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</si>
  <si>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</si>
  <si>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</si>
  <si>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</si>
  <si>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</si>
  <si>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</si>
  <si>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</si>
  <si>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</si>
  <si>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</si>
  <si>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</si>
  <si>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</si>
  <si>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</si>
  <si>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</si>
  <si>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</si>
  <si>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</si>
  <si>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</si>
  <si>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</si>
  <si>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</si>
  <si>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</si>
  <si>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</si>
  <si>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</si>
  <si>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</si>
  <si>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</si>
  <si>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</si>
  <si>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</si>
  <si>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</si>
  <si>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</si>
  <si>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</si>
  <si>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</si>
  <si>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</si>
  <si>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</si>
  <si>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</si>
  <si>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</si>
  <si>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</si>
  <si>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</si>
  <si>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</si>
  <si>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</si>
  <si>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</si>
  <si>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</si>
  <si>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</si>
  <si>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</si>
  <si>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</si>
  <si>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</si>
  <si>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</si>
  <si>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</si>
  <si>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</si>
  <si>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</si>
  <si>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</si>
  <si>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</si>
  <si>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</si>
  <si>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</si>
  <si>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</si>
  <si>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</si>
  <si>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</si>
  <si>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</si>
  <si>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</si>
  <si>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</si>
  <si>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</si>
  <si>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</si>
  <si>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</si>
  <si>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</si>
  <si>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JOYKO TD-113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</si>
  <si>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</si>
  <si>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</si>
  <si>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</si>
  <si>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</si>
  <si>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</si>
  <si>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</si>
  <si>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</si>
  <si>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</si>
  <si>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</si>
  <si>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</si>
  <si>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</si>
  <si>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</si>
  <si>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</si>
  <si>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</si>
  <si>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</si>
  <si>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</si>
  <si>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</si>
  <si>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</si>
  <si>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</si>
  <si>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</si>
  <si>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</si>
  <si>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</si>
  <si>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</si>
  <si>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</si>
  <si>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</si>
  <si>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</si>
  <si>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</si>
  <si>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</si>
  <si>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</si>
  <si>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</si>
  <si>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</si>
  <si>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</si>
  <si>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</si>
  <si>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</si>
  <si>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</si>
  <si>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</si>
  <si>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</si>
  <si>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</si>
  <si>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</si>
  <si>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</si>
  <si>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</si>
  <si>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</si>
  <si>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</si>
  <si>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</si>
  <si>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</si>
  <si>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</si>
  <si>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</si>
  <si>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</si>
  <si>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</si>
  <si>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</si>
  <si>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</si>
  <si>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</si>
  <si>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</si>
  <si>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</si>
  <si>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</si>
  <si>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</si>
  <si>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</si>
  <si>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</si>
  <si>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</si>
  <si>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</si>
  <si>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</si>
  <si>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</si>
  <si>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</si>
  <si>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</si>
  <si>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</si>
  <si>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</si>
  <si>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</si>
  <si>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</si>
  <si>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</si>
  <si>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</si>
  <si>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</si>
  <si>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</si>
  <si>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</si>
  <si>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</si>
  <si>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</si>
  <si>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</si>
  <si>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</si>
  <si>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</si>
  <si>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</si>
  <si>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GEL PEN TIZO TG-30541</t>
  </si>
  <si>
    <t>GEL PEN TIZO TG-30542</t>
  </si>
  <si>
    <t>GEL PEN TIZO TG-30600</t>
  </si>
  <si>
    <t>GEL PEN TIZO TG-30601</t>
  </si>
  <si>
    <t>GEL PEN TIZO TG-30605</t>
  </si>
  <si>
    <t>GEL PEN TIZO TG-30606</t>
  </si>
  <si>
    <t>GEL PEN TIZO TG-30734</t>
  </si>
  <si>
    <t>GEL PEN TIZO TG-30735</t>
  </si>
  <si>
    <t>GEL PEN TIZO TG-30801</t>
  </si>
  <si>
    <t>GEL PEN TIZO TG-30802</t>
  </si>
  <si>
    <t>GEL PEN TIZO TG-30900</t>
  </si>
  <si>
    <t>GEL PEN TIZO TG-30901</t>
  </si>
  <si>
    <t>GEL PEN TIZO TG-31035</t>
  </si>
  <si>
    <t>GEL PEN TIZO TG-31037</t>
  </si>
  <si>
    <t>GEL PEN TIZO TG-31475</t>
  </si>
  <si>
    <t>GEL PEN TIZO TG-31590</t>
  </si>
  <si>
    <t>GEL PEN TIZO TG-31762</t>
  </si>
  <si>
    <t>GEL PEN TIZO TG-31780</t>
  </si>
  <si>
    <t>GEL PEN TIZO TG-31810</t>
  </si>
  <si>
    <t>GEL PEN TIZO TG-31831</t>
  </si>
  <si>
    <t>GEL PEN TIZO TG-31975</t>
  </si>
  <si>
    <t>GEL PEN TIZO TG-348</t>
  </si>
  <si>
    <t>GEL PEN TIZO TG-3481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</si>
  <si>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</si>
  <si>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</si>
  <si>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</si>
  <si>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</si>
  <si>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</si>
  <si>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</si>
  <si>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</si>
  <si>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</si>
  <si>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</si>
  <si>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</si>
  <si>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</si>
  <si>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</si>
  <si>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</si>
  <si>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</si>
  <si>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</si>
  <si>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</si>
  <si>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</si>
  <si>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</si>
  <si>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</si>
  <si>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</si>
  <si>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</si>
  <si>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</si>
  <si>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</si>
  <si>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</si>
  <si>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</si>
  <si>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</si>
  <si>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</si>
  <si>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</si>
  <si>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</si>
  <si>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</si>
  <si>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</si>
  <si>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</si>
  <si>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</si>
  <si>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</si>
  <si>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</si>
  <si>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</si>
  <si>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</si>
  <si>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</si>
  <si>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</si>
  <si>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</si>
  <si>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</si>
  <si>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</si>
  <si>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</si>
  <si>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</si>
  <si>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</si>
  <si>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</si>
  <si>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</si>
  <si>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</si>
  <si>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</si>
  <si>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</si>
  <si>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</si>
  <si>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</si>
  <si>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</si>
  <si>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</si>
  <si>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</si>
  <si>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</si>
  <si>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</si>
  <si>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</si>
  <si>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</si>
  <si>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</si>
  <si>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</si>
  <si>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GEL PEN SET JOYKO GPC-296 (isi 8 pc) (bonus)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</si>
  <si>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</si>
  <si>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</si>
  <si>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</si>
  <si>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</si>
  <si>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</si>
  <si>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</si>
  <si>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</si>
  <si>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</si>
  <si>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</si>
  <si>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</si>
  <si>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</si>
  <si>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</si>
  <si>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</si>
  <si>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</si>
  <si>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</si>
  <si>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</si>
  <si>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</si>
  <si>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</si>
  <si>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</si>
  <si>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</si>
  <si>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</si>
  <si>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</si>
  <si>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</si>
  <si>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</si>
  <si>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</si>
  <si>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</si>
  <si>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</si>
  <si>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</si>
  <si>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</si>
  <si>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GEL PEN JOYKO GP-265 Q-GEL (bonus)</t>
  </si>
  <si>
    <t>SPIDOL PERMANENT JOYKO PM-34 (bonus)</t>
  </si>
  <si>
    <t>SPIDOL WHITEBOARD SDI S530VP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</si>
  <si>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</si>
  <si>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</si>
  <si>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</si>
  <si>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</si>
  <si>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TIMBANGAN / DIGITAL SCALE JOYKO DSL-A3 (Kitchen Scale) (bonus)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</si>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</sst>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0" fontId="3" fillId="4" borderId="0" xfId="0" applyFont="1" applyFill="1" applyBorder="1"/>
    <xf numFmtId="0" fontId="3" fillId="4" borderId="0" xfId="0" applyFont="1" applyFill="1"/>
    <xf numFmtId="3" fontId="3" fillId="4" borderId="0" xfId="0" applyNumberFormat="1" applyFont="1" applyFill="1"/>
    <xf numFmtId="0" fontId="3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/>
    <xf numFmtId="0" fontId="3" fillId="4" borderId="0" xfId="0" applyFont="1" applyFill="1" applyAlignment="1"/>
    <xf numFmtId="4" fontId="3" fillId="4" borderId="0" xfId="0" applyNumberFormat="1" applyFont="1" applyFill="1"/>
    <xf numFmtId="10" fontId="3" fillId="4" borderId="0" xfId="0" applyNumberFormat="1" applyFont="1" applyFill="1" applyAlignment="1">
      <alignment horizontal="center"/>
    </xf>
    <xf numFmtId="166" fontId="3" fillId="0" borderId="0" xfId="0" applyNumberFormat="1" applyFont="1" applyFill="1" applyAlignment="1"/>
    <xf numFmtId="0" fontId="3" fillId="0" borderId="0" xfId="2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3" fontId="0" fillId="0" borderId="0" xfId="0" quotePrefix="1" applyNumberFormat="1" applyFont="1" applyFill="1"/>
    <xf numFmtId="0" fontId="3" fillId="0" borderId="9" xfId="2" applyFont="1" applyFill="1" applyBorder="1"/>
    <xf numFmtId="0" fontId="3" fillId="3" borderId="0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1" fontId="3" fillId="3" borderId="0" xfId="0" applyNumberFormat="1" applyFont="1" applyFill="1" applyAlignment="1"/>
    <xf numFmtId="0" fontId="3" fillId="3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66" fontId="3" fillId="4" borderId="0" xfId="0" applyNumberFormat="1" applyFont="1" applyFill="1" applyAlignment="1"/>
    <xf numFmtId="1" fontId="3" fillId="4" borderId="0" xfId="0" applyNumberFormat="1" applyFont="1" applyFill="1" applyAlignment="1"/>
    <xf numFmtId="165" fontId="3" fillId="3" borderId="0" xfId="0" applyNumberFormat="1" applyFont="1" applyFill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0" fontId="3" fillId="5" borderId="0" xfId="0" applyFont="1" applyFill="1" applyBorder="1"/>
    <xf numFmtId="0" fontId="3" fillId="5" borderId="0" xfId="2" applyFont="1" applyFill="1" applyBorder="1"/>
    <xf numFmtId="10" fontId="3" fillId="5" borderId="0" xfId="0" applyNumberFormat="1" applyFont="1" applyFill="1" applyAlignment="1">
      <alignment horizontal="center"/>
    </xf>
    <xf numFmtId="4" fontId="3" fillId="5" borderId="0" xfId="0" applyNumberFormat="1" applyFont="1" applyFill="1"/>
    <xf numFmtId="0" fontId="3" fillId="5" borderId="0" xfId="0" applyFont="1" applyFill="1" applyBorder="1" applyAlignment="1">
      <alignment vertical="center"/>
    </xf>
    <xf numFmtId="4" fontId="3" fillId="5" borderId="0" xfId="0" applyNumberFormat="1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5"/>
  <sheetViews>
    <sheetView tabSelected="1" workbookViewId="0">
      <pane ySplit="3" topLeftCell="A597" activePane="bottomLeft" state="frozen"/>
      <selection pane="bottomLeft" activeCell="S624" sqref="S624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6.8554687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838</v>
      </c>
    </row>
    <row r="2" spans="1:19" s="10" customFormat="1">
      <c r="A2" s="107" t="s">
        <v>0</v>
      </c>
      <c r="B2" s="106" t="s">
        <v>1</v>
      </c>
      <c r="C2" s="101" t="s">
        <v>2</v>
      </c>
      <c r="D2" s="101"/>
      <c r="E2" s="108" t="s">
        <v>657</v>
      </c>
      <c r="F2" s="103" t="s">
        <v>3</v>
      </c>
      <c r="G2" s="103"/>
      <c r="H2" s="103"/>
      <c r="I2" s="103"/>
      <c r="J2" s="104" t="s">
        <v>4</v>
      </c>
      <c r="K2" s="105"/>
      <c r="L2" s="105"/>
      <c r="M2" s="106"/>
      <c r="N2" s="97" t="s">
        <v>5</v>
      </c>
      <c r="O2" s="98"/>
      <c r="P2" s="101" t="s">
        <v>6</v>
      </c>
      <c r="Q2" s="101"/>
      <c r="R2" s="102" t="s">
        <v>7</v>
      </c>
      <c r="S2" s="102" t="s">
        <v>8</v>
      </c>
    </row>
    <row r="3" spans="1:19" s="10" customFormat="1">
      <c r="A3" s="107"/>
      <c r="B3" s="106"/>
      <c r="C3" s="101"/>
      <c r="D3" s="101"/>
      <c r="E3" s="108"/>
      <c r="F3" s="103" t="s">
        <v>9</v>
      </c>
      <c r="G3" s="103"/>
      <c r="H3" s="103" t="s">
        <v>10</v>
      </c>
      <c r="I3" s="103"/>
      <c r="J3" s="11" t="s">
        <v>11</v>
      </c>
      <c r="K3" s="12" t="s">
        <v>12</v>
      </c>
      <c r="L3" s="13" t="s">
        <v>13</v>
      </c>
      <c r="M3" s="13" t="s">
        <v>14</v>
      </c>
      <c r="N3" s="99"/>
      <c r="O3" s="100"/>
      <c r="P3" s="101"/>
      <c r="Q3" s="101"/>
      <c r="R3" s="102"/>
      <c r="S3" s="102"/>
    </row>
    <row r="4" spans="1:19" ht="15.75">
      <c r="A4" s="14" t="s">
        <v>15</v>
      </c>
    </row>
    <row r="5" spans="1:19">
      <c r="A5" s="15" t="s">
        <v>16</v>
      </c>
    </row>
    <row r="6" spans="1:19">
      <c r="A6" s="17" t="s">
        <v>17</v>
      </c>
      <c r="B6" s="2" t="s">
        <v>18</v>
      </c>
      <c r="D6" s="4" t="s">
        <v>19</v>
      </c>
      <c r="F6" s="6">
        <v>1</v>
      </c>
      <c r="G6" s="7" t="s">
        <v>20</v>
      </c>
      <c r="H6" s="6">
        <v>60</v>
      </c>
      <c r="I6" s="7" t="s">
        <v>19</v>
      </c>
      <c r="J6" s="8">
        <v>45500</v>
      </c>
      <c r="K6" s="4" t="s">
        <v>19</v>
      </c>
      <c r="L6" s="9">
        <v>0.125</v>
      </c>
      <c r="M6" s="9">
        <v>0.05</v>
      </c>
      <c r="O6" s="7" t="s">
        <v>19</v>
      </c>
      <c r="P6" s="3">
        <f>(C6+(E6*F6*H6))-N6</f>
        <v>0</v>
      </c>
      <c r="Q6" s="7" t="s">
        <v>19</v>
      </c>
      <c r="R6" s="8">
        <f>P6*(J6-(J6*L6)-((J6-(J6*L6))*M6))</f>
        <v>0</v>
      </c>
      <c r="S6" s="8">
        <f>R6/1.11</f>
        <v>0</v>
      </c>
    </row>
    <row r="7" spans="1:19">
      <c r="A7" s="17" t="s">
        <v>764</v>
      </c>
      <c r="B7" s="2" t="s">
        <v>18</v>
      </c>
      <c r="D7" s="4" t="s">
        <v>19</v>
      </c>
      <c r="F7" s="6">
        <v>1</v>
      </c>
      <c r="G7" s="7" t="s">
        <v>20</v>
      </c>
      <c r="H7" s="6">
        <v>48</v>
      </c>
      <c r="I7" s="7" t="s">
        <v>19</v>
      </c>
      <c r="J7" s="8">
        <v>26000</v>
      </c>
      <c r="K7" s="4" t="s">
        <v>19</v>
      </c>
      <c r="L7" s="9">
        <v>0.125</v>
      </c>
      <c r="M7" s="9">
        <v>0.05</v>
      </c>
      <c r="O7" s="7" t="s">
        <v>19</v>
      </c>
      <c r="P7" s="3">
        <f>(C7+(E7*F7*H7))-N7</f>
        <v>0</v>
      </c>
      <c r="Q7" s="7" t="s">
        <v>19</v>
      </c>
      <c r="R7" s="8">
        <f>P7*(J7-(J7*L7)-((J7-(J7*L7))*M7))</f>
        <v>0</v>
      </c>
      <c r="S7" s="8">
        <f t="shared" ref="S7:S97" si="0">R7/1.11</f>
        <v>0</v>
      </c>
    </row>
    <row r="8" spans="1:19">
      <c r="A8" s="17" t="s">
        <v>21</v>
      </c>
      <c r="B8" s="2" t="s">
        <v>18</v>
      </c>
      <c r="D8" s="4" t="s">
        <v>19</v>
      </c>
      <c r="F8" s="6">
        <v>1</v>
      </c>
      <c r="G8" s="7" t="s">
        <v>20</v>
      </c>
      <c r="H8" s="6">
        <v>48</v>
      </c>
      <c r="I8" s="7" t="s">
        <v>19</v>
      </c>
      <c r="J8" s="8">
        <v>28000</v>
      </c>
      <c r="K8" s="4" t="s">
        <v>19</v>
      </c>
      <c r="L8" s="9">
        <v>0.125</v>
      </c>
      <c r="M8" s="9">
        <v>0.05</v>
      </c>
      <c r="O8" s="7" t="s">
        <v>19</v>
      </c>
      <c r="P8" s="3">
        <f>(C8+(E8*F8*H8))-N8</f>
        <v>0</v>
      </c>
      <c r="Q8" s="7" t="s">
        <v>19</v>
      </c>
      <c r="R8" s="8">
        <f>P8*(J8-(J8*L8)-((J8-(J8*L8))*M8))</f>
        <v>0</v>
      </c>
      <c r="S8" s="8">
        <f t="shared" si="0"/>
        <v>0</v>
      </c>
    </row>
    <row r="9" spans="1:19">
      <c r="A9" s="17" t="s">
        <v>22</v>
      </c>
      <c r="B9" s="2" t="s">
        <v>18</v>
      </c>
      <c r="D9" s="4" t="s">
        <v>19</v>
      </c>
      <c r="F9" s="6">
        <v>1</v>
      </c>
      <c r="G9" s="7" t="s">
        <v>20</v>
      </c>
      <c r="H9" s="6">
        <v>48</v>
      </c>
      <c r="I9" s="7" t="s">
        <v>19</v>
      </c>
      <c r="J9" s="8">
        <v>31700</v>
      </c>
      <c r="K9" s="4" t="s">
        <v>19</v>
      </c>
      <c r="L9" s="9">
        <v>0.125</v>
      </c>
      <c r="M9" s="9">
        <v>0.05</v>
      </c>
      <c r="O9" s="7" t="s">
        <v>19</v>
      </c>
      <c r="P9" s="3">
        <f>(C9+(E9*F9*H9))-N9</f>
        <v>0</v>
      </c>
      <c r="Q9" s="7" t="s">
        <v>19</v>
      </c>
      <c r="R9" s="8">
        <f>P9*(J9-(J9*L9)-((J9-(J9*L9))*M9))</f>
        <v>0</v>
      </c>
      <c r="S9" s="8">
        <f t="shared" si="0"/>
        <v>0</v>
      </c>
    </row>
    <row r="10" spans="1:19">
      <c r="A10" s="17" t="s">
        <v>23</v>
      </c>
      <c r="B10" s="2" t="s">
        <v>18</v>
      </c>
      <c r="D10" s="4" t="s">
        <v>19</v>
      </c>
      <c r="F10" s="6">
        <v>1</v>
      </c>
      <c r="G10" s="7" t="s">
        <v>20</v>
      </c>
      <c r="H10" s="6">
        <v>48</v>
      </c>
      <c r="I10" s="7" t="s">
        <v>19</v>
      </c>
      <c r="J10" s="8">
        <v>25000</v>
      </c>
      <c r="K10" s="4" t="s">
        <v>19</v>
      </c>
      <c r="L10" s="9">
        <v>0.125</v>
      </c>
      <c r="M10" s="9">
        <v>0.05</v>
      </c>
      <c r="O10" s="7" t="s">
        <v>19</v>
      </c>
      <c r="P10" s="3">
        <f>(C10+(E10*F10*H10))-N10</f>
        <v>0</v>
      </c>
      <c r="Q10" s="7" t="s">
        <v>19</v>
      </c>
      <c r="R10" s="8">
        <f>P10*(J10-(J10*L10)-((J10-(J10*L10))*M10))</f>
        <v>0</v>
      </c>
      <c r="S10" s="8">
        <f t="shared" si="0"/>
        <v>0</v>
      </c>
    </row>
    <row r="12" spans="1:19">
      <c r="A12" s="17" t="s">
        <v>24</v>
      </c>
      <c r="B12" s="2" t="s">
        <v>25</v>
      </c>
      <c r="D12" s="4" t="s">
        <v>19</v>
      </c>
      <c r="F12" s="6">
        <v>1</v>
      </c>
      <c r="G12" s="7" t="s">
        <v>20</v>
      </c>
      <c r="H12" s="6">
        <v>60</v>
      </c>
      <c r="I12" s="7" t="s">
        <v>19</v>
      </c>
      <c r="J12" s="8">
        <v>23800</v>
      </c>
      <c r="K12" s="4" t="s">
        <v>19</v>
      </c>
      <c r="M12" s="9">
        <v>0.17</v>
      </c>
      <c r="O12" s="7" t="s">
        <v>19</v>
      </c>
      <c r="P12" s="3">
        <f t="shared" ref="P12:P18" si="1">(C12+(E12*F12*H12))-N12</f>
        <v>0</v>
      </c>
      <c r="Q12" s="7" t="s">
        <v>19</v>
      </c>
      <c r="R12" s="8">
        <f t="shared" ref="R12:R18" si="2">P12*(J12-(J12*L12)-((J12-(J12*L12))*M12))</f>
        <v>0</v>
      </c>
      <c r="S12" s="8">
        <f t="shared" si="0"/>
        <v>0</v>
      </c>
    </row>
    <row r="13" spans="1:19">
      <c r="A13" s="17" t="s">
        <v>26</v>
      </c>
      <c r="B13" s="2" t="s">
        <v>25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0</v>
      </c>
      <c r="Q13" s="7" t="s">
        <v>19</v>
      </c>
      <c r="R13" s="8">
        <f t="shared" si="2"/>
        <v>0</v>
      </c>
      <c r="S13" s="8">
        <f t="shared" si="0"/>
        <v>0</v>
      </c>
    </row>
    <row r="14" spans="1:19">
      <c r="A14" s="17" t="s">
        <v>27</v>
      </c>
      <c r="B14" s="2" t="s">
        <v>25</v>
      </c>
      <c r="C14" s="20"/>
      <c r="D14" s="4" t="s">
        <v>19</v>
      </c>
      <c r="F14" s="6">
        <v>1</v>
      </c>
      <c r="G14" s="7" t="s">
        <v>20</v>
      </c>
      <c r="H14" s="6">
        <v>60</v>
      </c>
      <c r="I14" s="7" t="s">
        <v>19</v>
      </c>
      <c r="J14" s="8">
        <v>27500</v>
      </c>
      <c r="K14" s="4" t="s">
        <v>19</v>
      </c>
      <c r="M14" s="9">
        <v>0.17</v>
      </c>
      <c r="O14" s="7" t="s">
        <v>19</v>
      </c>
      <c r="P14" s="3">
        <f t="shared" si="1"/>
        <v>0</v>
      </c>
      <c r="Q14" s="7" t="s">
        <v>19</v>
      </c>
      <c r="R14" s="8">
        <f t="shared" si="2"/>
        <v>0</v>
      </c>
      <c r="S14" s="8">
        <f t="shared" si="0"/>
        <v>0</v>
      </c>
    </row>
    <row r="15" spans="1:19">
      <c r="A15" s="17" t="s">
        <v>715</v>
      </c>
      <c r="B15" s="2" t="s">
        <v>25</v>
      </c>
      <c r="C15" s="20"/>
      <c r="D15" s="4" t="s">
        <v>19</v>
      </c>
      <c r="F15" s="6">
        <v>1</v>
      </c>
      <c r="G15" s="7" t="s">
        <v>20</v>
      </c>
      <c r="H15" s="6">
        <v>36</v>
      </c>
      <c r="I15" s="7" t="s">
        <v>19</v>
      </c>
      <c r="J15" s="8">
        <f>2520000/36</f>
        <v>70000</v>
      </c>
      <c r="K15" s="4" t="s">
        <v>19</v>
      </c>
      <c r="M15" s="9">
        <v>0.17</v>
      </c>
      <c r="O15" s="7" t="s">
        <v>19</v>
      </c>
      <c r="P15" s="3">
        <f t="shared" si="1"/>
        <v>0</v>
      </c>
      <c r="Q15" s="7" t="s">
        <v>19</v>
      </c>
      <c r="R15" s="8">
        <f t="shared" si="2"/>
        <v>0</v>
      </c>
      <c r="S15" s="8">
        <f t="shared" si="0"/>
        <v>0</v>
      </c>
    </row>
    <row r="16" spans="1:19">
      <c r="A16" s="17" t="s">
        <v>28</v>
      </c>
      <c r="B16" s="2" t="s">
        <v>25</v>
      </c>
      <c r="C16" s="20"/>
      <c r="D16" s="4" t="s">
        <v>19</v>
      </c>
      <c r="F16" s="6">
        <v>1</v>
      </c>
      <c r="G16" s="7" t="s">
        <v>20</v>
      </c>
      <c r="H16" s="6">
        <v>36</v>
      </c>
      <c r="I16" s="7" t="s">
        <v>19</v>
      </c>
      <c r="J16" s="8">
        <v>50500</v>
      </c>
      <c r="K16" s="4" t="s">
        <v>19</v>
      </c>
      <c r="M16" s="9">
        <v>0.17</v>
      </c>
      <c r="O16" s="7" t="s">
        <v>19</v>
      </c>
      <c r="P16" s="3">
        <f t="shared" si="1"/>
        <v>0</v>
      </c>
      <c r="Q16" s="7" t="s">
        <v>19</v>
      </c>
      <c r="R16" s="8">
        <f t="shared" si="2"/>
        <v>0</v>
      </c>
      <c r="S16" s="8">
        <f t="shared" si="0"/>
        <v>0</v>
      </c>
    </row>
    <row r="17" spans="1:19" s="19" customFormat="1">
      <c r="A17" s="18" t="s">
        <v>29</v>
      </c>
      <c r="B17" s="19" t="s">
        <v>25</v>
      </c>
      <c r="C17" s="20"/>
      <c r="D17" s="21" t="s">
        <v>19</v>
      </c>
      <c r="E17" s="26"/>
      <c r="F17" s="22">
        <v>1</v>
      </c>
      <c r="G17" s="23" t="s">
        <v>20</v>
      </c>
      <c r="H17" s="22">
        <v>72</v>
      </c>
      <c r="I17" s="23" t="s">
        <v>19</v>
      </c>
      <c r="J17" s="24">
        <v>37000</v>
      </c>
      <c r="K17" s="21" t="s">
        <v>19</v>
      </c>
      <c r="L17" s="25"/>
      <c r="M17" s="25">
        <v>0.17</v>
      </c>
      <c r="N17" s="22"/>
      <c r="O17" s="23" t="s">
        <v>19</v>
      </c>
      <c r="P17" s="20">
        <f t="shared" si="1"/>
        <v>0</v>
      </c>
      <c r="Q17" s="23" t="s">
        <v>19</v>
      </c>
      <c r="R17" s="24">
        <f t="shared" si="2"/>
        <v>0</v>
      </c>
      <c r="S17" s="24">
        <f t="shared" si="0"/>
        <v>0</v>
      </c>
    </row>
    <row r="18" spans="1:19">
      <c r="A18" s="17" t="s">
        <v>30</v>
      </c>
      <c r="B18" s="2" t="s">
        <v>25</v>
      </c>
      <c r="C18" s="20"/>
      <c r="D18" s="4" t="s">
        <v>19</v>
      </c>
      <c r="F18" s="6">
        <v>1</v>
      </c>
      <c r="G18" s="7" t="s">
        <v>20</v>
      </c>
      <c r="H18" s="6">
        <v>72</v>
      </c>
      <c r="I18" s="7" t="s">
        <v>19</v>
      </c>
      <c r="J18" s="8">
        <v>30000</v>
      </c>
      <c r="K18" s="4" t="s">
        <v>19</v>
      </c>
      <c r="M18" s="9">
        <v>0.17</v>
      </c>
      <c r="O18" s="7" t="s">
        <v>19</v>
      </c>
      <c r="P18" s="3">
        <f t="shared" si="1"/>
        <v>0</v>
      </c>
      <c r="Q18" s="7" t="s">
        <v>19</v>
      </c>
      <c r="R18" s="8">
        <f t="shared" si="2"/>
        <v>0</v>
      </c>
      <c r="S18" s="8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D21" s="4" t="s">
        <v>33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6" si="3">(C21+(E21*F21*H21))-N21</f>
        <v>0</v>
      </c>
      <c r="Q21" s="7" t="s">
        <v>33</v>
      </c>
      <c r="R21" s="8">
        <f t="shared" ref="R21:R26" si="4">P21*(J21-(J21*L21)-((J21-(J21*L21))*M21))</f>
        <v>0</v>
      </c>
      <c r="S21" s="8">
        <f t="shared" si="0"/>
        <v>0</v>
      </c>
    </row>
    <row r="22" spans="1:19">
      <c r="A22" s="17" t="s">
        <v>34</v>
      </c>
      <c r="B22" s="2" t="s">
        <v>18</v>
      </c>
      <c r="D22" s="4" t="s">
        <v>33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0</v>
      </c>
      <c r="Q22" s="7" t="s">
        <v>33</v>
      </c>
      <c r="R22" s="8">
        <f t="shared" si="4"/>
        <v>0</v>
      </c>
      <c r="S22" s="8">
        <f t="shared" si="0"/>
        <v>0</v>
      </c>
    </row>
    <row r="23" spans="1:19">
      <c r="A23" s="17" t="s">
        <v>35</v>
      </c>
      <c r="B23" s="2" t="s">
        <v>18</v>
      </c>
      <c r="D23" s="4" t="s">
        <v>33</v>
      </c>
      <c r="F23" s="6">
        <v>1</v>
      </c>
      <c r="G23" s="7" t="s">
        <v>20</v>
      </c>
      <c r="H23" s="6">
        <v>60</v>
      </c>
      <c r="I23" s="7" t="s">
        <v>33</v>
      </c>
      <c r="J23" s="8">
        <v>31200</v>
      </c>
      <c r="K23" s="4" t="s">
        <v>33</v>
      </c>
      <c r="L23" s="9">
        <v>0.125</v>
      </c>
      <c r="M23" s="9">
        <v>0.05</v>
      </c>
      <c r="O23" s="7" t="s">
        <v>33</v>
      </c>
      <c r="P23" s="3">
        <f t="shared" si="3"/>
        <v>0</v>
      </c>
      <c r="Q23" s="7" t="s">
        <v>33</v>
      </c>
      <c r="R23" s="8">
        <f t="shared" si="4"/>
        <v>0</v>
      </c>
      <c r="S23" s="8">
        <f t="shared" si="0"/>
        <v>0</v>
      </c>
    </row>
    <row r="24" spans="1:19">
      <c r="A24" s="17" t="s">
        <v>703</v>
      </c>
      <c r="B24" s="2" t="s">
        <v>18</v>
      </c>
      <c r="D24" s="4" t="s">
        <v>33</v>
      </c>
      <c r="F24" s="6">
        <v>1</v>
      </c>
      <c r="G24" s="7" t="s">
        <v>20</v>
      </c>
      <c r="H24" s="6">
        <v>50</v>
      </c>
      <c r="I24" s="7" t="s">
        <v>33</v>
      </c>
      <c r="J24" s="8">
        <v>66000</v>
      </c>
      <c r="K24" s="4" t="s">
        <v>33</v>
      </c>
      <c r="L24" s="9">
        <v>0.125</v>
      </c>
      <c r="M24" s="9">
        <v>0.05</v>
      </c>
      <c r="O24" s="7" t="s">
        <v>33</v>
      </c>
      <c r="P24" s="3">
        <f t="shared" si="3"/>
        <v>0</v>
      </c>
      <c r="Q24" s="7" t="s">
        <v>33</v>
      </c>
      <c r="R24" s="8">
        <f t="shared" si="4"/>
        <v>0</v>
      </c>
      <c r="S24" s="8">
        <f t="shared" si="0"/>
        <v>0</v>
      </c>
    </row>
    <row r="25" spans="1:19">
      <c r="A25" s="17" t="s">
        <v>36</v>
      </c>
      <c r="B25" s="2" t="s">
        <v>18</v>
      </c>
      <c r="D25" s="4" t="s">
        <v>33</v>
      </c>
      <c r="F25" s="6">
        <v>1</v>
      </c>
      <c r="G25" s="7" t="s">
        <v>20</v>
      </c>
      <c r="H25" s="6">
        <v>180</v>
      </c>
      <c r="I25" s="7" t="s">
        <v>33</v>
      </c>
      <c r="J25" s="8">
        <v>10200</v>
      </c>
      <c r="K25" s="4" t="s">
        <v>33</v>
      </c>
      <c r="L25" s="9">
        <v>0.125</v>
      </c>
      <c r="M25" s="9">
        <v>0.05</v>
      </c>
      <c r="O25" s="7" t="s">
        <v>33</v>
      </c>
      <c r="P25" s="3">
        <f t="shared" si="3"/>
        <v>0</v>
      </c>
      <c r="Q25" s="7" t="s">
        <v>33</v>
      </c>
      <c r="R25" s="8">
        <f t="shared" si="4"/>
        <v>0</v>
      </c>
      <c r="S25" s="8">
        <f t="shared" si="0"/>
        <v>0</v>
      </c>
    </row>
    <row r="26" spans="1:19">
      <c r="A26" s="17" t="s">
        <v>37</v>
      </c>
      <c r="B26" s="2" t="s">
        <v>18</v>
      </c>
      <c r="D26" s="4" t="s">
        <v>33</v>
      </c>
      <c r="F26" s="6">
        <v>1</v>
      </c>
      <c r="G26" s="7" t="s">
        <v>20</v>
      </c>
      <c r="H26" s="6">
        <v>32</v>
      </c>
      <c r="I26" s="7" t="s">
        <v>33</v>
      </c>
      <c r="J26" s="8">
        <v>64800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si="3"/>
        <v>0</v>
      </c>
      <c r="Q26" s="7" t="s">
        <v>33</v>
      </c>
      <c r="R26" s="8">
        <f t="shared" si="4"/>
        <v>0</v>
      </c>
      <c r="S26" s="8">
        <f t="shared" si="0"/>
        <v>0</v>
      </c>
    </row>
    <row r="28" spans="1:19">
      <c r="A28" s="17" t="s">
        <v>794</v>
      </c>
      <c r="B28" s="2" t="s">
        <v>25</v>
      </c>
      <c r="D28" s="4" t="s">
        <v>33</v>
      </c>
      <c r="F28" s="6">
        <v>2</v>
      </c>
      <c r="G28" s="7" t="s">
        <v>101</v>
      </c>
      <c r="H28" s="6">
        <v>30</v>
      </c>
      <c r="I28" s="7" t="s">
        <v>33</v>
      </c>
      <c r="J28" s="8">
        <f>1800000/2/30</f>
        <v>30000</v>
      </c>
      <c r="K28" s="4" t="s">
        <v>33</v>
      </c>
      <c r="M28" s="9">
        <v>0.17</v>
      </c>
      <c r="O28" s="7" t="s">
        <v>33</v>
      </c>
      <c r="P28" s="3">
        <f>(C28+(E28*F28*H28))-N28</f>
        <v>0</v>
      </c>
      <c r="Q28" s="7" t="s">
        <v>33</v>
      </c>
      <c r="R28" s="8">
        <f>P28*(J28-(J28*L28)-((J28-(J28*L28))*M28))</f>
        <v>0</v>
      </c>
      <c r="S28" s="8">
        <f t="shared" ref="S28:S29" si="5">R28/1.11</f>
        <v>0</v>
      </c>
    </row>
    <row r="29" spans="1:19">
      <c r="A29" s="17" t="s">
        <v>783</v>
      </c>
      <c r="B29" s="2" t="s">
        <v>25</v>
      </c>
      <c r="D29" s="4" t="s">
        <v>42</v>
      </c>
      <c r="F29" s="6">
        <v>1</v>
      </c>
      <c r="G29" s="7" t="s">
        <v>20</v>
      </c>
      <c r="H29" s="6">
        <v>60</v>
      </c>
      <c r="I29" s="7" t="s">
        <v>42</v>
      </c>
      <c r="J29" s="8">
        <f>1080000/60</f>
        <v>18000</v>
      </c>
      <c r="K29" s="4" t="s">
        <v>42</v>
      </c>
      <c r="M29" s="9">
        <v>0.17</v>
      </c>
      <c r="O29" s="7" t="s">
        <v>33</v>
      </c>
      <c r="P29" s="3">
        <f>(C29+(E29*F29*H29))-N29</f>
        <v>0</v>
      </c>
      <c r="Q29" s="7" t="s">
        <v>42</v>
      </c>
      <c r="R29" s="8">
        <f>P29*(J29-(J29*L29)-((J29-(J29*L29))*M29))</f>
        <v>0</v>
      </c>
      <c r="S29" s="8">
        <f t="shared" si="5"/>
        <v>0</v>
      </c>
    </row>
    <row r="30" spans="1:19">
      <c r="A30" s="17" t="s">
        <v>688</v>
      </c>
      <c r="B30" s="2" t="s">
        <v>25</v>
      </c>
      <c r="D30" s="4" t="s">
        <v>33</v>
      </c>
      <c r="F30" s="6">
        <v>1</v>
      </c>
      <c r="G30" s="7" t="s">
        <v>20</v>
      </c>
      <c r="H30" s="6">
        <v>32</v>
      </c>
      <c r="I30" s="7" t="s">
        <v>33</v>
      </c>
      <c r="J30" s="8">
        <f>1113600/32</f>
        <v>34800</v>
      </c>
      <c r="K30" s="4" t="s">
        <v>33</v>
      </c>
      <c r="M30" s="9">
        <v>0.17</v>
      </c>
      <c r="O30" s="7" t="s">
        <v>33</v>
      </c>
      <c r="P30" s="3">
        <f>(C30+(E30*F30*H30))-N30</f>
        <v>0</v>
      </c>
      <c r="Q30" s="7" t="s">
        <v>33</v>
      </c>
      <c r="R30" s="8">
        <f>P30*(J30-(J30*L30)-((J30-(J30*L30))*M30))</f>
        <v>0</v>
      </c>
      <c r="S30" s="8">
        <f t="shared" si="0"/>
        <v>0</v>
      </c>
    </row>
    <row r="32" spans="1:19" ht="15.75">
      <c r="A32" s="14" t="s">
        <v>38</v>
      </c>
    </row>
    <row r="33" spans="1:19">
      <c r="A33" s="15" t="s">
        <v>39</v>
      </c>
    </row>
    <row r="34" spans="1:19">
      <c r="A34" s="91" t="s">
        <v>847</v>
      </c>
      <c r="B34" s="2" t="s">
        <v>18</v>
      </c>
      <c r="D34" s="4" t="s">
        <v>19</v>
      </c>
      <c r="E34" s="5">
        <v>1</v>
      </c>
      <c r="F34" s="6">
        <v>1</v>
      </c>
      <c r="G34" s="7" t="s">
        <v>20</v>
      </c>
      <c r="H34" s="6">
        <v>60</v>
      </c>
      <c r="I34" s="7" t="s">
        <v>19</v>
      </c>
      <c r="J34" s="8">
        <v>20800</v>
      </c>
      <c r="K34" s="4" t="s">
        <v>19</v>
      </c>
      <c r="L34" s="9">
        <v>0.125</v>
      </c>
      <c r="M34" s="9">
        <v>0.05</v>
      </c>
      <c r="O34" s="7" t="s">
        <v>19</v>
      </c>
      <c r="P34" s="3">
        <f>(C34+(E34*F34*H34))-N34</f>
        <v>60</v>
      </c>
      <c r="Q34" s="7" t="s">
        <v>19</v>
      </c>
      <c r="R34" s="8">
        <f>P34*(J34-(J34*L34)-((J34-(J34*L34))*M34))</f>
        <v>1037400</v>
      </c>
      <c r="S34" s="8">
        <f t="shared" ref="S34" si="6">R34/1.11</f>
        <v>934594.59459459456</v>
      </c>
    </row>
    <row r="35" spans="1:19">
      <c r="A35" s="17" t="s">
        <v>40</v>
      </c>
      <c r="B35" s="2" t="s">
        <v>18</v>
      </c>
      <c r="D35" s="4" t="s">
        <v>19</v>
      </c>
      <c r="F35" s="6">
        <v>1</v>
      </c>
      <c r="G35" s="7" t="s">
        <v>20</v>
      </c>
      <c r="H35" s="6">
        <v>60</v>
      </c>
      <c r="I35" s="7" t="s">
        <v>19</v>
      </c>
      <c r="J35" s="8">
        <v>18500</v>
      </c>
      <c r="K35" s="4" t="s">
        <v>19</v>
      </c>
      <c r="L35" s="9">
        <v>0.125</v>
      </c>
      <c r="M35" s="9">
        <v>0.05</v>
      </c>
      <c r="O35" s="7" t="s">
        <v>19</v>
      </c>
      <c r="P35" s="3">
        <f>(C35+(E35*F35*H35))-N35</f>
        <v>0</v>
      </c>
      <c r="Q35" s="7" t="s">
        <v>19</v>
      </c>
      <c r="R35" s="8">
        <f>P35*(J35-(J35*L35)-((J35-(J35*L35))*M35))</f>
        <v>0</v>
      </c>
      <c r="S35" s="8">
        <f t="shared" si="0"/>
        <v>0</v>
      </c>
    </row>
    <row r="37" spans="1:19" s="19" customFormat="1">
      <c r="A37" s="18" t="s">
        <v>41</v>
      </c>
      <c r="B37" s="19" t="s">
        <v>25</v>
      </c>
      <c r="C37" s="20"/>
      <c r="D37" s="21" t="s">
        <v>42</v>
      </c>
      <c r="E37" s="26"/>
      <c r="F37" s="22">
        <v>1</v>
      </c>
      <c r="G37" s="23" t="s">
        <v>20</v>
      </c>
      <c r="H37" s="22">
        <v>5</v>
      </c>
      <c r="I37" s="23" t="s">
        <v>42</v>
      </c>
      <c r="J37" s="24">
        <f>780000/5</f>
        <v>156000</v>
      </c>
      <c r="K37" s="21" t="s">
        <v>42</v>
      </c>
      <c r="L37" s="25"/>
      <c r="M37" s="25">
        <v>0.17</v>
      </c>
      <c r="N37" s="22"/>
      <c r="O37" s="56" t="s">
        <v>42</v>
      </c>
      <c r="P37" s="20">
        <f t="shared" ref="P37:P40" si="7">(C37+(E37*F37*H37))-N37</f>
        <v>0</v>
      </c>
      <c r="Q37" s="23" t="s">
        <v>42</v>
      </c>
      <c r="R37" s="24">
        <f t="shared" ref="R37:R40" si="8">P37*(J37-(J37*L37)-((J37-(J37*L37))*M37))</f>
        <v>0</v>
      </c>
      <c r="S37" s="24">
        <f t="shared" si="0"/>
        <v>0</v>
      </c>
    </row>
    <row r="38" spans="1:19" s="19" customFormat="1">
      <c r="A38" s="18" t="s">
        <v>43</v>
      </c>
      <c r="B38" s="19" t="s">
        <v>25</v>
      </c>
      <c r="C38" s="20"/>
      <c r="D38" s="21" t="s">
        <v>42</v>
      </c>
      <c r="E38" s="26"/>
      <c r="F38" s="22">
        <v>1</v>
      </c>
      <c r="G38" s="23" t="s">
        <v>20</v>
      </c>
      <c r="H38" s="22">
        <v>5</v>
      </c>
      <c r="I38" s="23" t="s">
        <v>42</v>
      </c>
      <c r="J38" s="24">
        <f>708000/5</f>
        <v>141600</v>
      </c>
      <c r="K38" s="21" t="s">
        <v>42</v>
      </c>
      <c r="L38" s="25"/>
      <c r="M38" s="25">
        <v>0.17</v>
      </c>
      <c r="N38" s="22"/>
      <c r="O38" s="56" t="s">
        <v>42</v>
      </c>
      <c r="P38" s="20">
        <f t="shared" si="7"/>
        <v>0</v>
      </c>
      <c r="Q38" s="23" t="s">
        <v>42</v>
      </c>
      <c r="R38" s="24">
        <f t="shared" si="8"/>
        <v>0</v>
      </c>
      <c r="S38" s="24">
        <f t="shared" si="0"/>
        <v>0</v>
      </c>
    </row>
    <row r="39" spans="1:19" s="19" customFormat="1">
      <c r="A39" s="18" t="s">
        <v>44</v>
      </c>
      <c r="B39" s="19" t="s">
        <v>25</v>
      </c>
      <c r="C39" s="20"/>
      <c r="D39" s="21" t="s">
        <v>42</v>
      </c>
      <c r="E39" s="26"/>
      <c r="F39" s="22">
        <v>1</v>
      </c>
      <c r="G39" s="23" t="s">
        <v>20</v>
      </c>
      <c r="H39" s="22">
        <v>5</v>
      </c>
      <c r="I39" s="23" t="s">
        <v>42</v>
      </c>
      <c r="J39" s="24">
        <f>990000/5</f>
        <v>198000</v>
      </c>
      <c r="K39" s="21" t="s">
        <v>42</v>
      </c>
      <c r="L39" s="25"/>
      <c r="M39" s="25">
        <v>0.17</v>
      </c>
      <c r="N39" s="22"/>
      <c r="O39" s="56" t="s">
        <v>42</v>
      </c>
      <c r="P39" s="20">
        <f t="shared" si="7"/>
        <v>0</v>
      </c>
      <c r="Q39" s="23" t="s">
        <v>42</v>
      </c>
      <c r="R39" s="24">
        <f t="shared" si="8"/>
        <v>0</v>
      </c>
      <c r="S39" s="24">
        <f t="shared" si="0"/>
        <v>0</v>
      </c>
    </row>
    <row r="40" spans="1:19" s="19" customFormat="1">
      <c r="A40" s="18" t="s">
        <v>45</v>
      </c>
      <c r="B40" s="19" t="s">
        <v>25</v>
      </c>
      <c r="C40" s="20"/>
      <c r="D40" s="21" t="s">
        <v>42</v>
      </c>
      <c r="E40" s="26"/>
      <c r="F40" s="22">
        <v>1</v>
      </c>
      <c r="G40" s="23" t="s">
        <v>20</v>
      </c>
      <c r="H40" s="22">
        <v>5</v>
      </c>
      <c r="I40" s="23" t="s">
        <v>42</v>
      </c>
      <c r="J40" s="24">
        <f>975000/5</f>
        <v>195000</v>
      </c>
      <c r="K40" s="21" t="s">
        <v>42</v>
      </c>
      <c r="L40" s="25"/>
      <c r="M40" s="25">
        <v>0.17</v>
      </c>
      <c r="N40" s="22"/>
      <c r="O40" s="56" t="s">
        <v>42</v>
      </c>
      <c r="P40" s="20">
        <f t="shared" si="7"/>
        <v>0</v>
      </c>
      <c r="Q40" s="23" t="s">
        <v>42</v>
      </c>
      <c r="R40" s="24">
        <f t="shared" si="8"/>
        <v>0</v>
      </c>
      <c r="S40" s="24">
        <f t="shared" si="0"/>
        <v>0</v>
      </c>
    </row>
    <row r="41" spans="1:19" s="19" customFormat="1">
      <c r="A41" s="18"/>
      <c r="C41" s="20"/>
      <c r="D41" s="21"/>
      <c r="E41" s="26"/>
      <c r="F41" s="22"/>
      <c r="G41" s="23"/>
      <c r="H41" s="22"/>
      <c r="I41" s="23"/>
      <c r="J41" s="24"/>
      <c r="K41" s="21"/>
      <c r="L41" s="25"/>
      <c r="M41" s="25"/>
      <c r="N41" s="22"/>
      <c r="O41" s="56"/>
      <c r="P41" s="20"/>
      <c r="Q41" s="23"/>
      <c r="R41" s="24"/>
      <c r="S41" s="24"/>
    </row>
    <row r="42" spans="1:19" s="19" customFormat="1">
      <c r="A42" s="88" t="s">
        <v>706</v>
      </c>
      <c r="C42" s="20"/>
      <c r="D42" s="21"/>
      <c r="E42" s="26"/>
      <c r="F42" s="22"/>
      <c r="G42" s="23"/>
      <c r="H42" s="22"/>
      <c r="I42" s="23"/>
      <c r="J42" s="24"/>
      <c r="K42" s="21"/>
      <c r="L42" s="25"/>
      <c r="M42" s="25"/>
      <c r="N42" s="22"/>
      <c r="O42" s="23"/>
      <c r="P42" s="20"/>
      <c r="Q42" s="23"/>
      <c r="R42" s="24"/>
      <c r="S42" s="24"/>
    </row>
    <row r="43" spans="1:19" s="19" customFormat="1">
      <c r="A43" s="18" t="s">
        <v>789</v>
      </c>
      <c r="B43" s="19" t="s">
        <v>709</v>
      </c>
      <c r="C43" s="20"/>
      <c r="D43" s="21" t="s">
        <v>19</v>
      </c>
      <c r="E43" s="26">
        <v>6</v>
      </c>
      <c r="F43" s="22">
        <v>1</v>
      </c>
      <c r="G43" s="23" t="s">
        <v>20</v>
      </c>
      <c r="H43" s="22">
        <v>50</v>
      </c>
      <c r="I43" s="23" t="s">
        <v>19</v>
      </c>
      <c r="J43" s="24">
        <v>12870</v>
      </c>
      <c r="K43" s="21" t="s">
        <v>19</v>
      </c>
      <c r="L43" s="25"/>
      <c r="M43" s="25"/>
      <c r="N43" s="22"/>
      <c r="O43" s="23" t="s">
        <v>19</v>
      </c>
      <c r="P43" s="20">
        <f>(C43+(E43*F43*H43))-N43</f>
        <v>300</v>
      </c>
      <c r="Q43" s="23" t="s">
        <v>19</v>
      </c>
      <c r="R43" s="24">
        <f>P43*(J43-(J43*L43)-((J43-(J43*L43))*M43))</f>
        <v>3861000</v>
      </c>
      <c r="S43" s="24">
        <f t="shared" ref="S43:S45" si="9">R43/1.11</f>
        <v>3478378.3783783782</v>
      </c>
    </row>
    <row r="44" spans="1:19" s="19" customFormat="1">
      <c r="A44" s="18" t="s">
        <v>707</v>
      </c>
      <c r="B44" s="19" t="s">
        <v>709</v>
      </c>
      <c r="C44" s="20"/>
      <c r="D44" s="21" t="s">
        <v>19</v>
      </c>
      <c r="E44" s="26"/>
      <c r="F44" s="22">
        <v>1</v>
      </c>
      <c r="G44" s="23" t="s">
        <v>20</v>
      </c>
      <c r="H44" s="22">
        <v>50</v>
      </c>
      <c r="I44" s="23" t="s">
        <v>19</v>
      </c>
      <c r="J44" s="24">
        <v>12870</v>
      </c>
      <c r="K44" s="21" t="s">
        <v>19</v>
      </c>
      <c r="L44" s="25"/>
      <c r="M44" s="25"/>
      <c r="N44" s="22"/>
      <c r="O44" s="23" t="s">
        <v>19</v>
      </c>
      <c r="P44" s="20">
        <f>(C44+(E44*F44*H44))-N44</f>
        <v>0</v>
      </c>
      <c r="Q44" s="23" t="s">
        <v>19</v>
      </c>
      <c r="R44" s="24">
        <f>P44*(J44-(J44*L44)-((J44-(J44*L44))*M44))</f>
        <v>0</v>
      </c>
      <c r="S44" s="24">
        <f t="shared" si="9"/>
        <v>0</v>
      </c>
    </row>
    <row r="45" spans="1:19" s="19" customFormat="1">
      <c r="A45" s="18" t="s">
        <v>708</v>
      </c>
      <c r="B45" s="19" t="s">
        <v>709</v>
      </c>
      <c r="C45" s="20"/>
      <c r="D45" s="21" t="s">
        <v>19</v>
      </c>
      <c r="E45" s="26"/>
      <c r="F45" s="22">
        <v>1</v>
      </c>
      <c r="G45" s="23" t="s">
        <v>20</v>
      </c>
      <c r="H45" s="22">
        <v>50</v>
      </c>
      <c r="I45" s="23" t="s">
        <v>19</v>
      </c>
      <c r="J45" s="24">
        <v>12870</v>
      </c>
      <c r="K45" s="21" t="s">
        <v>19</v>
      </c>
      <c r="L45" s="25"/>
      <c r="M45" s="25"/>
      <c r="N45" s="22"/>
      <c r="O45" s="23" t="s">
        <v>19</v>
      </c>
      <c r="P45" s="20">
        <f>(C45+(E45*F45*H45))-N45</f>
        <v>0</v>
      </c>
      <c r="Q45" s="23" t="s">
        <v>19</v>
      </c>
      <c r="R45" s="24">
        <f>P45*(J45-(J45*L45)-((J45-(J45*L45))*M45))</f>
        <v>0</v>
      </c>
      <c r="S45" s="24">
        <f t="shared" si="9"/>
        <v>0</v>
      </c>
    </row>
    <row r="46" spans="1:19" s="19" customFormat="1">
      <c r="A46" s="18"/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19" customFormat="1" ht="15.75">
      <c r="A47" s="44" t="s">
        <v>46</v>
      </c>
      <c r="C47" s="20"/>
      <c r="D47" s="21"/>
      <c r="E47" s="26"/>
      <c r="F47" s="22"/>
      <c r="G47" s="23"/>
      <c r="H47" s="22"/>
      <c r="I47" s="23"/>
      <c r="J47" s="24"/>
      <c r="K47" s="21"/>
      <c r="L47" s="25"/>
      <c r="M47" s="25"/>
      <c r="N47" s="22"/>
      <c r="O47" s="23"/>
      <c r="P47" s="20"/>
      <c r="Q47" s="23"/>
      <c r="R47" s="24"/>
      <c r="S47" s="24"/>
    </row>
    <row r="48" spans="1:19" s="19" customFormat="1">
      <c r="A48" s="18" t="s">
        <v>47</v>
      </c>
      <c r="B48" s="19" t="s">
        <v>48</v>
      </c>
      <c r="C48" s="20"/>
      <c r="D48" s="21" t="s">
        <v>19</v>
      </c>
      <c r="E48" s="26"/>
      <c r="F48" s="22">
        <v>2</v>
      </c>
      <c r="G48" s="23" t="s">
        <v>33</v>
      </c>
      <c r="H48" s="22">
        <v>20</v>
      </c>
      <c r="I48" s="23" t="s">
        <v>19</v>
      </c>
      <c r="J48" s="24">
        <v>64000</v>
      </c>
      <c r="K48" s="21" t="s">
        <v>19</v>
      </c>
      <c r="L48" s="25">
        <v>0.125</v>
      </c>
      <c r="M48" s="25">
        <v>0.05</v>
      </c>
      <c r="N48" s="22"/>
      <c r="O48" s="23" t="s">
        <v>19</v>
      </c>
      <c r="P48" s="20">
        <f t="shared" ref="P48:P83" si="10">(C48+(E48*F48*H48))-N48</f>
        <v>0</v>
      </c>
      <c r="Q48" s="23" t="s">
        <v>19</v>
      </c>
      <c r="R48" s="24">
        <f t="shared" ref="R48:R83" si="11">P48*(J48-(J48*L48)-((J48-(J48*L48))*M48))</f>
        <v>0</v>
      </c>
      <c r="S48" s="24">
        <f t="shared" si="0"/>
        <v>0</v>
      </c>
    </row>
    <row r="49" spans="1:19" s="19" customFormat="1">
      <c r="A49" s="18" t="s">
        <v>49</v>
      </c>
      <c r="B49" s="19" t="s">
        <v>48</v>
      </c>
      <c r="C49" s="20"/>
      <c r="D49" s="21" t="s">
        <v>19</v>
      </c>
      <c r="E49" s="26">
        <v>1</v>
      </c>
      <c r="F49" s="22">
        <v>6</v>
      </c>
      <c r="G49" s="23" t="s">
        <v>33</v>
      </c>
      <c r="H49" s="22">
        <v>20</v>
      </c>
      <c r="I49" s="23" t="s">
        <v>19</v>
      </c>
      <c r="J49" s="24">
        <v>47000</v>
      </c>
      <c r="K49" s="21" t="s">
        <v>19</v>
      </c>
      <c r="L49" s="25">
        <v>0.125</v>
      </c>
      <c r="M49" s="25">
        <v>0.05</v>
      </c>
      <c r="N49" s="22"/>
      <c r="O49" s="23" t="s">
        <v>19</v>
      </c>
      <c r="P49" s="20">
        <f t="shared" si="10"/>
        <v>120</v>
      </c>
      <c r="Q49" s="23" t="s">
        <v>19</v>
      </c>
      <c r="R49" s="24">
        <f t="shared" si="11"/>
        <v>4688250</v>
      </c>
      <c r="S49" s="24">
        <f t="shared" si="0"/>
        <v>4223648.6486486485</v>
      </c>
    </row>
    <row r="50" spans="1:19" s="19" customFormat="1">
      <c r="A50" s="18" t="s">
        <v>50</v>
      </c>
      <c r="B50" s="19" t="s">
        <v>48</v>
      </c>
      <c r="C50" s="20"/>
      <c r="D50" s="21" t="s">
        <v>19</v>
      </c>
      <c r="E50" s="26">
        <v>1</v>
      </c>
      <c r="F50" s="22">
        <v>6</v>
      </c>
      <c r="G50" s="23" t="s">
        <v>33</v>
      </c>
      <c r="H50" s="22">
        <v>20</v>
      </c>
      <c r="I50" s="23" t="s">
        <v>19</v>
      </c>
      <c r="J50" s="24">
        <v>47000</v>
      </c>
      <c r="K50" s="21" t="s">
        <v>19</v>
      </c>
      <c r="L50" s="25">
        <v>0.125</v>
      </c>
      <c r="M50" s="25">
        <v>0.05</v>
      </c>
      <c r="N50" s="22"/>
      <c r="O50" s="23" t="s">
        <v>19</v>
      </c>
      <c r="P50" s="20">
        <f t="shared" si="10"/>
        <v>120</v>
      </c>
      <c r="Q50" s="23" t="s">
        <v>19</v>
      </c>
      <c r="R50" s="24">
        <f t="shared" si="11"/>
        <v>4688250</v>
      </c>
      <c r="S50" s="24">
        <f t="shared" si="0"/>
        <v>4223648.6486486485</v>
      </c>
    </row>
    <row r="51" spans="1:19" s="19" customFormat="1">
      <c r="A51" s="18" t="s">
        <v>51</v>
      </c>
      <c r="B51" s="19" t="s">
        <v>48</v>
      </c>
      <c r="C51" s="20"/>
      <c r="D51" s="21" t="s">
        <v>19</v>
      </c>
      <c r="E51" s="26"/>
      <c r="F51" s="22">
        <v>6</v>
      </c>
      <c r="G51" s="23" t="s">
        <v>33</v>
      </c>
      <c r="H51" s="22">
        <v>20</v>
      </c>
      <c r="I51" s="23" t="s">
        <v>19</v>
      </c>
      <c r="J51" s="24">
        <v>49000</v>
      </c>
      <c r="K51" s="21" t="s">
        <v>19</v>
      </c>
      <c r="L51" s="25">
        <v>0.125</v>
      </c>
      <c r="M51" s="25">
        <v>0.05</v>
      </c>
      <c r="N51" s="22"/>
      <c r="O51" s="23" t="s">
        <v>19</v>
      </c>
      <c r="P51" s="20">
        <f t="shared" si="10"/>
        <v>0</v>
      </c>
      <c r="Q51" s="23" t="s">
        <v>19</v>
      </c>
      <c r="R51" s="24">
        <f t="shared" si="11"/>
        <v>0</v>
      </c>
      <c r="S51" s="24">
        <f t="shared" si="0"/>
        <v>0</v>
      </c>
    </row>
    <row r="52" spans="1:19" s="19" customFormat="1">
      <c r="A52" s="91" t="s">
        <v>52</v>
      </c>
      <c r="B52" s="19" t="s">
        <v>48</v>
      </c>
      <c r="C52" s="20"/>
      <c r="D52" s="21" t="s">
        <v>19</v>
      </c>
      <c r="E52" s="26">
        <v>1</v>
      </c>
      <c r="F52" s="22">
        <v>4</v>
      </c>
      <c r="G52" s="23" t="s">
        <v>33</v>
      </c>
      <c r="H52" s="22">
        <v>20</v>
      </c>
      <c r="I52" s="23" t="s">
        <v>19</v>
      </c>
      <c r="J52" s="94">
        <v>56000</v>
      </c>
      <c r="K52" s="21" t="s">
        <v>19</v>
      </c>
      <c r="L52" s="25">
        <v>0.125</v>
      </c>
      <c r="M52" s="25">
        <v>0.05</v>
      </c>
      <c r="N52" s="22"/>
      <c r="O52" s="23" t="s">
        <v>19</v>
      </c>
      <c r="P52" s="20">
        <f t="shared" ref="P52" si="12">(C52+(E52*F52*H52))-N52</f>
        <v>80</v>
      </c>
      <c r="Q52" s="23" t="s">
        <v>19</v>
      </c>
      <c r="R52" s="24">
        <f t="shared" ref="R52" si="13">P52*(J52-(J52*L52)-((J52-(J52*L52))*M52))</f>
        <v>3724000</v>
      </c>
      <c r="S52" s="24">
        <f t="shared" ref="S52" si="14">R52/1.11</f>
        <v>3354954.9549549548</v>
      </c>
    </row>
    <row r="53" spans="1:19" s="19" customFormat="1">
      <c r="A53" s="18" t="s">
        <v>52</v>
      </c>
      <c r="B53" s="19" t="s">
        <v>48</v>
      </c>
      <c r="C53" s="20"/>
      <c r="D53" s="21" t="s">
        <v>19</v>
      </c>
      <c r="E53" s="26"/>
      <c r="F53" s="22">
        <v>4</v>
      </c>
      <c r="G53" s="23" t="s">
        <v>33</v>
      </c>
      <c r="H53" s="22">
        <v>20</v>
      </c>
      <c r="I53" s="23" t="s">
        <v>19</v>
      </c>
      <c r="J53" s="24">
        <v>49000</v>
      </c>
      <c r="K53" s="21" t="s">
        <v>19</v>
      </c>
      <c r="L53" s="25">
        <v>0.125</v>
      </c>
      <c r="M53" s="25">
        <v>0.05</v>
      </c>
      <c r="N53" s="22"/>
      <c r="O53" s="23" t="s">
        <v>19</v>
      </c>
      <c r="P53" s="20">
        <f t="shared" si="10"/>
        <v>0</v>
      </c>
      <c r="Q53" s="23" t="s">
        <v>19</v>
      </c>
      <c r="R53" s="24">
        <f t="shared" si="11"/>
        <v>0</v>
      </c>
      <c r="S53" s="24">
        <f t="shared" si="0"/>
        <v>0</v>
      </c>
    </row>
    <row r="54" spans="1:19" s="19" customFormat="1">
      <c r="A54" s="18" t="s">
        <v>53</v>
      </c>
      <c r="B54" s="19" t="s">
        <v>48</v>
      </c>
      <c r="C54" s="20"/>
      <c r="D54" s="21" t="s">
        <v>19</v>
      </c>
      <c r="E54" s="26">
        <v>1</v>
      </c>
      <c r="F54" s="22">
        <v>6</v>
      </c>
      <c r="G54" s="23" t="s">
        <v>33</v>
      </c>
      <c r="H54" s="22">
        <v>20</v>
      </c>
      <c r="I54" s="23" t="s">
        <v>19</v>
      </c>
      <c r="J54" s="24">
        <v>47000</v>
      </c>
      <c r="K54" s="21" t="s">
        <v>19</v>
      </c>
      <c r="L54" s="25">
        <v>0.125</v>
      </c>
      <c r="M54" s="25">
        <v>0.05</v>
      </c>
      <c r="N54" s="22"/>
      <c r="O54" s="23" t="s">
        <v>19</v>
      </c>
      <c r="P54" s="20">
        <f t="shared" si="10"/>
        <v>120</v>
      </c>
      <c r="Q54" s="23" t="s">
        <v>19</v>
      </c>
      <c r="R54" s="24">
        <f t="shared" si="11"/>
        <v>4688250</v>
      </c>
      <c r="S54" s="24">
        <f t="shared" si="0"/>
        <v>4223648.6486486485</v>
      </c>
    </row>
    <row r="55" spans="1:19" s="19" customFormat="1">
      <c r="A55" s="91" t="s">
        <v>848</v>
      </c>
      <c r="B55" s="19" t="s">
        <v>48</v>
      </c>
      <c r="C55" s="20"/>
      <c r="D55" s="21" t="s">
        <v>19</v>
      </c>
      <c r="E55" s="26">
        <v>2</v>
      </c>
      <c r="F55" s="22">
        <v>4</v>
      </c>
      <c r="G55" s="23" t="s">
        <v>33</v>
      </c>
      <c r="H55" s="22">
        <v>20</v>
      </c>
      <c r="I55" s="23" t="s">
        <v>19</v>
      </c>
      <c r="J55" s="24">
        <v>60000</v>
      </c>
      <c r="K55" s="21" t="s">
        <v>19</v>
      </c>
      <c r="L55" s="25">
        <v>0.125</v>
      </c>
      <c r="M55" s="25">
        <v>0.1</v>
      </c>
      <c r="N55" s="22"/>
      <c r="O55" s="23" t="s">
        <v>19</v>
      </c>
      <c r="P55" s="20">
        <f t="shared" si="10"/>
        <v>160</v>
      </c>
      <c r="Q55" s="23" t="s">
        <v>19</v>
      </c>
      <c r="R55" s="24">
        <f t="shared" si="11"/>
        <v>7560000</v>
      </c>
      <c r="S55" s="24">
        <f t="shared" si="0"/>
        <v>6810810.81081081</v>
      </c>
    </row>
    <row r="56" spans="1:19" s="19" customFormat="1">
      <c r="A56" s="18" t="s">
        <v>54</v>
      </c>
      <c r="B56" s="19" t="s">
        <v>48</v>
      </c>
      <c r="C56" s="20"/>
      <c r="D56" s="21" t="s">
        <v>19</v>
      </c>
      <c r="E56" s="26"/>
      <c r="F56" s="22">
        <v>4</v>
      </c>
      <c r="G56" s="23" t="s">
        <v>33</v>
      </c>
      <c r="H56" s="22">
        <v>40</v>
      </c>
      <c r="I56" s="23" t="s">
        <v>19</v>
      </c>
      <c r="J56" s="24">
        <v>37000</v>
      </c>
      <c r="K56" s="21" t="s">
        <v>19</v>
      </c>
      <c r="L56" s="25">
        <v>0.125</v>
      </c>
      <c r="M56" s="25">
        <v>0.05</v>
      </c>
      <c r="N56" s="22"/>
      <c r="O56" s="23" t="s">
        <v>19</v>
      </c>
      <c r="P56" s="20">
        <f t="shared" si="10"/>
        <v>0</v>
      </c>
      <c r="Q56" s="23" t="s">
        <v>19</v>
      </c>
      <c r="R56" s="24">
        <f t="shared" si="11"/>
        <v>0</v>
      </c>
      <c r="S56" s="24">
        <f t="shared" si="0"/>
        <v>0</v>
      </c>
    </row>
    <row r="57" spans="1:19" s="19" customFormat="1">
      <c r="A57" s="18" t="s">
        <v>55</v>
      </c>
      <c r="B57" s="19" t="s">
        <v>48</v>
      </c>
      <c r="C57" s="20"/>
      <c r="D57" s="21" t="s">
        <v>19</v>
      </c>
      <c r="E57" s="26"/>
      <c r="F57" s="22">
        <v>4</v>
      </c>
      <c r="G57" s="23" t="s">
        <v>33</v>
      </c>
      <c r="H57" s="22">
        <v>20</v>
      </c>
      <c r="I57" s="23" t="s">
        <v>19</v>
      </c>
      <c r="J57" s="24">
        <v>50000</v>
      </c>
      <c r="K57" s="21" t="s">
        <v>19</v>
      </c>
      <c r="L57" s="25">
        <v>0.125</v>
      </c>
      <c r="M57" s="25">
        <v>0.05</v>
      </c>
      <c r="N57" s="22"/>
      <c r="O57" s="23" t="s">
        <v>19</v>
      </c>
      <c r="P57" s="20">
        <f t="shared" si="10"/>
        <v>0</v>
      </c>
      <c r="Q57" s="23" t="s">
        <v>19</v>
      </c>
      <c r="R57" s="24">
        <f t="shared" si="11"/>
        <v>0</v>
      </c>
      <c r="S57" s="24">
        <f t="shared" si="0"/>
        <v>0</v>
      </c>
    </row>
    <row r="58" spans="1:19" s="19" customFormat="1">
      <c r="A58" s="18" t="s">
        <v>799</v>
      </c>
      <c r="B58" s="19" t="s">
        <v>48</v>
      </c>
      <c r="C58" s="20"/>
      <c r="D58" s="21" t="s">
        <v>19</v>
      </c>
      <c r="E58" s="26"/>
      <c r="F58" s="22">
        <v>4</v>
      </c>
      <c r="G58" s="23" t="s">
        <v>33</v>
      </c>
      <c r="H58" s="22">
        <v>20</v>
      </c>
      <c r="I58" s="23" t="s">
        <v>19</v>
      </c>
      <c r="J58" s="24">
        <v>50000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10"/>
        <v>0</v>
      </c>
      <c r="Q58" s="23" t="s">
        <v>19</v>
      </c>
      <c r="R58" s="24">
        <f t="shared" si="11"/>
        <v>0</v>
      </c>
      <c r="S58" s="24">
        <f t="shared" si="0"/>
        <v>0</v>
      </c>
    </row>
    <row r="59" spans="1:19" s="19" customFormat="1">
      <c r="A59" s="18" t="s">
        <v>56</v>
      </c>
      <c r="B59" s="19" t="s">
        <v>48</v>
      </c>
      <c r="C59" s="20"/>
      <c r="D59" s="21" t="s">
        <v>19</v>
      </c>
      <c r="E59" s="26"/>
      <c r="F59" s="22">
        <v>4</v>
      </c>
      <c r="G59" s="23" t="s">
        <v>33</v>
      </c>
      <c r="H59" s="22">
        <v>20</v>
      </c>
      <c r="I59" s="23" t="s">
        <v>19</v>
      </c>
      <c r="J59" s="24">
        <v>67000</v>
      </c>
      <c r="K59" s="21" t="s">
        <v>19</v>
      </c>
      <c r="L59" s="25">
        <v>0.125</v>
      </c>
      <c r="M59" s="25">
        <v>0.05</v>
      </c>
      <c r="N59" s="22"/>
      <c r="O59" s="23" t="s">
        <v>19</v>
      </c>
      <c r="P59" s="20">
        <f t="shared" si="10"/>
        <v>0</v>
      </c>
      <c r="Q59" s="23" t="s">
        <v>19</v>
      </c>
      <c r="R59" s="24">
        <f t="shared" si="11"/>
        <v>0</v>
      </c>
      <c r="S59" s="24">
        <f t="shared" si="0"/>
        <v>0</v>
      </c>
    </row>
    <row r="60" spans="1:19" s="19" customFormat="1">
      <c r="A60" s="18" t="s">
        <v>798</v>
      </c>
      <c r="B60" s="19" t="s">
        <v>48</v>
      </c>
      <c r="C60" s="20"/>
      <c r="D60" s="21" t="s">
        <v>19</v>
      </c>
      <c r="E60" s="26"/>
      <c r="F60" s="22">
        <v>6</v>
      </c>
      <c r="G60" s="23" t="s">
        <v>33</v>
      </c>
      <c r="H60" s="22">
        <v>10</v>
      </c>
      <c r="I60" s="23" t="s">
        <v>19</v>
      </c>
      <c r="J60" s="24">
        <v>77000</v>
      </c>
      <c r="K60" s="21" t="s">
        <v>19</v>
      </c>
      <c r="L60" s="25">
        <v>0.125</v>
      </c>
      <c r="M60" s="25">
        <v>0.05</v>
      </c>
      <c r="N60" s="22"/>
      <c r="O60" s="23" t="s">
        <v>19</v>
      </c>
      <c r="P60" s="20">
        <f t="shared" si="10"/>
        <v>0</v>
      </c>
      <c r="Q60" s="23" t="s">
        <v>19</v>
      </c>
      <c r="R60" s="24">
        <f t="shared" si="11"/>
        <v>0</v>
      </c>
      <c r="S60" s="24">
        <f t="shared" si="0"/>
        <v>0</v>
      </c>
    </row>
    <row r="61" spans="1:19" s="19" customFormat="1">
      <c r="A61" s="18" t="s">
        <v>57</v>
      </c>
      <c r="B61" s="19" t="s">
        <v>48</v>
      </c>
      <c r="C61" s="20"/>
      <c r="D61" s="21" t="s">
        <v>19</v>
      </c>
      <c r="E61" s="26"/>
      <c r="F61" s="22">
        <v>6</v>
      </c>
      <c r="G61" s="23" t="s">
        <v>33</v>
      </c>
      <c r="H61" s="22">
        <v>10</v>
      </c>
      <c r="I61" s="23" t="s">
        <v>19</v>
      </c>
      <c r="J61" s="24">
        <v>73000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si="10"/>
        <v>0</v>
      </c>
      <c r="Q61" s="23" t="s">
        <v>19</v>
      </c>
      <c r="R61" s="24">
        <f t="shared" si="11"/>
        <v>0</v>
      </c>
      <c r="S61" s="24">
        <f t="shared" si="0"/>
        <v>0</v>
      </c>
    </row>
    <row r="62" spans="1:19" s="19" customFormat="1">
      <c r="A62" s="18" t="s">
        <v>58</v>
      </c>
      <c r="B62" s="19" t="s">
        <v>48</v>
      </c>
      <c r="C62" s="20"/>
      <c r="D62" s="21" t="s">
        <v>19</v>
      </c>
      <c r="E62" s="26"/>
      <c r="F62" s="22">
        <v>8</v>
      </c>
      <c r="G62" s="23" t="s">
        <v>33</v>
      </c>
      <c r="H62" s="22">
        <v>10</v>
      </c>
      <c r="I62" s="23" t="s">
        <v>19</v>
      </c>
      <c r="J62" s="24">
        <v>56000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10"/>
        <v>0</v>
      </c>
      <c r="Q62" s="23" t="s">
        <v>19</v>
      </c>
      <c r="R62" s="24">
        <f t="shared" si="11"/>
        <v>0</v>
      </c>
      <c r="S62" s="24">
        <f t="shared" si="0"/>
        <v>0</v>
      </c>
    </row>
    <row r="63" spans="1:19" s="19" customFormat="1">
      <c r="A63" s="18" t="s">
        <v>59</v>
      </c>
      <c r="B63" s="19" t="s">
        <v>48</v>
      </c>
      <c r="C63" s="20"/>
      <c r="D63" s="21" t="s">
        <v>19</v>
      </c>
      <c r="E63" s="26"/>
      <c r="F63" s="22">
        <v>6</v>
      </c>
      <c r="G63" s="23" t="s">
        <v>33</v>
      </c>
      <c r="H63" s="22">
        <v>20</v>
      </c>
      <c r="I63" s="23" t="s">
        <v>19</v>
      </c>
      <c r="J63" s="24">
        <v>47000</v>
      </c>
      <c r="K63" s="21" t="s">
        <v>19</v>
      </c>
      <c r="L63" s="25">
        <v>0.125</v>
      </c>
      <c r="M63" s="25">
        <v>0.05</v>
      </c>
      <c r="N63" s="22"/>
      <c r="O63" s="23" t="s">
        <v>19</v>
      </c>
      <c r="P63" s="20">
        <f t="shared" si="10"/>
        <v>0</v>
      </c>
      <c r="Q63" s="23" t="s">
        <v>19</v>
      </c>
      <c r="R63" s="24">
        <f t="shared" si="11"/>
        <v>0</v>
      </c>
      <c r="S63" s="24">
        <f t="shared" si="0"/>
        <v>0</v>
      </c>
    </row>
    <row r="64" spans="1:19" s="19" customFormat="1">
      <c r="A64" s="91" t="s">
        <v>60</v>
      </c>
      <c r="B64" s="19" t="s">
        <v>48</v>
      </c>
      <c r="C64" s="20"/>
      <c r="D64" s="21" t="s">
        <v>19</v>
      </c>
      <c r="E64" s="26">
        <v>1</v>
      </c>
      <c r="F64" s="22">
        <v>8</v>
      </c>
      <c r="G64" s="23" t="s">
        <v>33</v>
      </c>
      <c r="H64" s="22">
        <v>20</v>
      </c>
      <c r="I64" s="23" t="s">
        <v>19</v>
      </c>
      <c r="J64" s="24">
        <v>32000</v>
      </c>
      <c r="K64" s="21" t="s">
        <v>19</v>
      </c>
      <c r="L64" s="93">
        <v>0.125</v>
      </c>
      <c r="M64" s="93">
        <v>0.1</v>
      </c>
      <c r="N64" s="22"/>
      <c r="O64" s="23" t="s">
        <v>19</v>
      </c>
      <c r="P64" s="20">
        <f t="shared" ref="P64" si="15">(C64+(E64*F64*H64))-N64</f>
        <v>160</v>
      </c>
      <c r="Q64" s="23" t="s">
        <v>19</v>
      </c>
      <c r="R64" s="24">
        <f t="shared" ref="R64" si="16">P64*(J64-(J64*L64)-((J64-(J64*L64))*M64))</f>
        <v>4032000</v>
      </c>
      <c r="S64" s="24">
        <f t="shared" ref="S64" si="17">R64/1.11</f>
        <v>3632432.4324324322</v>
      </c>
    </row>
    <row r="65" spans="1:19" s="19" customFormat="1">
      <c r="A65" s="18" t="s">
        <v>60</v>
      </c>
      <c r="B65" s="19" t="s">
        <v>48</v>
      </c>
      <c r="C65" s="20"/>
      <c r="D65" s="21" t="s">
        <v>19</v>
      </c>
      <c r="E65" s="26"/>
      <c r="F65" s="22">
        <v>8</v>
      </c>
      <c r="G65" s="23" t="s">
        <v>33</v>
      </c>
      <c r="H65" s="22">
        <v>20</v>
      </c>
      <c r="I65" s="23" t="s">
        <v>19</v>
      </c>
      <c r="J65" s="24">
        <v>32000</v>
      </c>
      <c r="K65" s="21" t="s">
        <v>19</v>
      </c>
      <c r="L65" s="25">
        <v>0.125</v>
      </c>
      <c r="M65" s="25">
        <v>0.05</v>
      </c>
      <c r="N65" s="22"/>
      <c r="O65" s="23" t="s">
        <v>19</v>
      </c>
      <c r="P65" s="20">
        <f t="shared" si="10"/>
        <v>0</v>
      </c>
      <c r="Q65" s="23" t="s">
        <v>19</v>
      </c>
      <c r="R65" s="24">
        <f t="shared" si="11"/>
        <v>0</v>
      </c>
      <c r="S65" s="24">
        <f t="shared" si="0"/>
        <v>0</v>
      </c>
    </row>
    <row r="66" spans="1:19" s="19" customFormat="1">
      <c r="A66" s="91" t="s">
        <v>61</v>
      </c>
      <c r="B66" s="19" t="s">
        <v>48</v>
      </c>
      <c r="C66" s="20"/>
      <c r="D66" s="21" t="s">
        <v>19</v>
      </c>
      <c r="E66" s="26">
        <v>1</v>
      </c>
      <c r="F66" s="22">
        <v>8</v>
      </c>
      <c r="G66" s="23" t="s">
        <v>33</v>
      </c>
      <c r="H66" s="22">
        <v>20</v>
      </c>
      <c r="I66" s="23" t="s">
        <v>19</v>
      </c>
      <c r="J66" s="24">
        <v>27500</v>
      </c>
      <c r="K66" s="21" t="s">
        <v>19</v>
      </c>
      <c r="L66" s="93">
        <v>0.125</v>
      </c>
      <c r="M66" s="93">
        <v>0.1</v>
      </c>
      <c r="N66" s="22"/>
      <c r="O66" s="23" t="s">
        <v>19</v>
      </c>
      <c r="P66" s="20">
        <f t="shared" ref="P66" si="18">(C66+(E66*F66*H66))-N66</f>
        <v>160</v>
      </c>
      <c r="Q66" s="23" t="s">
        <v>19</v>
      </c>
      <c r="R66" s="24">
        <f t="shared" ref="R66" si="19">P66*(J66-(J66*L66)-((J66-(J66*L66))*M66))</f>
        <v>3465000</v>
      </c>
      <c r="S66" s="24">
        <f t="shared" ref="S66" si="20">R66/1.11</f>
        <v>3121621.6216216213</v>
      </c>
    </row>
    <row r="67" spans="1:19" s="19" customFormat="1">
      <c r="A67" s="18" t="s">
        <v>61</v>
      </c>
      <c r="B67" s="19" t="s">
        <v>48</v>
      </c>
      <c r="C67" s="20"/>
      <c r="D67" s="21" t="s">
        <v>19</v>
      </c>
      <c r="E67" s="26"/>
      <c r="F67" s="22">
        <v>8</v>
      </c>
      <c r="G67" s="23" t="s">
        <v>33</v>
      </c>
      <c r="H67" s="22">
        <v>20</v>
      </c>
      <c r="I67" s="23" t="s">
        <v>19</v>
      </c>
      <c r="J67" s="24">
        <v>27500</v>
      </c>
      <c r="K67" s="21" t="s">
        <v>19</v>
      </c>
      <c r="L67" s="25">
        <v>0.125</v>
      </c>
      <c r="M67" s="25">
        <v>0.05</v>
      </c>
      <c r="N67" s="22"/>
      <c r="O67" s="23" t="s">
        <v>19</v>
      </c>
      <c r="P67" s="20">
        <f t="shared" si="10"/>
        <v>0</v>
      </c>
      <c r="Q67" s="23" t="s">
        <v>19</v>
      </c>
      <c r="R67" s="24">
        <f t="shared" si="11"/>
        <v>0</v>
      </c>
      <c r="S67" s="24">
        <f t="shared" si="0"/>
        <v>0</v>
      </c>
    </row>
    <row r="68" spans="1:19" s="19" customFormat="1">
      <c r="A68" s="18" t="s">
        <v>62</v>
      </c>
      <c r="B68" s="19" t="s">
        <v>48</v>
      </c>
      <c r="C68" s="20"/>
      <c r="D68" s="21" t="s">
        <v>19</v>
      </c>
      <c r="E68" s="26"/>
      <c r="F68" s="22">
        <v>4</v>
      </c>
      <c r="G68" s="23" t="s">
        <v>33</v>
      </c>
      <c r="H68" s="22">
        <v>20</v>
      </c>
      <c r="I68" s="23" t="s">
        <v>19</v>
      </c>
      <c r="J68" s="24">
        <v>54000</v>
      </c>
      <c r="K68" s="21" t="s">
        <v>19</v>
      </c>
      <c r="L68" s="25">
        <v>0.125</v>
      </c>
      <c r="M68" s="25">
        <v>0.05</v>
      </c>
      <c r="N68" s="22"/>
      <c r="O68" s="23" t="s">
        <v>19</v>
      </c>
      <c r="P68" s="20">
        <f t="shared" si="10"/>
        <v>0</v>
      </c>
      <c r="Q68" s="23" t="s">
        <v>19</v>
      </c>
      <c r="R68" s="24">
        <f t="shared" si="11"/>
        <v>0</v>
      </c>
      <c r="S68" s="24">
        <f t="shared" si="0"/>
        <v>0</v>
      </c>
    </row>
    <row r="69" spans="1:19" s="19" customFormat="1">
      <c r="A69" s="18" t="s">
        <v>63</v>
      </c>
      <c r="B69" s="19" t="s">
        <v>48</v>
      </c>
      <c r="C69" s="20"/>
      <c r="D69" s="21" t="s">
        <v>19</v>
      </c>
      <c r="E69" s="26">
        <v>2</v>
      </c>
      <c r="F69" s="22">
        <v>6</v>
      </c>
      <c r="G69" s="23" t="s">
        <v>33</v>
      </c>
      <c r="H69" s="22">
        <v>10</v>
      </c>
      <c r="I69" s="23" t="s">
        <v>19</v>
      </c>
      <c r="J69" s="24">
        <v>74000</v>
      </c>
      <c r="K69" s="21" t="s">
        <v>19</v>
      </c>
      <c r="L69" s="25">
        <v>0.125</v>
      </c>
      <c r="M69" s="25">
        <v>0.1</v>
      </c>
      <c r="N69" s="22"/>
      <c r="O69" s="23" t="s">
        <v>19</v>
      </c>
      <c r="P69" s="20">
        <f t="shared" ref="P69" si="21">(C69+(E69*F69*H69))-N69</f>
        <v>120</v>
      </c>
      <c r="Q69" s="23" t="s">
        <v>19</v>
      </c>
      <c r="R69" s="24">
        <f t="shared" ref="R69" si="22">P69*(J69-(J69*L69)-((J69-(J69*L69))*M69))</f>
        <v>6993000</v>
      </c>
      <c r="S69" s="24">
        <f t="shared" ref="S69" si="23">R69/1.11</f>
        <v>6299999.9999999991</v>
      </c>
    </row>
    <row r="70" spans="1:19" s="19" customFormat="1">
      <c r="A70" s="18" t="s">
        <v>63</v>
      </c>
      <c r="B70" s="19" t="s">
        <v>48</v>
      </c>
      <c r="C70" s="20"/>
      <c r="D70" s="21" t="s">
        <v>19</v>
      </c>
      <c r="E70" s="26"/>
      <c r="F70" s="22">
        <v>6</v>
      </c>
      <c r="G70" s="23" t="s">
        <v>33</v>
      </c>
      <c r="H70" s="22">
        <v>10</v>
      </c>
      <c r="I70" s="23" t="s">
        <v>19</v>
      </c>
      <c r="J70" s="24">
        <v>74000</v>
      </c>
      <c r="K70" s="21" t="s">
        <v>19</v>
      </c>
      <c r="L70" s="25">
        <v>0.125</v>
      </c>
      <c r="M70" s="25">
        <v>0.05</v>
      </c>
      <c r="N70" s="22"/>
      <c r="O70" s="23" t="s">
        <v>19</v>
      </c>
      <c r="P70" s="20">
        <f t="shared" si="10"/>
        <v>0</v>
      </c>
      <c r="Q70" s="23" t="s">
        <v>19</v>
      </c>
      <c r="R70" s="24">
        <f t="shared" si="11"/>
        <v>0</v>
      </c>
      <c r="S70" s="24">
        <f t="shared" si="0"/>
        <v>0</v>
      </c>
    </row>
    <row r="71" spans="1:19" s="19" customFormat="1">
      <c r="A71" s="18" t="s">
        <v>64</v>
      </c>
      <c r="B71" s="19" t="s">
        <v>48</v>
      </c>
      <c r="C71" s="20"/>
      <c r="D71" s="21" t="s">
        <v>19</v>
      </c>
      <c r="E71" s="26"/>
      <c r="F71" s="22">
        <v>6</v>
      </c>
      <c r="G71" s="23" t="s">
        <v>33</v>
      </c>
      <c r="H71" s="22">
        <v>20</v>
      </c>
      <c r="I71" s="23" t="s">
        <v>19</v>
      </c>
      <c r="J71" s="24">
        <v>52000</v>
      </c>
      <c r="K71" s="21" t="s">
        <v>19</v>
      </c>
      <c r="L71" s="25">
        <v>0.125</v>
      </c>
      <c r="M71" s="25">
        <v>0.1</v>
      </c>
      <c r="N71" s="22"/>
      <c r="O71" s="23" t="s">
        <v>19</v>
      </c>
      <c r="P71" s="20">
        <f t="shared" si="10"/>
        <v>0</v>
      </c>
      <c r="Q71" s="23" t="s">
        <v>19</v>
      </c>
      <c r="R71" s="24">
        <f t="shared" si="11"/>
        <v>0</v>
      </c>
      <c r="S71" s="24">
        <f t="shared" si="0"/>
        <v>0</v>
      </c>
    </row>
    <row r="72" spans="1:19" s="19" customFormat="1">
      <c r="A72" s="18" t="s">
        <v>65</v>
      </c>
      <c r="B72" s="19" t="s">
        <v>48</v>
      </c>
      <c r="C72" s="20"/>
      <c r="D72" s="21" t="s">
        <v>19</v>
      </c>
      <c r="E72" s="26"/>
      <c r="F72" s="22">
        <v>6</v>
      </c>
      <c r="G72" s="23" t="s">
        <v>33</v>
      </c>
      <c r="H72" s="22">
        <v>20</v>
      </c>
      <c r="I72" s="23" t="s">
        <v>19</v>
      </c>
      <c r="J72" s="24">
        <v>32500</v>
      </c>
      <c r="K72" s="21" t="s">
        <v>19</v>
      </c>
      <c r="L72" s="25">
        <v>0.125</v>
      </c>
      <c r="M72" s="25">
        <v>0.05</v>
      </c>
      <c r="N72" s="22"/>
      <c r="O72" s="23" t="s">
        <v>19</v>
      </c>
      <c r="P72" s="20">
        <f t="shared" si="10"/>
        <v>0</v>
      </c>
      <c r="Q72" s="23" t="s">
        <v>19</v>
      </c>
      <c r="R72" s="24">
        <f t="shared" si="11"/>
        <v>0</v>
      </c>
      <c r="S72" s="24">
        <f t="shared" si="0"/>
        <v>0</v>
      </c>
    </row>
    <row r="73" spans="1:19" s="19" customFormat="1">
      <c r="A73" s="91" t="s">
        <v>849</v>
      </c>
      <c r="B73" s="19" t="s">
        <v>48</v>
      </c>
      <c r="C73" s="20"/>
      <c r="D73" s="21" t="s">
        <v>19</v>
      </c>
      <c r="E73" s="26">
        <v>2</v>
      </c>
      <c r="F73" s="22">
        <v>8</v>
      </c>
      <c r="G73" s="23" t="s">
        <v>33</v>
      </c>
      <c r="H73" s="22">
        <v>10</v>
      </c>
      <c r="I73" s="23" t="s">
        <v>19</v>
      </c>
      <c r="J73" s="24">
        <v>62000</v>
      </c>
      <c r="K73" s="21" t="s">
        <v>19</v>
      </c>
      <c r="L73" s="25">
        <v>0.125</v>
      </c>
      <c r="M73" s="25">
        <v>0.1</v>
      </c>
      <c r="N73" s="22"/>
      <c r="O73" s="23" t="s">
        <v>19</v>
      </c>
      <c r="P73" s="20">
        <f t="shared" si="10"/>
        <v>160</v>
      </c>
      <c r="Q73" s="23" t="s">
        <v>19</v>
      </c>
      <c r="R73" s="24">
        <f t="shared" si="11"/>
        <v>7812000</v>
      </c>
      <c r="S73" s="24">
        <f t="shared" si="0"/>
        <v>7037837.8378378376</v>
      </c>
    </row>
    <row r="74" spans="1:19" s="19" customFormat="1">
      <c r="A74" s="91" t="s">
        <v>850</v>
      </c>
      <c r="B74" s="19" t="s">
        <v>48</v>
      </c>
      <c r="C74" s="20"/>
      <c r="D74" s="21" t="s">
        <v>19</v>
      </c>
      <c r="E74" s="26">
        <v>2</v>
      </c>
      <c r="F74" s="22">
        <v>6</v>
      </c>
      <c r="G74" s="23" t="s">
        <v>33</v>
      </c>
      <c r="H74" s="22">
        <v>10</v>
      </c>
      <c r="I74" s="23" t="s">
        <v>19</v>
      </c>
      <c r="J74" s="24">
        <v>88000</v>
      </c>
      <c r="K74" s="21" t="s">
        <v>19</v>
      </c>
      <c r="L74" s="25">
        <v>0.125</v>
      </c>
      <c r="M74" s="25">
        <v>0.1</v>
      </c>
      <c r="N74" s="22"/>
      <c r="O74" s="23" t="s">
        <v>19</v>
      </c>
      <c r="P74" s="20">
        <f t="shared" si="10"/>
        <v>120</v>
      </c>
      <c r="Q74" s="23" t="s">
        <v>19</v>
      </c>
      <c r="R74" s="24">
        <f t="shared" si="11"/>
        <v>8316000</v>
      </c>
      <c r="S74" s="24">
        <f t="shared" si="0"/>
        <v>7491891.8918918911</v>
      </c>
    </row>
    <row r="75" spans="1:19" s="19" customFormat="1">
      <c r="A75" s="18" t="s">
        <v>66</v>
      </c>
      <c r="B75" s="19" t="s">
        <v>48</v>
      </c>
      <c r="C75" s="20"/>
      <c r="D75" s="21" t="s">
        <v>19</v>
      </c>
      <c r="E75" s="26"/>
      <c r="F75" s="22">
        <v>6</v>
      </c>
      <c r="G75" s="23" t="s">
        <v>33</v>
      </c>
      <c r="H75" s="22">
        <v>10</v>
      </c>
      <c r="I75" s="23" t="s">
        <v>19</v>
      </c>
      <c r="J75" s="24">
        <v>65000</v>
      </c>
      <c r="K75" s="21" t="s">
        <v>19</v>
      </c>
      <c r="L75" s="25">
        <v>0.125</v>
      </c>
      <c r="M75" s="25">
        <v>0.05</v>
      </c>
      <c r="N75" s="22"/>
      <c r="O75" s="23" t="s">
        <v>19</v>
      </c>
      <c r="P75" s="20">
        <f t="shared" si="10"/>
        <v>0</v>
      </c>
      <c r="Q75" s="23" t="s">
        <v>19</v>
      </c>
      <c r="R75" s="24">
        <f t="shared" si="11"/>
        <v>0</v>
      </c>
      <c r="S75" s="24">
        <f t="shared" si="0"/>
        <v>0</v>
      </c>
    </row>
    <row r="76" spans="1:19" s="19" customFormat="1">
      <c r="A76" s="91" t="s">
        <v>67</v>
      </c>
      <c r="B76" s="19" t="s">
        <v>48</v>
      </c>
      <c r="C76" s="20"/>
      <c r="D76" s="21" t="s">
        <v>19</v>
      </c>
      <c r="E76" s="26">
        <v>1</v>
      </c>
      <c r="F76" s="22">
        <v>6</v>
      </c>
      <c r="G76" s="23" t="s">
        <v>33</v>
      </c>
      <c r="H76" s="22">
        <v>10</v>
      </c>
      <c r="I76" s="23" t="s">
        <v>19</v>
      </c>
      <c r="J76" s="94">
        <v>79000</v>
      </c>
      <c r="K76" s="21" t="s">
        <v>19</v>
      </c>
      <c r="L76" s="25">
        <v>0.125</v>
      </c>
      <c r="M76" s="25">
        <v>0.05</v>
      </c>
      <c r="N76" s="22"/>
      <c r="O76" s="23" t="s">
        <v>19</v>
      </c>
      <c r="P76" s="20">
        <f t="shared" ref="P76" si="24">(C76+(E76*F76*H76))-N76</f>
        <v>60</v>
      </c>
      <c r="Q76" s="23" t="s">
        <v>19</v>
      </c>
      <c r="R76" s="24">
        <f t="shared" ref="R76" si="25">P76*(J76-(J76*L76)-((J76-(J76*L76))*M76))</f>
        <v>3940125</v>
      </c>
      <c r="S76" s="24">
        <f t="shared" ref="S76" si="26">R76/1.11</f>
        <v>3549662.1621621619</v>
      </c>
    </row>
    <row r="77" spans="1:19" s="19" customFormat="1">
      <c r="A77" s="18" t="s">
        <v>67</v>
      </c>
      <c r="B77" s="19" t="s">
        <v>48</v>
      </c>
      <c r="C77" s="20"/>
      <c r="D77" s="21" t="s">
        <v>19</v>
      </c>
      <c r="E77" s="26"/>
      <c r="F77" s="22">
        <v>6</v>
      </c>
      <c r="G77" s="23" t="s">
        <v>33</v>
      </c>
      <c r="H77" s="22">
        <v>10</v>
      </c>
      <c r="I77" s="23" t="s">
        <v>19</v>
      </c>
      <c r="J77" s="24">
        <v>71000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 t="shared" si="10"/>
        <v>0</v>
      </c>
      <c r="Q77" s="23" t="s">
        <v>19</v>
      </c>
      <c r="R77" s="24">
        <f t="shared" si="11"/>
        <v>0</v>
      </c>
      <c r="S77" s="24">
        <f t="shared" si="0"/>
        <v>0</v>
      </c>
    </row>
    <row r="78" spans="1:19" s="19" customFormat="1">
      <c r="A78" s="18" t="s">
        <v>68</v>
      </c>
      <c r="B78" s="19" t="s">
        <v>48</v>
      </c>
      <c r="C78" s="20"/>
      <c r="D78" s="21" t="s">
        <v>19</v>
      </c>
      <c r="E78" s="26"/>
      <c r="F78" s="22">
        <v>6</v>
      </c>
      <c r="G78" s="23" t="s">
        <v>33</v>
      </c>
      <c r="H78" s="22">
        <v>10</v>
      </c>
      <c r="I78" s="23" t="s">
        <v>19</v>
      </c>
      <c r="J78" s="24">
        <v>75000</v>
      </c>
      <c r="K78" s="21" t="s">
        <v>19</v>
      </c>
      <c r="L78" s="25">
        <v>0.125</v>
      </c>
      <c r="M78" s="25">
        <v>0.05</v>
      </c>
      <c r="N78" s="22"/>
      <c r="O78" s="23" t="s">
        <v>19</v>
      </c>
      <c r="P78" s="20">
        <f t="shared" si="10"/>
        <v>0</v>
      </c>
      <c r="Q78" s="23" t="s">
        <v>19</v>
      </c>
      <c r="R78" s="24">
        <f t="shared" si="11"/>
        <v>0</v>
      </c>
      <c r="S78" s="24">
        <f t="shared" si="0"/>
        <v>0</v>
      </c>
    </row>
    <row r="79" spans="1:19" s="19" customFormat="1">
      <c r="A79" s="18" t="s">
        <v>69</v>
      </c>
      <c r="B79" s="19" t="s">
        <v>48</v>
      </c>
      <c r="C79" s="20"/>
      <c r="D79" s="21" t="s">
        <v>19</v>
      </c>
      <c r="E79" s="26"/>
      <c r="F79" s="22">
        <v>6</v>
      </c>
      <c r="G79" s="23" t="s">
        <v>33</v>
      </c>
      <c r="H79" s="22">
        <v>10</v>
      </c>
      <c r="I79" s="23" t="s">
        <v>19</v>
      </c>
      <c r="J79" s="24">
        <v>54000</v>
      </c>
      <c r="K79" s="21" t="s">
        <v>19</v>
      </c>
      <c r="L79" s="25">
        <v>0.125</v>
      </c>
      <c r="M79" s="25">
        <v>0.05</v>
      </c>
      <c r="N79" s="22"/>
      <c r="O79" s="23" t="s">
        <v>19</v>
      </c>
      <c r="P79" s="20">
        <f t="shared" si="10"/>
        <v>0</v>
      </c>
      <c r="Q79" s="23" t="s">
        <v>19</v>
      </c>
      <c r="R79" s="24">
        <f t="shared" si="11"/>
        <v>0</v>
      </c>
      <c r="S79" s="24">
        <f t="shared" si="0"/>
        <v>0</v>
      </c>
    </row>
    <row r="80" spans="1:19" s="19" customFormat="1">
      <c r="A80" s="18" t="s">
        <v>835</v>
      </c>
      <c r="B80" s="19" t="s">
        <v>48</v>
      </c>
      <c r="C80" s="20"/>
      <c r="D80" s="21" t="s">
        <v>19</v>
      </c>
      <c r="E80" s="26"/>
      <c r="F80" s="22">
        <v>6</v>
      </c>
      <c r="G80" s="23" t="s">
        <v>33</v>
      </c>
      <c r="H80" s="22">
        <v>10</v>
      </c>
      <c r="I80" s="23" t="s">
        <v>19</v>
      </c>
      <c r="J80" s="24">
        <v>56000</v>
      </c>
      <c r="K80" s="21" t="s">
        <v>19</v>
      </c>
      <c r="L80" s="25">
        <v>0.125</v>
      </c>
      <c r="M80" s="25">
        <v>0.05</v>
      </c>
      <c r="N80" s="22"/>
      <c r="O80" s="23" t="s">
        <v>19</v>
      </c>
      <c r="P80" s="20">
        <f t="shared" si="10"/>
        <v>0</v>
      </c>
      <c r="Q80" s="23" t="s">
        <v>19</v>
      </c>
      <c r="R80" s="24">
        <f t="shared" si="11"/>
        <v>0</v>
      </c>
      <c r="S80" s="24">
        <f t="shared" si="0"/>
        <v>0</v>
      </c>
    </row>
    <row r="81" spans="1:19" s="19" customFormat="1">
      <c r="A81" s="18" t="s">
        <v>70</v>
      </c>
      <c r="B81" s="19" t="s">
        <v>48</v>
      </c>
      <c r="C81" s="20"/>
      <c r="D81" s="21" t="s">
        <v>19</v>
      </c>
      <c r="E81" s="26"/>
      <c r="F81" s="22">
        <v>6</v>
      </c>
      <c r="G81" s="23" t="s">
        <v>33</v>
      </c>
      <c r="H81" s="22">
        <v>20</v>
      </c>
      <c r="I81" s="23" t="s">
        <v>19</v>
      </c>
      <c r="J81" s="24">
        <v>40000</v>
      </c>
      <c r="K81" s="21" t="s">
        <v>19</v>
      </c>
      <c r="L81" s="25">
        <v>0.125</v>
      </c>
      <c r="M81" s="25">
        <v>0.05</v>
      </c>
      <c r="N81" s="22"/>
      <c r="O81" s="23" t="s">
        <v>19</v>
      </c>
      <c r="P81" s="20">
        <f t="shared" si="10"/>
        <v>0</v>
      </c>
      <c r="Q81" s="23" t="s">
        <v>19</v>
      </c>
      <c r="R81" s="24">
        <f t="shared" si="11"/>
        <v>0</v>
      </c>
      <c r="S81" s="24">
        <f t="shared" si="0"/>
        <v>0</v>
      </c>
    </row>
    <row r="82" spans="1:19" s="19" customFormat="1">
      <c r="A82" s="18" t="s">
        <v>71</v>
      </c>
      <c r="B82" s="19" t="s">
        <v>48</v>
      </c>
      <c r="C82" s="20"/>
      <c r="D82" s="21" t="s">
        <v>19</v>
      </c>
      <c r="E82" s="26"/>
      <c r="F82" s="22">
        <v>6</v>
      </c>
      <c r="G82" s="23" t="s">
        <v>33</v>
      </c>
      <c r="H82" s="22">
        <v>10</v>
      </c>
      <c r="I82" s="23" t="s">
        <v>19</v>
      </c>
      <c r="J82" s="24">
        <v>66000</v>
      </c>
      <c r="K82" s="21" t="s">
        <v>19</v>
      </c>
      <c r="L82" s="25">
        <v>0.125</v>
      </c>
      <c r="M82" s="25">
        <v>0.1</v>
      </c>
      <c r="N82" s="22"/>
      <c r="O82" s="23" t="s">
        <v>19</v>
      </c>
      <c r="P82" s="20">
        <f t="shared" si="10"/>
        <v>0</v>
      </c>
      <c r="Q82" s="23" t="s">
        <v>19</v>
      </c>
      <c r="R82" s="24">
        <f t="shared" si="11"/>
        <v>0</v>
      </c>
      <c r="S82" s="24">
        <f t="shared" si="0"/>
        <v>0</v>
      </c>
    </row>
    <row r="83" spans="1:19" s="19" customFormat="1">
      <c r="A83" s="18" t="s">
        <v>72</v>
      </c>
      <c r="B83" s="19" t="s">
        <v>48</v>
      </c>
      <c r="C83" s="20"/>
      <c r="D83" s="21" t="s">
        <v>19</v>
      </c>
      <c r="E83" s="26"/>
      <c r="F83" s="22">
        <v>4</v>
      </c>
      <c r="G83" s="23" t="s">
        <v>33</v>
      </c>
      <c r="H83" s="22">
        <v>40</v>
      </c>
      <c r="I83" s="23" t="s">
        <v>19</v>
      </c>
      <c r="J83" s="24">
        <v>27000</v>
      </c>
      <c r="K83" s="21" t="s">
        <v>19</v>
      </c>
      <c r="L83" s="25">
        <v>0.125</v>
      </c>
      <c r="M83" s="25">
        <v>0.05</v>
      </c>
      <c r="N83" s="22"/>
      <c r="O83" s="23" t="s">
        <v>19</v>
      </c>
      <c r="P83" s="20">
        <f t="shared" si="10"/>
        <v>0</v>
      </c>
      <c r="Q83" s="23" t="s">
        <v>19</v>
      </c>
      <c r="R83" s="24">
        <f t="shared" si="11"/>
        <v>0</v>
      </c>
      <c r="S83" s="24">
        <f t="shared" si="0"/>
        <v>0</v>
      </c>
    </row>
    <row r="84" spans="1:19" s="19" customFormat="1">
      <c r="A84" s="18"/>
      <c r="C84" s="20"/>
      <c r="D84" s="21"/>
      <c r="E84" s="26"/>
      <c r="F84" s="22"/>
      <c r="G84" s="23"/>
      <c r="H84" s="22"/>
      <c r="I84" s="23"/>
      <c r="J84" s="24"/>
      <c r="K84" s="21"/>
      <c r="L84" s="25"/>
      <c r="M84" s="25"/>
      <c r="N84" s="22"/>
      <c r="O84" s="23"/>
      <c r="P84" s="20"/>
      <c r="Q84" s="23"/>
      <c r="R84" s="24"/>
      <c r="S84" s="24"/>
    </row>
    <row r="85" spans="1:19" s="19" customFormat="1" ht="15.75">
      <c r="A85" s="44" t="s">
        <v>73</v>
      </c>
      <c r="C85" s="20"/>
      <c r="D85" s="21"/>
      <c r="E85" s="26"/>
      <c r="F85" s="22"/>
      <c r="G85" s="23"/>
      <c r="H85" s="22"/>
      <c r="I85" s="23"/>
      <c r="J85" s="24"/>
      <c r="K85" s="21"/>
      <c r="L85" s="25"/>
      <c r="M85" s="25"/>
      <c r="N85" s="22"/>
      <c r="O85" s="23"/>
      <c r="P85" s="20"/>
      <c r="Q85" s="23"/>
      <c r="R85" s="24"/>
      <c r="S85" s="24">
        <f t="shared" si="0"/>
        <v>0</v>
      </c>
    </row>
    <row r="86" spans="1:19" s="19" customFormat="1">
      <c r="A86" s="18" t="s">
        <v>74</v>
      </c>
      <c r="B86" s="19" t="s">
        <v>18</v>
      </c>
      <c r="C86" s="20"/>
      <c r="D86" s="21" t="s">
        <v>19</v>
      </c>
      <c r="E86" s="26"/>
      <c r="F86" s="22">
        <v>1</v>
      </c>
      <c r="G86" s="23" t="s">
        <v>20</v>
      </c>
      <c r="H86" s="22">
        <v>6</v>
      </c>
      <c r="I86" s="23" t="s">
        <v>19</v>
      </c>
      <c r="J86" s="24">
        <v>390000</v>
      </c>
      <c r="K86" s="21" t="s">
        <v>19</v>
      </c>
      <c r="L86" s="25">
        <v>0.125</v>
      </c>
      <c r="M86" s="25">
        <v>0.05</v>
      </c>
      <c r="N86" s="22"/>
      <c r="O86" s="23" t="s">
        <v>19</v>
      </c>
      <c r="P86" s="20">
        <f>(C86+(E86*F86*H86))-N86</f>
        <v>0</v>
      </c>
      <c r="Q86" s="23" t="s">
        <v>19</v>
      </c>
      <c r="R86" s="24">
        <f>P86*(J86-(J86*L86)-((J86-(J86*L86))*M86))</f>
        <v>0</v>
      </c>
      <c r="S86" s="24">
        <f t="shared" si="0"/>
        <v>0</v>
      </c>
    </row>
    <row r="87" spans="1:19" s="19" customFormat="1">
      <c r="A87" s="18" t="s">
        <v>75</v>
      </c>
      <c r="B87" s="19" t="s">
        <v>18</v>
      </c>
      <c r="C87" s="20"/>
      <c r="D87" s="21" t="s">
        <v>19</v>
      </c>
      <c r="E87" s="26"/>
      <c r="F87" s="22">
        <v>1</v>
      </c>
      <c r="G87" s="23" t="s">
        <v>20</v>
      </c>
      <c r="H87" s="22">
        <v>6</v>
      </c>
      <c r="I87" s="23" t="s">
        <v>19</v>
      </c>
      <c r="J87" s="24">
        <v>500000</v>
      </c>
      <c r="K87" s="21" t="s">
        <v>19</v>
      </c>
      <c r="L87" s="25">
        <v>0.125</v>
      </c>
      <c r="M87" s="25">
        <v>0.05</v>
      </c>
      <c r="N87" s="22"/>
      <c r="O87" s="23" t="s">
        <v>19</v>
      </c>
      <c r="P87" s="20">
        <f>(C87+(E87*F87*H87))-N87</f>
        <v>0</v>
      </c>
      <c r="Q87" s="23" t="s">
        <v>19</v>
      </c>
      <c r="R87" s="24">
        <f>P87*(J87-(J87*L87)-((J87-(J87*L87))*M87))</f>
        <v>0</v>
      </c>
      <c r="S87" s="24">
        <f t="shared" si="0"/>
        <v>0</v>
      </c>
    </row>
    <row r="88" spans="1:19" s="19" customFormat="1">
      <c r="A88" s="18"/>
      <c r="C88" s="20"/>
      <c r="D88" s="21"/>
      <c r="E88" s="26"/>
      <c r="F88" s="22"/>
      <c r="G88" s="23"/>
      <c r="H88" s="22"/>
      <c r="I88" s="23"/>
      <c r="J88" s="24"/>
      <c r="K88" s="21"/>
      <c r="L88" s="25"/>
      <c r="M88" s="25"/>
      <c r="N88" s="22"/>
      <c r="O88" s="23"/>
      <c r="P88" s="20"/>
      <c r="Q88" s="23"/>
      <c r="R88" s="24"/>
      <c r="S88" s="24"/>
    </row>
    <row r="89" spans="1:19" s="19" customFormat="1" ht="15.75">
      <c r="A89" s="44" t="s">
        <v>76</v>
      </c>
      <c r="C89" s="20"/>
      <c r="D89" s="21"/>
      <c r="E89" s="26"/>
      <c r="F89" s="22"/>
      <c r="G89" s="23"/>
      <c r="H89" s="22"/>
      <c r="I89" s="23"/>
      <c r="J89" s="24"/>
      <c r="K89" s="21"/>
      <c r="L89" s="25"/>
      <c r="M89" s="25"/>
      <c r="N89" s="22"/>
      <c r="O89" s="23"/>
      <c r="P89" s="20"/>
      <c r="Q89" s="23"/>
      <c r="R89" s="24"/>
      <c r="S89" s="24"/>
    </row>
    <row r="90" spans="1:19" s="19" customFormat="1">
      <c r="A90" s="88" t="s">
        <v>77</v>
      </c>
      <c r="C90" s="20"/>
      <c r="D90" s="21"/>
      <c r="E90" s="26"/>
      <c r="F90" s="22"/>
      <c r="G90" s="23"/>
      <c r="H90" s="22"/>
      <c r="I90" s="23"/>
      <c r="J90" s="24"/>
      <c r="K90" s="21"/>
      <c r="L90" s="25"/>
      <c r="M90" s="25"/>
      <c r="N90" s="22"/>
      <c r="O90" s="23"/>
      <c r="P90" s="20"/>
      <c r="Q90" s="23"/>
      <c r="R90" s="24"/>
      <c r="S90" s="24"/>
    </row>
    <row r="91" spans="1:19" s="19" customFormat="1">
      <c r="A91" s="57" t="s">
        <v>78</v>
      </c>
      <c r="B91" s="19" t="s">
        <v>18</v>
      </c>
      <c r="C91" s="20"/>
      <c r="D91" s="21" t="s">
        <v>79</v>
      </c>
      <c r="E91" s="26"/>
      <c r="F91" s="22">
        <v>1</v>
      </c>
      <c r="G91" s="23" t="s">
        <v>20</v>
      </c>
      <c r="H91" s="22">
        <v>48</v>
      </c>
      <c r="I91" s="23" t="s">
        <v>79</v>
      </c>
      <c r="J91" s="24">
        <v>14500</v>
      </c>
      <c r="K91" s="21" t="s">
        <v>79</v>
      </c>
      <c r="L91" s="25">
        <v>0.125</v>
      </c>
      <c r="M91" s="25">
        <v>0.05</v>
      </c>
      <c r="N91" s="22"/>
      <c r="O91" s="23" t="s">
        <v>79</v>
      </c>
      <c r="P91" s="20">
        <f t="shared" ref="P91:P105" si="27">(C91+(E91*F91*H91))-N91</f>
        <v>0</v>
      </c>
      <c r="Q91" s="23" t="s">
        <v>79</v>
      </c>
      <c r="R91" s="24">
        <f t="shared" ref="R91:R105" si="28">P91*(J91-(J91*L91)-((J91-(J91*L91))*M91))</f>
        <v>0</v>
      </c>
      <c r="S91" s="24">
        <f t="shared" si="0"/>
        <v>0</v>
      </c>
    </row>
    <row r="92" spans="1:19" s="19" customFormat="1">
      <c r="A92" s="57" t="s">
        <v>828</v>
      </c>
      <c r="B92" s="19" t="s">
        <v>18</v>
      </c>
      <c r="C92" s="20"/>
      <c r="D92" s="21" t="s">
        <v>79</v>
      </c>
      <c r="E92" s="26"/>
      <c r="F92" s="22">
        <v>1</v>
      </c>
      <c r="G92" s="23" t="s">
        <v>20</v>
      </c>
      <c r="H92" s="22">
        <v>96</v>
      </c>
      <c r="I92" s="23" t="s">
        <v>79</v>
      </c>
      <c r="J92" s="24">
        <v>15500</v>
      </c>
      <c r="K92" s="21" t="s">
        <v>79</v>
      </c>
      <c r="L92" s="25">
        <v>0.125</v>
      </c>
      <c r="M92" s="25">
        <v>0.05</v>
      </c>
      <c r="N92" s="22"/>
      <c r="O92" s="23" t="s">
        <v>79</v>
      </c>
      <c r="P92" s="20">
        <f t="shared" si="27"/>
        <v>0</v>
      </c>
      <c r="Q92" s="23" t="s">
        <v>79</v>
      </c>
      <c r="R92" s="24">
        <f t="shared" si="28"/>
        <v>0</v>
      </c>
      <c r="S92" s="24">
        <f t="shared" si="0"/>
        <v>0</v>
      </c>
    </row>
    <row r="93" spans="1:19" s="19" customFormat="1">
      <c r="A93" s="57" t="s">
        <v>80</v>
      </c>
      <c r="B93" s="19" t="s">
        <v>18</v>
      </c>
      <c r="C93" s="20"/>
      <c r="D93" s="21" t="s">
        <v>79</v>
      </c>
      <c r="E93" s="26"/>
      <c r="F93" s="22">
        <v>1</v>
      </c>
      <c r="G93" s="23" t="s">
        <v>20</v>
      </c>
      <c r="H93" s="22">
        <v>96</v>
      </c>
      <c r="I93" s="23" t="s">
        <v>79</v>
      </c>
      <c r="J93" s="24">
        <v>12000</v>
      </c>
      <c r="K93" s="21" t="s">
        <v>79</v>
      </c>
      <c r="L93" s="25">
        <v>0.125</v>
      </c>
      <c r="M93" s="25">
        <v>0.05</v>
      </c>
      <c r="N93" s="22"/>
      <c r="O93" s="23" t="s">
        <v>79</v>
      </c>
      <c r="P93" s="20">
        <f t="shared" si="27"/>
        <v>0</v>
      </c>
      <c r="Q93" s="23" t="s">
        <v>79</v>
      </c>
      <c r="R93" s="24">
        <f t="shared" si="28"/>
        <v>0</v>
      </c>
      <c r="S93" s="24">
        <f t="shared" si="0"/>
        <v>0</v>
      </c>
    </row>
    <row r="94" spans="1:19" s="19" customFormat="1">
      <c r="A94" s="57" t="s">
        <v>81</v>
      </c>
      <c r="B94" s="19" t="s">
        <v>18</v>
      </c>
      <c r="C94" s="20"/>
      <c r="D94" s="21" t="s">
        <v>79</v>
      </c>
      <c r="E94" s="26"/>
      <c r="F94" s="22">
        <v>1</v>
      </c>
      <c r="G94" s="23" t="s">
        <v>20</v>
      </c>
      <c r="H94" s="22">
        <v>48</v>
      </c>
      <c r="I94" s="23" t="s">
        <v>79</v>
      </c>
      <c r="J94" s="24">
        <v>19500</v>
      </c>
      <c r="K94" s="21" t="s">
        <v>79</v>
      </c>
      <c r="L94" s="25">
        <v>0.125</v>
      </c>
      <c r="M94" s="25">
        <v>0.05</v>
      </c>
      <c r="N94" s="22"/>
      <c r="O94" s="23" t="s">
        <v>79</v>
      </c>
      <c r="P94" s="20">
        <f t="shared" si="27"/>
        <v>0</v>
      </c>
      <c r="Q94" s="23" t="s">
        <v>79</v>
      </c>
      <c r="R94" s="24">
        <f t="shared" si="28"/>
        <v>0</v>
      </c>
      <c r="S94" s="24">
        <f t="shared" si="0"/>
        <v>0</v>
      </c>
    </row>
    <row r="95" spans="1:19" s="19" customFormat="1">
      <c r="A95" s="57" t="s">
        <v>82</v>
      </c>
      <c r="B95" s="19" t="s">
        <v>18</v>
      </c>
      <c r="C95" s="20"/>
      <c r="D95" s="21" t="s">
        <v>79</v>
      </c>
      <c r="E95" s="26"/>
      <c r="F95" s="22">
        <v>1</v>
      </c>
      <c r="G95" s="23" t="s">
        <v>20</v>
      </c>
      <c r="H95" s="22">
        <v>48</v>
      </c>
      <c r="I95" s="23" t="s">
        <v>79</v>
      </c>
      <c r="J95" s="24">
        <v>14800</v>
      </c>
      <c r="K95" s="21" t="s">
        <v>79</v>
      </c>
      <c r="L95" s="25">
        <v>0.125</v>
      </c>
      <c r="M95" s="25">
        <v>0.05</v>
      </c>
      <c r="N95" s="22"/>
      <c r="O95" s="23" t="s">
        <v>79</v>
      </c>
      <c r="P95" s="20">
        <f t="shared" si="27"/>
        <v>0</v>
      </c>
      <c r="Q95" s="23" t="s">
        <v>79</v>
      </c>
      <c r="R95" s="24">
        <f t="shared" si="28"/>
        <v>0</v>
      </c>
      <c r="S95" s="24">
        <f t="shared" si="0"/>
        <v>0</v>
      </c>
    </row>
    <row r="96" spans="1:19" s="19" customFormat="1">
      <c r="A96" s="58" t="s">
        <v>83</v>
      </c>
      <c r="B96" s="19" t="s">
        <v>18</v>
      </c>
      <c r="C96" s="20"/>
      <c r="D96" s="21" t="s">
        <v>79</v>
      </c>
      <c r="E96" s="26"/>
      <c r="F96" s="22">
        <v>1</v>
      </c>
      <c r="G96" s="23" t="s">
        <v>20</v>
      </c>
      <c r="H96" s="22">
        <v>24</v>
      </c>
      <c r="I96" s="23" t="s">
        <v>79</v>
      </c>
      <c r="J96" s="24">
        <v>25200</v>
      </c>
      <c r="K96" s="21" t="s">
        <v>79</v>
      </c>
      <c r="L96" s="25">
        <v>0.125</v>
      </c>
      <c r="M96" s="25">
        <v>0.05</v>
      </c>
      <c r="N96" s="22"/>
      <c r="O96" s="23" t="s">
        <v>79</v>
      </c>
      <c r="P96" s="20">
        <f t="shared" si="27"/>
        <v>0</v>
      </c>
      <c r="Q96" s="23" t="s">
        <v>79</v>
      </c>
      <c r="R96" s="24">
        <f t="shared" si="28"/>
        <v>0</v>
      </c>
      <c r="S96" s="24">
        <f t="shared" si="0"/>
        <v>0</v>
      </c>
    </row>
    <row r="97" spans="1:19" s="19" customFormat="1">
      <c r="A97" s="58" t="s">
        <v>84</v>
      </c>
      <c r="B97" s="19" t="s">
        <v>18</v>
      </c>
      <c r="C97" s="20"/>
      <c r="D97" s="21" t="s">
        <v>79</v>
      </c>
      <c r="E97" s="26"/>
      <c r="F97" s="22">
        <v>1</v>
      </c>
      <c r="G97" s="23" t="s">
        <v>20</v>
      </c>
      <c r="H97" s="22">
        <v>24</v>
      </c>
      <c r="I97" s="23" t="s">
        <v>79</v>
      </c>
      <c r="J97" s="24">
        <v>20200</v>
      </c>
      <c r="K97" s="21" t="s">
        <v>79</v>
      </c>
      <c r="L97" s="25">
        <v>0.125</v>
      </c>
      <c r="M97" s="25">
        <v>0.05</v>
      </c>
      <c r="N97" s="22"/>
      <c r="O97" s="23" t="s">
        <v>79</v>
      </c>
      <c r="P97" s="20">
        <f t="shared" si="27"/>
        <v>0</v>
      </c>
      <c r="Q97" s="23" t="s">
        <v>79</v>
      </c>
      <c r="R97" s="24">
        <f t="shared" si="28"/>
        <v>0</v>
      </c>
      <c r="S97" s="24">
        <f t="shared" si="0"/>
        <v>0</v>
      </c>
    </row>
    <row r="98" spans="1:19" s="19" customFormat="1">
      <c r="A98" s="57" t="s">
        <v>829</v>
      </c>
      <c r="B98" s="19" t="s">
        <v>18</v>
      </c>
      <c r="C98" s="20"/>
      <c r="D98" s="21" t="s">
        <v>79</v>
      </c>
      <c r="E98" s="26"/>
      <c r="F98" s="22">
        <v>1</v>
      </c>
      <c r="G98" s="23" t="s">
        <v>20</v>
      </c>
      <c r="H98" s="22">
        <v>96</v>
      </c>
      <c r="I98" s="23" t="s">
        <v>79</v>
      </c>
      <c r="J98" s="24">
        <v>16500</v>
      </c>
      <c r="K98" s="21" t="s">
        <v>79</v>
      </c>
      <c r="L98" s="25">
        <v>0.125</v>
      </c>
      <c r="M98" s="25">
        <v>0.05</v>
      </c>
      <c r="N98" s="22"/>
      <c r="O98" s="23" t="s">
        <v>79</v>
      </c>
      <c r="P98" s="20">
        <f t="shared" si="27"/>
        <v>0</v>
      </c>
      <c r="Q98" s="23" t="s">
        <v>79</v>
      </c>
      <c r="R98" s="24">
        <f t="shared" si="28"/>
        <v>0</v>
      </c>
      <c r="S98" s="24">
        <f t="shared" ref="S98:S178" si="29">R98/1.11</f>
        <v>0</v>
      </c>
    </row>
    <row r="99" spans="1:19" s="19" customFormat="1">
      <c r="A99" s="18" t="s">
        <v>85</v>
      </c>
      <c r="B99" s="19" t="s">
        <v>18</v>
      </c>
      <c r="C99" s="20"/>
      <c r="D99" s="21" t="s">
        <v>86</v>
      </c>
      <c r="E99" s="26"/>
      <c r="F99" s="22">
        <v>1</v>
      </c>
      <c r="G99" s="23" t="s">
        <v>20</v>
      </c>
      <c r="H99" s="22">
        <v>60</v>
      </c>
      <c r="I99" s="23" t="s">
        <v>86</v>
      </c>
      <c r="J99" s="24">
        <v>27600</v>
      </c>
      <c r="K99" s="21" t="s">
        <v>86</v>
      </c>
      <c r="L99" s="25">
        <v>0.125</v>
      </c>
      <c r="M99" s="25">
        <v>0.05</v>
      </c>
      <c r="N99" s="22"/>
      <c r="O99" s="23" t="s">
        <v>86</v>
      </c>
      <c r="P99" s="20">
        <f t="shared" si="27"/>
        <v>0</v>
      </c>
      <c r="Q99" s="23" t="s">
        <v>86</v>
      </c>
      <c r="R99" s="24">
        <f t="shared" si="28"/>
        <v>0</v>
      </c>
      <c r="S99" s="24">
        <f t="shared" si="29"/>
        <v>0</v>
      </c>
    </row>
    <row r="100" spans="1:19" s="19" customFormat="1">
      <c r="A100" s="18" t="s">
        <v>87</v>
      </c>
      <c r="B100" s="19" t="s">
        <v>18</v>
      </c>
      <c r="C100" s="20"/>
      <c r="D100" s="21" t="s">
        <v>86</v>
      </c>
      <c r="E100" s="26"/>
      <c r="F100" s="22">
        <v>1</v>
      </c>
      <c r="G100" s="23" t="s">
        <v>20</v>
      </c>
      <c r="H100" s="22">
        <v>50</v>
      </c>
      <c r="I100" s="23" t="s">
        <v>86</v>
      </c>
      <c r="J100" s="24">
        <v>30900</v>
      </c>
      <c r="K100" s="21" t="s">
        <v>86</v>
      </c>
      <c r="L100" s="25">
        <v>0.125</v>
      </c>
      <c r="M100" s="25">
        <v>0.05</v>
      </c>
      <c r="N100" s="22"/>
      <c r="O100" s="23" t="s">
        <v>86</v>
      </c>
      <c r="P100" s="20">
        <f t="shared" si="27"/>
        <v>0</v>
      </c>
      <c r="Q100" s="23" t="s">
        <v>86</v>
      </c>
      <c r="R100" s="24">
        <f t="shared" si="28"/>
        <v>0</v>
      </c>
      <c r="S100" s="24">
        <f t="shared" si="29"/>
        <v>0</v>
      </c>
    </row>
    <row r="101" spans="1:19" s="19" customFormat="1">
      <c r="A101" s="18" t="s">
        <v>88</v>
      </c>
      <c r="B101" s="19" t="s">
        <v>18</v>
      </c>
      <c r="C101" s="20"/>
      <c r="D101" s="21" t="s">
        <v>86</v>
      </c>
      <c r="E101" s="26"/>
      <c r="F101" s="22">
        <v>1</v>
      </c>
      <c r="G101" s="23" t="s">
        <v>20</v>
      </c>
      <c r="H101" s="22">
        <v>30</v>
      </c>
      <c r="I101" s="23" t="s">
        <v>86</v>
      </c>
      <c r="J101" s="24">
        <v>48600</v>
      </c>
      <c r="K101" s="21" t="s">
        <v>86</v>
      </c>
      <c r="L101" s="25">
        <v>0.125</v>
      </c>
      <c r="M101" s="25">
        <v>0.05</v>
      </c>
      <c r="N101" s="22"/>
      <c r="O101" s="23" t="s">
        <v>86</v>
      </c>
      <c r="P101" s="20">
        <f t="shared" si="27"/>
        <v>0</v>
      </c>
      <c r="Q101" s="23" t="s">
        <v>86</v>
      </c>
      <c r="R101" s="24">
        <f t="shared" si="28"/>
        <v>0</v>
      </c>
      <c r="S101" s="24">
        <f t="shared" si="29"/>
        <v>0</v>
      </c>
    </row>
    <row r="102" spans="1:19" s="19" customFormat="1">
      <c r="A102" s="18" t="s">
        <v>89</v>
      </c>
      <c r="B102" s="19" t="s">
        <v>18</v>
      </c>
      <c r="C102" s="20"/>
      <c r="D102" s="21" t="s">
        <v>86</v>
      </c>
      <c r="E102" s="26">
        <v>3</v>
      </c>
      <c r="F102" s="22">
        <v>1</v>
      </c>
      <c r="G102" s="23" t="s">
        <v>20</v>
      </c>
      <c r="H102" s="22">
        <v>20</v>
      </c>
      <c r="I102" s="23" t="s">
        <v>86</v>
      </c>
      <c r="J102" s="24">
        <v>67800</v>
      </c>
      <c r="K102" s="21" t="s">
        <v>86</v>
      </c>
      <c r="L102" s="25">
        <v>0.125</v>
      </c>
      <c r="M102" s="25">
        <v>0.05</v>
      </c>
      <c r="N102" s="22"/>
      <c r="O102" s="23" t="s">
        <v>86</v>
      </c>
      <c r="P102" s="20">
        <f t="shared" si="27"/>
        <v>60</v>
      </c>
      <c r="Q102" s="23" t="s">
        <v>86</v>
      </c>
      <c r="R102" s="24">
        <f t="shared" si="28"/>
        <v>3381525</v>
      </c>
      <c r="S102" s="24">
        <f t="shared" si="29"/>
        <v>3046418.9189189188</v>
      </c>
    </row>
    <row r="103" spans="1:19" s="19" customFormat="1">
      <c r="A103" s="18" t="s">
        <v>90</v>
      </c>
      <c r="B103" s="19" t="s">
        <v>18</v>
      </c>
      <c r="C103" s="20"/>
      <c r="D103" s="21" t="s">
        <v>86</v>
      </c>
      <c r="E103" s="26"/>
      <c r="F103" s="22">
        <v>1</v>
      </c>
      <c r="G103" s="23" t="s">
        <v>20</v>
      </c>
      <c r="H103" s="22">
        <v>10</v>
      </c>
      <c r="I103" s="23" t="s">
        <v>86</v>
      </c>
      <c r="J103" s="24">
        <v>115800</v>
      </c>
      <c r="K103" s="21" t="s">
        <v>86</v>
      </c>
      <c r="L103" s="25">
        <v>0.125</v>
      </c>
      <c r="M103" s="25">
        <v>0.05</v>
      </c>
      <c r="N103" s="22"/>
      <c r="O103" s="23" t="s">
        <v>86</v>
      </c>
      <c r="P103" s="20">
        <f t="shared" si="27"/>
        <v>0</v>
      </c>
      <c r="Q103" s="23" t="s">
        <v>86</v>
      </c>
      <c r="R103" s="24">
        <f t="shared" si="28"/>
        <v>0</v>
      </c>
      <c r="S103" s="24">
        <f t="shared" si="29"/>
        <v>0</v>
      </c>
    </row>
    <row r="104" spans="1:19" s="19" customFormat="1">
      <c r="A104" s="18" t="s">
        <v>91</v>
      </c>
      <c r="B104" s="19" t="s">
        <v>18</v>
      </c>
      <c r="C104" s="20"/>
      <c r="D104" s="21" t="s">
        <v>86</v>
      </c>
      <c r="E104" s="26"/>
      <c r="F104" s="22">
        <v>1</v>
      </c>
      <c r="G104" s="23" t="s">
        <v>20</v>
      </c>
      <c r="H104" s="22">
        <v>5</v>
      </c>
      <c r="I104" s="23" t="s">
        <v>86</v>
      </c>
      <c r="J104" s="24">
        <v>177000</v>
      </c>
      <c r="K104" s="21" t="s">
        <v>86</v>
      </c>
      <c r="L104" s="25">
        <v>0.125</v>
      </c>
      <c r="M104" s="25">
        <v>0.05</v>
      </c>
      <c r="N104" s="22"/>
      <c r="O104" s="23" t="s">
        <v>86</v>
      </c>
      <c r="P104" s="20">
        <f t="shared" si="27"/>
        <v>0</v>
      </c>
      <c r="Q104" s="23" t="s">
        <v>86</v>
      </c>
      <c r="R104" s="24">
        <f t="shared" si="28"/>
        <v>0</v>
      </c>
      <c r="S104" s="24">
        <f t="shared" si="29"/>
        <v>0</v>
      </c>
    </row>
    <row r="105" spans="1:19" s="19" customFormat="1">
      <c r="A105" s="18" t="s">
        <v>92</v>
      </c>
      <c r="B105" s="19" t="s">
        <v>18</v>
      </c>
      <c r="C105" s="20"/>
      <c r="D105" s="21" t="s">
        <v>42</v>
      </c>
      <c r="E105" s="26"/>
      <c r="F105" s="22">
        <v>3</v>
      </c>
      <c r="G105" s="23" t="s">
        <v>86</v>
      </c>
      <c r="H105" s="22">
        <v>12</v>
      </c>
      <c r="I105" s="23" t="s">
        <v>42</v>
      </c>
      <c r="J105" s="24">
        <f>507600/12</f>
        <v>42300</v>
      </c>
      <c r="K105" s="21" t="s">
        <v>42</v>
      </c>
      <c r="L105" s="25">
        <v>0.125</v>
      </c>
      <c r="M105" s="25">
        <v>0.05</v>
      </c>
      <c r="N105" s="22"/>
      <c r="O105" s="23" t="s">
        <v>42</v>
      </c>
      <c r="P105" s="20">
        <f t="shared" si="27"/>
        <v>0</v>
      </c>
      <c r="Q105" s="23" t="s">
        <v>42</v>
      </c>
      <c r="R105" s="24">
        <f t="shared" si="28"/>
        <v>0</v>
      </c>
      <c r="S105" s="24">
        <f t="shared" si="29"/>
        <v>0</v>
      </c>
    </row>
    <row r="106" spans="1:19" s="19" customFormat="1">
      <c r="A106" s="18"/>
      <c r="C106" s="20"/>
      <c r="D106" s="21"/>
      <c r="E106" s="26"/>
      <c r="F106" s="22"/>
      <c r="G106" s="23"/>
      <c r="H106" s="22"/>
      <c r="I106" s="23"/>
      <c r="J106" s="24"/>
      <c r="K106" s="21"/>
      <c r="L106" s="25"/>
      <c r="M106" s="25"/>
      <c r="N106" s="22"/>
      <c r="O106" s="23"/>
      <c r="P106" s="20"/>
      <c r="Q106" s="23"/>
      <c r="R106" s="24"/>
      <c r="S106" s="24"/>
    </row>
    <row r="107" spans="1:19" s="19" customFormat="1">
      <c r="A107" s="18" t="s">
        <v>93</v>
      </c>
      <c r="B107" s="19" t="s">
        <v>25</v>
      </c>
      <c r="C107" s="20"/>
      <c r="D107" s="21" t="s">
        <v>86</v>
      </c>
      <c r="E107" s="26"/>
      <c r="F107" s="22">
        <v>1</v>
      </c>
      <c r="G107" s="23" t="s">
        <v>20</v>
      </c>
      <c r="H107" s="22">
        <v>50</v>
      </c>
      <c r="I107" s="23" t="s">
        <v>86</v>
      </c>
      <c r="J107" s="24">
        <f>1440000/50</f>
        <v>28800</v>
      </c>
      <c r="K107" s="21" t="s">
        <v>86</v>
      </c>
      <c r="L107" s="25"/>
      <c r="M107" s="25">
        <v>0.17</v>
      </c>
      <c r="N107" s="22"/>
      <c r="O107" s="23" t="s">
        <v>86</v>
      </c>
      <c r="P107" s="20">
        <f t="shared" ref="P107:P113" si="30">(C107+(E107*F107*H107))-N107</f>
        <v>0</v>
      </c>
      <c r="Q107" s="23" t="s">
        <v>86</v>
      </c>
      <c r="R107" s="24">
        <f t="shared" ref="R107:R113" si="31">P107*(J107-(J107*L107)-((J107-(J107*L107))*M107))</f>
        <v>0</v>
      </c>
      <c r="S107" s="24">
        <f t="shared" si="29"/>
        <v>0</v>
      </c>
    </row>
    <row r="108" spans="1:19" s="19" customFormat="1">
      <c r="A108" s="18" t="s">
        <v>94</v>
      </c>
      <c r="B108" s="19" t="s">
        <v>25</v>
      </c>
      <c r="C108" s="20"/>
      <c r="D108" s="21" t="s">
        <v>86</v>
      </c>
      <c r="E108" s="26"/>
      <c r="F108" s="22">
        <v>1</v>
      </c>
      <c r="G108" s="23" t="s">
        <v>20</v>
      </c>
      <c r="H108" s="22">
        <v>50</v>
      </c>
      <c r="I108" s="23" t="s">
        <v>86</v>
      </c>
      <c r="J108" s="24">
        <f>1590000/50</f>
        <v>31800</v>
      </c>
      <c r="K108" s="21" t="s">
        <v>86</v>
      </c>
      <c r="L108" s="25"/>
      <c r="M108" s="25">
        <v>0.17</v>
      </c>
      <c r="N108" s="22"/>
      <c r="O108" s="23" t="s">
        <v>86</v>
      </c>
      <c r="P108" s="20">
        <f t="shared" si="30"/>
        <v>0</v>
      </c>
      <c r="Q108" s="23" t="s">
        <v>86</v>
      </c>
      <c r="R108" s="24">
        <f t="shared" si="31"/>
        <v>0</v>
      </c>
      <c r="S108" s="24">
        <f t="shared" si="29"/>
        <v>0</v>
      </c>
    </row>
    <row r="109" spans="1:19" s="19" customFormat="1">
      <c r="A109" s="18" t="s">
        <v>95</v>
      </c>
      <c r="B109" s="19" t="s">
        <v>25</v>
      </c>
      <c r="C109" s="20"/>
      <c r="D109" s="21" t="s">
        <v>86</v>
      </c>
      <c r="E109" s="26">
        <v>1</v>
      </c>
      <c r="F109" s="22">
        <v>1</v>
      </c>
      <c r="G109" s="23" t="s">
        <v>20</v>
      </c>
      <c r="H109" s="22">
        <v>30</v>
      </c>
      <c r="I109" s="23" t="s">
        <v>86</v>
      </c>
      <c r="J109" s="24">
        <f>1476000/30</f>
        <v>49200</v>
      </c>
      <c r="K109" s="21" t="s">
        <v>86</v>
      </c>
      <c r="L109" s="25"/>
      <c r="M109" s="25">
        <v>0.17</v>
      </c>
      <c r="N109" s="22"/>
      <c r="O109" s="23" t="s">
        <v>86</v>
      </c>
      <c r="P109" s="20">
        <f t="shared" si="30"/>
        <v>30</v>
      </c>
      <c r="Q109" s="23" t="s">
        <v>86</v>
      </c>
      <c r="R109" s="24">
        <f t="shared" si="31"/>
        <v>1225080</v>
      </c>
      <c r="S109" s="24">
        <f t="shared" si="29"/>
        <v>1103675.6756756755</v>
      </c>
    </row>
    <row r="110" spans="1:19" s="19" customFormat="1">
      <c r="A110" s="18" t="s">
        <v>96</v>
      </c>
      <c r="B110" s="19" t="s">
        <v>25</v>
      </c>
      <c r="C110" s="20"/>
      <c r="D110" s="21" t="s">
        <v>86</v>
      </c>
      <c r="E110" s="26"/>
      <c r="F110" s="22">
        <v>1</v>
      </c>
      <c r="G110" s="23" t="s">
        <v>20</v>
      </c>
      <c r="H110" s="22">
        <v>20</v>
      </c>
      <c r="I110" s="23" t="s">
        <v>86</v>
      </c>
      <c r="J110" s="24">
        <f>1380000/20</f>
        <v>69000</v>
      </c>
      <c r="K110" s="21" t="s">
        <v>86</v>
      </c>
      <c r="L110" s="25"/>
      <c r="M110" s="25">
        <v>0.17</v>
      </c>
      <c r="N110" s="22"/>
      <c r="O110" s="23" t="s">
        <v>86</v>
      </c>
      <c r="P110" s="20">
        <f t="shared" si="30"/>
        <v>0</v>
      </c>
      <c r="Q110" s="23" t="s">
        <v>86</v>
      </c>
      <c r="R110" s="24">
        <f t="shared" si="31"/>
        <v>0</v>
      </c>
      <c r="S110" s="24">
        <f t="shared" si="29"/>
        <v>0</v>
      </c>
    </row>
    <row r="111" spans="1:19" s="19" customFormat="1">
      <c r="A111" s="18" t="s">
        <v>97</v>
      </c>
      <c r="B111" s="19" t="s">
        <v>25</v>
      </c>
      <c r="C111" s="20"/>
      <c r="D111" s="21" t="s">
        <v>86</v>
      </c>
      <c r="E111" s="26"/>
      <c r="F111" s="22">
        <v>1</v>
      </c>
      <c r="G111" s="23" t="s">
        <v>20</v>
      </c>
      <c r="H111" s="22">
        <v>10</v>
      </c>
      <c r="I111" s="23" t="s">
        <v>86</v>
      </c>
      <c r="J111" s="24">
        <f>1200000/10</f>
        <v>120000</v>
      </c>
      <c r="K111" s="21" t="s">
        <v>86</v>
      </c>
      <c r="L111" s="25"/>
      <c r="M111" s="25">
        <v>0.17</v>
      </c>
      <c r="N111" s="22"/>
      <c r="O111" s="23" t="s">
        <v>86</v>
      </c>
      <c r="P111" s="20">
        <f t="shared" si="30"/>
        <v>0</v>
      </c>
      <c r="Q111" s="23" t="s">
        <v>86</v>
      </c>
      <c r="R111" s="24">
        <f t="shared" si="31"/>
        <v>0</v>
      </c>
      <c r="S111" s="24">
        <f t="shared" si="29"/>
        <v>0</v>
      </c>
    </row>
    <row r="112" spans="1:19" s="19" customFormat="1">
      <c r="A112" s="18" t="s">
        <v>98</v>
      </c>
      <c r="B112" s="19" t="s">
        <v>25</v>
      </c>
      <c r="C112" s="20"/>
      <c r="D112" s="21" t="s">
        <v>86</v>
      </c>
      <c r="E112" s="26">
        <v>3</v>
      </c>
      <c r="F112" s="22">
        <v>1</v>
      </c>
      <c r="G112" s="23" t="s">
        <v>20</v>
      </c>
      <c r="H112" s="22">
        <v>5</v>
      </c>
      <c r="I112" s="23" t="s">
        <v>86</v>
      </c>
      <c r="J112" s="24">
        <f>900000/5</f>
        <v>180000</v>
      </c>
      <c r="K112" s="21" t="s">
        <v>86</v>
      </c>
      <c r="L112" s="25"/>
      <c r="M112" s="25">
        <v>0.17</v>
      </c>
      <c r="N112" s="22"/>
      <c r="O112" s="23" t="s">
        <v>86</v>
      </c>
      <c r="P112" s="20">
        <f t="shared" si="30"/>
        <v>15</v>
      </c>
      <c r="Q112" s="23" t="s">
        <v>86</v>
      </c>
      <c r="R112" s="24">
        <f t="shared" si="31"/>
        <v>2241000</v>
      </c>
      <c r="S112" s="24">
        <f t="shared" si="29"/>
        <v>2018918.9189189188</v>
      </c>
    </row>
    <row r="113" spans="1:19" s="19" customFormat="1">
      <c r="A113" s="18" t="s">
        <v>716</v>
      </c>
      <c r="B113" s="19" t="s">
        <v>25</v>
      </c>
      <c r="C113" s="20"/>
      <c r="D113" s="21" t="s">
        <v>33</v>
      </c>
      <c r="E113" s="26"/>
      <c r="F113" s="22">
        <v>1</v>
      </c>
      <c r="G113" s="23" t="s">
        <v>20</v>
      </c>
      <c r="H113" s="22">
        <v>72</v>
      </c>
      <c r="I113" s="23" t="s">
        <v>33</v>
      </c>
      <c r="J113" s="24">
        <f>1548000/72</f>
        <v>21500</v>
      </c>
      <c r="K113" s="21" t="s">
        <v>33</v>
      </c>
      <c r="L113" s="25"/>
      <c r="M113" s="25">
        <v>0.17</v>
      </c>
      <c r="N113" s="22"/>
      <c r="O113" s="23" t="s">
        <v>33</v>
      </c>
      <c r="P113" s="20">
        <f t="shared" si="30"/>
        <v>0</v>
      </c>
      <c r="Q113" s="23" t="s">
        <v>33</v>
      </c>
      <c r="R113" s="24">
        <f t="shared" si="31"/>
        <v>0</v>
      </c>
      <c r="S113" s="24">
        <f t="shared" si="29"/>
        <v>0</v>
      </c>
    </row>
    <row r="114" spans="1:19" s="19" customFormat="1">
      <c r="A114" s="18"/>
      <c r="C114" s="20"/>
      <c r="D114" s="21"/>
      <c r="E114" s="26"/>
      <c r="F114" s="22"/>
      <c r="G114" s="23"/>
      <c r="H114" s="22"/>
      <c r="I114" s="23"/>
      <c r="J114" s="24"/>
      <c r="K114" s="21"/>
      <c r="L114" s="25"/>
      <c r="M114" s="25"/>
      <c r="N114" s="22"/>
      <c r="O114" s="23"/>
      <c r="P114" s="20"/>
      <c r="Q114" s="23"/>
      <c r="R114" s="24"/>
      <c r="S114" s="24"/>
    </row>
    <row r="115" spans="1:19" s="19" customFormat="1">
      <c r="A115" s="88" t="s">
        <v>99</v>
      </c>
      <c r="C115" s="20"/>
      <c r="D115" s="21"/>
      <c r="E115" s="26"/>
      <c r="F115" s="22"/>
      <c r="G115" s="23"/>
      <c r="H115" s="22"/>
      <c r="I115" s="23"/>
      <c r="J115" s="24"/>
      <c r="K115" s="21"/>
      <c r="L115" s="25"/>
      <c r="M115" s="25"/>
      <c r="N115" s="22"/>
      <c r="O115" s="23"/>
      <c r="P115" s="20"/>
      <c r="Q115" s="23"/>
      <c r="R115" s="24"/>
      <c r="S115" s="24"/>
    </row>
    <row r="116" spans="1:19" s="19" customFormat="1">
      <c r="A116" s="18" t="s">
        <v>100</v>
      </c>
      <c r="B116" s="19" t="s">
        <v>18</v>
      </c>
      <c r="C116" s="20"/>
      <c r="D116" s="21" t="s">
        <v>33</v>
      </c>
      <c r="E116" s="26">
        <v>1</v>
      </c>
      <c r="F116" s="22">
        <v>50</v>
      </c>
      <c r="G116" s="23" t="s">
        <v>101</v>
      </c>
      <c r="H116" s="22">
        <v>10</v>
      </c>
      <c r="I116" s="23" t="s">
        <v>33</v>
      </c>
      <c r="J116" s="24">
        <v>1850</v>
      </c>
      <c r="K116" s="21" t="s">
        <v>33</v>
      </c>
      <c r="L116" s="25">
        <v>0.125</v>
      </c>
      <c r="M116" s="25">
        <v>0.05</v>
      </c>
      <c r="N116" s="22"/>
      <c r="O116" s="23" t="s">
        <v>33</v>
      </c>
      <c r="P116" s="20">
        <f>(C116+(E116*F116*H116))-N116</f>
        <v>500</v>
      </c>
      <c r="Q116" s="23" t="s">
        <v>33</v>
      </c>
      <c r="R116" s="24">
        <f>P116*(J116-(J116*L116)-((J116-(J116*L116))*M116))</f>
        <v>768906.25</v>
      </c>
      <c r="S116" s="24">
        <f t="shared" si="29"/>
        <v>692708.33333333326</v>
      </c>
    </row>
    <row r="117" spans="1:19" s="19" customFormat="1">
      <c r="A117" s="18" t="s">
        <v>102</v>
      </c>
      <c r="B117" s="19" t="s">
        <v>18</v>
      </c>
      <c r="C117" s="20"/>
      <c r="D117" s="21" t="s">
        <v>33</v>
      </c>
      <c r="E117" s="26">
        <v>1</v>
      </c>
      <c r="F117" s="22">
        <v>50</v>
      </c>
      <c r="G117" s="23" t="s">
        <v>101</v>
      </c>
      <c r="H117" s="22">
        <v>10</v>
      </c>
      <c r="I117" s="23" t="s">
        <v>33</v>
      </c>
      <c r="J117" s="24">
        <v>1625</v>
      </c>
      <c r="K117" s="21" t="s">
        <v>33</v>
      </c>
      <c r="L117" s="25">
        <v>0.125</v>
      </c>
      <c r="M117" s="25">
        <v>0.05</v>
      </c>
      <c r="N117" s="22"/>
      <c r="O117" s="23" t="s">
        <v>33</v>
      </c>
      <c r="P117" s="20">
        <f>(C117+(E117*F117*H117))-N117</f>
        <v>500</v>
      </c>
      <c r="Q117" s="23" t="s">
        <v>33</v>
      </c>
      <c r="R117" s="24">
        <f>P117*(J117-(J117*L117)-((J117-(J117*L117))*M117))</f>
        <v>675390.625</v>
      </c>
      <c r="S117" s="24">
        <f t="shared" si="29"/>
        <v>608460.02252252249</v>
      </c>
    </row>
    <row r="118" spans="1:19" s="19" customFormat="1">
      <c r="A118" s="18" t="s">
        <v>103</v>
      </c>
      <c r="B118" s="19" t="s">
        <v>18</v>
      </c>
      <c r="C118" s="20"/>
      <c r="D118" s="21" t="s">
        <v>33</v>
      </c>
      <c r="E118" s="26"/>
      <c r="F118" s="22">
        <v>20</v>
      </c>
      <c r="G118" s="23" t="s">
        <v>101</v>
      </c>
      <c r="H118" s="22">
        <v>10</v>
      </c>
      <c r="I118" s="23" t="s">
        <v>33</v>
      </c>
      <c r="J118" s="24">
        <v>4400</v>
      </c>
      <c r="K118" s="21" t="s">
        <v>33</v>
      </c>
      <c r="L118" s="25">
        <v>0.125</v>
      </c>
      <c r="M118" s="25">
        <v>0.05</v>
      </c>
      <c r="N118" s="22"/>
      <c r="O118" s="23" t="s">
        <v>33</v>
      </c>
      <c r="P118" s="20">
        <f>(C118+(E118*F118*H118))-N118</f>
        <v>0</v>
      </c>
      <c r="Q118" s="23" t="s">
        <v>33</v>
      </c>
      <c r="R118" s="24">
        <f>P118*(J118-(J118*L118)-((J118-(J118*L118))*M118))</f>
        <v>0</v>
      </c>
      <c r="S118" s="24">
        <f t="shared" si="29"/>
        <v>0</v>
      </c>
    </row>
    <row r="119" spans="1:19" s="19" customFormat="1">
      <c r="A119" s="18" t="s">
        <v>104</v>
      </c>
      <c r="B119" s="19" t="s">
        <v>18</v>
      </c>
      <c r="C119" s="20"/>
      <c r="D119" s="21" t="s">
        <v>105</v>
      </c>
      <c r="E119" s="26"/>
      <c r="F119" s="22">
        <v>24</v>
      </c>
      <c r="G119" s="23" t="s">
        <v>33</v>
      </c>
      <c r="H119" s="22">
        <v>12</v>
      </c>
      <c r="I119" s="23" t="s">
        <v>105</v>
      </c>
      <c r="J119" s="24">
        <v>3100</v>
      </c>
      <c r="K119" s="21" t="s">
        <v>105</v>
      </c>
      <c r="L119" s="25">
        <v>0.125</v>
      </c>
      <c r="M119" s="25">
        <v>0.05</v>
      </c>
      <c r="N119" s="22"/>
      <c r="O119" s="23" t="s">
        <v>105</v>
      </c>
      <c r="P119" s="20">
        <f>(C119+(E119*F119*H119))-N119</f>
        <v>0</v>
      </c>
      <c r="Q119" s="23" t="s">
        <v>105</v>
      </c>
      <c r="R119" s="24">
        <f>P119*(J119-(J119*L119)-((J119-(J119*L119))*M119))</f>
        <v>0</v>
      </c>
      <c r="S119" s="24">
        <f t="shared" si="29"/>
        <v>0</v>
      </c>
    </row>
    <row r="120" spans="1:19" s="19" customFormat="1">
      <c r="A120" s="18"/>
      <c r="C120" s="20"/>
      <c r="D120" s="21"/>
      <c r="E120" s="26"/>
      <c r="F120" s="22"/>
      <c r="G120" s="23"/>
      <c r="H120" s="22"/>
      <c r="I120" s="23"/>
      <c r="J120" s="24"/>
      <c r="K120" s="21"/>
      <c r="L120" s="25"/>
      <c r="M120" s="25"/>
      <c r="N120" s="22"/>
      <c r="O120" s="23"/>
      <c r="P120" s="20"/>
      <c r="Q120" s="23"/>
      <c r="R120" s="24"/>
      <c r="S120" s="24"/>
    </row>
    <row r="121" spans="1:19" s="19" customFormat="1">
      <c r="A121" s="18" t="s">
        <v>106</v>
      </c>
      <c r="B121" s="19" t="s">
        <v>25</v>
      </c>
      <c r="C121" s="20"/>
      <c r="D121" s="21" t="s">
        <v>33</v>
      </c>
      <c r="E121" s="26"/>
      <c r="F121" s="22">
        <v>50</v>
      </c>
      <c r="G121" s="23" t="s">
        <v>101</v>
      </c>
      <c r="H121" s="22">
        <v>10</v>
      </c>
      <c r="I121" s="23" t="s">
        <v>33</v>
      </c>
      <c r="J121" s="24">
        <f>850000/50/10</f>
        <v>1700</v>
      </c>
      <c r="K121" s="21" t="s">
        <v>33</v>
      </c>
      <c r="L121" s="25"/>
      <c r="M121" s="25">
        <v>0.17</v>
      </c>
      <c r="N121" s="22"/>
      <c r="O121" s="23" t="s">
        <v>33</v>
      </c>
      <c r="P121" s="20">
        <f>(C121+(E121*F121*H121))-N121</f>
        <v>0</v>
      </c>
      <c r="Q121" s="23" t="s">
        <v>33</v>
      </c>
      <c r="R121" s="24">
        <f>P121*(J121-(J121*L121)-((J121-(J121*L121))*M121))</f>
        <v>0</v>
      </c>
      <c r="S121" s="24">
        <f t="shared" si="29"/>
        <v>0</v>
      </c>
    </row>
    <row r="122" spans="1:19" s="19" customFormat="1">
      <c r="A122" s="18" t="s">
        <v>107</v>
      </c>
      <c r="B122" s="19" t="s">
        <v>25</v>
      </c>
      <c r="C122" s="20"/>
      <c r="D122" s="21" t="s">
        <v>33</v>
      </c>
      <c r="E122" s="26">
        <v>3</v>
      </c>
      <c r="F122" s="22">
        <v>50</v>
      </c>
      <c r="G122" s="23" t="s">
        <v>101</v>
      </c>
      <c r="H122" s="22">
        <v>10</v>
      </c>
      <c r="I122" s="23" t="s">
        <v>33</v>
      </c>
      <c r="J122" s="24">
        <f>800000/50/10</f>
        <v>1600</v>
      </c>
      <c r="K122" s="21" t="s">
        <v>33</v>
      </c>
      <c r="L122" s="25"/>
      <c r="M122" s="25">
        <v>0.17</v>
      </c>
      <c r="N122" s="22"/>
      <c r="O122" s="23" t="s">
        <v>33</v>
      </c>
      <c r="P122" s="20">
        <f>(C122+(E122*F122*H122))-N122</f>
        <v>1500</v>
      </c>
      <c r="Q122" s="23" t="s">
        <v>33</v>
      </c>
      <c r="R122" s="24">
        <f>P122*(J122-(J122*L122)-((J122-(J122*L122))*M122))</f>
        <v>1992000</v>
      </c>
      <c r="S122" s="24">
        <f t="shared" si="29"/>
        <v>1794594.5945945943</v>
      </c>
    </row>
    <row r="123" spans="1:19" s="19" customFormat="1">
      <c r="A123" s="18" t="s">
        <v>108</v>
      </c>
      <c r="B123" s="19" t="s">
        <v>25</v>
      </c>
      <c r="C123" s="20"/>
      <c r="D123" s="21" t="s">
        <v>33</v>
      </c>
      <c r="E123" s="26">
        <v>3</v>
      </c>
      <c r="F123" s="22">
        <v>20</v>
      </c>
      <c r="G123" s="23" t="s">
        <v>101</v>
      </c>
      <c r="H123" s="22">
        <v>10</v>
      </c>
      <c r="I123" s="23" t="s">
        <v>33</v>
      </c>
      <c r="J123" s="24">
        <f>860000/20/10</f>
        <v>4300</v>
      </c>
      <c r="K123" s="21" t="s">
        <v>33</v>
      </c>
      <c r="L123" s="25"/>
      <c r="M123" s="25">
        <v>0.17</v>
      </c>
      <c r="N123" s="22"/>
      <c r="O123" s="23" t="s">
        <v>33</v>
      </c>
      <c r="P123" s="20">
        <f>(C123+(E123*F123*H123))-N123</f>
        <v>600</v>
      </c>
      <c r="Q123" s="23" t="s">
        <v>33</v>
      </c>
      <c r="R123" s="24">
        <f>P123*(J123-(J123*L123)-((J123-(J123*L123))*M123))</f>
        <v>2141400</v>
      </c>
      <c r="S123" s="24">
        <f t="shared" si="29"/>
        <v>1929189.1891891891</v>
      </c>
    </row>
    <row r="124" spans="1:19" s="19" customFormat="1">
      <c r="A124" s="18" t="s">
        <v>109</v>
      </c>
      <c r="B124" s="19" t="s">
        <v>25</v>
      </c>
      <c r="C124" s="20"/>
      <c r="D124" s="21" t="s">
        <v>42</v>
      </c>
      <c r="E124" s="26">
        <v>1</v>
      </c>
      <c r="F124" s="22">
        <v>1</v>
      </c>
      <c r="G124" s="23" t="s">
        <v>20</v>
      </c>
      <c r="H124" s="22">
        <v>48</v>
      </c>
      <c r="I124" s="23" t="s">
        <v>42</v>
      </c>
      <c r="J124" s="24">
        <f>1987200/48</f>
        <v>41400</v>
      </c>
      <c r="K124" s="21" t="s">
        <v>42</v>
      </c>
      <c r="L124" s="25"/>
      <c r="M124" s="25">
        <v>0.17</v>
      </c>
      <c r="N124" s="22"/>
      <c r="O124" s="23" t="s">
        <v>42</v>
      </c>
      <c r="P124" s="20">
        <f>(C124+(E124*F124*H124))-N124</f>
        <v>48</v>
      </c>
      <c r="Q124" s="23" t="s">
        <v>42</v>
      </c>
      <c r="R124" s="24">
        <f>P124*(J124-(J124*L124)-((J124-(J124*L124))*M124))</f>
        <v>1649376</v>
      </c>
      <c r="S124" s="24">
        <f t="shared" si="29"/>
        <v>1485924.3243243243</v>
      </c>
    </row>
    <row r="125" spans="1:19" s="19" customFormat="1">
      <c r="A125" s="18"/>
      <c r="C125" s="20"/>
      <c r="D125" s="21"/>
      <c r="E125" s="26"/>
      <c r="F125" s="22"/>
      <c r="G125" s="23"/>
      <c r="H125" s="22"/>
      <c r="I125" s="23"/>
      <c r="J125" s="24"/>
      <c r="K125" s="21"/>
      <c r="L125" s="25"/>
      <c r="M125" s="25"/>
      <c r="N125" s="22"/>
      <c r="O125" s="23"/>
      <c r="P125" s="20"/>
      <c r="Q125" s="23"/>
      <c r="R125" s="24"/>
      <c r="S125" s="24"/>
    </row>
    <row r="126" spans="1:19" s="19" customFormat="1" ht="15.75">
      <c r="A126" s="44" t="s">
        <v>110</v>
      </c>
      <c r="C126" s="20"/>
      <c r="D126" s="21"/>
      <c r="E126" s="26"/>
      <c r="F126" s="22"/>
      <c r="G126" s="23"/>
      <c r="H126" s="22"/>
      <c r="I126" s="23"/>
      <c r="J126" s="24"/>
      <c r="K126" s="21"/>
      <c r="L126" s="25"/>
      <c r="M126" s="25"/>
      <c r="N126" s="22"/>
      <c r="O126" s="23"/>
      <c r="P126" s="20"/>
      <c r="Q126" s="23"/>
      <c r="R126" s="24"/>
      <c r="S126" s="24"/>
    </row>
    <row r="127" spans="1:19" s="19" customFormat="1">
      <c r="A127" s="88" t="s">
        <v>111</v>
      </c>
      <c r="C127" s="20"/>
      <c r="D127" s="21"/>
      <c r="E127" s="26"/>
      <c r="F127" s="22"/>
      <c r="G127" s="23"/>
      <c r="H127" s="22"/>
      <c r="I127" s="23"/>
      <c r="J127" s="24"/>
      <c r="K127" s="21"/>
      <c r="L127" s="25"/>
      <c r="M127" s="25"/>
      <c r="N127" s="22"/>
      <c r="O127" s="23"/>
      <c r="P127" s="20"/>
      <c r="Q127" s="23"/>
      <c r="R127" s="24"/>
      <c r="S127" s="24"/>
    </row>
    <row r="128" spans="1:19" s="19" customFormat="1">
      <c r="A128" s="18" t="s">
        <v>112</v>
      </c>
      <c r="B128" s="19" t="s">
        <v>18</v>
      </c>
      <c r="C128" s="20"/>
      <c r="D128" s="21" t="s">
        <v>42</v>
      </c>
      <c r="E128" s="26"/>
      <c r="F128" s="22">
        <v>1</v>
      </c>
      <c r="G128" s="23" t="s">
        <v>20</v>
      </c>
      <c r="H128" s="22">
        <v>48</v>
      </c>
      <c r="I128" s="23" t="s">
        <v>42</v>
      </c>
      <c r="J128" s="24">
        <v>36000</v>
      </c>
      <c r="K128" s="21" t="s">
        <v>42</v>
      </c>
      <c r="L128" s="25">
        <v>0.125</v>
      </c>
      <c r="M128" s="25">
        <v>0.05</v>
      </c>
      <c r="N128" s="22"/>
      <c r="O128" s="23" t="s">
        <v>42</v>
      </c>
      <c r="P128" s="20">
        <f t="shared" ref="P128:P142" si="32">(C128+(E128*F128*H128))-N128</f>
        <v>0</v>
      </c>
      <c r="Q128" s="23" t="s">
        <v>42</v>
      </c>
      <c r="R128" s="24">
        <f t="shared" ref="R128:R142" si="33">P128*(J128-(J128*L128)-((J128-(J128*L128))*M128))</f>
        <v>0</v>
      </c>
      <c r="S128" s="24">
        <f t="shared" si="29"/>
        <v>0</v>
      </c>
    </row>
    <row r="129" spans="1:19" s="19" customFormat="1">
      <c r="A129" s="18" t="s">
        <v>113</v>
      </c>
      <c r="B129" s="19" t="s">
        <v>18</v>
      </c>
      <c r="C129" s="20"/>
      <c r="D129" s="21" t="s">
        <v>42</v>
      </c>
      <c r="E129" s="26"/>
      <c r="F129" s="22">
        <v>1</v>
      </c>
      <c r="G129" s="23" t="s">
        <v>20</v>
      </c>
      <c r="H129" s="22">
        <v>48</v>
      </c>
      <c r="I129" s="23" t="s">
        <v>42</v>
      </c>
      <c r="J129" s="24">
        <v>36000</v>
      </c>
      <c r="K129" s="21" t="s">
        <v>42</v>
      </c>
      <c r="L129" s="25">
        <v>0.125</v>
      </c>
      <c r="M129" s="25">
        <v>0.05</v>
      </c>
      <c r="N129" s="22"/>
      <c r="O129" s="23" t="s">
        <v>42</v>
      </c>
      <c r="P129" s="20">
        <f t="shared" si="32"/>
        <v>0</v>
      </c>
      <c r="Q129" s="23" t="s">
        <v>42</v>
      </c>
      <c r="R129" s="24">
        <f t="shared" si="33"/>
        <v>0</v>
      </c>
      <c r="S129" s="24">
        <f t="shared" si="29"/>
        <v>0</v>
      </c>
    </row>
    <row r="130" spans="1:19" s="19" customFormat="1">
      <c r="A130" s="18" t="s">
        <v>756</v>
      </c>
      <c r="B130" s="19" t="s">
        <v>18</v>
      </c>
      <c r="C130" s="20"/>
      <c r="D130" s="21" t="s">
        <v>42</v>
      </c>
      <c r="E130" s="26"/>
      <c r="F130" s="22">
        <v>1</v>
      </c>
      <c r="G130" s="23" t="s">
        <v>20</v>
      </c>
      <c r="H130" s="22">
        <v>48</v>
      </c>
      <c r="I130" s="23" t="s">
        <v>42</v>
      </c>
      <c r="J130" s="24">
        <v>36000</v>
      </c>
      <c r="K130" s="21" t="s">
        <v>42</v>
      </c>
      <c r="L130" s="25">
        <v>0.125</v>
      </c>
      <c r="M130" s="25">
        <v>0.05</v>
      </c>
      <c r="N130" s="22"/>
      <c r="O130" s="23" t="s">
        <v>42</v>
      </c>
      <c r="P130" s="20">
        <f t="shared" si="32"/>
        <v>0</v>
      </c>
      <c r="Q130" s="23" t="s">
        <v>42</v>
      </c>
      <c r="R130" s="24">
        <f t="shared" si="33"/>
        <v>0</v>
      </c>
      <c r="S130" s="24">
        <f t="shared" si="29"/>
        <v>0</v>
      </c>
    </row>
    <row r="131" spans="1:19" s="19" customFormat="1">
      <c r="A131" s="18" t="s">
        <v>114</v>
      </c>
      <c r="B131" s="19" t="s">
        <v>18</v>
      </c>
      <c r="C131" s="20"/>
      <c r="D131" s="21" t="s">
        <v>42</v>
      </c>
      <c r="E131" s="26"/>
      <c r="F131" s="22">
        <v>1</v>
      </c>
      <c r="G131" s="23" t="s">
        <v>20</v>
      </c>
      <c r="H131" s="22">
        <v>48</v>
      </c>
      <c r="I131" s="23" t="s">
        <v>42</v>
      </c>
      <c r="J131" s="24">
        <v>39000</v>
      </c>
      <c r="K131" s="21" t="s">
        <v>42</v>
      </c>
      <c r="L131" s="25">
        <v>0.125</v>
      </c>
      <c r="M131" s="25">
        <v>0.05</v>
      </c>
      <c r="N131" s="22"/>
      <c r="O131" s="23" t="s">
        <v>42</v>
      </c>
      <c r="P131" s="20">
        <f t="shared" si="32"/>
        <v>0</v>
      </c>
      <c r="Q131" s="23" t="s">
        <v>42</v>
      </c>
      <c r="R131" s="24">
        <f t="shared" si="33"/>
        <v>0</v>
      </c>
      <c r="S131" s="24">
        <f t="shared" si="29"/>
        <v>0</v>
      </c>
    </row>
    <row r="132" spans="1:19" s="19" customFormat="1">
      <c r="A132" s="18" t="s">
        <v>115</v>
      </c>
      <c r="B132" s="19" t="s">
        <v>18</v>
      </c>
      <c r="C132" s="20"/>
      <c r="D132" s="21" t="s">
        <v>42</v>
      </c>
      <c r="E132" s="26"/>
      <c r="F132" s="22">
        <v>1</v>
      </c>
      <c r="G132" s="23" t="s">
        <v>20</v>
      </c>
      <c r="H132" s="22">
        <v>48</v>
      </c>
      <c r="I132" s="23" t="s">
        <v>42</v>
      </c>
      <c r="J132" s="24">
        <v>54600</v>
      </c>
      <c r="K132" s="21" t="s">
        <v>42</v>
      </c>
      <c r="L132" s="25">
        <v>0.125</v>
      </c>
      <c r="M132" s="25">
        <v>0.05</v>
      </c>
      <c r="N132" s="22"/>
      <c r="O132" s="23" t="s">
        <v>42</v>
      </c>
      <c r="P132" s="20">
        <f t="shared" si="32"/>
        <v>0</v>
      </c>
      <c r="Q132" s="23" t="s">
        <v>42</v>
      </c>
      <c r="R132" s="24">
        <f t="shared" si="33"/>
        <v>0</v>
      </c>
      <c r="S132" s="24">
        <f t="shared" si="29"/>
        <v>0</v>
      </c>
    </row>
    <row r="133" spans="1:19" s="19" customFormat="1">
      <c r="A133" s="18" t="s">
        <v>116</v>
      </c>
      <c r="B133" s="19" t="s">
        <v>18</v>
      </c>
      <c r="C133" s="20"/>
      <c r="D133" s="21" t="s">
        <v>42</v>
      </c>
      <c r="E133" s="26"/>
      <c r="F133" s="22">
        <v>1</v>
      </c>
      <c r="G133" s="23" t="s">
        <v>20</v>
      </c>
      <c r="H133" s="22">
        <v>48</v>
      </c>
      <c r="I133" s="23" t="s">
        <v>42</v>
      </c>
      <c r="J133" s="24">
        <v>30000</v>
      </c>
      <c r="K133" s="21" t="s">
        <v>42</v>
      </c>
      <c r="L133" s="25">
        <v>0.125</v>
      </c>
      <c r="M133" s="25">
        <v>0.05</v>
      </c>
      <c r="N133" s="22"/>
      <c r="O133" s="23" t="s">
        <v>42</v>
      </c>
      <c r="P133" s="20">
        <f t="shared" si="32"/>
        <v>0</v>
      </c>
      <c r="Q133" s="23" t="s">
        <v>42</v>
      </c>
      <c r="R133" s="24">
        <f t="shared" si="33"/>
        <v>0</v>
      </c>
      <c r="S133" s="24">
        <f t="shared" si="29"/>
        <v>0</v>
      </c>
    </row>
    <row r="134" spans="1:19" s="19" customFormat="1">
      <c r="A134" s="18" t="s">
        <v>701</v>
      </c>
      <c r="B134" s="19" t="s">
        <v>18</v>
      </c>
      <c r="C134" s="20"/>
      <c r="D134" s="21" t="s">
        <v>42</v>
      </c>
      <c r="E134" s="26"/>
      <c r="F134" s="22">
        <v>1</v>
      </c>
      <c r="G134" s="23" t="s">
        <v>20</v>
      </c>
      <c r="H134" s="22">
        <v>48</v>
      </c>
      <c r="I134" s="23" t="s">
        <v>42</v>
      </c>
      <c r="J134" s="24">
        <v>48000</v>
      </c>
      <c r="K134" s="21" t="s">
        <v>42</v>
      </c>
      <c r="L134" s="25">
        <v>0.125</v>
      </c>
      <c r="M134" s="25">
        <v>0.05</v>
      </c>
      <c r="N134" s="22"/>
      <c r="O134" s="23" t="s">
        <v>42</v>
      </c>
      <c r="P134" s="20">
        <f t="shared" si="32"/>
        <v>0</v>
      </c>
      <c r="Q134" s="23" t="s">
        <v>42</v>
      </c>
      <c r="R134" s="24">
        <f t="shared" si="33"/>
        <v>0</v>
      </c>
      <c r="S134" s="24">
        <f t="shared" si="29"/>
        <v>0</v>
      </c>
    </row>
    <row r="135" spans="1:19" s="19" customFormat="1">
      <c r="A135" s="18" t="s">
        <v>117</v>
      </c>
      <c r="B135" s="19" t="s">
        <v>18</v>
      </c>
      <c r="C135" s="20"/>
      <c r="D135" s="21" t="s">
        <v>42</v>
      </c>
      <c r="E135" s="26"/>
      <c r="F135" s="22">
        <v>1</v>
      </c>
      <c r="G135" s="23" t="s">
        <v>20</v>
      </c>
      <c r="H135" s="22">
        <v>36</v>
      </c>
      <c r="I135" s="23" t="s">
        <v>42</v>
      </c>
      <c r="J135" s="24">
        <v>41400</v>
      </c>
      <c r="K135" s="21" t="s">
        <v>42</v>
      </c>
      <c r="L135" s="25">
        <v>0.125</v>
      </c>
      <c r="M135" s="25">
        <v>0.05</v>
      </c>
      <c r="N135" s="22"/>
      <c r="O135" s="23" t="s">
        <v>42</v>
      </c>
      <c r="P135" s="20">
        <f t="shared" si="32"/>
        <v>0</v>
      </c>
      <c r="Q135" s="23" t="s">
        <v>42</v>
      </c>
      <c r="R135" s="24">
        <f t="shared" si="33"/>
        <v>0</v>
      </c>
      <c r="S135" s="24">
        <f t="shared" si="29"/>
        <v>0</v>
      </c>
    </row>
    <row r="136" spans="1:19" s="19" customFormat="1">
      <c r="A136" s="18" t="s">
        <v>118</v>
      </c>
      <c r="B136" s="19" t="s">
        <v>18</v>
      </c>
      <c r="C136" s="20"/>
      <c r="D136" s="21" t="s">
        <v>42</v>
      </c>
      <c r="E136" s="26"/>
      <c r="F136" s="22">
        <v>1</v>
      </c>
      <c r="G136" s="23" t="s">
        <v>20</v>
      </c>
      <c r="H136" s="22">
        <v>36</v>
      </c>
      <c r="I136" s="23" t="s">
        <v>42</v>
      </c>
      <c r="J136" s="24">
        <v>41400</v>
      </c>
      <c r="K136" s="21" t="s">
        <v>42</v>
      </c>
      <c r="L136" s="25">
        <v>0.125</v>
      </c>
      <c r="M136" s="25">
        <v>0.05</v>
      </c>
      <c r="N136" s="22"/>
      <c r="O136" s="23" t="s">
        <v>42</v>
      </c>
      <c r="P136" s="20">
        <f t="shared" si="32"/>
        <v>0</v>
      </c>
      <c r="Q136" s="23" t="s">
        <v>42</v>
      </c>
      <c r="R136" s="24">
        <f t="shared" si="33"/>
        <v>0</v>
      </c>
      <c r="S136" s="24">
        <f t="shared" si="29"/>
        <v>0</v>
      </c>
    </row>
    <row r="137" spans="1:19" s="19" customFormat="1">
      <c r="A137" s="18" t="s">
        <v>119</v>
      </c>
      <c r="B137" s="19" t="s">
        <v>18</v>
      </c>
      <c r="C137" s="20"/>
      <c r="D137" s="21" t="s">
        <v>42</v>
      </c>
      <c r="E137" s="26">
        <v>5</v>
      </c>
      <c r="F137" s="22">
        <v>24</v>
      </c>
      <c r="G137" s="23" t="s">
        <v>33</v>
      </c>
      <c r="H137" s="22">
        <v>2</v>
      </c>
      <c r="I137" s="23" t="s">
        <v>42</v>
      </c>
      <c r="J137" s="24">
        <f>70800/2</f>
        <v>35400</v>
      </c>
      <c r="K137" s="21" t="s">
        <v>42</v>
      </c>
      <c r="L137" s="25">
        <v>0.125</v>
      </c>
      <c r="M137" s="25">
        <v>0.05</v>
      </c>
      <c r="N137" s="22"/>
      <c r="O137" s="23" t="s">
        <v>42</v>
      </c>
      <c r="P137" s="20">
        <f t="shared" si="32"/>
        <v>240</v>
      </c>
      <c r="Q137" s="23" t="s">
        <v>42</v>
      </c>
      <c r="R137" s="24">
        <f t="shared" si="33"/>
        <v>7062300</v>
      </c>
      <c r="S137" s="24">
        <f t="shared" si="29"/>
        <v>6362432.4324324317</v>
      </c>
    </row>
    <row r="138" spans="1:19" s="19" customFormat="1">
      <c r="A138" s="18" t="s">
        <v>120</v>
      </c>
      <c r="B138" s="19" t="s">
        <v>18</v>
      </c>
      <c r="C138" s="20"/>
      <c r="D138" s="21" t="s">
        <v>42</v>
      </c>
      <c r="E138" s="26">
        <v>5</v>
      </c>
      <c r="F138" s="22">
        <v>24</v>
      </c>
      <c r="G138" s="23" t="s">
        <v>33</v>
      </c>
      <c r="H138" s="22">
        <v>2</v>
      </c>
      <c r="I138" s="23" t="s">
        <v>42</v>
      </c>
      <c r="J138" s="24">
        <f>70800/2</f>
        <v>35400</v>
      </c>
      <c r="K138" s="21" t="s">
        <v>42</v>
      </c>
      <c r="L138" s="25">
        <v>0.125</v>
      </c>
      <c r="M138" s="25">
        <v>0.05</v>
      </c>
      <c r="N138" s="22"/>
      <c r="O138" s="23" t="s">
        <v>42</v>
      </c>
      <c r="P138" s="20">
        <f t="shared" si="32"/>
        <v>240</v>
      </c>
      <c r="Q138" s="23" t="s">
        <v>42</v>
      </c>
      <c r="R138" s="24">
        <f t="shared" si="33"/>
        <v>7062300</v>
      </c>
      <c r="S138" s="24">
        <f t="shared" si="29"/>
        <v>6362432.4324324317</v>
      </c>
    </row>
    <row r="139" spans="1:19" s="19" customFormat="1">
      <c r="A139" s="18" t="s">
        <v>121</v>
      </c>
      <c r="B139" s="19" t="s">
        <v>18</v>
      </c>
      <c r="C139" s="20"/>
      <c r="D139" s="21" t="s">
        <v>42</v>
      </c>
      <c r="E139" s="26">
        <v>2</v>
      </c>
      <c r="F139" s="22">
        <v>1</v>
      </c>
      <c r="G139" s="23" t="s">
        <v>20</v>
      </c>
      <c r="H139" s="22">
        <v>36</v>
      </c>
      <c r="I139" s="23" t="s">
        <v>42</v>
      </c>
      <c r="J139" s="24">
        <v>34200</v>
      </c>
      <c r="K139" s="21" t="s">
        <v>42</v>
      </c>
      <c r="L139" s="25">
        <v>0.125</v>
      </c>
      <c r="M139" s="25">
        <v>0.05</v>
      </c>
      <c r="N139" s="22"/>
      <c r="O139" s="23" t="s">
        <v>42</v>
      </c>
      <c r="P139" s="20">
        <f t="shared" si="32"/>
        <v>72</v>
      </c>
      <c r="Q139" s="23" t="s">
        <v>42</v>
      </c>
      <c r="R139" s="24">
        <f t="shared" si="33"/>
        <v>2046870</v>
      </c>
      <c r="S139" s="24">
        <f t="shared" si="29"/>
        <v>1844027.0270270268</v>
      </c>
    </row>
    <row r="140" spans="1:19" s="19" customFormat="1">
      <c r="A140" s="18" t="s">
        <v>122</v>
      </c>
      <c r="B140" s="19" t="s">
        <v>18</v>
      </c>
      <c r="C140" s="20"/>
      <c r="D140" s="21" t="s">
        <v>42</v>
      </c>
      <c r="E140" s="26"/>
      <c r="F140" s="22">
        <v>24</v>
      </c>
      <c r="G140" s="23" t="s">
        <v>33</v>
      </c>
      <c r="H140" s="22">
        <v>2</v>
      </c>
      <c r="I140" s="23" t="s">
        <v>42</v>
      </c>
      <c r="J140" s="24">
        <f>46800/2</f>
        <v>23400</v>
      </c>
      <c r="K140" s="21" t="s">
        <v>42</v>
      </c>
      <c r="L140" s="25">
        <v>0.125</v>
      </c>
      <c r="M140" s="25">
        <v>0.05</v>
      </c>
      <c r="N140" s="22"/>
      <c r="O140" s="23" t="s">
        <v>42</v>
      </c>
      <c r="P140" s="20">
        <f t="shared" si="32"/>
        <v>0</v>
      </c>
      <c r="Q140" s="23" t="s">
        <v>42</v>
      </c>
      <c r="R140" s="24">
        <f t="shared" si="33"/>
        <v>0</v>
      </c>
      <c r="S140" s="24">
        <f t="shared" si="29"/>
        <v>0</v>
      </c>
    </row>
    <row r="141" spans="1:19" s="19" customFormat="1">
      <c r="A141" s="18" t="s">
        <v>123</v>
      </c>
      <c r="B141" s="19" t="s">
        <v>18</v>
      </c>
      <c r="C141" s="20"/>
      <c r="D141" s="21" t="s">
        <v>42</v>
      </c>
      <c r="E141" s="26"/>
      <c r="F141" s="22">
        <v>60</v>
      </c>
      <c r="G141" s="23" t="s">
        <v>33</v>
      </c>
      <c r="H141" s="22">
        <v>1</v>
      </c>
      <c r="I141" s="23" t="s">
        <v>42</v>
      </c>
      <c r="J141" s="24">
        <v>43200</v>
      </c>
      <c r="K141" s="21" t="s">
        <v>42</v>
      </c>
      <c r="L141" s="25">
        <v>0.125</v>
      </c>
      <c r="M141" s="25">
        <v>0.05</v>
      </c>
      <c r="N141" s="22"/>
      <c r="O141" s="23" t="s">
        <v>42</v>
      </c>
      <c r="P141" s="20">
        <f t="shared" si="32"/>
        <v>0</v>
      </c>
      <c r="Q141" s="23" t="s">
        <v>42</v>
      </c>
      <c r="R141" s="24">
        <f t="shared" si="33"/>
        <v>0</v>
      </c>
      <c r="S141" s="24">
        <f t="shared" si="29"/>
        <v>0</v>
      </c>
    </row>
    <row r="142" spans="1:19" s="19" customFormat="1">
      <c r="A142" s="18" t="s">
        <v>695</v>
      </c>
      <c r="B142" s="19" t="s">
        <v>18</v>
      </c>
      <c r="C142" s="20"/>
      <c r="D142" s="21" t="s">
        <v>42</v>
      </c>
      <c r="E142" s="26"/>
      <c r="F142" s="22">
        <v>120</v>
      </c>
      <c r="G142" s="23" t="s">
        <v>33</v>
      </c>
      <c r="H142" s="22">
        <v>1</v>
      </c>
      <c r="I142" s="23" t="s">
        <v>42</v>
      </c>
      <c r="J142" s="24">
        <v>17400</v>
      </c>
      <c r="K142" s="21" t="s">
        <v>42</v>
      </c>
      <c r="L142" s="25">
        <v>0.125</v>
      </c>
      <c r="M142" s="25">
        <v>0.05</v>
      </c>
      <c r="N142" s="22"/>
      <c r="O142" s="23" t="s">
        <v>42</v>
      </c>
      <c r="P142" s="20">
        <f t="shared" si="32"/>
        <v>0</v>
      </c>
      <c r="Q142" s="23" t="s">
        <v>42</v>
      </c>
      <c r="R142" s="24">
        <f t="shared" si="33"/>
        <v>0</v>
      </c>
      <c r="S142" s="24">
        <f t="shared" si="29"/>
        <v>0</v>
      </c>
    </row>
    <row r="143" spans="1:19" s="19" customFormat="1">
      <c r="A143" s="18"/>
      <c r="C143" s="20"/>
      <c r="D143" s="21"/>
      <c r="E143" s="26"/>
      <c r="F143" s="22"/>
      <c r="G143" s="23"/>
      <c r="H143" s="22"/>
      <c r="I143" s="23"/>
      <c r="J143" s="24"/>
      <c r="K143" s="21"/>
      <c r="L143" s="25"/>
      <c r="M143" s="25"/>
      <c r="N143" s="22"/>
      <c r="O143" s="23"/>
      <c r="P143" s="20"/>
      <c r="Q143" s="23"/>
      <c r="R143" s="24"/>
      <c r="S143" s="24"/>
    </row>
    <row r="144" spans="1:19" s="19" customFormat="1">
      <c r="A144" s="18" t="s">
        <v>124</v>
      </c>
      <c r="B144" s="19" t="s">
        <v>25</v>
      </c>
      <c r="C144" s="20"/>
      <c r="D144" s="21" t="s">
        <v>42</v>
      </c>
      <c r="E144" s="26"/>
      <c r="F144" s="22">
        <v>1</v>
      </c>
      <c r="G144" s="23" t="s">
        <v>20</v>
      </c>
      <c r="H144" s="22">
        <v>36</v>
      </c>
      <c r="I144" s="23" t="s">
        <v>42</v>
      </c>
      <c r="J144" s="24">
        <f>1954800/36</f>
        <v>54300</v>
      </c>
      <c r="K144" s="21" t="s">
        <v>42</v>
      </c>
      <c r="L144" s="25"/>
      <c r="M144" s="25">
        <v>0.17</v>
      </c>
      <c r="N144" s="22"/>
      <c r="O144" s="23" t="s">
        <v>42</v>
      </c>
      <c r="P144" s="20">
        <f t="shared" ref="P144:P151" si="34">(C144+(E144*F144*H144))-N144</f>
        <v>0</v>
      </c>
      <c r="Q144" s="23" t="s">
        <v>42</v>
      </c>
      <c r="R144" s="24">
        <f t="shared" ref="R144:R151" si="35">P144*(J144-(J144*L144)-((J144-(J144*L144))*M144))</f>
        <v>0</v>
      </c>
      <c r="S144" s="24">
        <f t="shared" si="29"/>
        <v>0</v>
      </c>
    </row>
    <row r="145" spans="1:19" s="19" customFormat="1">
      <c r="A145" s="18" t="s">
        <v>125</v>
      </c>
      <c r="B145" s="19" t="s">
        <v>25</v>
      </c>
      <c r="C145" s="20"/>
      <c r="D145" s="21" t="s">
        <v>42</v>
      </c>
      <c r="E145" s="26"/>
      <c r="F145" s="22">
        <v>1</v>
      </c>
      <c r="G145" s="23" t="s">
        <v>20</v>
      </c>
      <c r="H145" s="22">
        <v>36</v>
      </c>
      <c r="I145" s="23" t="s">
        <v>42</v>
      </c>
      <c r="J145" s="24">
        <f>1954800/36</f>
        <v>54300</v>
      </c>
      <c r="K145" s="21" t="s">
        <v>42</v>
      </c>
      <c r="L145" s="25"/>
      <c r="M145" s="25">
        <v>0.17</v>
      </c>
      <c r="N145" s="22"/>
      <c r="O145" s="23" t="s">
        <v>42</v>
      </c>
      <c r="P145" s="20">
        <f t="shared" si="34"/>
        <v>0</v>
      </c>
      <c r="Q145" s="23" t="s">
        <v>42</v>
      </c>
      <c r="R145" s="24">
        <f t="shared" si="35"/>
        <v>0</v>
      </c>
      <c r="S145" s="24">
        <f t="shared" si="29"/>
        <v>0</v>
      </c>
    </row>
    <row r="146" spans="1:19" s="19" customFormat="1">
      <c r="A146" s="18" t="s">
        <v>126</v>
      </c>
      <c r="B146" s="19" t="s">
        <v>25</v>
      </c>
      <c r="C146" s="20"/>
      <c r="D146" s="21" t="s">
        <v>42</v>
      </c>
      <c r="E146" s="26">
        <v>5</v>
      </c>
      <c r="F146" s="22">
        <v>1</v>
      </c>
      <c r="G146" s="23" t="s">
        <v>20</v>
      </c>
      <c r="H146" s="22">
        <v>36</v>
      </c>
      <c r="I146" s="23" t="s">
        <v>42</v>
      </c>
      <c r="J146" s="24">
        <f>1954800/36</f>
        <v>54300</v>
      </c>
      <c r="K146" s="21" t="s">
        <v>42</v>
      </c>
      <c r="L146" s="25"/>
      <c r="M146" s="25">
        <v>0.17</v>
      </c>
      <c r="N146" s="22"/>
      <c r="O146" s="23" t="s">
        <v>42</v>
      </c>
      <c r="P146" s="20">
        <f t="shared" si="34"/>
        <v>180</v>
      </c>
      <c r="Q146" s="23" t="s">
        <v>42</v>
      </c>
      <c r="R146" s="24">
        <f t="shared" si="35"/>
        <v>8112420</v>
      </c>
      <c r="S146" s="24">
        <f t="shared" si="29"/>
        <v>7308486.4864864862</v>
      </c>
    </row>
    <row r="147" spans="1:19" s="19" customFormat="1">
      <c r="A147" s="18" t="s">
        <v>127</v>
      </c>
      <c r="B147" s="19" t="s">
        <v>25</v>
      </c>
      <c r="C147" s="20"/>
      <c r="D147" s="21" t="s">
        <v>42</v>
      </c>
      <c r="E147" s="26">
        <v>2</v>
      </c>
      <c r="F147" s="22">
        <v>1</v>
      </c>
      <c r="G147" s="23" t="s">
        <v>20</v>
      </c>
      <c r="H147" s="22">
        <v>36</v>
      </c>
      <c r="I147" s="23" t="s">
        <v>42</v>
      </c>
      <c r="J147" s="24">
        <f>2008800/36</f>
        <v>55800</v>
      </c>
      <c r="K147" s="21" t="s">
        <v>42</v>
      </c>
      <c r="L147" s="25"/>
      <c r="M147" s="25">
        <v>0.17</v>
      </c>
      <c r="N147" s="22"/>
      <c r="O147" s="23" t="s">
        <v>42</v>
      </c>
      <c r="P147" s="20">
        <f t="shared" si="34"/>
        <v>72</v>
      </c>
      <c r="Q147" s="23" t="s">
        <v>42</v>
      </c>
      <c r="R147" s="24">
        <f t="shared" si="35"/>
        <v>3334608</v>
      </c>
      <c r="S147" s="24">
        <f t="shared" si="29"/>
        <v>3004151.351351351</v>
      </c>
    </row>
    <row r="148" spans="1:19" s="19" customFormat="1">
      <c r="A148" s="18" t="s">
        <v>128</v>
      </c>
      <c r="B148" s="19" t="s">
        <v>25</v>
      </c>
      <c r="C148" s="20"/>
      <c r="D148" s="21" t="s">
        <v>42</v>
      </c>
      <c r="E148" s="26">
        <v>14</v>
      </c>
      <c r="F148" s="22">
        <v>1</v>
      </c>
      <c r="G148" s="23" t="s">
        <v>20</v>
      </c>
      <c r="H148" s="22">
        <v>36</v>
      </c>
      <c r="I148" s="23" t="s">
        <v>42</v>
      </c>
      <c r="J148" s="24">
        <f>1695600/36</f>
        <v>47100</v>
      </c>
      <c r="K148" s="21" t="s">
        <v>42</v>
      </c>
      <c r="L148" s="25"/>
      <c r="M148" s="25">
        <v>0.17</v>
      </c>
      <c r="N148" s="22"/>
      <c r="O148" s="23" t="s">
        <v>42</v>
      </c>
      <c r="P148" s="20">
        <f t="shared" si="34"/>
        <v>504</v>
      </c>
      <c r="Q148" s="23" t="s">
        <v>42</v>
      </c>
      <c r="R148" s="24">
        <f t="shared" si="35"/>
        <v>19702872</v>
      </c>
      <c r="S148" s="24">
        <f t="shared" si="29"/>
        <v>17750335.135135133</v>
      </c>
    </row>
    <row r="149" spans="1:19" s="19" customFormat="1">
      <c r="A149" s="18" t="s">
        <v>129</v>
      </c>
      <c r="B149" s="19" t="s">
        <v>25</v>
      </c>
      <c r="C149" s="20"/>
      <c r="D149" s="21" t="s">
        <v>42</v>
      </c>
      <c r="E149" s="26"/>
      <c r="F149" s="22">
        <v>1</v>
      </c>
      <c r="G149" s="23" t="s">
        <v>20</v>
      </c>
      <c r="H149" s="22">
        <v>36</v>
      </c>
      <c r="I149" s="23" t="s">
        <v>42</v>
      </c>
      <c r="J149" s="24">
        <f>1922400/36</f>
        <v>53400</v>
      </c>
      <c r="K149" s="21" t="s">
        <v>42</v>
      </c>
      <c r="L149" s="25"/>
      <c r="M149" s="25">
        <v>0.17</v>
      </c>
      <c r="N149" s="22"/>
      <c r="O149" s="23" t="s">
        <v>42</v>
      </c>
      <c r="P149" s="20">
        <f t="shared" si="34"/>
        <v>0</v>
      </c>
      <c r="Q149" s="23" t="s">
        <v>42</v>
      </c>
      <c r="R149" s="24">
        <f t="shared" si="35"/>
        <v>0</v>
      </c>
      <c r="S149" s="24">
        <f t="shared" si="29"/>
        <v>0</v>
      </c>
    </row>
    <row r="150" spans="1:19" s="19" customFormat="1">
      <c r="A150" s="18" t="s">
        <v>130</v>
      </c>
      <c r="B150" s="19" t="s">
        <v>25</v>
      </c>
      <c r="C150" s="20"/>
      <c r="D150" s="21" t="s">
        <v>42</v>
      </c>
      <c r="E150" s="26">
        <v>7</v>
      </c>
      <c r="F150" s="22">
        <v>1</v>
      </c>
      <c r="G150" s="23" t="s">
        <v>20</v>
      </c>
      <c r="H150" s="22">
        <v>36</v>
      </c>
      <c r="I150" s="23" t="s">
        <v>42</v>
      </c>
      <c r="J150" s="24">
        <f>2052000/36</f>
        <v>57000</v>
      </c>
      <c r="K150" s="21" t="s">
        <v>42</v>
      </c>
      <c r="L150" s="25"/>
      <c r="M150" s="25">
        <v>0.17</v>
      </c>
      <c r="N150" s="22"/>
      <c r="O150" s="23" t="s">
        <v>42</v>
      </c>
      <c r="P150" s="20">
        <f t="shared" si="34"/>
        <v>252</v>
      </c>
      <c r="Q150" s="23" t="s">
        <v>42</v>
      </c>
      <c r="R150" s="24">
        <f t="shared" si="35"/>
        <v>11922120</v>
      </c>
      <c r="S150" s="24">
        <f t="shared" si="29"/>
        <v>10740648.648648648</v>
      </c>
    </row>
    <row r="151" spans="1:19" s="19" customFormat="1">
      <c r="A151" s="18" t="s">
        <v>131</v>
      </c>
      <c r="B151" s="19" t="s">
        <v>25</v>
      </c>
      <c r="C151" s="20"/>
      <c r="D151" s="21" t="s">
        <v>42</v>
      </c>
      <c r="E151" s="26">
        <v>7</v>
      </c>
      <c r="F151" s="22">
        <v>1</v>
      </c>
      <c r="G151" s="23" t="s">
        <v>20</v>
      </c>
      <c r="H151" s="22">
        <v>36</v>
      </c>
      <c r="I151" s="23" t="s">
        <v>42</v>
      </c>
      <c r="J151" s="24">
        <f>2170800/36</f>
        <v>60300</v>
      </c>
      <c r="K151" s="21" t="s">
        <v>42</v>
      </c>
      <c r="L151" s="25"/>
      <c r="M151" s="25">
        <v>0.17</v>
      </c>
      <c r="N151" s="22"/>
      <c r="O151" s="23" t="s">
        <v>42</v>
      </c>
      <c r="P151" s="20">
        <f t="shared" si="34"/>
        <v>252</v>
      </c>
      <c r="Q151" s="23" t="s">
        <v>42</v>
      </c>
      <c r="R151" s="24">
        <f t="shared" si="35"/>
        <v>12612348</v>
      </c>
      <c r="S151" s="24">
        <f t="shared" si="29"/>
        <v>11362475.675675675</v>
      </c>
    </row>
    <row r="152" spans="1:19" s="19" customFormat="1">
      <c r="A152" s="18"/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88" t="s">
        <v>132</v>
      </c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>
      <c r="A154" s="18" t="s">
        <v>133</v>
      </c>
      <c r="B154" s="19" t="s">
        <v>18</v>
      </c>
      <c r="C154" s="20"/>
      <c r="D154" s="21" t="s">
        <v>42</v>
      </c>
      <c r="E154" s="26">
        <v>1</v>
      </c>
      <c r="F154" s="22">
        <v>60</v>
      </c>
      <c r="G154" s="23" t="s">
        <v>33</v>
      </c>
      <c r="H154" s="22">
        <v>1</v>
      </c>
      <c r="I154" s="23" t="s">
        <v>42</v>
      </c>
      <c r="J154" s="24">
        <f>4600*12</f>
        <v>55200</v>
      </c>
      <c r="K154" s="21" t="s">
        <v>42</v>
      </c>
      <c r="L154" s="25">
        <v>0.125</v>
      </c>
      <c r="M154" s="25">
        <v>0.05</v>
      </c>
      <c r="N154" s="22"/>
      <c r="O154" s="23" t="s">
        <v>42</v>
      </c>
      <c r="P154" s="20">
        <f t="shared" ref="P154:P168" si="36">(C154+(E154*F154*H154))-N154</f>
        <v>60</v>
      </c>
      <c r="Q154" s="23" t="s">
        <v>42</v>
      </c>
      <c r="R154" s="24">
        <f t="shared" ref="R154:R168" si="37">P154*(J154-(J154*L154)-((J154-(J154*L154))*M154))</f>
        <v>2753100</v>
      </c>
      <c r="S154" s="24">
        <f t="shared" si="29"/>
        <v>2480270.2702702698</v>
      </c>
    </row>
    <row r="155" spans="1:19" s="19" customFormat="1">
      <c r="A155" s="18" t="s">
        <v>134</v>
      </c>
      <c r="B155" s="19" t="s">
        <v>18</v>
      </c>
      <c r="C155" s="20"/>
      <c r="D155" s="21" t="s">
        <v>42</v>
      </c>
      <c r="E155" s="26"/>
      <c r="F155" s="22">
        <v>60</v>
      </c>
      <c r="G155" s="23" t="s">
        <v>33</v>
      </c>
      <c r="H155" s="22">
        <v>1</v>
      </c>
      <c r="I155" s="23" t="s">
        <v>42</v>
      </c>
      <c r="J155" s="24">
        <f>4500*12</f>
        <v>54000</v>
      </c>
      <c r="K155" s="21" t="s">
        <v>42</v>
      </c>
      <c r="L155" s="25">
        <v>0.125</v>
      </c>
      <c r="M155" s="25">
        <v>0.05</v>
      </c>
      <c r="N155" s="22"/>
      <c r="O155" s="23" t="s">
        <v>42</v>
      </c>
      <c r="P155" s="20">
        <f t="shared" si="36"/>
        <v>0</v>
      </c>
      <c r="Q155" s="23" t="s">
        <v>42</v>
      </c>
      <c r="R155" s="24">
        <f t="shared" si="37"/>
        <v>0</v>
      </c>
      <c r="S155" s="24">
        <f t="shared" si="29"/>
        <v>0</v>
      </c>
    </row>
    <row r="156" spans="1:19" s="19" customFormat="1">
      <c r="A156" s="18" t="s">
        <v>702</v>
      </c>
      <c r="B156" s="19" t="s">
        <v>18</v>
      </c>
      <c r="C156" s="20"/>
      <c r="D156" s="21" t="s">
        <v>42</v>
      </c>
      <c r="E156" s="26"/>
      <c r="F156" s="22">
        <v>60</v>
      </c>
      <c r="G156" s="23" t="s">
        <v>33</v>
      </c>
      <c r="H156" s="22">
        <v>1</v>
      </c>
      <c r="I156" s="23" t="s">
        <v>42</v>
      </c>
      <c r="J156" s="24">
        <f>4500*12</f>
        <v>54000</v>
      </c>
      <c r="K156" s="21" t="s">
        <v>42</v>
      </c>
      <c r="L156" s="25">
        <v>0.125</v>
      </c>
      <c r="M156" s="25">
        <v>0.05</v>
      </c>
      <c r="N156" s="22"/>
      <c r="O156" s="23" t="s">
        <v>42</v>
      </c>
      <c r="P156" s="20">
        <f t="shared" si="36"/>
        <v>0</v>
      </c>
      <c r="Q156" s="23" t="s">
        <v>42</v>
      </c>
      <c r="R156" s="24">
        <f t="shared" si="37"/>
        <v>0</v>
      </c>
      <c r="S156" s="24">
        <f t="shared" si="29"/>
        <v>0</v>
      </c>
    </row>
    <row r="157" spans="1:19" s="19" customFormat="1">
      <c r="A157" s="91" t="s">
        <v>135</v>
      </c>
      <c r="B157" s="19" t="s">
        <v>18</v>
      </c>
      <c r="C157" s="20"/>
      <c r="D157" s="21" t="s">
        <v>42</v>
      </c>
      <c r="E157" s="26">
        <v>1</v>
      </c>
      <c r="F157" s="22">
        <v>30</v>
      </c>
      <c r="G157" s="23" t="s">
        <v>33</v>
      </c>
      <c r="H157" s="22">
        <v>1</v>
      </c>
      <c r="I157" s="23" t="s">
        <v>42</v>
      </c>
      <c r="J157" s="94">
        <v>69600</v>
      </c>
      <c r="K157" s="21" t="s">
        <v>42</v>
      </c>
      <c r="L157" s="25">
        <v>0.125</v>
      </c>
      <c r="M157" s="25">
        <v>0.05</v>
      </c>
      <c r="N157" s="22"/>
      <c r="O157" s="23" t="s">
        <v>42</v>
      </c>
      <c r="P157" s="20">
        <f t="shared" ref="P157" si="38">(C157+(E157*F157*H157))-N157</f>
        <v>30</v>
      </c>
      <c r="Q157" s="23" t="s">
        <v>42</v>
      </c>
      <c r="R157" s="24">
        <f t="shared" ref="R157" si="39">P157*(J157-(J157*L157)-((J157-(J157*L157))*M157))</f>
        <v>1735650</v>
      </c>
      <c r="S157" s="24">
        <f t="shared" ref="S157" si="40">R157/1.11</f>
        <v>1563648.6486486485</v>
      </c>
    </row>
    <row r="158" spans="1:19" s="19" customFormat="1">
      <c r="A158" s="18" t="s">
        <v>135</v>
      </c>
      <c r="B158" s="19" t="s">
        <v>18</v>
      </c>
      <c r="C158" s="20"/>
      <c r="D158" s="21" t="s">
        <v>42</v>
      </c>
      <c r="E158" s="26"/>
      <c r="F158" s="22">
        <v>30</v>
      </c>
      <c r="G158" s="23" t="s">
        <v>33</v>
      </c>
      <c r="H158" s="22">
        <v>1</v>
      </c>
      <c r="I158" s="23" t="s">
        <v>42</v>
      </c>
      <c r="J158" s="24">
        <f>5500*12</f>
        <v>66000</v>
      </c>
      <c r="K158" s="21" t="s">
        <v>42</v>
      </c>
      <c r="L158" s="25">
        <v>0.125</v>
      </c>
      <c r="M158" s="25">
        <v>0.05</v>
      </c>
      <c r="N158" s="22"/>
      <c r="O158" s="23" t="s">
        <v>42</v>
      </c>
      <c r="P158" s="20">
        <f t="shared" si="36"/>
        <v>0</v>
      </c>
      <c r="Q158" s="23" t="s">
        <v>42</v>
      </c>
      <c r="R158" s="24">
        <f t="shared" si="37"/>
        <v>0</v>
      </c>
      <c r="S158" s="24">
        <f t="shared" si="29"/>
        <v>0</v>
      </c>
    </row>
    <row r="159" spans="1:19" s="19" customFormat="1">
      <c r="A159" s="91" t="s">
        <v>750</v>
      </c>
      <c r="B159" s="19" t="s">
        <v>18</v>
      </c>
      <c r="C159" s="20"/>
      <c r="D159" s="21" t="s">
        <v>42</v>
      </c>
      <c r="E159" s="26">
        <v>1</v>
      </c>
      <c r="F159" s="22">
        <v>30</v>
      </c>
      <c r="G159" s="23" t="s">
        <v>33</v>
      </c>
      <c r="H159" s="22">
        <v>1</v>
      </c>
      <c r="I159" s="23" t="s">
        <v>42</v>
      </c>
      <c r="J159" s="94">
        <f>11000*12</f>
        <v>132000</v>
      </c>
      <c r="K159" s="21" t="s">
        <v>42</v>
      </c>
      <c r="L159" s="25">
        <v>0.125</v>
      </c>
      <c r="M159" s="25">
        <v>0.05</v>
      </c>
      <c r="N159" s="22"/>
      <c r="O159" s="23" t="s">
        <v>42</v>
      </c>
      <c r="P159" s="20">
        <f t="shared" ref="P159" si="41">(C159+(E159*F159*H159))-N159</f>
        <v>30</v>
      </c>
      <c r="Q159" s="23" t="s">
        <v>42</v>
      </c>
      <c r="R159" s="24">
        <f t="shared" ref="R159" si="42">P159*(J159-(J159*L159)-((J159-(J159*L159))*M159))</f>
        <v>3291750</v>
      </c>
      <c r="S159" s="24">
        <f t="shared" ref="S159" si="43">R159/1.11</f>
        <v>2965540.5405405401</v>
      </c>
    </row>
    <row r="160" spans="1:19" s="19" customFormat="1">
      <c r="A160" s="18" t="s">
        <v>750</v>
      </c>
      <c r="B160" s="19" t="s">
        <v>18</v>
      </c>
      <c r="C160" s="20"/>
      <c r="D160" s="21" t="s">
        <v>42</v>
      </c>
      <c r="E160" s="26"/>
      <c r="F160" s="22">
        <v>30</v>
      </c>
      <c r="G160" s="23" t="s">
        <v>33</v>
      </c>
      <c r="H160" s="22">
        <v>1</v>
      </c>
      <c r="I160" s="23" t="s">
        <v>42</v>
      </c>
      <c r="J160" s="24">
        <f>10500*12</f>
        <v>126000</v>
      </c>
      <c r="K160" s="21" t="s">
        <v>42</v>
      </c>
      <c r="L160" s="25">
        <v>0.125</v>
      </c>
      <c r="M160" s="25">
        <v>0.05</v>
      </c>
      <c r="N160" s="22"/>
      <c r="O160" s="23" t="s">
        <v>42</v>
      </c>
      <c r="P160" s="20">
        <f t="shared" si="36"/>
        <v>0</v>
      </c>
      <c r="Q160" s="23" t="s">
        <v>42</v>
      </c>
      <c r="R160" s="24">
        <f t="shared" si="37"/>
        <v>0</v>
      </c>
      <c r="S160" s="24">
        <f t="shared" si="29"/>
        <v>0</v>
      </c>
    </row>
    <row r="161" spans="1:19" s="19" customFormat="1">
      <c r="A161" s="18" t="s">
        <v>136</v>
      </c>
      <c r="B161" s="19" t="s">
        <v>18</v>
      </c>
      <c r="C161" s="20"/>
      <c r="D161" s="21" t="s">
        <v>42</v>
      </c>
      <c r="E161" s="26"/>
      <c r="F161" s="22">
        <v>60</v>
      </c>
      <c r="G161" s="23" t="s">
        <v>33</v>
      </c>
      <c r="H161" s="22">
        <v>1</v>
      </c>
      <c r="I161" s="23" t="s">
        <v>42</v>
      </c>
      <c r="J161" s="24">
        <f>4800*12</f>
        <v>57600</v>
      </c>
      <c r="K161" s="21" t="s">
        <v>42</v>
      </c>
      <c r="L161" s="25">
        <v>0.125</v>
      </c>
      <c r="M161" s="25">
        <v>0.05</v>
      </c>
      <c r="N161" s="22"/>
      <c r="O161" s="23" t="s">
        <v>42</v>
      </c>
      <c r="P161" s="20">
        <f t="shared" si="36"/>
        <v>0</v>
      </c>
      <c r="Q161" s="23" t="s">
        <v>42</v>
      </c>
      <c r="R161" s="24">
        <f t="shared" si="37"/>
        <v>0</v>
      </c>
      <c r="S161" s="24">
        <f t="shared" si="29"/>
        <v>0</v>
      </c>
    </row>
    <row r="162" spans="1:19" s="19" customFormat="1">
      <c r="A162" s="18" t="s">
        <v>137</v>
      </c>
      <c r="B162" s="19" t="s">
        <v>18</v>
      </c>
      <c r="C162" s="20"/>
      <c r="D162" s="21" t="s">
        <v>42</v>
      </c>
      <c r="E162" s="26"/>
      <c r="F162" s="22">
        <v>60</v>
      </c>
      <c r="G162" s="23" t="s">
        <v>33</v>
      </c>
      <c r="H162" s="22">
        <v>1</v>
      </c>
      <c r="I162" s="23" t="s">
        <v>42</v>
      </c>
      <c r="J162" s="24">
        <f>5800*12</f>
        <v>69600</v>
      </c>
      <c r="K162" s="21" t="s">
        <v>42</v>
      </c>
      <c r="L162" s="25">
        <v>0.125</v>
      </c>
      <c r="M162" s="25">
        <v>0.05</v>
      </c>
      <c r="N162" s="22"/>
      <c r="O162" s="23" t="s">
        <v>42</v>
      </c>
      <c r="P162" s="20">
        <f t="shared" si="36"/>
        <v>0</v>
      </c>
      <c r="Q162" s="23" t="s">
        <v>42</v>
      </c>
      <c r="R162" s="24">
        <f t="shared" si="37"/>
        <v>0</v>
      </c>
      <c r="S162" s="24">
        <f t="shared" si="29"/>
        <v>0</v>
      </c>
    </row>
    <row r="163" spans="1:19" s="19" customFormat="1">
      <c r="A163" s="18" t="s">
        <v>138</v>
      </c>
      <c r="B163" s="19" t="s">
        <v>18</v>
      </c>
      <c r="C163" s="20"/>
      <c r="D163" s="21" t="s">
        <v>42</v>
      </c>
      <c r="E163" s="26"/>
      <c r="F163" s="22">
        <v>40</v>
      </c>
      <c r="G163" s="23" t="s">
        <v>33</v>
      </c>
      <c r="H163" s="22">
        <v>1</v>
      </c>
      <c r="I163" s="23" t="s">
        <v>42</v>
      </c>
      <c r="J163" s="24">
        <f>8500*12</f>
        <v>102000</v>
      </c>
      <c r="K163" s="21" t="s">
        <v>42</v>
      </c>
      <c r="L163" s="25">
        <v>0.125</v>
      </c>
      <c r="M163" s="25">
        <v>0.05</v>
      </c>
      <c r="N163" s="22"/>
      <c r="O163" s="23" t="s">
        <v>42</v>
      </c>
      <c r="P163" s="20">
        <f t="shared" si="36"/>
        <v>0</v>
      </c>
      <c r="Q163" s="23" t="s">
        <v>42</v>
      </c>
      <c r="R163" s="24">
        <f t="shared" si="37"/>
        <v>0</v>
      </c>
      <c r="S163" s="24">
        <f t="shared" si="29"/>
        <v>0</v>
      </c>
    </row>
    <row r="164" spans="1:19" s="19" customFormat="1">
      <c r="A164" s="18" t="s">
        <v>824</v>
      </c>
      <c r="B164" s="19" t="s">
        <v>18</v>
      </c>
      <c r="C164" s="20"/>
      <c r="D164" s="21" t="s">
        <v>42</v>
      </c>
      <c r="E164" s="26"/>
      <c r="F164" s="22">
        <v>60</v>
      </c>
      <c r="G164" s="23" t="s">
        <v>33</v>
      </c>
      <c r="H164" s="22">
        <v>1</v>
      </c>
      <c r="I164" s="23" t="s">
        <v>42</v>
      </c>
      <c r="J164" s="24">
        <f>5800*12</f>
        <v>69600</v>
      </c>
      <c r="K164" s="21" t="s">
        <v>42</v>
      </c>
      <c r="L164" s="25">
        <v>0.125</v>
      </c>
      <c r="M164" s="25">
        <v>0.05</v>
      </c>
      <c r="N164" s="22"/>
      <c r="O164" s="23" t="s">
        <v>42</v>
      </c>
      <c r="P164" s="20">
        <f t="shared" si="36"/>
        <v>0</v>
      </c>
      <c r="Q164" s="23" t="s">
        <v>42</v>
      </c>
      <c r="R164" s="24">
        <f t="shared" si="37"/>
        <v>0</v>
      </c>
      <c r="S164" s="24">
        <f t="shared" si="29"/>
        <v>0</v>
      </c>
    </row>
    <row r="165" spans="1:19" s="19" customFormat="1">
      <c r="A165" s="18" t="s">
        <v>139</v>
      </c>
      <c r="B165" s="19" t="s">
        <v>18</v>
      </c>
      <c r="C165" s="20"/>
      <c r="D165" s="21" t="s">
        <v>42</v>
      </c>
      <c r="E165" s="26"/>
      <c r="F165" s="22">
        <v>40</v>
      </c>
      <c r="G165" s="23" t="s">
        <v>33</v>
      </c>
      <c r="H165" s="22">
        <v>1</v>
      </c>
      <c r="I165" s="23" t="s">
        <v>42</v>
      </c>
      <c r="J165" s="24">
        <f>8800*12</f>
        <v>105600</v>
      </c>
      <c r="K165" s="21" t="s">
        <v>42</v>
      </c>
      <c r="L165" s="25">
        <v>0.125</v>
      </c>
      <c r="M165" s="25">
        <v>0.05</v>
      </c>
      <c r="N165" s="22"/>
      <c r="O165" s="23" t="s">
        <v>42</v>
      </c>
      <c r="P165" s="20">
        <f t="shared" si="36"/>
        <v>0</v>
      </c>
      <c r="Q165" s="23" t="s">
        <v>42</v>
      </c>
      <c r="R165" s="24">
        <f t="shared" si="37"/>
        <v>0</v>
      </c>
      <c r="S165" s="24">
        <f t="shared" si="29"/>
        <v>0</v>
      </c>
    </row>
    <row r="166" spans="1:19" s="19" customFormat="1">
      <c r="A166" s="91" t="s">
        <v>851</v>
      </c>
      <c r="B166" s="19" t="s">
        <v>18</v>
      </c>
      <c r="C166" s="20"/>
      <c r="D166" s="21" t="s">
        <v>42</v>
      </c>
      <c r="E166" s="26">
        <v>1</v>
      </c>
      <c r="F166" s="22">
        <v>30</v>
      </c>
      <c r="G166" s="23" t="s">
        <v>33</v>
      </c>
      <c r="H166" s="22">
        <v>1</v>
      </c>
      <c r="I166" s="23" t="s">
        <v>42</v>
      </c>
      <c r="J166" s="24">
        <f>10000*12</f>
        <v>120000</v>
      </c>
      <c r="K166" s="21" t="s">
        <v>42</v>
      </c>
      <c r="L166" s="25">
        <v>0.125</v>
      </c>
      <c r="M166" s="25">
        <v>0.05</v>
      </c>
      <c r="N166" s="22"/>
      <c r="O166" s="23" t="s">
        <v>42</v>
      </c>
      <c r="P166" s="20">
        <f t="shared" si="36"/>
        <v>30</v>
      </c>
      <c r="Q166" s="23" t="s">
        <v>42</v>
      </c>
      <c r="R166" s="24">
        <f t="shared" si="37"/>
        <v>2992500</v>
      </c>
      <c r="S166" s="24">
        <f t="shared" si="29"/>
        <v>2695945.9459459456</v>
      </c>
    </row>
    <row r="167" spans="1:19" s="19" customFormat="1">
      <c r="A167" s="18" t="s">
        <v>825</v>
      </c>
      <c r="B167" s="19" t="s">
        <v>18</v>
      </c>
      <c r="C167" s="20"/>
      <c r="D167" s="21" t="s">
        <v>42</v>
      </c>
      <c r="E167" s="26"/>
      <c r="F167" s="22">
        <v>1</v>
      </c>
      <c r="G167" s="23" t="s">
        <v>20</v>
      </c>
      <c r="H167" s="22">
        <f>360/12</f>
        <v>30</v>
      </c>
      <c r="I167" s="23" t="s">
        <v>42</v>
      </c>
      <c r="J167" s="24">
        <f>4800*12</f>
        <v>57600</v>
      </c>
      <c r="K167" s="21" t="s">
        <v>42</v>
      </c>
      <c r="L167" s="25">
        <v>0.125</v>
      </c>
      <c r="M167" s="25">
        <v>0.05</v>
      </c>
      <c r="N167" s="22"/>
      <c r="O167" s="23" t="s">
        <v>42</v>
      </c>
      <c r="P167" s="20">
        <f t="shared" si="36"/>
        <v>0</v>
      </c>
      <c r="Q167" s="23" t="s">
        <v>42</v>
      </c>
      <c r="R167" s="24">
        <f t="shared" si="37"/>
        <v>0</v>
      </c>
      <c r="S167" s="24">
        <f t="shared" si="29"/>
        <v>0</v>
      </c>
    </row>
    <row r="168" spans="1:19" s="19" customFormat="1">
      <c r="A168" s="18" t="s">
        <v>826</v>
      </c>
      <c r="B168" s="19" t="s">
        <v>18</v>
      </c>
      <c r="C168" s="20"/>
      <c r="D168" s="21" t="s">
        <v>42</v>
      </c>
      <c r="E168" s="26"/>
      <c r="F168" s="22">
        <v>60</v>
      </c>
      <c r="G168" s="23" t="s">
        <v>33</v>
      </c>
      <c r="H168" s="22">
        <f>360/12</f>
        <v>30</v>
      </c>
      <c r="I168" s="23" t="s">
        <v>42</v>
      </c>
      <c r="J168" s="24">
        <f>6000*12</f>
        <v>72000</v>
      </c>
      <c r="K168" s="21" t="s">
        <v>42</v>
      </c>
      <c r="L168" s="25">
        <v>0.125</v>
      </c>
      <c r="M168" s="25">
        <v>0.05</v>
      </c>
      <c r="N168" s="22"/>
      <c r="O168" s="23" t="s">
        <v>42</v>
      </c>
      <c r="P168" s="20">
        <f t="shared" si="36"/>
        <v>0</v>
      </c>
      <c r="Q168" s="23" t="s">
        <v>42</v>
      </c>
      <c r="R168" s="24">
        <f t="shared" si="37"/>
        <v>0</v>
      </c>
      <c r="S168" s="24">
        <f t="shared" si="29"/>
        <v>0</v>
      </c>
    </row>
    <row r="169" spans="1:19" s="19" customFormat="1">
      <c r="A169" s="18"/>
      <c r="C169" s="20"/>
      <c r="D169" s="21"/>
      <c r="E169" s="26"/>
      <c r="F169" s="22"/>
      <c r="G169" s="23"/>
      <c r="H169" s="22"/>
      <c r="I169" s="23"/>
      <c r="J169" s="24"/>
      <c r="K169" s="21"/>
      <c r="L169" s="25"/>
      <c r="M169" s="25"/>
      <c r="N169" s="22"/>
      <c r="O169" s="23"/>
      <c r="P169" s="20"/>
      <c r="Q169" s="23"/>
      <c r="R169" s="24"/>
      <c r="S169" s="24"/>
    </row>
    <row r="170" spans="1:19" s="19" customFormat="1">
      <c r="A170" s="18" t="s">
        <v>140</v>
      </c>
      <c r="B170" s="19" t="s">
        <v>25</v>
      </c>
      <c r="C170" s="20"/>
      <c r="D170" s="21" t="s">
        <v>42</v>
      </c>
      <c r="E170" s="26"/>
      <c r="F170" s="22">
        <v>1</v>
      </c>
      <c r="G170" s="23" t="s">
        <v>20</v>
      </c>
      <c r="H170" s="22">
        <v>36</v>
      </c>
      <c r="I170" s="23" t="s">
        <v>42</v>
      </c>
      <c r="J170" s="24">
        <f>2095200/36</f>
        <v>58200</v>
      </c>
      <c r="K170" s="21" t="s">
        <v>42</v>
      </c>
      <c r="L170" s="25"/>
      <c r="M170" s="25">
        <v>0.17</v>
      </c>
      <c r="N170" s="22"/>
      <c r="O170" s="23" t="s">
        <v>42</v>
      </c>
      <c r="P170" s="20">
        <f t="shared" ref="P170:P189" si="44">(C170+(E170*F170*H170))-N170</f>
        <v>0</v>
      </c>
      <c r="Q170" s="23" t="s">
        <v>42</v>
      </c>
      <c r="R170" s="24">
        <f t="shared" ref="R170:R189" si="45">P170*(J170-(J170*L170)-((J170-(J170*L170))*M170))</f>
        <v>0</v>
      </c>
      <c r="S170" s="24">
        <f t="shared" si="29"/>
        <v>0</v>
      </c>
    </row>
    <row r="171" spans="1:19" s="19" customFormat="1">
      <c r="A171" s="18" t="s">
        <v>782</v>
      </c>
      <c r="B171" s="19" t="s">
        <v>25</v>
      </c>
      <c r="C171" s="20"/>
      <c r="D171" s="21" t="s">
        <v>42</v>
      </c>
      <c r="E171" s="26"/>
      <c r="F171" s="22">
        <v>1</v>
      </c>
      <c r="G171" s="23" t="s">
        <v>20</v>
      </c>
      <c r="H171" s="22">
        <v>36</v>
      </c>
      <c r="I171" s="23" t="s">
        <v>42</v>
      </c>
      <c r="J171" s="24">
        <f>2116800/36</f>
        <v>58800</v>
      </c>
      <c r="K171" s="21" t="s">
        <v>42</v>
      </c>
      <c r="L171" s="25"/>
      <c r="M171" s="25">
        <v>0.17</v>
      </c>
      <c r="N171" s="22"/>
      <c r="O171" s="23" t="s">
        <v>42</v>
      </c>
      <c r="P171" s="20">
        <f t="shared" si="44"/>
        <v>0</v>
      </c>
      <c r="Q171" s="23" t="s">
        <v>42</v>
      </c>
      <c r="R171" s="24">
        <f t="shared" si="45"/>
        <v>0</v>
      </c>
      <c r="S171" s="24">
        <f t="shared" si="29"/>
        <v>0</v>
      </c>
    </row>
    <row r="172" spans="1:19" s="19" customFormat="1">
      <c r="A172" s="18" t="s">
        <v>141</v>
      </c>
      <c r="B172" s="19" t="s">
        <v>25</v>
      </c>
      <c r="C172" s="20"/>
      <c r="D172" s="21" t="s">
        <v>42</v>
      </c>
      <c r="E172" s="26"/>
      <c r="F172" s="22">
        <v>1</v>
      </c>
      <c r="G172" s="23" t="s">
        <v>20</v>
      </c>
      <c r="H172" s="22">
        <v>48</v>
      </c>
      <c r="I172" s="23" t="s">
        <v>42</v>
      </c>
      <c r="J172" s="24">
        <f>2995200/48</f>
        <v>62400</v>
      </c>
      <c r="K172" s="21" t="s">
        <v>42</v>
      </c>
      <c r="L172" s="25"/>
      <c r="M172" s="25">
        <v>0.17</v>
      </c>
      <c r="N172" s="22"/>
      <c r="O172" s="23" t="s">
        <v>42</v>
      </c>
      <c r="P172" s="20">
        <f t="shared" si="44"/>
        <v>0</v>
      </c>
      <c r="Q172" s="23" t="s">
        <v>42</v>
      </c>
      <c r="R172" s="24">
        <f t="shared" si="45"/>
        <v>0</v>
      </c>
      <c r="S172" s="24">
        <f t="shared" si="29"/>
        <v>0</v>
      </c>
    </row>
    <row r="173" spans="1:19" s="19" customFormat="1">
      <c r="A173" s="18" t="s">
        <v>142</v>
      </c>
      <c r="B173" s="19" t="s">
        <v>25</v>
      </c>
      <c r="C173" s="20"/>
      <c r="D173" s="21" t="s">
        <v>42</v>
      </c>
      <c r="E173" s="26"/>
      <c r="F173" s="22">
        <v>1</v>
      </c>
      <c r="G173" s="23" t="s">
        <v>20</v>
      </c>
      <c r="H173" s="22">
        <v>48</v>
      </c>
      <c r="I173" s="23" t="s">
        <v>42</v>
      </c>
      <c r="J173" s="24">
        <f>3916800/48</f>
        <v>81600</v>
      </c>
      <c r="K173" s="21" t="s">
        <v>42</v>
      </c>
      <c r="L173" s="25"/>
      <c r="M173" s="25">
        <v>0.17</v>
      </c>
      <c r="N173" s="22"/>
      <c r="O173" s="23" t="s">
        <v>42</v>
      </c>
      <c r="P173" s="20">
        <f t="shared" si="44"/>
        <v>0</v>
      </c>
      <c r="Q173" s="23" t="s">
        <v>42</v>
      </c>
      <c r="R173" s="24">
        <f t="shared" si="45"/>
        <v>0</v>
      </c>
      <c r="S173" s="24">
        <f t="shared" si="29"/>
        <v>0</v>
      </c>
    </row>
    <row r="174" spans="1:19" s="19" customFormat="1">
      <c r="A174" s="18" t="s">
        <v>781</v>
      </c>
      <c r="B174" s="19" t="s">
        <v>25</v>
      </c>
      <c r="C174" s="20"/>
      <c r="D174" s="21" t="s">
        <v>42</v>
      </c>
      <c r="E174" s="26"/>
      <c r="F174" s="22">
        <v>1</v>
      </c>
      <c r="G174" s="23" t="s">
        <v>20</v>
      </c>
      <c r="H174" s="22">
        <v>48</v>
      </c>
      <c r="I174" s="23" t="s">
        <v>42</v>
      </c>
      <c r="J174" s="24">
        <f>4032000/48</f>
        <v>84000</v>
      </c>
      <c r="K174" s="21" t="s">
        <v>42</v>
      </c>
      <c r="L174" s="25"/>
      <c r="M174" s="25">
        <v>0.17</v>
      </c>
      <c r="N174" s="22"/>
      <c r="O174" s="23" t="s">
        <v>42</v>
      </c>
      <c r="P174" s="20">
        <f t="shared" si="44"/>
        <v>0</v>
      </c>
      <c r="Q174" s="23" t="s">
        <v>42</v>
      </c>
      <c r="R174" s="24">
        <f t="shared" si="45"/>
        <v>0</v>
      </c>
      <c r="S174" s="24">
        <f t="shared" si="29"/>
        <v>0</v>
      </c>
    </row>
    <row r="175" spans="1:19" s="19" customFormat="1">
      <c r="A175" s="18" t="s">
        <v>143</v>
      </c>
      <c r="B175" s="19" t="s">
        <v>25</v>
      </c>
      <c r="C175" s="20"/>
      <c r="D175" s="21" t="s">
        <v>42</v>
      </c>
      <c r="E175" s="26"/>
      <c r="F175" s="22">
        <v>1</v>
      </c>
      <c r="G175" s="23" t="s">
        <v>20</v>
      </c>
      <c r="H175" s="22">
        <v>48</v>
      </c>
      <c r="I175" s="23" t="s">
        <v>42</v>
      </c>
      <c r="J175" s="24">
        <f>5100*12</f>
        <v>61200</v>
      </c>
      <c r="K175" s="21" t="s">
        <v>42</v>
      </c>
      <c r="L175" s="25"/>
      <c r="M175" s="25">
        <v>0.17</v>
      </c>
      <c r="N175" s="22"/>
      <c r="O175" s="23" t="s">
        <v>42</v>
      </c>
      <c r="P175" s="20">
        <f t="shared" si="44"/>
        <v>0</v>
      </c>
      <c r="Q175" s="23" t="s">
        <v>42</v>
      </c>
      <c r="R175" s="24">
        <f t="shared" si="45"/>
        <v>0</v>
      </c>
      <c r="S175" s="24">
        <f t="shared" si="29"/>
        <v>0</v>
      </c>
    </row>
    <row r="176" spans="1:19" s="19" customFormat="1">
      <c r="A176" s="18" t="s">
        <v>144</v>
      </c>
      <c r="B176" s="19" t="s">
        <v>25</v>
      </c>
      <c r="C176" s="20"/>
      <c r="D176" s="21" t="s">
        <v>42</v>
      </c>
      <c r="E176" s="26"/>
      <c r="F176" s="22">
        <v>1</v>
      </c>
      <c r="G176" s="23" t="s">
        <v>20</v>
      </c>
      <c r="H176" s="22">
        <v>48</v>
      </c>
      <c r="I176" s="23" t="s">
        <v>42</v>
      </c>
      <c r="J176" s="24">
        <f>4250*12</f>
        <v>51000</v>
      </c>
      <c r="K176" s="21" t="s">
        <v>42</v>
      </c>
      <c r="L176" s="25"/>
      <c r="M176" s="25">
        <v>0.17</v>
      </c>
      <c r="N176" s="22"/>
      <c r="O176" s="23" t="s">
        <v>42</v>
      </c>
      <c r="P176" s="20">
        <f t="shared" si="44"/>
        <v>0</v>
      </c>
      <c r="Q176" s="23" t="s">
        <v>42</v>
      </c>
      <c r="R176" s="24">
        <f t="shared" si="45"/>
        <v>0</v>
      </c>
      <c r="S176" s="24">
        <f t="shared" si="29"/>
        <v>0</v>
      </c>
    </row>
    <row r="177" spans="1:19" s="19" customFormat="1">
      <c r="A177" s="18" t="s">
        <v>145</v>
      </c>
      <c r="B177" s="19" t="s">
        <v>25</v>
      </c>
      <c r="C177" s="20"/>
      <c r="D177" s="21" t="s">
        <v>42</v>
      </c>
      <c r="E177" s="26"/>
      <c r="F177" s="22">
        <v>1</v>
      </c>
      <c r="G177" s="23" t="s">
        <v>20</v>
      </c>
      <c r="H177" s="22">
        <v>48</v>
      </c>
      <c r="I177" s="23" t="s">
        <v>42</v>
      </c>
      <c r="J177" s="24">
        <f>2592000/48</f>
        <v>54000</v>
      </c>
      <c r="K177" s="21" t="s">
        <v>42</v>
      </c>
      <c r="L177" s="25"/>
      <c r="M177" s="25">
        <v>0.17</v>
      </c>
      <c r="N177" s="22"/>
      <c r="O177" s="23" t="s">
        <v>42</v>
      </c>
      <c r="P177" s="20">
        <f t="shared" si="44"/>
        <v>0</v>
      </c>
      <c r="Q177" s="23" t="s">
        <v>42</v>
      </c>
      <c r="R177" s="24">
        <f t="shared" si="45"/>
        <v>0</v>
      </c>
      <c r="S177" s="24">
        <f t="shared" si="29"/>
        <v>0</v>
      </c>
    </row>
    <row r="178" spans="1:19" s="19" customFormat="1">
      <c r="A178" s="18" t="s">
        <v>146</v>
      </c>
      <c r="B178" s="19" t="s">
        <v>25</v>
      </c>
      <c r="C178" s="20"/>
      <c r="D178" s="21" t="s">
        <v>42</v>
      </c>
      <c r="E178" s="26">
        <v>2</v>
      </c>
      <c r="F178" s="22">
        <v>1</v>
      </c>
      <c r="G178" s="23" t="s">
        <v>20</v>
      </c>
      <c r="H178" s="22">
        <v>48</v>
      </c>
      <c r="I178" s="23" t="s">
        <v>42</v>
      </c>
      <c r="J178" s="24">
        <f>2448000/48</f>
        <v>51000</v>
      </c>
      <c r="K178" s="21" t="s">
        <v>42</v>
      </c>
      <c r="L178" s="25"/>
      <c r="M178" s="25">
        <v>0.17</v>
      </c>
      <c r="N178" s="22"/>
      <c r="O178" s="23" t="s">
        <v>42</v>
      </c>
      <c r="P178" s="20">
        <f t="shared" si="44"/>
        <v>96</v>
      </c>
      <c r="Q178" s="23" t="s">
        <v>42</v>
      </c>
      <c r="R178" s="24">
        <f t="shared" si="45"/>
        <v>4063680</v>
      </c>
      <c r="S178" s="24">
        <f t="shared" si="29"/>
        <v>3660972.9729729728</v>
      </c>
    </row>
    <row r="179" spans="1:19" s="19" customFormat="1">
      <c r="A179" s="18" t="s">
        <v>147</v>
      </c>
      <c r="B179" s="19" t="s">
        <v>25</v>
      </c>
      <c r="C179" s="20"/>
      <c r="D179" s="21" t="s">
        <v>42</v>
      </c>
      <c r="E179" s="26"/>
      <c r="F179" s="22">
        <v>1</v>
      </c>
      <c r="G179" s="23" t="s">
        <v>20</v>
      </c>
      <c r="H179" s="22">
        <v>24</v>
      </c>
      <c r="I179" s="23" t="s">
        <v>42</v>
      </c>
      <c r="J179" s="24">
        <f>2491200/24</f>
        <v>103800</v>
      </c>
      <c r="K179" s="21" t="s">
        <v>42</v>
      </c>
      <c r="L179" s="25"/>
      <c r="M179" s="25">
        <v>0.17</v>
      </c>
      <c r="N179" s="22"/>
      <c r="O179" s="23" t="s">
        <v>42</v>
      </c>
      <c r="P179" s="20">
        <f t="shared" si="44"/>
        <v>0</v>
      </c>
      <c r="Q179" s="23" t="s">
        <v>42</v>
      </c>
      <c r="R179" s="24">
        <f t="shared" si="45"/>
        <v>0</v>
      </c>
      <c r="S179" s="24">
        <f t="shared" ref="S179:S267" si="46">R179/1.11</f>
        <v>0</v>
      </c>
    </row>
    <row r="180" spans="1:19" s="19" customFormat="1">
      <c r="A180" s="18" t="s">
        <v>148</v>
      </c>
      <c r="B180" s="19" t="s">
        <v>25</v>
      </c>
      <c r="C180" s="20"/>
      <c r="D180" s="21" t="s">
        <v>42</v>
      </c>
      <c r="E180" s="26"/>
      <c r="F180" s="22">
        <v>1</v>
      </c>
      <c r="G180" s="23" t="s">
        <v>20</v>
      </c>
      <c r="H180" s="22">
        <v>36</v>
      </c>
      <c r="I180" s="23" t="s">
        <v>42</v>
      </c>
      <c r="J180" s="24">
        <f>3736800/36</f>
        <v>103800</v>
      </c>
      <c r="K180" s="21" t="s">
        <v>42</v>
      </c>
      <c r="L180" s="25"/>
      <c r="M180" s="25">
        <v>0.17</v>
      </c>
      <c r="N180" s="22"/>
      <c r="O180" s="23" t="s">
        <v>42</v>
      </c>
      <c r="P180" s="20">
        <f t="shared" si="44"/>
        <v>0</v>
      </c>
      <c r="Q180" s="23" t="s">
        <v>42</v>
      </c>
      <c r="R180" s="24">
        <f t="shared" si="45"/>
        <v>0</v>
      </c>
      <c r="S180" s="24">
        <f t="shared" si="46"/>
        <v>0</v>
      </c>
    </row>
    <row r="181" spans="1:19" s="19" customFormat="1">
      <c r="A181" s="18" t="s">
        <v>149</v>
      </c>
      <c r="B181" s="19" t="s">
        <v>25</v>
      </c>
      <c r="C181" s="20"/>
      <c r="D181" s="21" t="s">
        <v>42</v>
      </c>
      <c r="E181" s="26"/>
      <c r="F181" s="22">
        <v>1</v>
      </c>
      <c r="G181" s="23" t="s">
        <v>20</v>
      </c>
      <c r="H181" s="22">
        <v>48</v>
      </c>
      <c r="I181" s="23" t="s">
        <v>42</v>
      </c>
      <c r="J181" s="24">
        <f>2592000/48</f>
        <v>54000</v>
      </c>
      <c r="K181" s="21" t="s">
        <v>42</v>
      </c>
      <c r="L181" s="25"/>
      <c r="M181" s="25">
        <v>0.17</v>
      </c>
      <c r="N181" s="22"/>
      <c r="O181" s="23" t="s">
        <v>42</v>
      </c>
      <c r="P181" s="20">
        <f t="shared" si="44"/>
        <v>0</v>
      </c>
      <c r="Q181" s="23" t="s">
        <v>42</v>
      </c>
      <c r="R181" s="24">
        <f t="shared" si="45"/>
        <v>0</v>
      </c>
      <c r="S181" s="24">
        <f t="shared" si="46"/>
        <v>0</v>
      </c>
    </row>
    <row r="182" spans="1:19" s="19" customFormat="1">
      <c r="A182" s="18" t="s">
        <v>150</v>
      </c>
      <c r="B182" s="19" t="s">
        <v>25</v>
      </c>
      <c r="C182" s="20"/>
      <c r="D182" s="21" t="s">
        <v>42</v>
      </c>
      <c r="E182" s="26">
        <v>7</v>
      </c>
      <c r="F182" s="22">
        <v>1</v>
      </c>
      <c r="G182" s="23" t="s">
        <v>20</v>
      </c>
      <c r="H182" s="22">
        <v>48</v>
      </c>
      <c r="I182" s="23" t="s">
        <v>42</v>
      </c>
      <c r="J182" s="24">
        <f>2880000/48</f>
        <v>60000</v>
      </c>
      <c r="K182" s="21" t="s">
        <v>42</v>
      </c>
      <c r="L182" s="25"/>
      <c r="M182" s="25">
        <v>0.17</v>
      </c>
      <c r="N182" s="22"/>
      <c r="O182" s="23" t="s">
        <v>42</v>
      </c>
      <c r="P182" s="20">
        <f t="shared" si="44"/>
        <v>336</v>
      </c>
      <c r="Q182" s="23" t="s">
        <v>42</v>
      </c>
      <c r="R182" s="24">
        <f t="shared" si="45"/>
        <v>16732800</v>
      </c>
      <c r="S182" s="24">
        <f t="shared" si="46"/>
        <v>15074594.594594594</v>
      </c>
    </row>
    <row r="183" spans="1:19" s="19" customFormat="1">
      <c r="A183" s="18" t="s">
        <v>151</v>
      </c>
      <c r="B183" s="19" t="s">
        <v>25</v>
      </c>
      <c r="C183" s="20"/>
      <c r="D183" s="21" t="s">
        <v>42</v>
      </c>
      <c r="E183" s="26"/>
      <c r="F183" s="22">
        <v>1</v>
      </c>
      <c r="G183" s="23" t="s">
        <v>20</v>
      </c>
      <c r="H183" s="22">
        <v>48</v>
      </c>
      <c r="I183" s="23" t="s">
        <v>42</v>
      </c>
      <c r="J183" s="24">
        <f>2880000/48</f>
        <v>60000</v>
      </c>
      <c r="K183" s="21" t="s">
        <v>42</v>
      </c>
      <c r="L183" s="25"/>
      <c r="M183" s="25">
        <v>0.17</v>
      </c>
      <c r="N183" s="22"/>
      <c r="O183" s="23" t="s">
        <v>42</v>
      </c>
      <c r="P183" s="20">
        <f t="shared" si="44"/>
        <v>0</v>
      </c>
      <c r="Q183" s="23" t="s">
        <v>42</v>
      </c>
      <c r="R183" s="24">
        <f t="shared" si="45"/>
        <v>0</v>
      </c>
      <c r="S183" s="24">
        <f t="shared" si="46"/>
        <v>0</v>
      </c>
    </row>
    <row r="184" spans="1:19" s="19" customFormat="1">
      <c r="A184" s="18" t="s">
        <v>152</v>
      </c>
      <c r="B184" s="19" t="s">
        <v>25</v>
      </c>
      <c r="C184" s="20"/>
      <c r="D184" s="21" t="s">
        <v>42</v>
      </c>
      <c r="E184" s="26"/>
      <c r="F184" s="22">
        <v>1</v>
      </c>
      <c r="G184" s="23" t="s">
        <v>20</v>
      </c>
      <c r="H184" s="22">
        <v>48</v>
      </c>
      <c r="I184" s="23" t="s">
        <v>42</v>
      </c>
      <c r="J184" s="24">
        <f>2736000/48</f>
        <v>57000</v>
      </c>
      <c r="K184" s="21" t="s">
        <v>42</v>
      </c>
      <c r="L184" s="25"/>
      <c r="M184" s="25">
        <v>0.17</v>
      </c>
      <c r="N184" s="22"/>
      <c r="O184" s="23" t="s">
        <v>42</v>
      </c>
      <c r="P184" s="20">
        <f t="shared" si="44"/>
        <v>0</v>
      </c>
      <c r="Q184" s="23" t="s">
        <v>42</v>
      </c>
      <c r="R184" s="24">
        <f t="shared" si="45"/>
        <v>0</v>
      </c>
      <c r="S184" s="24">
        <f t="shared" si="46"/>
        <v>0</v>
      </c>
    </row>
    <row r="185" spans="1:19" s="19" customFormat="1">
      <c r="A185" s="18" t="s">
        <v>153</v>
      </c>
      <c r="B185" s="19" t="s">
        <v>25</v>
      </c>
      <c r="C185" s="20"/>
      <c r="D185" s="21" t="s">
        <v>42</v>
      </c>
      <c r="E185" s="26"/>
      <c r="F185" s="22">
        <v>1</v>
      </c>
      <c r="G185" s="23" t="s">
        <v>20</v>
      </c>
      <c r="H185" s="22">
        <v>48</v>
      </c>
      <c r="I185" s="23" t="s">
        <v>42</v>
      </c>
      <c r="J185" s="24">
        <f>3024000/48</f>
        <v>63000</v>
      </c>
      <c r="K185" s="21" t="s">
        <v>42</v>
      </c>
      <c r="L185" s="25"/>
      <c r="M185" s="25">
        <v>0.17</v>
      </c>
      <c r="N185" s="22"/>
      <c r="O185" s="23" t="s">
        <v>42</v>
      </c>
      <c r="P185" s="20">
        <f t="shared" si="44"/>
        <v>0</v>
      </c>
      <c r="Q185" s="23" t="s">
        <v>42</v>
      </c>
      <c r="R185" s="24">
        <f t="shared" si="45"/>
        <v>0</v>
      </c>
      <c r="S185" s="24">
        <f t="shared" si="46"/>
        <v>0</v>
      </c>
    </row>
    <row r="186" spans="1:19" s="19" customFormat="1">
      <c r="A186" s="18" t="s">
        <v>154</v>
      </c>
      <c r="B186" s="19" t="s">
        <v>25</v>
      </c>
      <c r="C186" s="20"/>
      <c r="D186" s="21" t="s">
        <v>42</v>
      </c>
      <c r="E186" s="26"/>
      <c r="F186" s="22">
        <v>1</v>
      </c>
      <c r="G186" s="23" t="s">
        <v>20</v>
      </c>
      <c r="H186" s="22">
        <v>48</v>
      </c>
      <c r="I186" s="23" t="s">
        <v>42</v>
      </c>
      <c r="J186" s="24">
        <f>2995200/48</f>
        <v>62400</v>
      </c>
      <c r="K186" s="21" t="s">
        <v>42</v>
      </c>
      <c r="L186" s="25"/>
      <c r="M186" s="25">
        <v>0.17</v>
      </c>
      <c r="N186" s="22"/>
      <c r="O186" s="23" t="s">
        <v>42</v>
      </c>
      <c r="P186" s="20">
        <f t="shared" si="44"/>
        <v>0</v>
      </c>
      <c r="Q186" s="23" t="s">
        <v>42</v>
      </c>
      <c r="R186" s="24">
        <f t="shared" si="45"/>
        <v>0</v>
      </c>
      <c r="S186" s="24">
        <f t="shared" si="46"/>
        <v>0</v>
      </c>
    </row>
    <row r="187" spans="1:19" s="19" customFormat="1">
      <c r="A187" s="18" t="s">
        <v>155</v>
      </c>
      <c r="B187" s="19" t="s">
        <v>25</v>
      </c>
      <c r="C187" s="20"/>
      <c r="D187" s="21" t="s">
        <v>42</v>
      </c>
      <c r="E187" s="26">
        <v>1</v>
      </c>
      <c r="F187" s="22">
        <v>1</v>
      </c>
      <c r="G187" s="23" t="s">
        <v>20</v>
      </c>
      <c r="H187" s="22">
        <v>48</v>
      </c>
      <c r="I187" s="23" t="s">
        <v>42</v>
      </c>
      <c r="J187" s="24">
        <f>2995200/48</f>
        <v>62400</v>
      </c>
      <c r="K187" s="21" t="s">
        <v>42</v>
      </c>
      <c r="L187" s="25"/>
      <c r="M187" s="25">
        <v>0.17</v>
      </c>
      <c r="N187" s="22"/>
      <c r="O187" s="23" t="s">
        <v>42</v>
      </c>
      <c r="P187" s="20">
        <f t="shared" si="44"/>
        <v>48</v>
      </c>
      <c r="Q187" s="23" t="s">
        <v>42</v>
      </c>
      <c r="R187" s="24">
        <f t="shared" si="45"/>
        <v>2486016</v>
      </c>
      <c r="S187" s="24">
        <f t="shared" si="46"/>
        <v>2239654.054054054</v>
      </c>
    </row>
    <row r="188" spans="1:19" s="19" customFormat="1">
      <c r="A188" s="18" t="s">
        <v>757</v>
      </c>
      <c r="B188" s="19" t="s">
        <v>25</v>
      </c>
      <c r="C188" s="20"/>
      <c r="D188" s="21" t="s">
        <v>42</v>
      </c>
      <c r="E188" s="26"/>
      <c r="F188" s="22">
        <v>1</v>
      </c>
      <c r="G188" s="23" t="s">
        <v>20</v>
      </c>
      <c r="H188" s="22">
        <v>36</v>
      </c>
      <c r="I188" s="23" t="s">
        <v>42</v>
      </c>
      <c r="J188" s="24">
        <f>3240000/36</f>
        <v>90000</v>
      </c>
      <c r="K188" s="21" t="s">
        <v>42</v>
      </c>
      <c r="L188" s="25"/>
      <c r="M188" s="25">
        <v>0.17</v>
      </c>
      <c r="N188" s="22"/>
      <c r="O188" s="23" t="s">
        <v>42</v>
      </c>
      <c r="P188" s="20">
        <f t="shared" si="44"/>
        <v>0</v>
      </c>
      <c r="Q188" s="23" t="s">
        <v>42</v>
      </c>
      <c r="R188" s="24">
        <f t="shared" si="45"/>
        <v>0</v>
      </c>
      <c r="S188" s="24">
        <f>R188/1.11</f>
        <v>0</v>
      </c>
    </row>
    <row r="189" spans="1:19" s="19" customFormat="1">
      <c r="A189" s="18" t="s">
        <v>815</v>
      </c>
      <c r="B189" s="19" t="s">
        <v>25</v>
      </c>
      <c r="C189" s="20"/>
      <c r="D189" s="21" t="s">
        <v>42</v>
      </c>
      <c r="E189" s="26"/>
      <c r="F189" s="22">
        <v>1</v>
      </c>
      <c r="G189" s="23" t="s">
        <v>20</v>
      </c>
      <c r="H189" s="22">
        <v>36</v>
      </c>
      <c r="I189" s="23" t="s">
        <v>42</v>
      </c>
      <c r="J189" s="24">
        <f>4406400/36</f>
        <v>122400</v>
      </c>
      <c r="K189" s="21" t="s">
        <v>42</v>
      </c>
      <c r="L189" s="25"/>
      <c r="M189" s="25">
        <v>0.17</v>
      </c>
      <c r="N189" s="22"/>
      <c r="O189" s="23" t="s">
        <v>42</v>
      </c>
      <c r="P189" s="20">
        <f t="shared" si="44"/>
        <v>0</v>
      </c>
      <c r="Q189" s="23" t="s">
        <v>42</v>
      </c>
      <c r="R189" s="24">
        <f t="shared" si="45"/>
        <v>0</v>
      </c>
      <c r="S189" s="24">
        <f>R189/1.11</f>
        <v>0</v>
      </c>
    </row>
    <row r="190" spans="1:19" s="19" customFormat="1">
      <c r="A190" s="18"/>
      <c r="C190" s="20"/>
      <c r="D190" s="21"/>
      <c r="E190" s="26"/>
      <c r="F190" s="22"/>
      <c r="G190" s="23"/>
      <c r="H190" s="22"/>
      <c r="I190" s="23"/>
      <c r="J190" s="24"/>
      <c r="K190" s="21"/>
      <c r="L190" s="25"/>
      <c r="M190" s="25"/>
      <c r="N190" s="22"/>
      <c r="O190" s="23"/>
      <c r="P190" s="20"/>
      <c r="Q190" s="23"/>
      <c r="R190" s="24"/>
      <c r="S190" s="24"/>
    </row>
    <row r="191" spans="1:19" s="19" customFormat="1" ht="15.75">
      <c r="A191" s="44" t="s">
        <v>156</v>
      </c>
      <c r="C191" s="20"/>
      <c r="D191" s="21"/>
      <c r="E191" s="26"/>
      <c r="F191" s="22"/>
      <c r="G191" s="23"/>
      <c r="H191" s="22"/>
      <c r="I191" s="23"/>
      <c r="J191" s="24"/>
      <c r="K191" s="21"/>
      <c r="L191" s="25"/>
      <c r="M191" s="25"/>
      <c r="N191" s="22"/>
      <c r="O191" s="23"/>
      <c r="P191" s="20"/>
      <c r="Q191" s="23"/>
      <c r="R191" s="24"/>
      <c r="S191" s="24"/>
    </row>
    <row r="192" spans="1:19" s="19" customFormat="1">
      <c r="A192" s="59" t="s">
        <v>711</v>
      </c>
      <c r="B192" s="19" t="s">
        <v>18</v>
      </c>
      <c r="C192" s="20"/>
      <c r="D192" s="21" t="s">
        <v>158</v>
      </c>
      <c r="E192" s="26"/>
      <c r="F192" s="22">
        <v>12</v>
      </c>
      <c r="G192" s="23" t="s">
        <v>33</v>
      </c>
      <c r="H192" s="22">
        <v>12</v>
      </c>
      <c r="I192" s="23" t="s">
        <v>158</v>
      </c>
      <c r="J192" s="24">
        <v>11000</v>
      </c>
      <c r="K192" s="21" t="s">
        <v>158</v>
      </c>
      <c r="L192" s="25">
        <v>0.125</v>
      </c>
      <c r="M192" s="25">
        <v>0.05</v>
      </c>
      <c r="N192" s="22"/>
      <c r="O192" s="23" t="s">
        <v>158</v>
      </c>
      <c r="P192" s="20">
        <f t="shared" ref="P192:P201" si="47">(C192+(E192*F192*H192))-N192</f>
        <v>0</v>
      </c>
      <c r="Q192" s="23" t="s">
        <v>158</v>
      </c>
      <c r="R192" s="24">
        <f t="shared" ref="R192:R201" si="48">P192*(J192-(J192*L192)-((J192-(J192*L192))*M192))</f>
        <v>0</v>
      </c>
      <c r="S192" s="24">
        <f t="shared" si="46"/>
        <v>0</v>
      </c>
    </row>
    <row r="193" spans="1:19" s="19" customFormat="1">
      <c r="A193" s="59" t="s">
        <v>157</v>
      </c>
      <c r="B193" s="19" t="s">
        <v>18</v>
      </c>
      <c r="C193" s="20"/>
      <c r="D193" s="21" t="s">
        <v>158</v>
      </c>
      <c r="E193" s="26"/>
      <c r="F193" s="22">
        <v>12</v>
      </c>
      <c r="G193" s="23" t="s">
        <v>33</v>
      </c>
      <c r="H193" s="22">
        <v>12</v>
      </c>
      <c r="I193" s="23" t="s">
        <v>158</v>
      </c>
      <c r="J193" s="24">
        <v>11600</v>
      </c>
      <c r="K193" s="21" t="s">
        <v>158</v>
      </c>
      <c r="L193" s="25">
        <v>0.125</v>
      </c>
      <c r="M193" s="25">
        <v>0.05</v>
      </c>
      <c r="N193" s="22"/>
      <c r="O193" s="23" t="s">
        <v>158</v>
      </c>
      <c r="P193" s="20">
        <f t="shared" si="47"/>
        <v>0</v>
      </c>
      <c r="Q193" s="23" t="s">
        <v>158</v>
      </c>
      <c r="R193" s="24">
        <f t="shared" si="48"/>
        <v>0</v>
      </c>
      <c r="S193" s="24">
        <f t="shared" si="46"/>
        <v>0</v>
      </c>
    </row>
    <row r="194" spans="1:19" s="19" customFormat="1">
      <c r="A194" s="59" t="s">
        <v>159</v>
      </c>
      <c r="B194" s="19" t="s">
        <v>18</v>
      </c>
      <c r="C194" s="20"/>
      <c r="D194" s="21" t="s">
        <v>158</v>
      </c>
      <c r="E194" s="26">
        <v>1</v>
      </c>
      <c r="F194" s="22">
        <v>6</v>
      </c>
      <c r="G194" s="23" t="s">
        <v>33</v>
      </c>
      <c r="H194" s="22">
        <v>24</v>
      </c>
      <c r="I194" s="23" t="s">
        <v>158</v>
      </c>
      <c r="J194" s="24">
        <v>9000</v>
      </c>
      <c r="K194" s="21" t="s">
        <v>158</v>
      </c>
      <c r="L194" s="25">
        <v>0.125</v>
      </c>
      <c r="M194" s="25">
        <v>0.05</v>
      </c>
      <c r="N194" s="22"/>
      <c r="O194" s="23" t="s">
        <v>158</v>
      </c>
      <c r="P194" s="20">
        <f t="shared" si="47"/>
        <v>144</v>
      </c>
      <c r="Q194" s="23" t="s">
        <v>158</v>
      </c>
      <c r="R194" s="24">
        <f t="shared" si="48"/>
        <v>1077300</v>
      </c>
      <c r="S194" s="24">
        <f t="shared" si="46"/>
        <v>970540.54054054047</v>
      </c>
    </row>
    <row r="195" spans="1:19" s="19" customFormat="1">
      <c r="A195" s="18" t="s">
        <v>160</v>
      </c>
      <c r="B195" s="19" t="s">
        <v>18</v>
      </c>
      <c r="C195" s="20"/>
      <c r="D195" s="21" t="s">
        <v>158</v>
      </c>
      <c r="E195" s="26">
        <v>1</v>
      </c>
      <c r="F195" s="22">
        <v>1</v>
      </c>
      <c r="G195" s="23" t="s">
        <v>20</v>
      </c>
      <c r="H195" s="22">
        <v>144</v>
      </c>
      <c r="I195" s="23" t="s">
        <v>158</v>
      </c>
      <c r="J195" s="24">
        <v>11900</v>
      </c>
      <c r="K195" s="21" t="s">
        <v>158</v>
      </c>
      <c r="L195" s="25">
        <v>0.125</v>
      </c>
      <c r="M195" s="25">
        <v>0.05</v>
      </c>
      <c r="N195" s="22"/>
      <c r="O195" s="23" t="s">
        <v>158</v>
      </c>
      <c r="P195" s="20">
        <f t="shared" si="47"/>
        <v>144</v>
      </c>
      <c r="Q195" s="23" t="s">
        <v>158</v>
      </c>
      <c r="R195" s="24">
        <f t="shared" si="48"/>
        <v>1424430</v>
      </c>
      <c r="S195" s="24">
        <f t="shared" si="46"/>
        <v>1283270.2702702701</v>
      </c>
    </row>
    <row r="196" spans="1:19" s="19" customFormat="1">
      <c r="A196" s="18" t="s">
        <v>161</v>
      </c>
      <c r="B196" s="19" t="s">
        <v>18</v>
      </c>
      <c r="C196" s="20"/>
      <c r="D196" s="21" t="s">
        <v>158</v>
      </c>
      <c r="E196" s="26">
        <v>1</v>
      </c>
      <c r="F196" s="22">
        <v>6</v>
      </c>
      <c r="G196" s="23" t="s">
        <v>33</v>
      </c>
      <c r="H196" s="22">
        <v>12</v>
      </c>
      <c r="I196" s="23" t="s">
        <v>158</v>
      </c>
      <c r="J196" s="24">
        <v>23000</v>
      </c>
      <c r="K196" s="21" t="s">
        <v>158</v>
      </c>
      <c r="L196" s="25">
        <v>0.125</v>
      </c>
      <c r="M196" s="25">
        <v>0.05</v>
      </c>
      <c r="N196" s="22"/>
      <c r="O196" s="23" t="s">
        <v>158</v>
      </c>
      <c r="P196" s="20">
        <f t="shared" si="47"/>
        <v>72</v>
      </c>
      <c r="Q196" s="23" t="s">
        <v>158</v>
      </c>
      <c r="R196" s="24">
        <f t="shared" si="48"/>
        <v>1376550</v>
      </c>
      <c r="S196" s="24">
        <f t="shared" si="46"/>
        <v>1240135.1351351349</v>
      </c>
    </row>
    <row r="197" spans="1:19" s="19" customFormat="1">
      <c r="A197" s="18" t="s">
        <v>162</v>
      </c>
      <c r="B197" s="19" t="s">
        <v>18</v>
      </c>
      <c r="C197" s="20"/>
      <c r="D197" s="21" t="s">
        <v>158</v>
      </c>
      <c r="E197" s="26"/>
      <c r="F197" s="22">
        <v>8</v>
      </c>
      <c r="G197" s="23" t="s">
        <v>33</v>
      </c>
      <c r="H197" s="22">
        <v>6</v>
      </c>
      <c r="I197" s="23" t="s">
        <v>158</v>
      </c>
      <c r="J197" s="24">
        <v>29600</v>
      </c>
      <c r="K197" s="21" t="s">
        <v>158</v>
      </c>
      <c r="L197" s="25">
        <v>0.125</v>
      </c>
      <c r="M197" s="25">
        <v>0.05</v>
      </c>
      <c r="N197" s="22"/>
      <c r="O197" s="23" t="s">
        <v>158</v>
      </c>
      <c r="P197" s="20">
        <f t="shared" si="47"/>
        <v>0</v>
      </c>
      <c r="Q197" s="23" t="s">
        <v>158</v>
      </c>
      <c r="R197" s="24">
        <f t="shared" si="48"/>
        <v>0</v>
      </c>
      <c r="S197" s="24">
        <f t="shared" si="46"/>
        <v>0</v>
      </c>
    </row>
    <row r="198" spans="1:19" s="19" customFormat="1">
      <c r="A198" s="18" t="s">
        <v>163</v>
      </c>
      <c r="B198" s="19" t="s">
        <v>18</v>
      </c>
      <c r="C198" s="20"/>
      <c r="D198" s="21" t="s">
        <v>158</v>
      </c>
      <c r="E198" s="26">
        <v>4</v>
      </c>
      <c r="F198" s="22">
        <v>6</v>
      </c>
      <c r="G198" s="23" t="s">
        <v>33</v>
      </c>
      <c r="H198" s="22">
        <v>6</v>
      </c>
      <c r="I198" s="23" t="s">
        <v>158</v>
      </c>
      <c r="J198" s="24">
        <v>41500</v>
      </c>
      <c r="K198" s="21" t="s">
        <v>158</v>
      </c>
      <c r="L198" s="25">
        <v>0.125</v>
      </c>
      <c r="M198" s="25">
        <v>0.05</v>
      </c>
      <c r="N198" s="22"/>
      <c r="O198" s="23" t="s">
        <v>158</v>
      </c>
      <c r="P198" s="20">
        <f t="shared" si="47"/>
        <v>144</v>
      </c>
      <c r="Q198" s="23" t="s">
        <v>158</v>
      </c>
      <c r="R198" s="24">
        <f t="shared" si="48"/>
        <v>4967550</v>
      </c>
      <c r="S198" s="24">
        <f>R198/1.11</f>
        <v>4475270.2702702703</v>
      </c>
    </row>
    <row r="199" spans="1:19" s="19" customFormat="1">
      <c r="A199" s="18" t="s">
        <v>164</v>
      </c>
      <c r="B199" s="19" t="s">
        <v>18</v>
      </c>
      <c r="C199" s="20"/>
      <c r="D199" s="21" t="s">
        <v>158</v>
      </c>
      <c r="E199" s="26">
        <v>3</v>
      </c>
      <c r="F199" s="22">
        <v>4</v>
      </c>
      <c r="G199" s="23" t="s">
        <v>33</v>
      </c>
      <c r="H199" s="22">
        <v>6</v>
      </c>
      <c r="I199" s="23" t="s">
        <v>158</v>
      </c>
      <c r="J199" s="24">
        <v>58900</v>
      </c>
      <c r="K199" s="21" t="s">
        <v>158</v>
      </c>
      <c r="L199" s="25">
        <v>0.125</v>
      </c>
      <c r="M199" s="25">
        <v>0.05</v>
      </c>
      <c r="N199" s="22"/>
      <c r="O199" s="23" t="s">
        <v>158</v>
      </c>
      <c r="P199" s="20">
        <f t="shared" si="47"/>
        <v>72</v>
      </c>
      <c r="Q199" s="23" t="s">
        <v>158</v>
      </c>
      <c r="R199" s="24">
        <f t="shared" si="48"/>
        <v>3525165</v>
      </c>
      <c r="S199" s="24">
        <f t="shared" si="46"/>
        <v>3175824.3243243243</v>
      </c>
    </row>
    <row r="200" spans="1:19" s="19" customFormat="1">
      <c r="A200" s="18" t="s">
        <v>165</v>
      </c>
      <c r="B200" s="19" t="s">
        <v>18</v>
      </c>
      <c r="C200" s="20"/>
      <c r="D200" s="21" t="s">
        <v>158</v>
      </c>
      <c r="E200" s="26">
        <v>4</v>
      </c>
      <c r="F200" s="22">
        <v>4</v>
      </c>
      <c r="G200" s="23" t="s">
        <v>33</v>
      </c>
      <c r="H200" s="22">
        <v>6</v>
      </c>
      <c r="I200" s="23" t="s">
        <v>158</v>
      </c>
      <c r="J200" s="24">
        <v>66900</v>
      </c>
      <c r="K200" s="21" t="s">
        <v>158</v>
      </c>
      <c r="L200" s="25">
        <v>0.125</v>
      </c>
      <c r="M200" s="25">
        <v>0.05</v>
      </c>
      <c r="N200" s="22"/>
      <c r="O200" s="23" t="s">
        <v>158</v>
      </c>
      <c r="P200" s="20">
        <f t="shared" si="47"/>
        <v>96</v>
      </c>
      <c r="Q200" s="23" t="s">
        <v>158</v>
      </c>
      <c r="R200" s="24">
        <f t="shared" si="48"/>
        <v>5338620</v>
      </c>
      <c r="S200" s="24">
        <f t="shared" si="46"/>
        <v>4809567.5675675673</v>
      </c>
    </row>
    <row r="201" spans="1:19" s="19" customFormat="1">
      <c r="A201" s="18" t="s">
        <v>705</v>
      </c>
      <c r="B201" s="19" t="s">
        <v>18</v>
      </c>
      <c r="C201" s="20"/>
      <c r="D201" s="21" t="s">
        <v>158</v>
      </c>
      <c r="E201" s="26">
        <v>4</v>
      </c>
      <c r="F201" s="22">
        <v>1</v>
      </c>
      <c r="G201" s="23" t="s">
        <v>20</v>
      </c>
      <c r="H201" s="22">
        <v>24</v>
      </c>
      <c r="I201" s="23" t="s">
        <v>158</v>
      </c>
      <c r="J201" s="24">
        <v>96000</v>
      </c>
      <c r="K201" s="21" t="s">
        <v>158</v>
      </c>
      <c r="L201" s="25">
        <v>0.125</v>
      </c>
      <c r="M201" s="25">
        <v>0.05</v>
      </c>
      <c r="N201" s="22"/>
      <c r="O201" s="23" t="s">
        <v>158</v>
      </c>
      <c r="P201" s="20">
        <f t="shared" si="47"/>
        <v>96</v>
      </c>
      <c r="Q201" s="23" t="s">
        <v>158</v>
      </c>
      <c r="R201" s="24">
        <f t="shared" si="48"/>
        <v>7660800</v>
      </c>
      <c r="S201" s="24">
        <f t="shared" si="46"/>
        <v>6901621.6216216208</v>
      </c>
    </row>
    <row r="202" spans="1:19" s="19" customFormat="1">
      <c r="A202" s="18"/>
      <c r="C202" s="20"/>
      <c r="D202" s="21"/>
      <c r="E202" s="26"/>
      <c r="F202" s="22"/>
      <c r="G202" s="23"/>
      <c r="H202" s="22"/>
      <c r="I202" s="23"/>
      <c r="J202" s="24"/>
      <c r="K202" s="21"/>
      <c r="L202" s="25"/>
      <c r="M202" s="25"/>
      <c r="N202" s="22"/>
      <c r="O202" s="23"/>
      <c r="P202" s="20"/>
      <c r="Q202" s="23"/>
      <c r="R202" s="24"/>
      <c r="S202" s="24"/>
    </row>
    <row r="203" spans="1:19" s="19" customFormat="1">
      <c r="A203" s="59" t="s">
        <v>166</v>
      </c>
      <c r="B203" s="19" t="s">
        <v>25</v>
      </c>
      <c r="C203" s="20"/>
      <c r="D203" s="21" t="s">
        <v>158</v>
      </c>
      <c r="E203" s="26">
        <v>1</v>
      </c>
      <c r="F203" s="22">
        <v>12</v>
      </c>
      <c r="G203" s="23" t="s">
        <v>42</v>
      </c>
      <c r="H203" s="22">
        <v>12</v>
      </c>
      <c r="I203" s="23" t="s">
        <v>158</v>
      </c>
      <c r="J203" s="24">
        <f>1728000/12/12</f>
        <v>12000</v>
      </c>
      <c r="K203" s="21" t="s">
        <v>158</v>
      </c>
      <c r="L203" s="25"/>
      <c r="M203" s="25">
        <v>0.17</v>
      </c>
      <c r="N203" s="22"/>
      <c r="O203" s="23" t="s">
        <v>158</v>
      </c>
      <c r="P203" s="20">
        <f>(C203+(E203*F203*H203))-N203</f>
        <v>144</v>
      </c>
      <c r="Q203" s="23" t="s">
        <v>158</v>
      </c>
      <c r="R203" s="24">
        <f>P203*(J203-(J203*L203)-((J203-(J203*L203))*M203))</f>
        <v>1434240</v>
      </c>
      <c r="S203" s="24">
        <f t="shared" si="46"/>
        <v>1292108.1081081079</v>
      </c>
    </row>
    <row r="204" spans="1:19" s="19" customFormat="1">
      <c r="A204" s="59" t="s">
        <v>167</v>
      </c>
      <c r="B204" s="19" t="s">
        <v>25</v>
      </c>
      <c r="C204" s="20"/>
      <c r="D204" s="21" t="s">
        <v>158</v>
      </c>
      <c r="E204" s="26">
        <v>1</v>
      </c>
      <c r="F204" s="22">
        <v>6</v>
      </c>
      <c r="G204" s="23" t="s">
        <v>42</v>
      </c>
      <c r="H204" s="22">
        <v>12</v>
      </c>
      <c r="I204" s="23" t="s">
        <v>158</v>
      </c>
      <c r="J204" s="24">
        <f>1548000/6/12</f>
        <v>21500</v>
      </c>
      <c r="K204" s="21" t="s">
        <v>158</v>
      </c>
      <c r="L204" s="25"/>
      <c r="M204" s="25">
        <v>0.17</v>
      </c>
      <c r="N204" s="22"/>
      <c r="O204" s="23" t="s">
        <v>158</v>
      </c>
      <c r="P204" s="20">
        <f>(C204+(E204*F204*H204))-N204</f>
        <v>72</v>
      </c>
      <c r="Q204" s="23" t="s">
        <v>158</v>
      </c>
      <c r="R204" s="24">
        <f>P204*(J204-(J204*L204)-((J204-(J204*L204))*M204))</f>
        <v>1284840</v>
      </c>
      <c r="S204" s="24">
        <f t="shared" si="46"/>
        <v>1157513.5135135134</v>
      </c>
    </row>
    <row r="205" spans="1:19" s="19" customFormat="1">
      <c r="A205" s="92" t="s">
        <v>852</v>
      </c>
      <c r="B205" s="19" t="s">
        <v>25</v>
      </c>
      <c r="C205" s="20"/>
      <c r="D205" s="21" t="s">
        <v>158</v>
      </c>
      <c r="E205" s="26">
        <v>1</v>
      </c>
      <c r="F205" s="22">
        <v>4</v>
      </c>
      <c r="G205" s="23" t="s">
        <v>42</v>
      </c>
      <c r="H205" s="22">
        <v>12</v>
      </c>
      <c r="I205" s="23" t="s">
        <v>158</v>
      </c>
      <c r="J205" s="24">
        <v>28500</v>
      </c>
      <c r="K205" s="21" t="s">
        <v>158</v>
      </c>
      <c r="L205" s="25"/>
      <c r="M205" s="25">
        <v>0.17</v>
      </c>
      <c r="N205" s="22"/>
      <c r="O205" s="23" t="s">
        <v>158</v>
      </c>
      <c r="P205" s="20">
        <f t="shared" ref="P205:P206" si="49">(C205+(E205*F205*H205))-N205</f>
        <v>48</v>
      </c>
      <c r="Q205" s="23" t="s">
        <v>158</v>
      </c>
      <c r="R205" s="24">
        <f t="shared" ref="R205:R206" si="50">P205*(J205-(J205*L205)-((J205-(J205*L205))*M205))</f>
        <v>1135440</v>
      </c>
      <c r="S205" s="24">
        <f t="shared" ref="S205:S206" si="51">R205/1.11</f>
        <v>1022918.9189189188</v>
      </c>
    </row>
    <row r="206" spans="1:19" s="19" customFormat="1">
      <c r="A206" s="92" t="s">
        <v>853</v>
      </c>
      <c r="B206" s="19" t="s">
        <v>25</v>
      </c>
      <c r="C206" s="20"/>
      <c r="D206" s="21" t="s">
        <v>158</v>
      </c>
      <c r="E206" s="26">
        <v>1</v>
      </c>
      <c r="F206" s="22">
        <v>4</v>
      </c>
      <c r="G206" s="23" t="s">
        <v>42</v>
      </c>
      <c r="H206" s="22">
        <v>12</v>
      </c>
      <c r="I206" s="23" t="s">
        <v>158</v>
      </c>
      <c r="J206" s="24">
        <v>31125</v>
      </c>
      <c r="K206" s="21" t="s">
        <v>158</v>
      </c>
      <c r="L206" s="25"/>
      <c r="M206" s="25">
        <v>0.17</v>
      </c>
      <c r="N206" s="22"/>
      <c r="O206" s="23" t="s">
        <v>158</v>
      </c>
      <c r="P206" s="20">
        <f t="shared" si="49"/>
        <v>48</v>
      </c>
      <c r="Q206" s="23" t="s">
        <v>158</v>
      </c>
      <c r="R206" s="24">
        <f t="shared" si="50"/>
        <v>1240020</v>
      </c>
      <c r="S206" s="24">
        <f t="shared" si="51"/>
        <v>1117135.1351351351</v>
      </c>
    </row>
    <row r="207" spans="1:19" s="19" customFormat="1">
      <c r="A207" s="59"/>
      <c r="C207" s="20"/>
      <c r="D207" s="21"/>
      <c r="E207" s="26"/>
      <c r="F207" s="22"/>
      <c r="G207" s="23"/>
      <c r="H207" s="22"/>
      <c r="I207" s="23"/>
      <c r="J207" s="24"/>
      <c r="K207" s="21"/>
      <c r="L207" s="25"/>
      <c r="M207" s="25"/>
      <c r="N207" s="22"/>
      <c r="O207" s="23"/>
      <c r="P207" s="20"/>
      <c r="Q207" s="23"/>
      <c r="R207" s="24"/>
      <c r="S207" s="24"/>
    </row>
    <row r="208" spans="1:19" s="19" customFormat="1">
      <c r="A208" s="59" t="s">
        <v>168</v>
      </c>
      <c r="B208" s="19" t="s">
        <v>25</v>
      </c>
      <c r="C208" s="20"/>
      <c r="D208" s="21" t="s">
        <v>158</v>
      </c>
      <c r="E208" s="26"/>
      <c r="F208" s="22">
        <v>8</v>
      </c>
      <c r="G208" s="23" t="s">
        <v>33</v>
      </c>
      <c r="H208" s="22">
        <v>12</v>
      </c>
      <c r="I208" s="23" t="s">
        <v>158</v>
      </c>
      <c r="J208" s="24">
        <v>12500</v>
      </c>
      <c r="K208" s="21" t="s">
        <v>158</v>
      </c>
      <c r="L208" s="25"/>
      <c r="M208" s="25">
        <v>0.17</v>
      </c>
      <c r="N208" s="22"/>
      <c r="O208" s="23" t="s">
        <v>158</v>
      </c>
      <c r="P208" s="20">
        <f t="shared" ref="P208:P215" si="52">(C208+(E208*F208*H208))-N208</f>
        <v>0</v>
      </c>
      <c r="Q208" s="23" t="s">
        <v>158</v>
      </c>
      <c r="R208" s="24">
        <f t="shared" ref="R208:R215" si="53">P208*(J208-(J208*L208)-((J208-(J208*L208))*M208))</f>
        <v>0</v>
      </c>
      <c r="S208" s="24">
        <f t="shared" si="46"/>
        <v>0</v>
      </c>
    </row>
    <row r="209" spans="1:19" s="19" customFormat="1">
      <c r="A209" s="59" t="s">
        <v>169</v>
      </c>
      <c r="B209" s="19" t="s">
        <v>25</v>
      </c>
      <c r="C209" s="20"/>
      <c r="D209" s="21" t="s">
        <v>158</v>
      </c>
      <c r="E209" s="26"/>
      <c r="F209" s="22">
        <v>1</v>
      </c>
      <c r="G209" s="23" t="s">
        <v>20</v>
      </c>
      <c r="H209" s="22">
        <v>144</v>
      </c>
      <c r="I209" s="23" t="s">
        <v>158</v>
      </c>
      <c r="J209" s="24">
        <v>11600</v>
      </c>
      <c r="K209" s="21" t="s">
        <v>158</v>
      </c>
      <c r="L209" s="25"/>
      <c r="M209" s="25">
        <v>0.17</v>
      </c>
      <c r="N209" s="22"/>
      <c r="O209" s="23" t="s">
        <v>158</v>
      </c>
      <c r="P209" s="20">
        <f t="shared" si="52"/>
        <v>0</v>
      </c>
      <c r="Q209" s="23" t="s">
        <v>158</v>
      </c>
      <c r="R209" s="24">
        <f t="shared" si="53"/>
        <v>0</v>
      </c>
      <c r="S209" s="24">
        <f t="shared" si="46"/>
        <v>0</v>
      </c>
    </row>
    <row r="210" spans="1:19" s="19" customFormat="1">
      <c r="A210" s="18" t="s">
        <v>170</v>
      </c>
      <c r="B210" s="19" t="s">
        <v>25</v>
      </c>
      <c r="C210" s="20"/>
      <c r="D210" s="21" t="s">
        <v>158</v>
      </c>
      <c r="E210" s="26"/>
      <c r="F210" s="22">
        <v>12</v>
      </c>
      <c r="G210" s="23" t="s">
        <v>42</v>
      </c>
      <c r="H210" s="22">
        <v>12</v>
      </c>
      <c r="I210" s="23" t="s">
        <v>158</v>
      </c>
      <c r="J210" s="24">
        <f>2088000/144</f>
        <v>14500</v>
      </c>
      <c r="K210" s="21" t="s">
        <v>158</v>
      </c>
      <c r="L210" s="25"/>
      <c r="M210" s="25">
        <v>0.17</v>
      </c>
      <c r="N210" s="22"/>
      <c r="O210" s="23" t="s">
        <v>158</v>
      </c>
      <c r="P210" s="20">
        <f t="shared" si="52"/>
        <v>0</v>
      </c>
      <c r="Q210" s="23" t="s">
        <v>158</v>
      </c>
      <c r="R210" s="24">
        <f t="shared" si="53"/>
        <v>0</v>
      </c>
      <c r="S210" s="24">
        <f t="shared" si="46"/>
        <v>0</v>
      </c>
    </row>
    <row r="211" spans="1:19" s="19" customFormat="1">
      <c r="A211" s="18" t="s">
        <v>171</v>
      </c>
      <c r="B211" s="19" t="s">
        <v>25</v>
      </c>
      <c r="C211" s="20"/>
      <c r="D211" s="21" t="s">
        <v>158</v>
      </c>
      <c r="E211" s="26"/>
      <c r="F211" s="22">
        <v>6</v>
      </c>
      <c r="G211" s="23" t="s">
        <v>42</v>
      </c>
      <c r="H211" s="22">
        <v>12</v>
      </c>
      <c r="I211" s="23" t="s">
        <v>158</v>
      </c>
      <c r="J211" s="24">
        <f>1944000/72</f>
        <v>27000</v>
      </c>
      <c r="K211" s="21" t="s">
        <v>158</v>
      </c>
      <c r="L211" s="25"/>
      <c r="M211" s="25">
        <v>0.17</v>
      </c>
      <c r="N211" s="22"/>
      <c r="O211" s="23" t="s">
        <v>158</v>
      </c>
      <c r="P211" s="20">
        <f t="shared" si="52"/>
        <v>0</v>
      </c>
      <c r="Q211" s="23" t="s">
        <v>158</v>
      </c>
      <c r="R211" s="24">
        <f t="shared" si="53"/>
        <v>0</v>
      </c>
      <c r="S211" s="24">
        <f t="shared" si="46"/>
        <v>0</v>
      </c>
    </row>
    <row r="212" spans="1:19" s="19" customFormat="1">
      <c r="A212" s="18" t="s">
        <v>172</v>
      </c>
      <c r="B212" s="19" t="s">
        <v>25</v>
      </c>
      <c r="C212" s="20"/>
      <c r="D212" s="21" t="s">
        <v>158</v>
      </c>
      <c r="E212" s="26"/>
      <c r="F212" s="22">
        <v>8</v>
      </c>
      <c r="G212" s="23" t="s">
        <v>33</v>
      </c>
      <c r="H212" s="22">
        <v>6</v>
      </c>
      <c r="I212" s="23" t="s">
        <v>158</v>
      </c>
      <c r="J212" s="24">
        <f>1632000/8/6</f>
        <v>34000</v>
      </c>
      <c r="K212" s="21" t="s">
        <v>158</v>
      </c>
      <c r="L212" s="25"/>
      <c r="M212" s="25">
        <v>0.17</v>
      </c>
      <c r="N212" s="22"/>
      <c r="O212" s="23" t="s">
        <v>158</v>
      </c>
      <c r="P212" s="20">
        <f t="shared" si="52"/>
        <v>0</v>
      </c>
      <c r="Q212" s="23" t="s">
        <v>158</v>
      </c>
      <c r="R212" s="24">
        <f t="shared" si="53"/>
        <v>0</v>
      </c>
      <c r="S212" s="24">
        <f t="shared" si="46"/>
        <v>0</v>
      </c>
    </row>
    <row r="213" spans="1:19" s="19" customFormat="1">
      <c r="A213" s="18" t="s">
        <v>173</v>
      </c>
      <c r="B213" s="19" t="s">
        <v>25</v>
      </c>
      <c r="C213" s="20"/>
      <c r="D213" s="21" t="s">
        <v>158</v>
      </c>
      <c r="E213" s="26"/>
      <c r="F213" s="22">
        <v>6</v>
      </c>
      <c r="G213" s="23" t="s">
        <v>33</v>
      </c>
      <c r="H213" s="22">
        <v>6</v>
      </c>
      <c r="I213" s="23" t="s">
        <v>158</v>
      </c>
      <c r="J213" s="24">
        <f>1710000/6/6</f>
        <v>47500</v>
      </c>
      <c r="K213" s="21" t="s">
        <v>158</v>
      </c>
      <c r="L213" s="25"/>
      <c r="M213" s="25">
        <v>0.17</v>
      </c>
      <c r="N213" s="22"/>
      <c r="O213" s="23" t="s">
        <v>158</v>
      </c>
      <c r="P213" s="20">
        <f t="shared" si="52"/>
        <v>0</v>
      </c>
      <c r="Q213" s="23" t="s">
        <v>158</v>
      </c>
      <c r="R213" s="24">
        <f t="shared" si="53"/>
        <v>0</v>
      </c>
      <c r="S213" s="24">
        <f t="shared" si="46"/>
        <v>0</v>
      </c>
    </row>
    <row r="214" spans="1:19" s="19" customFormat="1">
      <c r="A214" s="18" t="s">
        <v>174</v>
      </c>
      <c r="B214" s="19" t="s">
        <v>25</v>
      </c>
      <c r="C214" s="20"/>
      <c r="D214" s="21" t="s">
        <v>158</v>
      </c>
      <c r="E214" s="26"/>
      <c r="F214" s="22">
        <v>4</v>
      </c>
      <c r="G214" s="23" t="s">
        <v>33</v>
      </c>
      <c r="H214" s="22">
        <v>6</v>
      </c>
      <c r="I214" s="23" t="s">
        <v>158</v>
      </c>
      <c r="J214" s="24">
        <f>1656000/4/6</f>
        <v>69000</v>
      </c>
      <c r="K214" s="21" t="s">
        <v>158</v>
      </c>
      <c r="L214" s="25"/>
      <c r="M214" s="25">
        <v>0.17</v>
      </c>
      <c r="N214" s="22"/>
      <c r="O214" s="23" t="s">
        <v>158</v>
      </c>
      <c r="P214" s="20">
        <f t="shared" si="52"/>
        <v>0</v>
      </c>
      <c r="Q214" s="23" t="s">
        <v>158</v>
      </c>
      <c r="R214" s="24">
        <f t="shared" si="53"/>
        <v>0</v>
      </c>
      <c r="S214" s="24">
        <f t="shared" si="46"/>
        <v>0</v>
      </c>
    </row>
    <row r="215" spans="1:19" s="19" customFormat="1">
      <c r="A215" s="18" t="s">
        <v>175</v>
      </c>
      <c r="B215" s="19" t="s">
        <v>25</v>
      </c>
      <c r="C215" s="20"/>
      <c r="D215" s="21" t="s">
        <v>158</v>
      </c>
      <c r="E215" s="26"/>
      <c r="F215" s="22">
        <v>4</v>
      </c>
      <c r="G215" s="23" t="s">
        <v>33</v>
      </c>
      <c r="H215" s="22">
        <v>6</v>
      </c>
      <c r="I215" s="23" t="s">
        <v>158</v>
      </c>
      <c r="J215" s="24">
        <f>1824000/4/6</f>
        <v>76000</v>
      </c>
      <c r="K215" s="21" t="s">
        <v>158</v>
      </c>
      <c r="L215" s="25"/>
      <c r="M215" s="25">
        <v>0.17</v>
      </c>
      <c r="N215" s="22"/>
      <c r="O215" s="23" t="s">
        <v>158</v>
      </c>
      <c r="P215" s="20">
        <f t="shared" si="52"/>
        <v>0</v>
      </c>
      <c r="Q215" s="23" t="s">
        <v>158</v>
      </c>
      <c r="R215" s="24">
        <f t="shared" si="53"/>
        <v>0</v>
      </c>
      <c r="S215" s="24">
        <f t="shared" si="46"/>
        <v>0</v>
      </c>
    </row>
    <row r="216" spans="1:19" s="19" customFormat="1">
      <c r="A216" s="18"/>
      <c r="C216" s="20"/>
      <c r="D216" s="21"/>
      <c r="E216" s="26"/>
      <c r="F216" s="22"/>
      <c r="G216" s="23"/>
      <c r="H216" s="22"/>
      <c r="I216" s="23"/>
      <c r="J216" s="24"/>
      <c r="K216" s="21"/>
      <c r="L216" s="25"/>
      <c r="M216" s="25"/>
      <c r="N216" s="22"/>
      <c r="O216" s="23"/>
      <c r="P216" s="20"/>
      <c r="Q216" s="23"/>
      <c r="R216" s="24"/>
      <c r="S216" s="24"/>
    </row>
    <row r="217" spans="1:19" s="19" customFormat="1">
      <c r="A217" s="88" t="s">
        <v>176</v>
      </c>
      <c r="C217" s="20"/>
      <c r="D217" s="21"/>
      <c r="E217" s="26"/>
      <c r="F217" s="22"/>
      <c r="G217" s="23"/>
      <c r="H217" s="22"/>
      <c r="I217" s="23"/>
      <c r="J217" s="24"/>
      <c r="K217" s="21"/>
      <c r="L217" s="25"/>
      <c r="M217" s="25"/>
      <c r="N217" s="22"/>
      <c r="O217" s="23"/>
      <c r="P217" s="20"/>
      <c r="Q217" s="23"/>
      <c r="R217" s="24"/>
      <c r="S217" s="24"/>
    </row>
    <row r="218" spans="1:19" s="19" customFormat="1">
      <c r="A218" s="18" t="s">
        <v>177</v>
      </c>
      <c r="B218" s="19" t="s">
        <v>178</v>
      </c>
      <c r="C218" s="20"/>
      <c r="D218" s="21" t="s">
        <v>158</v>
      </c>
      <c r="E218" s="26"/>
      <c r="F218" s="22">
        <v>1</v>
      </c>
      <c r="G218" s="23" t="s">
        <v>20</v>
      </c>
      <c r="H218" s="22">
        <v>144</v>
      </c>
      <c r="I218" s="23" t="s">
        <v>158</v>
      </c>
      <c r="J218" s="24">
        <v>14000</v>
      </c>
      <c r="K218" s="21" t="s">
        <v>158</v>
      </c>
      <c r="L218" s="25">
        <v>0.05</v>
      </c>
      <c r="M218" s="25">
        <v>0.03</v>
      </c>
      <c r="N218" s="22"/>
      <c r="O218" s="23" t="s">
        <v>158</v>
      </c>
      <c r="P218" s="20">
        <f>(C218+(E218*F218*H218))-N218</f>
        <v>0</v>
      </c>
      <c r="Q218" s="23" t="s">
        <v>158</v>
      </c>
      <c r="R218" s="24">
        <f>P218*(J218-(J218*L218)-((J218-(J218*L218))*M218))</f>
        <v>0</v>
      </c>
      <c r="S218" s="24">
        <f t="shared" si="46"/>
        <v>0</v>
      </c>
    </row>
    <row r="219" spans="1:19" s="19" customFormat="1">
      <c r="A219" s="18"/>
      <c r="C219" s="20"/>
      <c r="D219" s="21"/>
      <c r="E219" s="26"/>
      <c r="F219" s="22"/>
      <c r="G219" s="23"/>
      <c r="H219" s="22"/>
      <c r="I219" s="23"/>
      <c r="J219" s="24"/>
      <c r="K219" s="21"/>
      <c r="L219" s="25"/>
      <c r="M219" s="25"/>
      <c r="N219" s="22"/>
      <c r="O219" s="23"/>
      <c r="P219" s="20"/>
      <c r="Q219" s="23"/>
      <c r="R219" s="24"/>
      <c r="S219" s="24"/>
    </row>
    <row r="220" spans="1:19" s="19" customFormat="1">
      <c r="A220" s="18" t="s">
        <v>179</v>
      </c>
      <c r="B220" s="19" t="s">
        <v>18</v>
      </c>
      <c r="C220" s="20"/>
      <c r="D220" s="21" t="s">
        <v>158</v>
      </c>
      <c r="E220" s="26">
        <v>2</v>
      </c>
      <c r="F220" s="22">
        <v>12</v>
      </c>
      <c r="G220" s="23" t="s">
        <v>33</v>
      </c>
      <c r="H220" s="22">
        <v>12</v>
      </c>
      <c r="I220" s="23" t="s">
        <v>158</v>
      </c>
      <c r="J220" s="24">
        <v>18600</v>
      </c>
      <c r="K220" s="21" t="s">
        <v>158</v>
      </c>
      <c r="L220" s="25">
        <v>0.125</v>
      </c>
      <c r="M220" s="25">
        <v>0.05</v>
      </c>
      <c r="N220" s="22"/>
      <c r="O220" s="23" t="s">
        <v>158</v>
      </c>
      <c r="P220" s="20">
        <f>(C220+(E220*F220*H220))-N220</f>
        <v>288</v>
      </c>
      <c r="Q220" s="23" t="s">
        <v>158</v>
      </c>
      <c r="R220" s="24">
        <f>P220*(J220-(J220*L220)-((J220-(J220*L220))*M220))</f>
        <v>4452840</v>
      </c>
      <c r="S220" s="24">
        <f t="shared" si="46"/>
        <v>4011567.5675675673</v>
      </c>
    </row>
    <row r="221" spans="1:19" s="19" customFormat="1">
      <c r="A221" s="18" t="s">
        <v>180</v>
      </c>
      <c r="B221" s="19" t="s">
        <v>18</v>
      </c>
      <c r="C221" s="20"/>
      <c r="D221" s="21" t="s">
        <v>158</v>
      </c>
      <c r="E221" s="26">
        <v>2</v>
      </c>
      <c r="F221" s="22">
        <v>12</v>
      </c>
      <c r="G221" s="23" t="s">
        <v>33</v>
      </c>
      <c r="H221" s="22">
        <v>12</v>
      </c>
      <c r="I221" s="23" t="s">
        <v>158</v>
      </c>
      <c r="J221" s="24">
        <v>23900</v>
      </c>
      <c r="K221" s="21" t="s">
        <v>158</v>
      </c>
      <c r="L221" s="25">
        <v>0.125</v>
      </c>
      <c r="M221" s="25">
        <v>0.05</v>
      </c>
      <c r="N221" s="22"/>
      <c r="O221" s="23" t="s">
        <v>158</v>
      </c>
      <c r="P221" s="20">
        <f>(C221+(E221*F221*H221))-N221</f>
        <v>288</v>
      </c>
      <c r="Q221" s="23" t="s">
        <v>158</v>
      </c>
      <c r="R221" s="24">
        <f>P221*(J221-(J221*L221)-((J221-(J221*L221))*M221))</f>
        <v>5721660</v>
      </c>
      <c r="S221" s="24">
        <f t="shared" si="46"/>
        <v>5154648.6486486485</v>
      </c>
    </row>
    <row r="222" spans="1:19" s="19" customFormat="1">
      <c r="A222" s="18" t="s">
        <v>181</v>
      </c>
      <c r="B222" s="19" t="s">
        <v>18</v>
      </c>
      <c r="C222" s="20"/>
      <c r="D222" s="21" t="s">
        <v>158</v>
      </c>
      <c r="E222" s="26"/>
      <c r="F222" s="22">
        <v>12</v>
      </c>
      <c r="G222" s="23" t="s">
        <v>33</v>
      </c>
      <c r="H222" s="22">
        <v>6</v>
      </c>
      <c r="I222" s="23" t="s">
        <v>158</v>
      </c>
      <c r="J222" s="24">
        <v>48000</v>
      </c>
      <c r="K222" s="21" t="s">
        <v>158</v>
      </c>
      <c r="L222" s="25">
        <v>0.125</v>
      </c>
      <c r="M222" s="25">
        <v>0.05</v>
      </c>
      <c r="N222" s="22"/>
      <c r="O222" s="23" t="s">
        <v>158</v>
      </c>
      <c r="P222" s="20">
        <f>(C222+(E222*F222*H222))-N222</f>
        <v>0</v>
      </c>
      <c r="Q222" s="23" t="s">
        <v>158</v>
      </c>
      <c r="R222" s="24">
        <f>P222*(J222-(J222*L222)-((J222-(J222*L222))*M222))</f>
        <v>0</v>
      </c>
      <c r="S222" s="24">
        <f t="shared" si="46"/>
        <v>0</v>
      </c>
    </row>
    <row r="223" spans="1:19" s="19" customFormat="1">
      <c r="A223" s="18"/>
      <c r="C223" s="20"/>
      <c r="D223" s="21"/>
      <c r="E223" s="26"/>
      <c r="F223" s="22"/>
      <c r="G223" s="23"/>
      <c r="H223" s="22"/>
      <c r="I223" s="23"/>
      <c r="J223" s="24"/>
      <c r="K223" s="21"/>
      <c r="L223" s="25"/>
      <c r="M223" s="25"/>
      <c r="N223" s="22"/>
      <c r="O223" s="23"/>
      <c r="P223" s="20"/>
      <c r="Q223" s="23"/>
      <c r="R223" s="24"/>
      <c r="S223" s="24"/>
    </row>
    <row r="224" spans="1:19" s="19" customFormat="1">
      <c r="A224" s="18" t="s">
        <v>182</v>
      </c>
      <c r="B224" s="19" t="s">
        <v>25</v>
      </c>
      <c r="C224" s="20"/>
      <c r="D224" s="21" t="s">
        <v>158</v>
      </c>
      <c r="E224" s="26"/>
      <c r="F224" s="22">
        <v>12</v>
      </c>
      <c r="G224" s="23" t="s">
        <v>42</v>
      </c>
      <c r="H224" s="22">
        <v>12</v>
      </c>
      <c r="I224" s="23" t="s">
        <v>158</v>
      </c>
      <c r="J224" s="24">
        <f>2592000/12/12</f>
        <v>18000</v>
      </c>
      <c r="K224" s="21" t="s">
        <v>158</v>
      </c>
      <c r="L224" s="25"/>
      <c r="M224" s="25">
        <v>0.17</v>
      </c>
      <c r="N224" s="22"/>
      <c r="O224" s="23" t="s">
        <v>158</v>
      </c>
      <c r="P224" s="20">
        <f>(C224+(E224*F224*H224))-N224</f>
        <v>0</v>
      </c>
      <c r="Q224" s="23" t="s">
        <v>158</v>
      </c>
      <c r="R224" s="24">
        <f>P224*(J224-(J224*L224)-((J224-(J224*L224))*M224))</f>
        <v>0</v>
      </c>
      <c r="S224" s="24">
        <f t="shared" si="46"/>
        <v>0</v>
      </c>
    </row>
    <row r="225" spans="1:19" s="19" customFormat="1">
      <c r="A225" s="18" t="s">
        <v>183</v>
      </c>
      <c r="B225" s="19" t="s">
        <v>25</v>
      </c>
      <c r="C225" s="20"/>
      <c r="D225" s="21" t="s">
        <v>158</v>
      </c>
      <c r="E225" s="26"/>
      <c r="F225" s="22">
        <v>8</v>
      </c>
      <c r="G225" s="23" t="s">
        <v>42</v>
      </c>
      <c r="H225" s="22">
        <v>12</v>
      </c>
      <c r="I225" s="23" t="s">
        <v>158</v>
      </c>
      <c r="J225" s="24">
        <v>24500</v>
      </c>
      <c r="K225" s="21" t="s">
        <v>158</v>
      </c>
      <c r="L225" s="25"/>
      <c r="M225" s="25">
        <v>0.17</v>
      </c>
      <c r="N225" s="22"/>
      <c r="O225" s="23" t="s">
        <v>158</v>
      </c>
      <c r="P225" s="20">
        <f>(C225+(E225*F225*H225))-N225</f>
        <v>0</v>
      </c>
      <c r="Q225" s="23" t="s">
        <v>158</v>
      </c>
      <c r="R225" s="24">
        <f>P225*(J225-(J225*L225)-((J225-(J225*L225))*M225))</f>
        <v>0</v>
      </c>
      <c r="S225" s="24">
        <f t="shared" si="46"/>
        <v>0</v>
      </c>
    </row>
    <row r="226" spans="1:19" s="19" customFormat="1">
      <c r="A226" s="18" t="s">
        <v>184</v>
      </c>
      <c r="B226" s="19" t="s">
        <v>25</v>
      </c>
      <c r="C226" s="20"/>
      <c r="D226" s="21" t="s">
        <v>158</v>
      </c>
      <c r="E226" s="26"/>
      <c r="F226" s="22">
        <v>12</v>
      </c>
      <c r="G226" s="23" t="s">
        <v>42</v>
      </c>
      <c r="H226" s="22">
        <v>12</v>
      </c>
      <c r="I226" s="23" t="s">
        <v>158</v>
      </c>
      <c r="J226" s="24">
        <f>3888000/144</f>
        <v>27000</v>
      </c>
      <c r="K226" s="21" t="s">
        <v>158</v>
      </c>
      <c r="L226" s="25">
        <v>0.05</v>
      </c>
      <c r="M226" s="25">
        <v>0.17</v>
      </c>
      <c r="N226" s="22"/>
      <c r="O226" s="23" t="s">
        <v>158</v>
      </c>
      <c r="P226" s="20">
        <f>(C226+(E226*F226*H226))-N226</f>
        <v>0</v>
      </c>
      <c r="Q226" s="23" t="s">
        <v>158</v>
      </c>
      <c r="R226" s="24">
        <f>P226*(J226-(J226*L226)-((J226-(J226*L226))*M226))</f>
        <v>0</v>
      </c>
      <c r="S226" s="24">
        <f t="shared" si="46"/>
        <v>0</v>
      </c>
    </row>
    <row r="227" spans="1:19" s="19" customFormat="1">
      <c r="A227" s="18" t="s">
        <v>185</v>
      </c>
      <c r="B227" s="19" t="s">
        <v>25</v>
      </c>
      <c r="C227" s="20"/>
      <c r="D227" s="21" t="s">
        <v>158</v>
      </c>
      <c r="E227" s="26"/>
      <c r="F227" s="22">
        <v>6</v>
      </c>
      <c r="G227" s="23" t="s">
        <v>42</v>
      </c>
      <c r="H227" s="22">
        <v>12</v>
      </c>
      <c r="I227" s="23" t="s">
        <v>158</v>
      </c>
      <c r="J227" s="24">
        <v>36000</v>
      </c>
      <c r="K227" s="21" t="s">
        <v>158</v>
      </c>
      <c r="L227" s="25">
        <v>0.05</v>
      </c>
      <c r="M227" s="25">
        <v>0.17</v>
      </c>
      <c r="N227" s="22"/>
      <c r="O227" s="23" t="s">
        <v>158</v>
      </c>
      <c r="P227" s="20">
        <f>(C227+(E227*F227*H227))-N227</f>
        <v>0</v>
      </c>
      <c r="Q227" s="23" t="s">
        <v>158</v>
      </c>
      <c r="R227" s="24">
        <f>P227*(J227-(J227*L227)-((J227-(J227*L227))*M227))</f>
        <v>0</v>
      </c>
      <c r="S227" s="24">
        <f t="shared" si="46"/>
        <v>0</v>
      </c>
    </row>
    <row r="228" spans="1:19" s="19" customFormat="1">
      <c r="A228" s="18"/>
      <c r="C228" s="20"/>
      <c r="D228" s="21"/>
      <c r="E228" s="26"/>
      <c r="F228" s="22"/>
      <c r="G228" s="23"/>
      <c r="H228" s="22"/>
      <c r="I228" s="23"/>
      <c r="J228" s="24"/>
      <c r="K228" s="21"/>
      <c r="L228" s="25"/>
      <c r="M228" s="25"/>
      <c r="N228" s="22"/>
      <c r="O228" s="23"/>
      <c r="P228" s="20"/>
      <c r="Q228" s="23"/>
      <c r="R228" s="24"/>
      <c r="S228" s="24"/>
    </row>
    <row r="229" spans="1:19" s="19" customFormat="1">
      <c r="A229" s="88" t="s">
        <v>186</v>
      </c>
      <c r="C229" s="20"/>
      <c r="D229" s="21"/>
      <c r="E229" s="26"/>
      <c r="F229" s="22"/>
      <c r="G229" s="23"/>
      <c r="H229" s="22"/>
      <c r="I229" s="23"/>
      <c r="J229" s="24"/>
      <c r="K229" s="21"/>
      <c r="L229" s="25"/>
      <c r="M229" s="25"/>
      <c r="N229" s="22"/>
      <c r="O229" s="23"/>
      <c r="P229" s="20"/>
      <c r="Q229" s="23"/>
      <c r="R229" s="24"/>
      <c r="S229" s="24"/>
    </row>
    <row r="230" spans="1:19" s="19" customFormat="1">
      <c r="A230" s="18" t="s">
        <v>187</v>
      </c>
      <c r="B230" s="19" t="s">
        <v>188</v>
      </c>
      <c r="C230" s="20"/>
      <c r="D230" s="21" t="s">
        <v>42</v>
      </c>
      <c r="E230" s="26"/>
      <c r="F230" s="22">
        <v>1</v>
      </c>
      <c r="G230" s="23" t="s">
        <v>20</v>
      </c>
      <c r="H230" s="22">
        <v>5</v>
      </c>
      <c r="I230" s="23" t="s">
        <v>42</v>
      </c>
      <c r="J230" s="24">
        <v>475000</v>
      </c>
      <c r="K230" s="21" t="s">
        <v>42</v>
      </c>
      <c r="L230" s="25"/>
      <c r="M230" s="25"/>
      <c r="N230" s="22"/>
      <c r="O230" s="23" t="s">
        <v>42</v>
      </c>
      <c r="P230" s="20">
        <f>(C230+(E230*F230*H230))-N230</f>
        <v>0</v>
      </c>
      <c r="Q230" s="23" t="s">
        <v>42</v>
      </c>
      <c r="R230" s="24">
        <f>P230*(J230-(J230*L230)-((J230-(J230*L230))*M230))</f>
        <v>0</v>
      </c>
      <c r="S230" s="24">
        <f t="shared" si="46"/>
        <v>0</v>
      </c>
    </row>
    <row r="231" spans="1:19" s="19" customFormat="1">
      <c r="A231" s="18"/>
      <c r="C231" s="20"/>
      <c r="D231" s="21"/>
      <c r="E231" s="26"/>
      <c r="F231" s="22"/>
      <c r="G231" s="23"/>
      <c r="H231" s="22"/>
      <c r="I231" s="23"/>
      <c r="J231" s="24"/>
      <c r="K231" s="21"/>
      <c r="L231" s="25"/>
      <c r="M231" s="25"/>
      <c r="N231" s="22"/>
      <c r="O231" s="23"/>
      <c r="P231" s="20"/>
      <c r="Q231" s="23"/>
      <c r="R231" s="24"/>
      <c r="S231" s="24"/>
    </row>
    <row r="232" spans="1:19" s="19" customFormat="1">
      <c r="A232" s="18" t="s">
        <v>722</v>
      </c>
      <c r="B232" s="19" t="s">
        <v>18</v>
      </c>
      <c r="C232" s="20"/>
      <c r="D232" s="21" t="s">
        <v>158</v>
      </c>
      <c r="E232" s="26"/>
      <c r="F232" s="22">
        <v>8</v>
      </c>
      <c r="G232" s="23" t="s">
        <v>33</v>
      </c>
      <c r="H232" s="22">
        <v>12</v>
      </c>
      <c r="I232" s="23" t="s">
        <v>158</v>
      </c>
      <c r="J232" s="24">
        <v>26800</v>
      </c>
      <c r="K232" s="21" t="s">
        <v>158</v>
      </c>
      <c r="L232" s="25">
        <v>0.125</v>
      </c>
      <c r="M232" s="25">
        <v>0.05</v>
      </c>
      <c r="N232" s="22"/>
      <c r="O232" s="23" t="s">
        <v>158</v>
      </c>
      <c r="P232" s="20">
        <f>(C232+(E232*F232*H232))-N232</f>
        <v>0</v>
      </c>
      <c r="Q232" s="23" t="s">
        <v>158</v>
      </c>
      <c r="R232" s="24">
        <f>P232*(J232-(J232*L232)-((J232-(J232*L232))*M232))</f>
        <v>0</v>
      </c>
      <c r="S232" s="24">
        <f t="shared" si="46"/>
        <v>0</v>
      </c>
    </row>
    <row r="233" spans="1:19" s="19" customFormat="1">
      <c r="A233" s="18" t="s">
        <v>189</v>
      </c>
      <c r="B233" s="19" t="s">
        <v>18</v>
      </c>
      <c r="C233" s="20"/>
      <c r="D233" s="21" t="s">
        <v>158</v>
      </c>
      <c r="E233" s="26"/>
      <c r="F233" s="22">
        <v>6</v>
      </c>
      <c r="G233" s="23" t="s">
        <v>33</v>
      </c>
      <c r="H233" s="22">
        <v>12</v>
      </c>
      <c r="I233" s="23" t="s">
        <v>158</v>
      </c>
      <c r="J233" s="24">
        <v>41500</v>
      </c>
      <c r="K233" s="21" t="s">
        <v>158</v>
      </c>
      <c r="L233" s="25">
        <v>0.125</v>
      </c>
      <c r="M233" s="25">
        <v>0.05</v>
      </c>
      <c r="N233" s="22"/>
      <c r="O233" s="23" t="s">
        <v>158</v>
      </c>
      <c r="P233" s="20">
        <f>(C233+(E233*F233*H233))-N233</f>
        <v>0</v>
      </c>
      <c r="Q233" s="23" t="s">
        <v>158</v>
      </c>
      <c r="R233" s="24">
        <f>P233*(J233-(J233*L233)-((J233-(J233*L233))*M233))</f>
        <v>0</v>
      </c>
      <c r="S233" s="24">
        <f t="shared" si="46"/>
        <v>0</v>
      </c>
    </row>
    <row r="234" spans="1:19" s="19" customFormat="1">
      <c r="A234" s="18"/>
      <c r="C234" s="20"/>
      <c r="D234" s="21"/>
      <c r="E234" s="26"/>
      <c r="F234" s="22"/>
      <c r="G234" s="23"/>
      <c r="H234" s="22"/>
      <c r="I234" s="23"/>
      <c r="J234" s="24"/>
      <c r="K234" s="21"/>
      <c r="L234" s="25"/>
      <c r="M234" s="25"/>
      <c r="N234" s="22"/>
      <c r="O234" s="23"/>
      <c r="P234" s="20"/>
      <c r="Q234" s="23"/>
      <c r="R234" s="24"/>
      <c r="S234" s="24"/>
    </row>
    <row r="235" spans="1:19" s="19" customFormat="1" ht="15.75">
      <c r="A235" s="44" t="s">
        <v>190</v>
      </c>
      <c r="C235" s="20"/>
      <c r="D235" s="21"/>
      <c r="E235" s="26"/>
      <c r="F235" s="22"/>
      <c r="G235" s="23"/>
      <c r="H235" s="22"/>
      <c r="I235" s="23"/>
      <c r="J235" s="24"/>
      <c r="K235" s="21"/>
      <c r="L235" s="25"/>
      <c r="M235" s="25"/>
      <c r="N235" s="22"/>
      <c r="O235" s="23"/>
      <c r="P235" s="20"/>
      <c r="Q235" s="23"/>
      <c r="R235" s="24"/>
      <c r="S235" s="24"/>
    </row>
    <row r="236" spans="1:19" s="19" customFormat="1">
      <c r="A236" s="88" t="s">
        <v>191</v>
      </c>
      <c r="C236" s="20"/>
      <c r="D236" s="21"/>
      <c r="E236" s="26"/>
      <c r="F236" s="22"/>
      <c r="G236" s="23"/>
      <c r="H236" s="22"/>
      <c r="I236" s="23"/>
      <c r="J236" s="24"/>
      <c r="K236" s="21"/>
      <c r="L236" s="25"/>
      <c r="M236" s="25"/>
      <c r="N236" s="22"/>
      <c r="O236" s="23"/>
      <c r="P236" s="20"/>
      <c r="Q236" s="23"/>
      <c r="R236" s="24"/>
      <c r="S236" s="24"/>
    </row>
    <row r="237" spans="1:19" s="19" customFormat="1">
      <c r="A237" s="18" t="s">
        <v>700</v>
      </c>
      <c r="B237" s="19" t="s">
        <v>18</v>
      </c>
      <c r="C237" s="20"/>
      <c r="D237" s="21" t="s">
        <v>42</v>
      </c>
      <c r="E237" s="26"/>
      <c r="F237" s="22">
        <v>1</v>
      </c>
      <c r="G237" s="23" t="s">
        <v>20</v>
      </c>
      <c r="H237" s="22">
        <v>24</v>
      </c>
      <c r="I237" s="23" t="s">
        <v>42</v>
      </c>
      <c r="J237" s="24">
        <v>27600</v>
      </c>
      <c r="K237" s="21" t="s">
        <v>42</v>
      </c>
      <c r="L237" s="25">
        <v>0.125</v>
      </c>
      <c r="M237" s="25">
        <v>0.05</v>
      </c>
      <c r="N237" s="22"/>
      <c r="O237" s="23" t="s">
        <v>42</v>
      </c>
      <c r="P237" s="20">
        <f t="shared" ref="P237:P242" si="54">(C237+(E237*F237*H237))-N237</f>
        <v>0</v>
      </c>
      <c r="Q237" s="23" t="s">
        <v>42</v>
      </c>
      <c r="R237" s="24">
        <f t="shared" ref="R237:R242" si="55">P237*(J237-(J237*L237)-((J237-(J237*L237))*M237))</f>
        <v>0</v>
      </c>
      <c r="S237" s="24">
        <f t="shared" ref="S237" si="56">R237/1.11</f>
        <v>0</v>
      </c>
    </row>
    <row r="238" spans="1:19" s="19" customFormat="1">
      <c r="A238" s="18" t="s">
        <v>192</v>
      </c>
      <c r="B238" s="19" t="s">
        <v>18</v>
      </c>
      <c r="C238" s="20"/>
      <c r="D238" s="21" t="s">
        <v>42</v>
      </c>
      <c r="E238" s="26"/>
      <c r="F238" s="22">
        <v>1</v>
      </c>
      <c r="G238" s="23" t="s">
        <v>20</v>
      </c>
      <c r="H238" s="22">
        <v>24</v>
      </c>
      <c r="I238" s="23" t="s">
        <v>42</v>
      </c>
      <c r="J238" s="24">
        <v>73200</v>
      </c>
      <c r="K238" s="21" t="s">
        <v>42</v>
      </c>
      <c r="L238" s="25">
        <v>0.125</v>
      </c>
      <c r="M238" s="25">
        <v>0.05</v>
      </c>
      <c r="N238" s="22"/>
      <c r="O238" s="23" t="s">
        <v>42</v>
      </c>
      <c r="P238" s="20">
        <f t="shared" si="54"/>
        <v>0</v>
      </c>
      <c r="Q238" s="23" t="s">
        <v>42</v>
      </c>
      <c r="R238" s="24">
        <f t="shared" si="55"/>
        <v>0</v>
      </c>
      <c r="S238" s="24">
        <f t="shared" si="46"/>
        <v>0</v>
      </c>
    </row>
    <row r="239" spans="1:19" s="19" customFormat="1">
      <c r="A239" s="18" t="s">
        <v>193</v>
      </c>
      <c r="B239" s="19" t="s">
        <v>18</v>
      </c>
      <c r="C239" s="20"/>
      <c r="D239" s="21" t="s">
        <v>42</v>
      </c>
      <c r="E239" s="26"/>
      <c r="F239" s="22">
        <v>1</v>
      </c>
      <c r="G239" s="23" t="s">
        <v>20</v>
      </c>
      <c r="H239" s="22">
        <v>48</v>
      </c>
      <c r="I239" s="23" t="s">
        <v>42</v>
      </c>
      <c r="J239" s="24">
        <v>51600</v>
      </c>
      <c r="K239" s="21" t="s">
        <v>42</v>
      </c>
      <c r="L239" s="25">
        <v>0.125</v>
      </c>
      <c r="M239" s="25">
        <v>0.05</v>
      </c>
      <c r="N239" s="22"/>
      <c r="O239" s="23" t="s">
        <v>42</v>
      </c>
      <c r="P239" s="20">
        <f t="shared" si="54"/>
        <v>0</v>
      </c>
      <c r="Q239" s="23" t="s">
        <v>42</v>
      </c>
      <c r="R239" s="24">
        <f t="shared" si="55"/>
        <v>0</v>
      </c>
      <c r="S239" s="24">
        <f t="shared" si="46"/>
        <v>0</v>
      </c>
    </row>
    <row r="240" spans="1:19" s="19" customFormat="1">
      <c r="A240" s="18" t="s">
        <v>194</v>
      </c>
      <c r="B240" s="19" t="s">
        <v>18</v>
      </c>
      <c r="C240" s="20"/>
      <c r="D240" s="21" t="s">
        <v>42</v>
      </c>
      <c r="E240" s="26"/>
      <c r="F240" s="22">
        <v>1</v>
      </c>
      <c r="G240" s="23" t="s">
        <v>20</v>
      </c>
      <c r="H240" s="22">
        <v>48</v>
      </c>
      <c r="I240" s="23" t="s">
        <v>42</v>
      </c>
      <c r="J240" s="24">
        <v>55800</v>
      </c>
      <c r="K240" s="21" t="s">
        <v>42</v>
      </c>
      <c r="L240" s="25">
        <v>0.125</v>
      </c>
      <c r="M240" s="25">
        <v>0.05</v>
      </c>
      <c r="N240" s="22"/>
      <c r="O240" s="23" t="s">
        <v>42</v>
      </c>
      <c r="P240" s="20">
        <f t="shared" si="54"/>
        <v>0</v>
      </c>
      <c r="Q240" s="23" t="s">
        <v>42</v>
      </c>
      <c r="R240" s="24">
        <f t="shared" si="55"/>
        <v>0</v>
      </c>
      <c r="S240" s="24">
        <f t="shared" si="46"/>
        <v>0</v>
      </c>
    </row>
    <row r="241" spans="1:19" s="19" customFormat="1">
      <c r="A241" s="18" t="s">
        <v>721</v>
      </c>
      <c r="B241" s="19" t="s">
        <v>18</v>
      </c>
      <c r="C241" s="20"/>
      <c r="D241" s="21" t="s">
        <v>42</v>
      </c>
      <c r="E241" s="26"/>
      <c r="F241" s="22">
        <v>1</v>
      </c>
      <c r="G241" s="23" t="s">
        <v>20</v>
      </c>
      <c r="H241" s="22">
        <f>288/12</f>
        <v>24</v>
      </c>
      <c r="I241" s="23" t="s">
        <v>42</v>
      </c>
      <c r="J241" s="24">
        <f>10600*12</f>
        <v>127200</v>
      </c>
      <c r="K241" s="21" t="s">
        <v>42</v>
      </c>
      <c r="L241" s="25">
        <v>0.125</v>
      </c>
      <c r="M241" s="25">
        <v>0.05</v>
      </c>
      <c r="N241" s="22"/>
      <c r="O241" s="23" t="s">
        <v>42</v>
      </c>
      <c r="P241" s="20">
        <f t="shared" si="54"/>
        <v>0</v>
      </c>
      <c r="Q241" s="23" t="s">
        <v>42</v>
      </c>
      <c r="R241" s="24">
        <f t="shared" si="55"/>
        <v>0</v>
      </c>
      <c r="S241" s="24">
        <f t="shared" si="46"/>
        <v>0</v>
      </c>
    </row>
    <row r="242" spans="1:19" s="19" customFormat="1">
      <c r="A242" s="18" t="s">
        <v>195</v>
      </c>
      <c r="B242" s="19" t="s">
        <v>18</v>
      </c>
      <c r="C242" s="20"/>
      <c r="D242" s="21" t="s">
        <v>42</v>
      </c>
      <c r="E242" s="26"/>
      <c r="F242" s="22">
        <v>1</v>
      </c>
      <c r="G242" s="23" t="s">
        <v>20</v>
      </c>
      <c r="H242" s="22">
        <v>24</v>
      </c>
      <c r="I242" s="23" t="s">
        <v>42</v>
      </c>
      <c r="J242" s="24">
        <v>162000</v>
      </c>
      <c r="K242" s="21" t="s">
        <v>42</v>
      </c>
      <c r="L242" s="25">
        <v>0.125</v>
      </c>
      <c r="M242" s="25">
        <v>0.05</v>
      </c>
      <c r="N242" s="22"/>
      <c r="O242" s="23" t="s">
        <v>42</v>
      </c>
      <c r="P242" s="20">
        <f t="shared" si="54"/>
        <v>0</v>
      </c>
      <c r="Q242" s="23" t="s">
        <v>42</v>
      </c>
      <c r="R242" s="24">
        <f t="shared" si="55"/>
        <v>0</v>
      </c>
      <c r="S242" s="24">
        <f t="shared" si="46"/>
        <v>0</v>
      </c>
    </row>
    <row r="243" spans="1:19" s="19" customFormat="1">
      <c r="A243" s="18"/>
      <c r="C243" s="20"/>
      <c r="D243" s="21"/>
      <c r="E243" s="26"/>
      <c r="F243" s="22"/>
      <c r="G243" s="23"/>
      <c r="H243" s="22"/>
      <c r="I243" s="23"/>
      <c r="J243" s="24"/>
      <c r="K243" s="21"/>
      <c r="L243" s="25"/>
      <c r="M243" s="25"/>
      <c r="N243" s="22"/>
      <c r="O243" s="23"/>
      <c r="P243" s="20"/>
      <c r="Q243" s="23"/>
      <c r="R243" s="24"/>
      <c r="S243" s="24"/>
    </row>
    <row r="244" spans="1:19" s="19" customFormat="1">
      <c r="A244" s="18" t="s">
        <v>196</v>
      </c>
      <c r="B244" s="19" t="s">
        <v>25</v>
      </c>
      <c r="C244" s="20"/>
      <c r="D244" s="21" t="s">
        <v>42</v>
      </c>
      <c r="E244" s="26">
        <v>2</v>
      </c>
      <c r="F244" s="22">
        <v>1</v>
      </c>
      <c r="G244" s="23" t="s">
        <v>20</v>
      </c>
      <c r="H244" s="22">
        <v>30</v>
      </c>
      <c r="I244" s="23" t="s">
        <v>42</v>
      </c>
      <c r="J244" s="24">
        <f>1566000/30</f>
        <v>52200</v>
      </c>
      <c r="K244" s="21" t="s">
        <v>42</v>
      </c>
      <c r="L244" s="25"/>
      <c r="M244" s="25">
        <v>0.17</v>
      </c>
      <c r="N244" s="22"/>
      <c r="O244" s="23" t="s">
        <v>42</v>
      </c>
      <c r="P244" s="20">
        <f>(C244+(E244*F244*H244))-N244</f>
        <v>60</v>
      </c>
      <c r="Q244" s="23" t="s">
        <v>42</v>
      </c>
      <c r="R244" s="24">
        <f>P244*(J244-(J244*L244)-((J244-(J244*L244))*M244))</f>
        <v>2599560</v>
      </c>
      <c r="S244" s="24">
        <f t="shared" si="46"/>
        <v>2341945.9459459456</v>
      </c>
    </row>
    <row r="245" spans="1:19" s="19" customFormat="1">
      <c r="A245" s="18" t="s">
        <v>197</v>
      </c>
      <c r="B245" s="19" t="s">
        <v>25</v>
      </c>
      <c r="C245" s="20"/>
      <c r="D245" s="21" t="s">
        <v>42</v>
      </c>
      <c r="E245" s="26"/>
      <c r="F245" s="22">
        <v>1</v>
      </c>
      <c r="G245" s="23" t="s">
        <v>20</v>
      </c>
      <c r="H245" s="22">
        <v>30</v>
      </c>
      <c r="I245" s="23" t="s">
        <v>42</v>
      </c>
      <c r="J245" s="24">
        <f>1710000/30</f>
        <v>57000</v>
      </c>
      <c r="K245" s="21" t="s">
        <v>42</v>
      </c>
      <c r="L245" s="25"/>
      <c r="M245" s="25">
        <v>0.17</v>
      </c>
      <c r="N245" s="22"/>
      <c r="O245" s="23" t="s">
        <v>42</v>
      </c>
      <c r="P245" s="20">
        <f>(C245+(E245*F245*H245))-N245</f>
        <v>0</v>
      </c>
      <c r="Q245" s="23" t="s">
        <v>42</v>
      </c>
      <c r="R245" s="24">
        <f>P245*(J245-(J245*L245)-((J245-(J245*L245))*M245))</f>
        <v>0</v>
      </c>
      <c r="S245" s="24">
        <f t="shared" si="46"/>
        <v>0</v>
      </c>
    </row>
    <row r="246" spans="1:19" s="19" customFormat="1">
      <c r="A246" s="18" t="s">
        <v>198</v>
      </c>
      <c r="B246" s="19" t="s">
        <v>25</v>
      </c>
      <c r="C246" s="20"/>
      <c r="D246" s="21" t="s">
        <v>42</v>
      </c>
      <c r="E246" s="26"/>
      <c r="F246" s="22">
        <v>1</v>
      </c>
      <c r="G246" s="23" t="s">
        <v>20</v>
      </c>
      <c r="H246" s="22">
        <v>20</v>
      </c>
      <c r="I246" s="23" t="s">
        <v>42</v>
      </c>
      <c r="J246" s="24">
        <f>2952000/20</f>
        <v>147600</v>
      </c>
      <c r="K246" s="21" t="s">
        <v>42</v>
      </c>
      <c r="L246" s="25"/>
      <c r="M246" s="25">
        <v>0.17</v>
      </c>
      <c r="N246" s="22"/>
      <c r="O246" s="23" t="s">
        <v>42</v>
      </c>
      <c r="P246" s="20">
        <f>(C246+(E246*F246*H246))-N246</f>
        <v>0</v>
      </c>
      <c r="Q246" s="23" t="s">
        <v>42</v>
      </c>
      <c r="R246" s="24">
        <f>P246*(J246-(J246*L246)-((J246-(J246*L246))*M246))</f>
        <v>0</v>
      </c>
      <c r="S246" s="24">
        <f t="shared" si="46"/>
        <v>0</v>
      </c>
    </row>
    <row r="247" spans="1:19" s="19" customFormat="1">
      <c r="A247" s="18"/>
      <c r="C247" s="20"/>
      <c r="D247" s="21"/>
      <c r="E247" s="26"/>
      <c r="F247" s="22"/>
      <c r="G247" s="23"/>
      <c r="H247" s="22"/>
      <c r="I247" s="23"/>
      <c r="J247" s="24"/>
      <c r="K247" s="21"/>
      <c r="L247" s="25"/>
      <c r="M247" s="25"/>
      <c r="N247" s="22"/>
      <c r="O247" s="23"/>
      <c r="P247" s="20"/>
      <c r="Q247" s="23"/>
      <c r="R247" s="24"/>
      <c r="S247" s="24"/>
    </row>
    <row r="248" spans="1:19" s="19" customFormat="1">
      <c r="A248" s="18" t="s">
        <v>671</v>
      </c>
      <c r="B248" s="19" t="s">
        <v>605</v>
      </c>
      <c r="C248" s="20"/>
      <c r="D248" s="21" t="s">
        <v>42</v>
      </c>
      <c r="E248" s="26"/>
      <c r="F248" s="22">
        <v>1</v>
      </c>
      <c r="G248" s="23" t="s">
        <v>20</v>
      </c>
      <c r="H248" s="22">
        <v>48</v>
      </c>
      <c r="I248" s="23" t="s">
        <v>42</v>
      </c>
      <c r="J248" s="24">
        <v>60600</v>
      </c>
      <c r="K248" s="21" t="s">
        <v>42</v>
      </c>
      <c r="L248" s="25">
        <v>0.15</v>
      </c>
      <c r="M248" s="25">
        <v>0.03</v>
      </c>
      <c r="N248" s="22"/>
      <c r="O248" s="23" t="s">
        <v>42</v>
      </c>
      <c r="P248" s="20">
        <f>(C248+(E248*F248*H248))-N248</f>
        <v>0</v>
      </c>
      <c r="Q248" s="23" t="s">
        <v>42</v>
      </c>
      <c r="R248" s="24">
        <f>P248*(J248-(J248*L248)-((J248-(J248*L248))*M248))</f>
        <v>0</v>
      </c>
      <c r="S248" s="24">
        <f t="shared" si="46"/>
        <v>0</v>
      </c>
    </row>
    <row r="249" spans="1:19" s="19" customFormat="1">
      <c r="A249" s="18"/>
      <c r="C249" s="20"/>
      <c r="D249" s="21"/>
      <c r="E249" s="26"/>
      <c r="F249" s="22"/>
      <c r="G249" s="23"/>
      <c r="H249" s="22"/>
      <c r="I249" s="23"/>
      <c r="J249" s="24"/>
      <c r="K249" s="21"/>
      <c r="L249" s="25"/>
      <c r="M249" s="25"/>
      <c r="N249" s="22"/>
      <c r="O249" s="23"/>
      <c r="P249" s="20"/>
      <c r="Q249" s="23"/>
      <c r="R249" s="24"/>
      <c r="S249" s="24"/>
    </row>
    <row r="250" spans="1:19" s="19" customFormat="1">
      <c r="A250" s="18" t="s">
        <v>800</v>
      </c>
      <c r="B250" s="18" t="s">
        <v>178</v>
      </c>
      <c r="C250" s="60"/>
      <c r="D250" s="61" t="s">
        <v>42</v>
      </c>
      <c r="E250" s="62"/>
      <c r="F250" s="63">
        <v>1</v>
      </c>
      <c r="G250" s="58" t="s">
        <v>20</v>
      </c>
      <c r="H250" s="63">
        <v>120</v>
      </c>
      <c r="I250" s="58" t="s">
        <v>42</v>
      </c>
      <c r="J250" s="29">
        <v>7500</v>
      </c>
      <c r="K250" s="61" t="s">
        <v>42</v>
      </c>
      <c r="L250" s="64">
        <v>0.05</v>
      </c>
      <c r="M250" s="64"/>
      <c r="N250" s="63"/>
      <c r="O250" s="58" t="s">
        <v>42</v>
      </c>
      <c r="P250" s="60">
        <f>(C250+(E250*F250*H250))-N250</f>
        <v>0</v>
      </c>
      <c r="Q250" s="58" t="s">
        <v>42</v>
      </c>
      <c r="R250" s="29">
        <f>P250*(J250-(J250*L250)-((J250-(J250*L250))*M250))</f>
        <v>0</v>
      </c>
      <c r="S250" s="29">
        <f t="shared" ref="S250:S251" si="57">R250/1.11</f>
        <v>0</v>
      </c>
    </row>
    <row r="251" spans="1:19" s="19" customFormat="1">
      <c r="A251" s="18" t="s">
        <v>806</v>
      </c>
      <c r="B251" s="18" t="s">
        <v>178</v>
      </c>
      <c r="C251" s="60"/>
      <c r="D251" s="61" t="s">
        <v>42</v>
      </c>
      <c r="E251" s="62"/>
      <c r="F251" s="63">
        <v>1</v>
      </c>
      <c r="G251" s="58" t="s">
        <v>20</v>
      </c>
      <c r="H251" s="63">
        <v>20</v>
      </c>
      <c r="I251" s="58" t="s">
        <v>42</v>
      </c>
      <c r="J251" s="29">
        <f>5500*12</f>
        <v>66000</v>
      </c>
      <c r="K251" s="61" t="s">
        <v>42</v>
      </c>
      <c r="L251" s="64">
        <v>0.05</v>
      </c>
      <c r="M251" s="64"/>
      <c r="N251" s="63"/>
      <c r="O251" s="58" t="s">
        <v>42</v>
      </c>
      <c r="P251" s="60">
        <f>(C251+(E251*F251*H251))-N251</f>
        <v>0</v>
      </c>
      <c r="Q251" s="58" t="s">
        <v>42</v>
      </c>
      <c r="R251" s="29">
        <f>P251*(J251-(J251*L251)-((J251-(J251*L251))*M251))</f>
        <v>0</v>
      </c>
      <c r="S251" s="29">
        <f t="shared" si="57"/>
        <v>0</v>
      </c>
    </row>
    <row r="252" spans="1:19" s="19" customFormat="1">
      <c r="A252" s="18"/>
      <c r="C252" s="20"/>
      <c r="D252" s="21"/>
      <c r="E252" s="26"/>
      <c r="F252" s="22"/>
      <c r="G252" s="23"/>
      <c r="H252" s="22"/>
      <c r="I252" s="23"/>
      <c r="J252" s="24"/>
      <c r="K252" s="21"/>
      <c r="L252" s="25"/>
      <c r="M252" s="25"/>
      <c r="N252" s="22"/>
      <c r="O252" s="23"/>
      <c r="P252" s="20"/>
      <c r="Q252" s="23"/>
      <c r="R252" s="24"/>
      <c r="S252" s="24"/>
    </row>
    <row r="253" spans="1:19" s="19" customFormat="1">
      <c r="A253" s="88" t="s">
        <v>199</v>
      </c>
      <c r="C253" s="20"/>
      <c r="D253" s="21"/>
      <c r="E253" s="26"/>
      <c r="F253" s="22"/>
      <c r="G253" s="23"/>
      <c r="H253" s="22"/>
      <c r="I253" s="23"/>
      <c r="J253" s="24"/>
      <c r="K253" s="21"/>
      <c r="L253" s="25"/>
      <c r="M253" s="25"/>
      <c r="N253" s="22"/>
      <c r="O253" s="23"/>
      <c r="P253" s="20"/>
      <c r="Q253" s="23"/>
      <c r="R253" s="24"/>
      <c r="S253" s="24"/>
    </row>
    <row r="254" spans="1:19" s="19" customFormat="1">
      <c r="A254" s="18" t="s">
        <v>200</v>
      </c>
      <c r="B254" s="19" t="s">
        <v>18</v>
      </c>
      <c r="C254" s="20"/>
      <c r="D254" s="21" t="s">
        <v>42</v>
      </c>
      <c r="E254" s="26"/>
      <c r="F254" s="22">
        <v>1</v>
      </c>
      <c r="G254" s="23" t="s">
        <v>20</v>
      </c>
      <c r="H254" s="22">
        <v>120</v>
      </c>
      <c r="I254" s="23" t="s">
        <v>42</v>
      </c>
      <c r="J254" s="24">
        <v>24600</v>
      </c>
      <c r="K254" s="21" t="s">
        <v>42</v>
      </c>
      <c r="L254" s="25">
        <v>0.125</v>
      </c>
      <c r="M254" s="25">
        <v>0.05</v>
      </c>
      <c r="N254" s="22"/>
      <c r="O254" s="23" t="s">
        <v>42</v>
      </c>
      <c r="P254" s="20">
        <f>(C254+(E254*F254*H254))-N254</f>
        <v>0</v>
      </c>
      <c r="Q254" s="23" t="s">
        <v>42</v>
      </c>
      <c r="R254" s="24">
        <f>P254*(J254-(J254*L254)-((J254-(J254*L254))*M254))</f>
        <v>0</v>
      </c>
      <c r="S254" s="24">
        <f t="shared" si="46"/>
        <v>0</v>
      </c>
    </row>
    <row r="255" spans="1:19" s="19" customFormat="1">
      <c r="A255" s="18" t="s">
        <v>761</v>
      </c>
      <c r="B255" s="19" t="s">
        <v>18</v>
      </c>
      <c r="C255" s="20"/>
      <c r="D255" s="21" t="s">
        <v>42</v>
      </c>
      <c r="E255" s="26"/>
      <c r="F255" s="22">
        <v>1</v>
      </c>
      <c r="G255" s="23" t="s">
        <v>20</v>
      </c>
      <c r="H255" s="22">
        <v>40</v>
      </c>
      <c r="I255" s="23" t="s">
        <v>42</v>
      </c>
      <c r="J255" s="24">
        <v>49200</v>
      </c>
      <c r="K255" s="21" t="s">
        <v>42</v>
      </c>
      <c r="L255" s="25">
        <v>0.125</v>
      </c>
      <c r="M255" s="25">
        <v>0.05</v>
      </c>
      <c r="N255" s="22"/>
      <c r="O255" s="23" t="s">
        <v>42</v>
      </c>
      <c r="P255" s="20">
        <f>(C255+(E255*F255*H255))-N255</f>
        <v>0</v>
      </c>
      <c r="Q255" s="23" t="s">
        <v>42</v>
      </c>
      <c r="R255" s="24">
        <f>P255*(J255-(J255*L255)-((J255-(J255*L255))*M255))</f>
        <v>0</v>
      </c>
      <c r="S255" s="24">
        <f t="shared" si="46"/>
        <v>0</v>
      </c>
    </row>
    <row r="256" spans="1:19" s="19" customFormat="1">
      <c r="A256" s="18"/>
      <c r="C256" s="20"/>
      <c r="D256" s="21"/>
      <c r="E256" s="26"/>
      <c r="F256" s="22"/>
      <c r="G256" s="23"/>
      <c r="H256" s="22"/>
      <c r="I256" s="23"/>
      <c r="J256" s="24"/>
      <c r="K256" s="21"/>
      <c r="L256" s="25"/>
      <c r="M256" s="25"/>
      <c r="N256" s="22"/>
      <c r="O256" s="23"/>
      <c r="P256" s="20"/>
      <c r="Q256" s="23"/>
      <c r="R256" s="24"/>
      <c r="S256" s="24"/>
    </row>
    <row r="257" spans="1:19" s="19" customFormat="1">
      <c r="A257" s="18" t="s">
        <v>201</v>
      </c>
      <c r="B257" s="19" t="s">
        <v>25</v>
      </c>
      <c r="C257" s="20"/>
      <c r="D257" s="21" t="s">
        <v>42</v>
      </c>
      <c r="E257" s="26"/>
      <c r="F257" s="22">
        <v>1</v>
      </c>
      <c r="G257" s="23" t="s">
        <v>20</v>
      </c>
      <c r="H257" s="22">
        <v>120</v>
      </c>
      <c r="I257" s="23" t="s">
        <v>42</v>
      </c>
      <c r="J257" s="24">
        <f>3888000/120</f>
        <v>32400</v>
      </c>
      <c r="K257" s="21" t="s">
        <v>42</v>
      </c>
      <c r="L257" s="25"/>
      <c r="M257" s="25">
        <v>0.17</v>
      </c>
      <c r="N257" s="22"/>
      <c r="O257" s="23" t="s">
        <v>42</v>
      </c>
      <c r="P257" s="20">
        <f>(C257+(E257*F257*H257))-N257</f>
        <v>0</v>
      </c>
      <c r="Q257" s="23" t="s">
        <v>42</v>
      </c>
      <c r="R257" s="24">
        <f>P257*(J257-(J257*L257)-((J257-(J257*L257))*M257))</f>
        <v>0</v>
      </c>
      <c r="S257" s="24">
        <f t="shared" si="46"/>
        <v>0</v>
      </c>
    </row>
    <row r="258" spans="1:19" s="19" customFormat="1">
      <c r="A258" s="18" t="s">
        <v>202</v>
      </c>
      <c r="B258" s="19" t="s">
        <v>25</v>
      </c>
      <c r="C258" s="20"/>
      <c r="D258" s="21" t="s">
        <v>42</v>
      </c>
      <c r="E258" s="26">
        <v>12</v>
      </c>
      <c r="F258" s="22">
        <v>1</v>
      </c>
      <c r="G258" s="23" t="s">
        <v>20</v>
      </c>
      <c r="H258" s="22">
        <v>60</v>
      </c>
      <c r="I258" s="23" t="s">
        <v>42</v>
      </c>
      <c r="J258" s="24">
        <f>3888000/60</f>
        <v>64800</v>
      </c>
      <c r="K258" s="21" t="s">
        <v>42</v>
      </c>
      <c r="L258" s="25"/>
      <c r="M258" s="25">
        <v>0.17</v>
      </c>
      <c r="N258" s="22"/>
      <c r="O258" s="23" t="s">
        <v>42</v>
      </c>
      <c r="P258" s="20">
        <f>(C258+(E258*F258*H258))-N258</f>
        <v>720</v>
      </c>
      <c r="Q258" s="23" t="s">
        <v>42</v>
      </c>
      <c r="R258" s="24">
        <f>P258*(J258-(J258*L258)-((J258-(J258*L258))*M258))</f>
        <v>38724480</v>
      </c>
      <c r="S258" s="24">
        <f t="shared" si="46"/>
        <v>34886918.918918915</v>
      </c>
    </row>
    <row r="259" spans="1:19" s="19" customFormat="1">
      <c r="A259" s="18"/>
      <c r="C259" s="20"/>
      <c r="D259" s="21"/>
      <c r="E259" s="26"/>
      <c r="F259" s="22"/>
      <c r="G259" s="23"/>
      <c r="H259" s="22"/>
      <c r="I259" s="23"/>
      <c r="J259" s="24"/>
      <c r="K259" s="21"/>
      <c r="L259" s="25"/>
      <c r="M259" s="25"/>
      <c r="N259" s="22"/>
      <c r="O259" s="23"/>
      <c r="P259" s="20"/>
      <c r="Q259" s="23"/>
      <c r="R259" s="24"/>
      <c r="S259" s="24"/>
    </row>
    <row r="260" spans="1:19" s="19" customFormat="1">
      <c r="A260" s="88" t="s">
        <v>203</v>
      </c>
      <c r="C260" s="20"/>
      <c r="D260" s="21"/>
      <c r="E260" s="26"/>
      <c r="F260" s="22"/>
      <c r="G260" s="23"/>
      <c r="H260" s="22"/>
      <c r="I260" s="23"/>
      <c r="J260" s="24"/>
      <c r="K260" s="21"/>
      <c r="L260" s="25"/>
      <c r="M260" s="25"/>
      <c r="N260" s="22"/>
      <c r="O260" s="23"/>
      <c r="P260" s="20"/>
      <c r="Q260" s="23"/>
      <c r="R260" s="24"/>
      <c r="S260" s="24"/>
    </row>
    <row r="261" spans="1:19" s="19" customFormat="1">
      <c r="A261" s="18" t="s">
        <v>823</v>
      </c>
      <c r="B261" s="19" t="s">
        <v>18</v>
      </c>
      <c r="C261" s="20"/>
      <c r="D261" s="21" t="s">
        <v>19</v>
      </c>
      <c r="E261" s="26"/>
      <c r="F261" s="22">
        <v>1</v>
      </c>
      <c r="G261" s="23" t="s">
        <v>20</v>
      </c>
      <c r="H261" s="22">
        <v>20</v>
      </c>
      <c r="I261" s="23" t="s">
        <v>19</v>
      </c>
      <c r="J261" s="24">
        <v>124000</v>
      </c>
      <c r="K261" s="21" t="s">
        <v>19</v>
      </c>
      <c r="L261" s="25">
        <v>0.125</v>
      </c>
      <c r="M261" s="25">
        <v>0.05</v>
      </c>
      <c r="N261" s="22"/>
      <c r="O261" s="23" t="s">
        <v>19</v>
      </c>
      <c r="P261" s="20">
        <f>(C261+(E261*F261*H261))-N261</f>
        <v>0</v>
      </c>
      <c r="Q261" s="23" t="s">
        <v>19</v>
      </c>
      <c r="R261" s="24">
        <f>P261*(J261-(J261*L261)-((J261-(J261*L261))*M261))</f>
        <v>0</v>
      </c>
      <c r="S261" s="24">
        <f t="shared" ref="S261" si="58">R261/1.11</f>
        <v>0</v>
      </c>
    </row>
    <row r="262" spans="1:19" s="19" customFormat="1">
      <c r="A262" s="18" t="s">
        <v>204</v>
      </c>
      <c r="B262" s="19" t="s">
        <v>18</v>
      </c>
      <c r="C262" s="20"/>
      <c r="D262" s="21" t="s">
        <v>19</v>
      </c>
      <c r="E262" s="26"/>
      <c r="F262" s="22">
        <v>1</v>
      </c>
      <c r="G262" s="23" t="s">
        <v>20</v>
      </c>
      <c r="H262" s="22">
        <v>5</v>
      </c>
      <c r="I262" s="23" t="s">
        <v>19</v>
      </c>
      <c r="J262" s="24">
        <v>214000</v>
      </c>
      <c r="K262" s="21" t="s">
        <v>19</v>
      </c>
      <c r="L262" s="25">
        <v>0.125</v>
      </c>
      <c r="M262" s="25">
        <v>0.05</v>
      </c>
      <c r="N262" s="22"/>
      <c r="O262" s="23" t="s">
        <v>19</v>
      </c>
      <c r="P262" s="20">
        <f>(C262+(E262*F262*H262))-N262</f>
        <v>0</v>
      </c>
      <c r="Q262" s="23" t="s">
        <v>19</v>
      </c>
      <c r="R262" s="24">
        <f>P262*(J262-(J262*L262)-((J262-(J262*L262))*M262))</f>
        <v>0</v>
      </c>
      <c r="S262" s="24">
        <f t="shared" si="46"/>
        <v>0</v>
      </c>
    </row>
    <row r="263" spans="1:19" s="19" customFormat="1">
      <c r="A263" s="18" t="s">
        <v>205</v>
      </c>
      <c r="B263" s="19" t="s">
        <v>18</v>
      </c>
      <c r="C263" s="20"/>
      <c r="D263" s="21" t="s">
        <v>19</v>
      </c>
      <c r="E263" s="26"/>
      <c r="F263" s="22">
        <v>1</v>
      </c>
      <c r="G263" s="23" t="s">
        <v>20</v>
      </c>
      <c r="H263" s="22">
        <v>5</v>
      </c>
      <c r="I263" s="23" t="s">
        <v>19</v>
      </c>
      <c r="J263" s="24">
        <v>219000</v>
      </c>
      <c r="K263" s="21" t="s">
        <v>19</v>
      </c>
      <c r="L263" s="25">
        <v>0.125</v>
      </c>
      <c r="M263" s="25">
        <v>0.05</v>
      </c>
      <c r="N263" s="22"/>
      <c r="O263" s="23" t="s">
        <v>19</v>
      </c>
      <c r="P263" s="20">
        <f>(C263+(E263*F263*H263))-N263</f>
        <v>0</v>
      </c>
      <c r="Q263" s="23" t="s">
        <v>19</v>
      </c>
      <c r="R263" s="24">
        <f>P263*(J263-(J263*L263)-((J263-(J263*L263))*M263))</f>
        <v>0</v>
      </c>
      <c r="S263" s="24">
        <f t="shared" si="46"/>
        <v>0</v>
      </c>
    </row>
    <row r="264" spans="1:19" s="19" customFormat="1">
      <c r="A264" s="18" t="s">
        <v>206</v>
      </c>
      <c r="B264" s="19" t="s">
        <v>18</v>
      </c>
      <c r="C264" s="20"/>
      <c r="D264" s="21" t="s">
        <v>19</v>
      </c>
      <c r="E264" s="26"/>
      <c r="F264" s="22">
        <v>1</v>
      </c>
      <c r="G264" s="23" t="s">
        <v>20</v>
      </c>
      <c r="H264" s="22">
        <v>4</v>
      </c>
      <c r="I264" s="23" t="s">
        <v>19</v>
      </c>
      <c r="J264" s="24">
        <v>291000</v>
      </c>
      <c r="K264" s="21" t="s">
        <v>19</v>
      </c>
      <c r="L264" s="25">
        <v>0.125</v>
      </c>
      <c r="M264" s="25">
        <v>0.05</v>
      </c>
      <c r="N264" s="22"/>
      <c r="O264" s="23" t="s">
        <v>19</v>
      </c>
      <c r="P264" s="20">
        <f>(C264+(E264*F264*H264))-N264</f>
        <v>0</v>
      </c>
      <c r="Q264" s="23" t="s">
        <v>19</v>
      </c>
      <c r="R264" s="24">
        <f>P264*(J264-(J264*L264)-((J264-(J264*L264))*M264))</f>
        <v>0</v>
      </c>
      <c r="S264" s="24">
        <f t="shared" si="46"/>
        <v>0</v>
      </c>
    </row>
    <row r="265" spans="1:19" s="19" customFormat="1">
      <c r="A265" s="18"/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19" customFormat="1">
      <c r="A266" s="18" t="s">
        <v>207</v>
      </c>
      <c r="B266" s="19" t="s">
        <v>25</v>
      </c>
      <c r="C266" s="20"/>
      <c r="D266" s="21" t="s">
        <v>19</v>
      </c>
      <c r="E266" s="26"/>
      <c r="F266" s="22">
        <v>1</v>
      </c>
      <c r="G266" s="23" t="s">
        <v>20</v>
      </c>
      <c r="H266" s="22">
        <v>5</v>
      </c>
      <c r="I266" s="23" t="s">
        <v>19</v>
      </c>
      <c r="J266" s="24">
        <f>1125000/5</f>
        <v>225000</v>
      </c>
      <c r="K266" s="21" t="s">
        <v>19</v>
      </c>
      <c r="L266" s="25"/>
      <c r="M266" s="25">
        <v>0.17</v>
      </c>
      <c r="N266" s="22"/>
      <c r="O266" s="23" t="s">
        <v>19</v>
      </c>
      <c r="P266" s="20">
        <f>(C266+(E266*F266*H266))-N266</f>
        <v>0</v>
      </c>
      <c r="Q266" s="23" t="s">
        <v>19</v>
      </c>
      <c r="R266" s="24">
        <f>P266*(J266-(J266*L266)-((J266-(J266*L266))*M266))</f>
        <v>0</v>
      </c>
      <c r="S266" s="24">
        <f t="shared" si="46"/>
        <v>0</v>
      </c>
    </row>
    <row r="267" spans="1:19" s="19" customFormat="1">
      <c r="A267" s="18" t="s">
        <v>208</v>
      </c>
      <c r="B267" s="19" t="s">
        <v>25</v>
      </c>
      <c r="C267" s="20"/>
      <c r="D267" s="21" t="s">
        <v>19</v>
      </c>
      <c r="E267" s="26"/>
      <c r="F267" s="22">
        <v>1</v>
      </c>
      <c r="G267" s="23" t="s">
        <v>20</v>
      </c>
      <c r="H267" s="22">
        <v>5</v>
      </c>
      <c r="I267" s="23" t="s">
        <v>19</v>
      </c>
      <c r="J267" s="24">
        <f>1125000/5</f>
        <v>225000</v>
      </c>
      <c r="K267" s="21" t="s">
        <v>19</v>
      </c>
      <c r="L267" s="25"/>
      <c r="M267" s="25">
        <v>0.17</v>
      </c>
      <c r="N267" s="22"/>
      <c r="O267" s="23" t="s">
        <v>19</v>
      </c>
      <c r="P267" s="20">
        <f>(C267+(E267*F267*H267))-N267</f>
        <v>0</v>
      </c>
      <c r="Q267" s="23" t="s">
        <v>19</v>
      </c>
      <c r="R267" s="24">
        <f>P267*(J267-(J267*L267)-((J267-(J267*L267))*M267))</f>
        <v>0</v>
      </c>
      <c r="S267" s="24">
        <f t="shared" si="46"/>
        <v>0</v>
      </c>
    </row>
    <row r="268" spans="1:19" s="19" customFormat="1">
      <c r="A268" s="18" t="s">
        <v>209</v>
      </c>
      <c r="B268" s="19" t="s">
        <v>25</v>
      </c>
      <c r="C268" s="20"/>
      <c r="D268" s="21" t="s">
        <v>19</v>
      </c>
      <c r="E268" s="26"/>
      <c r="F268" s="22">
        <v>1</v>
      </c>
      <c r="G268" s="23" t="s">
        <v>20</v>
      </c>
      <c r="H268" s="22">
        <v>4</v>
      </c>
      <c r="I268" s="23" t="s">
        <v>19</v>
      </c>
      <c r="J268" s="24">
        <f>1180000/4</f>
        <v>295000</v>
      </c>
      <c r="K268" s="21" t="s">
        <v>19</v>
      </c>
      <c r="L268" s="25"/>
      <c r="M268" s="25">
        <v>0.17</v>
      </c>
      <c r="N268" s="22"/>
      <c r="O268" s="23" t="s">
        <v>19</v>
      </c>
      <c r="P268" s="20">
        <f>(C268+(E268*F268*H268))-N268</f>
        <v>0</v>
      </c>
      <c r="Q268" s="23" t="s">
        <v>19</v>
      </c>
      <c r="R268" s="24">
        <f>P268*(J268-(J268*L268)-((J268-(J268*L268))*M268))</f>
        <v>0</v>
      </c>
      <c r="S268" s="24">
        <f t="shared" ref="S268:S354" si="59">R268/1.11</f>
        <v>0</v>
      </c>
    </row>
    <row r="269" spans="1:19" s="19" customFormat="1">
      <c r="A269" s="18"/>
      <c r="C269" s="20"/>
      <c r="D269" s="21"/>
      <c r="E269" s="26"/>
      <c r="F269" s="22"/>
      <c r="G269" s="23"/>
      <c r="H269" s="22"/>
      <c r="I269" s="23"/>
      <c r="J269" s="24"/>
      <c r="K269" s="21"/>
      <c r="L269" s="25"/>
      <c r="M269" s="25"/>
      <c r="N269" s="22"/>
      <c r="O269" s="23"/>
      <c r="P269" s="20"/>
      <c r="Q269" s="23"/>
      <c r="R269" s="24"/>
      <c r="S269" s="24"/>
    </row>
    <row r="270" spans="1:19" s="19" customFormat="1" ht="15.75">
      <c r="A270" s="44" t="s">
        <v>772</v>
      </c>
      <c r="C270" s="20"/>
      <c r="D270" s="21"/>
      <c r="E270" s="26"/>
      <c r="F270" s="22"/>
      <c r="G270" s="23"/>
      <c r="H270" s="22"/>
      <c r="I270" s="23"/>
      <c r="J270" s="24"/>
      <c r="K270" s="21"/>
      <c r="L270" s="25"/>
      <c r="M270" s="25"/>
      <c r="N270" s="22"/>
      <c r="O270" s="23"/>
      <c r="P270" s="20"/>
      <c r="Q270" s="23"/>
      <c r="R270" s="24"/>
      <c r="S270" s="24"/>
    </row>
    <row r="271" spans="1:19" s="19" customFormat="1">
      <c r="A271" s="18" t="s">
        <v>773</v>
      </c>
      <c r="B271" s="19" t="s">
        <v>605</v>
      </c>
      <c r="C271" s="20"/>
      <c r="D271" s="21" t="s">
        <v>19</v>
      </c>
      <c r="E271" s="26"/>
      <c r="F271" s="22">
        <v>1</v>
      </c>
      <c r="G271" s="23" t="s">
        <v>20</v>
      </c>
      <c r="H271" s="22">
        <v>48</v>
      </c>
      <c r="I271" s="23" t="s">
        <v>19</v>
      </c>
      <c r="J271" s="24">
        <v>53000</v>
      </c>
      <c r="K271" s="21" t="s">
        <v>19</v>
      </c>
      <c r="L271" s="25">
        <v>0.17499999999999999</v>
      </c>
      <c r="M271" s="25">
        <v>1.0999999999999999E-2</v>
      </c>
      <c r="N271" s="22"/>
      <c r="O271" s="23" t="s">
        <v>19</v>
      </c>
      <c r="P271" s="20">
        <f>(C271+(E271*F271*H271))-N271</f>
        <v>0</v>
      </c>
      <c r="Q271" s="23" t="s">
        <v>19</v>
      </c>
      <c r="R271" s="24">
        <f>P271*(J271-(J271*L271)-((J271-(J271*L271))*M271))</f>
        <v>0</v>
      </c>
      <c r="S271" s="24">
        <f t="shared" ref="S271" si="60">R271/1.11</f>
        <v>0</v>
      </c>
    </row>
    <row r="272" spans="1:19" s="19" customFormat="1">
      <c r="A272" s="18"/>
      <c r="C272" s="20"/>
      <c r="D272" s="21"/>
      <c r="E272" s="26"/>
      <c r="F272" s="22"/>
      <c r="G272" s="23"/>
      <c r="H272" s="22"/>
      <c r="I272" s="23"/>
      <c r="J272" s="24"/>
      <c r="K272" s="21"/>
      <c r="L272" s="25"/>
      <c r="M272" s="25"/>
      <c r="N272" s="22"/>
      <c r="O272" s="23"/>
      <c r="P272" s="20"/>
      <c r="Q272" s="23"/>
      <c r="R272" s="24"/>
      <c r="S272" s="24"/>
    </row>
    <row r="273" spans="1:19" s="19" customFormat="1" ht="15.75">
      <c r="A273" s="44" t="s">
        <v>210</v>
      </c>
      <c r="C273" s="20"/>
      <c r="D273" s="21"/>
      <c r="E273" s="26"/>
      <c r="F273" s="22"/>
      <c r="G273" s="23"/>
      <c r="H273" s="22"/>
      <c r="I273" s="23"/>
      <c r="J273" s="24"/>
      <c r="K273" s="21"/>
      <c r="L273" s="25"/>
      <c r="M273" s="25"/>
      <c r="N273" s="22"/>
      <c r="O273" s="23"/>
      <c r="P273" s="20"/>
      <c r="Q273" s="23"/>
      <c r="R273" s="24"/>
      <c r="S273" s="24"/>
    </row>
    <row r="274" spans="1:19" s="19" customFormat="1">
      <c r="A274" s="18" t="s">
        <v>833</v>
      </c>
      <c r="B274" s="19" t="s">
        <v>18</v>
      </c>
      <c r="C274" s="20"/>
      <c r="D274" s="21" t="s">
        <v>19</v>
      </c>
      <c r="E274" s="26"/>
      <c r="F274" s="22">
        <v>8</v>
      </c>
      <c r="G274" s="23" t="s">
        <v>33</v>
      </c>
      <c r="H274" s="22">
        <v>12</v>
      </c>
      <c r="I274" s="23" t="s">
        <v>19</v>
      </c>
      <c r="J274" s="24">
        <v>11500</v>
      </c>
      <c r="K274" s="21" t="s">
        <v>19</v>
      </c>
      <c r="L274" s="25">
        <v>0.125</v>
      </c>
      <c r="M274" s="25">
        <v>0.05</v>
      </c>
      <c r="N274" s="22"/>
      <c r="O274" s="23" t="s">
        <v>19</v>
      </c>
      <c r="P274" s="20">
        <f>(C274+(E274*F274*H274))-N274</f>
        <v>0</v>
      </c>
      <c r="Q274" s="23" t="s">
        <v>19</v>
      </c>
      <c r="R274" s="24">
        <f>P274*(J274-(J274*L274)-((J274-(J274*L274))*M274))</f>
        <v>0</v>
      </c>
      <c r="S274" s="24">
        <f t="shared" ref="S274" si="61">R274/1.11</f>
        <v>0</v>
      </c>
    </row>
    <row r="275" spans="1:19" s="19" customFormat="1">
      <c r="A275" s="18" t="s">
        <v>211</v>
      </c>
      <c r="B275" s="19" t="s">
        <v>18</v>
      </c>
      <c r="C275" s="20"/>
      <c r="D275" s="21" t="s">
        <v>19</v>
      </c>
      <c r="E275" s="26"/>
      <c r="F275" s="22">
        <v>1</v>
      </c>
      <c r="G275" s="23" t="s">
        <v>20</v>
      </c>
      <c r="H275" s="22">
        <v>90</v>
      </c>
      <c r="I275" s="23" t="s">
        <v>19</v>
      </c>
      <c r="J275" s="24">
        <v>24000</v>
      </c>
      <c r="K275" s="21" t="s">
        <v>19</v>
      </c>
      <c r="L275" s="25">
        <v>0.125</v>
      </c>
      <c r="M275" s="25">
        <v>0.05</v>
      </c>
      <c r="N275" s="22"/>
      <c r="O275" s="23" t="s">
        <v>19</v>
      </c>
      <c r="P275" s="20">
        <f>(C275+(E275*F275*H275))-N275</f>
        <v>0</v>
      </c>
      <c r="Q275" s="23" t="s">
        <v>19</v>
      </c>
      <c r="R275" s="24">
        <f>P275*(J275-(J275*L275)-((J275-(J275*L275))*M275))</f>
        <v>0</v>
      </c>
      <c r="S275" s="24">
        <f t="shared" si="59"/>
        <v>0</v>
      </c>
    </row>
    <row r="276" spans="1:19" s="19" customFormat="1">
      <c r="A276" s="18" t="s">
        <v>212</v>
      </c>
      <c r="B276" s="19" t="s">
        <v>18</v>
      </c>
      <c r="C276" s="20"/>
      <c r="D276" s="21" t="s">
        <v>19</v>
      </c>
      <c r="E276" s="26"/>
      <c r="F276" s="22">
        <v>1</v>
      </c>
      <c r="G276" s="23" t="s">
        <v>20</v>
      </c>
      <c r="H276" s="22">
        <v>48</v>
      </c>
      <c r="I276" s="23" t="s">
        <v>19</v>
      </c>
      <c r="J276" s="24">
        <v>24900</v>
      </c>
      <c r="K276" s="21" t="s">
        <v>19</v>
      </c>
      <c r="L276" s="25">
        <v>0.125</v>
      </c>
      <c r="M276" s="25">
        <v>0.05</v>
      </c>
      <c r="N276" s="22"/>
      <c r="O276" s="23" t="s">
        <v>19</v>
      </c>
      <c r="P276" s="20">
        <f>(C276+(E276*F276*H276))-N276</f>
        <v>0</v>
      </c>
      <c r="Q276" s="23" t="s">
        <v>19</v>
      </c>
      <c r="R276" s="24">
        <f>P276*(J276-(J276*L276)-((J276-(J276*L276))*M276))</f>
        <v>0</v>
      </c>
      <c r="S276" s="24">
        <f t="shared" si="59"/>
        <v>0</v>
      </c>
    </row>
    <row r="277" spans="1:19" s="19" customFormat="1">
      <c r="A277" s="18"/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19" customFormat="1">
      <c r="A278" s="18" t="s">
        <v>213</v>
      </c>
      <c r="B278" s="19" t="s">
        <v>25</v>
      </c>
      <c r="C278" s="20"/>
      <c r="D278" s="21" t="s">
        <v>19</v>
      </c>
      <c r="E278" s="26"/>
      <c r="F278" s="22">
        <v>1</v>
      </c>
      <c r="G278" s="23" t="s">
        <v>20</v>
      </c>
      <c r="H278" s="22">
        <v>24</v>
      </c>
      <c r="I278" s="23" t="s">
        <v>19</v>
      </c>
      <c r="J278" s="24">
        <f>720000/24</f>
        <v>30000</v>
      </c>
      <c r="K278" s="21" t="s">
        <v>19</v>
      </c>
      <c r="L278" s="25"/>
      <c r="M278" s="25">
        <v>0.17</v>
      </c>
      <c r="N278" s="22"/>
      <c r="O278" s="23" t="s">
        <v>19</v>
      </c>
      <c r="P278" s="20">
        <f>(C278+(E278*F278*H278))-N278</f>
        <v>0</v>
      </c>
      <c r="Q278" s="23" t="s">
        <v>19</v>
      </c>
      <c r="R278" s="24">
        <f>P278*(J278-(J278*L278)-((J278-(J278*L278))*M278))</f>
        <v>0</v>
      </c>
      <c r="S278" s="24">
        <f t="shared" si="59"/>
        <v>0</v>
      </c>
    </row>
    <row r="279" spans="1:19" s="19" customFormat="1">
      <c r="A279" s="18" t="s">
        <v>214</v>
      </c>
      <c r="B279" s="19" t="s">
        <v>25</v>
      </c>
      <c r="C279" s="20"/>
      <c r="D279" s="21" t="s">
        <v>19</v>
      </c>
      <c r="E279" s="26"/>
      <c r="F279" s="22">
        <v>1</v>
      </c>
      <c r="G279" s="23" t="s">
        <v>20</v>
      </c>
      <c r="H279" s="22">
        <v>48</v>
      </c>
      <c r="I279" s="23" t="s">
        <v>19</v>
      </c>
      <c r="J279" s="24">
        <f>1152000/48</f>
        <v>24000</v>
      </c>
      <c r="K279" s="21" t="s">
        <v>19</v>
      </c>
      <c r="L279" s="25"/>
      <c r="M279" s="25">
        <v>0.17</v>
      </c>
      <c r="N279" s="22"/>
      <c r="O279" s="23" t="s">
        <v>19</v>
      </c>
      <c r="P279" s="20">
        <f>(C279+(E279*F279*H279))-N279</f>
        <v>0</v>
      </c>
      <c r="Q279" s="23" t="s">
        <v>19</v>
      </c>
      <c r="R279" s="24">
        <f>P279*(J279-(J279*L279)-((J279-(J279*L279))*M279))</f>
        <v>0</v>
      </c>
      <c r="S279" s="24">
        <f t="shared" si="59"/>
        <v>0</v>
      </c>
    </row>
    <row r="280" spans="1:19" s="19" customFormat="1">
      <c r="A280" s="18"/>
      <c r="C280" s="20"/>
      <c r="D280" s="21"/>
      <c r="E280" s="26"/>
      <c r="F280" s="22"/>
      <c r="G280" s="23"/>
      <c r="H280" s="22"/>
      <c r="I280" s="23"/>
      <c r="J280" s="24"/>
      <c r="K280" s="21"/>
      <c r="L280" s="25"/>
      <c r="M280" s="25"/>
      <c r="N280" s="22"/>
      <c r="O280" s="23"/>
      <c r="P280" s="20"/>
      <c r="Q280" s="23"/>
      <c r="R280" s="24"/>
      <c r="S280" s="24"/>
    </row>
    <row r="281" spans="1:19" s="19" customFormat="1" ht="15.75">
      <c r="A281" s="44" t="s">
        <v>215</v>
      </c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>
      <c r="A282" s="88" t="s">
        <v>792</v>
      </c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19" customFormat="1">
      <c r="A283" s="18" t="s">
        <v>793</v>
      </c>
      <c r="B283" s="19" t="s">
        <v>25</v>
      </c>
      <c r="C283" s="20"/>
      <c r="D283" s="21" t="s">
        <v>42</v>
      </c>
      <c r="E283" s="26"/>
      <c r="F283" s="22">
        <v>1</v>
      </c>
      <c r="G283" s="23" t="s">
        <v>20</v>
      </c>
      <c r="H283" s="22">
        <v>40</v>
      </c>
      <c r="I283" s="23" t="s">
        <v>42</v>
      </c>
      <c r="J283" s="24">
        <v>32400</v>
      </c>
      <c r="K283" s="21" t="s">
        <v>42</v>
      </c>
      <c r="L283" s="25"/>
      <c r="M283" s="25">
        <v>0.17</v>
      </c>
      <c r="N283" s="22"/>
      <c r="O283" s="23" t="s">
        <v>42</v>
      </c>
      <c r="P283" s="20">
        <f>(C283+(E283*F283*H283))-N283</f>
        <v>0</v>
      </c>
      <c r="Q283" s="23" t="s">
        <v>42</v>
      </c>
      <c r="R283" s="24">
        <f>P283*(J283-(J283*L283)-((J283-(J283*L283))*M283))</f>
        <v>0</v>
      </c>
      <c r="S283" s="24">
        <f t="shared" ref="S283" si="62">R283/1.11</f>
        <v>0</v>
      </c>
    </row>
    <row r="284" spans="1:19" s="19" customFormat="1">
      <c r="A284" s="18"/>
      <c r="C284" s="20"/>
      <c r="D284" s="21"/>
      <c r="E284" s="26"/>
      <c r="F284" s="22"/>
      <c r="G284" s="23"/>
      <c r="H284" s="22"/>
      <c r="I284" s="23"/>
      <c r="J284" s="24"/>
      <c r="K284" s="21"/>
      <c r="L284" s="25"/>
      <c r="M284" s="25"/>
      <c r="N284" s="22"/>
      <c r="O284" s="23"/>
      <c r="P284" s="20"/>
      <c r="Q284" s="23"/>
      <c r="R284" s="24"/>
      <c r="S284" s="24"/>
    </row>
    <row r="285" spans="1:19" s="19" customFormat="1">
      <c r="A285" s="88" t="s">
        <v>216</v>
      </c>
      <c r="C285" s="20"/>
      <c r="D285" s="21"/>
      <c r="E285" s="26"/>
      <c r="F285" s="22"/>
      <c r="G285" s="23"/>
      <c r="H285" s="22"/>
      <c r="I285" s="23"/>
      <c r="J285" s="24"/>
      <c r="K285" s="21"/>
      <c r="L285" s="25"/>
      <c r="M285" s="25"/>
      <c r="N285" s="22"/>
      <c r="O285" s="23"/>
      <c r="P285" s="20"/>
      <c r="Q285" s="23"/>
      <c r="R285" s="24"/>
      <c r="S285" s="24"/>
    </row>
    <row r="286" spans="1:19" s="19" customFormat="1">
      <c r="A286" s="18" t="s">
        <v>217</v>
      </c>
      <c r="B286" s="19" t="s">
        <v>18</v>
      </c>
      <c r="C286" s="20"/>
      <c r="D286" s="21" t="s">
        <v>19</v>
      </c>
      <c r="E286" s="26"/>
      <c r="F286" s="22">
        <v>1</v>
      </c>
      <c r="G286" s="23" t="s">
        <v>20</v>
      </c>
      <c r="H286" s="22">
        <v>40</v>
      </c>
      <c r="I286" s="23" t="s">
        <v>19</v>
      </c>
      <c r="J286" s="24">
        <v>38500</v>
      </c>
      <c r="K286" s="21" t="s">
        <v>19</v>
      </c>
      <c r="L286" s="25">
        <v>0.125</v>
      </c>
      <c r="M286" s="25">
        <v>0.05</v>
      </c>
      <c r="N286" s="22"/>
      <c r="O286" s="23" t="s">
        <v>19</v>
      </c>
      <c r="P286" s="20">
        <f>(C286+(E286*F286*H286))-N286</f>
        <v>0</v>
      </c>
      <c r="Q286" s="23" t="s">
        <v>19</v>
      </c>
      <c r="R286" s="24">
        <f>P286*(J286-(J286*L286)-((J286-(J286*L286))*M286))</f>
        <v>0</v>
      </c>
      <c r="S286" s="24">
        <f t="shared" si="59"/>
        <v>0</v>
      </c>
    </row>
    <row r="287" spans="1:19" s="19" customFormat="1">
      <c r="A287" s="18"/>
      <c r="C287" s="20"/>
      <c r="D287" s="21"/>
      <c r="E287" s="26"/>
      <c r="F287" s="22"/>
      <c r="G287" s="23"/>
      <c r="H287" s="22"/>
      <c r="I287" s="23"/>
      <c r="J287" s="24"/>
      <c r="K287" s="21"/>
      <c r="L287" s="25"/>
      <c r="M287" s="25"/>
      <c r="N287" s="22"/>
      <c r="O287" s="23"/>
      <c r="P287" s="20"/>
      <c r="Q287" s="23"/>
      <c r="R287" s="24"/>
      <c r="S287" s="24"/>
    </row>
    <row r="288" spans="1:19" s="19" customFormat="1">
      <c r="A288" s="88" t="s">
        <v>218</v>
      </c>
      <c r="C288" s="20"/>
      <c r="D288" s="21"/>
      <c r="E288" s="26"/>
      <c r="F288" s="22"/>
      <c r="G288" s="23"/>
      <c r="H288" s="22"/>
      <c r="I288" s="23"/>
      <c r="J288" s="24"/>
      <c r="K288" s="21"/>
      <c r="L288" s="25"/>
      <c r="M288" s="25"/>
      <c r="N288" s="22"/>
      <c r="O288" s="23"/>
      <c r="P288" s="20"/>
      <c r="Q288" s="23"/>
      <c r="R288" s="24"/>
      <c r="S288" s="24"/>
    </row>
    <row r="289" spans="1:19" s="19" customFormat="1">
      <c r="A289" s="18" t="s">
        <v>762</v>
      </c>
      <c r="B289" s="19" t="s">
        <v>18</v>
      </c>
      <c r="C289" s="20"/>
      <c r="D289" s="21" t="s">
        <v>19</v>
      </c>
      <c r="E289" s="26"/>
      <c r="F289" s="22">
        <v>1</v>
      </c>
      <c r="G289" s="23" t="s">
        <v>20</v>
      </c>
      <c r="H289" s="22">
        <v>48</v>
      </c>
      <c r="I289" s="23" t="s">
        <v>19</v>
      </c>
      <c r="J289" s="24">
        <v>17600</v>
      </c>
      <c r="K289" s="21" t="s">
        <v>19</v>
      </c>
      <c r="L289" s="25">
        <v>0.125</v>
      </c>
      <c r="M289" s="25">
        <v>0.05</v>
      </c>
      <c r="N289" s="22"/>
      <c r="O289" s="23" t="s">
        <v>19</v>
      </c>
      <c r="P289" s="20">
        <f>(C289+(E289*F289*H289))-N289</f>
        <v>0</v>
      </c>
      <c r="Q289" s="23" t="s">
        <v>19</v>
      </c>
      <c r="R289" s="24">
        <f>P289*(J289-(J289*L289)-((J289-(J289*L289))*M289))</f>
        <v>0</v>
      </c>
      <c r="S289" s="24">
        <f t="shared" si="59"/>
        <v>0</v>
      </c>
    </row>
    <row r="290" spans="1:19" s="19" customFormat="1">
      <c r="A290" s="18"/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19" customFormat="1" ht="15.75">
      <c r="A291" s="44" t="s">
        <v>219</v>
      </c>
      <c r="C291" s="20"/>
      <c r="D291" s="21"/>
      <c r="E291" s="26"/>
      <c r="F291" s="22"/>
      <c r="G291" s="23"/>
      <c r="H291" s="22"/>
      <c r="I291" s="23"/>
      <c r="J291" s="24"/>
      <c r="K291" s="21"/>
      <c r="L291" s="25"/>
      <c r="M291" s="25"/>
      <c r="N291" s="22"/>
      <c r="O291" s="23"/>
      <c r="P291" s="20"/>
      <c r="Q291" s="23"/>
      <c r="R291" s="24"/>
      <c r="S291" s="24"/>
    </row>
    <row r="292" spans="1:19" s="19" customFormat="1">
      <c r="A292" s="88" t="s">
        <v>220</v>
      </c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19" customFormat="1">
      <c r="A293" s="18" t="s">
        <v>221</v>
      </c>
      <c r="B293" s="19" t="s">
        <v>25</v>
      </c>
      <c r="C293" s="20"/>
      <c r="D293" s="21" t="s">
        <v>42</v>
      </c>
      <c r="E293" s="26"/>
      <c r="F293" s="22">
        <v>1</v>
      </c>
      <c r="G293" s="23" t="s">
        <v>20</v>
      </c>
      <c r="H293" s="22">
        <v>50</v>
      </c>
      <c r="I293" s="23" t="s">
        <v>42</v>
      </c>
      <c r="J293" s="24">
        <f>1800000/50</f>
        <v>36000</v>
      </c>
      <c r="K293" s="21" t="s">
        <v>42</v>
      </c>
      <c r="L293" s="25"/>
      <c r="M293" s="25">
        <v>0.17</v>
      </c>
      <c r="N293" s="22"/>
      <c r="O293" s="23" t="s">
        <v>42</v>
      </c>
      <c r="P293" s="20">
        <f t="shared" ref="P293:P299" si="63">(C293+(E293*F293*H293))-N293</f>
        <v>0</v>
      </c>
      <c r="Q293" s="23" t="s">
        <v>42</v>
      </c>
      <c r="R293" s="24">
        <f t="shared" ref="R293:R299" si="64">P293*(J293-(J293*L293)-((J293-(J293*L293))*M293))</f>
        <v>0</v>
      </c>
      <c r="S293" s="24">
        <f t="shared" si="59"/>
        <v>0</v>
      </c>
    </row>
    <row r="294" spans="1:19" s="19" customFormat="1">
      <c r="A294" s="18" t="s">
        <v>780</v>
      </c>
      <c r="B294" s="19" t="s">
        <v>25</v>
      </c>
      <c r="C294" s="20"/>
      <c r="D294" s="21" t="s">
        <v>42</v>
      </c>
      <c r="E294" s="26"/>
      <c r="F294" s="22">
        <v>1</v>
      </c>
      <c r="G294" s="23" t="s">
        <v>20</v>
      </c>
      <c r="H294" s="22">
        <v>25</v>
      </c>
      <c r="I294" s="23" t="s">
        <v>42</v>
      </c>
      <c r="J294" s="24">
        <f>1672500/25</f>
        <v>66900</v>
      </c>
      <c r="K294" s="21" t="s">
        <v>42</v>
      </c>
      <c r="L294" s="25"/>
      <c r="M294" s="25">
        <v>0.17</v>
      </c>
      <c r="N294" s="22"/>
      <c r="O294" s="23" t="s">
        <v>42</v>
      </c>
      <c r="P294" s="20">
        <f t="shared" si="63"/>
        <v>0</v>
      </c>
      <c r="Q294" s="23" t="s">
        <v>42</v>
      </c>
      <c r="R294" s="24">
        <f t="shared" si="64"/>
        <v>0</v>
      </c>
      <c r="S294" s="24">
        <f t="shared" si="59"/>
        <v>0</v>
      </c>
    </row>
    <row r="295" spans="1:19" s="19" customFormat="1">
      <c r="A295" s="18" t="s">
        <v>222</v>
      </c>
      <c r="B295" s="19" t="s">
        <v>25</v>
      </c>
      <c r="C295" s="20"/>
      <c r="D295" s="21" t="s">
        <v>42</v>
      </c>
      <c r="E295" s="26">
        <v>2</v>
      </c>
      <c r="F295" s="22">
        <v>1</v>
      </c>
      <c r="G295" s="23" t="s">
        <v>20</v>
      </c>
      <c r="H295" s="22">
        <v>25</v>
      </c>
      <c r="I295" s="23" t="s">
        <v>42</v>
      </c>
      <c r="J295" s="24">
        <f>2100000/25</f>
        <v>84000</v>
      </c>
      <c r="K295" s="21" t="s">
        <v>42</v>
      </c>
      <c r="L295" s="25"/>
      <c r="M295" s="25">
        <v>0.17</v>
      </c>
      <c r="N295" s="22"/>
      <c r="O295" s="23" t="s">
        <v>42</v>
      </c>
      <c r="P295" s="20">
        <f t="shared" si="63"/>
        <v>50</v>
      </c>
      <c r="Q295" s="23" t="s">
        <v>42</v>
      </c>
      <c r="R295" s="24">
        <f t="shared" si="64"/>
        <v>3486000</v>
      </c>
      <c r="S295" s="24">
        <f t="shared" si="59"/>
        <v>3140540.5405405401</v>
      </c>
    </row>
    <row r="296" spans="1:19" s="19" customFormat="1">
      <c r="A296" s="18" t="s">
        <v>223</v>
      </c>
      <c r="B296" s="19" t="s">
        <v>25</v>
      </c>
      <c r="C296" s="20"/>
      <c r="D296" s="21" t="s">
        <v>42</v>
      </c>
      <c r="E296" s="26"/>
      <c r="F296" s="22">
        <v>1</v>
      </c>
      <c r="G296" s="23" t="s">
        <v>20</v>
      </c>
      <c r="H296" s="22">
        <v>10</v>
      </c>
      <c r="I296" s="23" t="s">
        <v>42</v>
      </c>
      <c r="J296" s="24">
        <f>1632000/10</f>
        <v>163200</v>
      </c>
      <c r="K296" s="21" t="s">
        <v>42</v>
      </c>
      <c r="L296" s="25"/>
      <c r="M296" s="25">
        <v>0.17</v>
      </c>
      <c r="N296" s="22"/>
      <c r="O296" s="23" t="s">
        <v>42</v>
      </c>
      <c r="P296" s="20">
        <f t="shared" si="63"/>
        <v>0</v>
      </c>
      <c r="Q296" s="23" t="s">
        <v>42</v>
      </c>
      <c r="R296" s="24">
        <f t="shared" si="64"/>
        <v>0</v>
      </c>
      <c r="S296" s="24">
        <f t="shared" si="59"/>
        <v>0</v>
      </c>
    </row>
    <row r="297" spans="1:19" s="19" customFormat="1">
      <c r="A297" s="18" t="s">
        <v>224</v>
      </c>
      <c r="B297" s="19" t="s">
        <v>25</v>
      </c>
      <c r="C297" s="20"/>
      <c r="D297" s="21" t="s">
        <v>42</v>
      </c>
      <c r="E297" s="26"/>
      <c r="F297" s="22">
        <v>1</v>
      </c>
      <c r="G297" s="23" t="s">
        <v>20</v>
      </c>
      <c r="H297" s="22">
        <v>10</v>
      </c>
      <c r="I297" s="23" t="s">
        <v>42</v>
      </c>
      <c r="J297" s="24">
        <f>2028000/10</f>
        <v>202800</v>
      </c>
      <c r="K297" s="21" t="s">
        <v>42</v>
      </c>
      <c r="L297" s="25"/>
      <c r="M297" s="25">
        <v>0.17</v>
      </c>
      <c r="N297" s="22"/>
      <c r="O297" s="23" t="s">
        <v>42</v>
      </c>
      <c r="P297" s="20">
        <f t="shared" si="63"/>
        <v>0</v>
      </c>
      <c r="Q297" s="23" t="s">
        <v>42</v>
      </c>
      <c r="R297" s="24">
        <f t="shared" si="64"/>
        <v>0</v>
      </c>
      <c r="S297" s="24">
        <f t="shared" si="59"/>
        <v>0</v>
      </c>
    </row>
    <row r="298" spans="1:19" s="19" customFormat="1">
      <c r="A298" s="18" t="s">
        <v>225</v>
      </c>
      <c r="B298" s="19" t="s">
        <v>25</v>
      </c>
      <c r="C298" s="20"/>
      <c r="D298" s="21" t="s">
        <v>42</v>
      </c>
      <c r="E298" s="26"/>
      <c r="F298" s="22">
        <v>1</v>
      </c>
      <c r="G298" s="23" t="s">
        <v>20</v>
      </c>
      <c r="H298" s="22">
        <v>10</v>
      </c>
      <c r="I298" s="23" t="s">
        <v>42</v>
      </c>
      <c r="J298" s="24">
        <f>2520000/10</f>
        <v>252000</v>
      </c>
      <c r="K298" s="21" t="s">
        <v>42</v>
      </c>
      <c r="L298" s="25"/>
      <c r="M298" s="25">
        <v>0.17</v>
      </c>
      <c r="N298" s="22"/>
      <c r="O298" s="23" t="s">
        <v>42</v>
      </c>
      <c r="P298" s="20">
        <f t="shared" si="63"/>
        <v>0</v>
      </c>
      <c r="Q298" s="23" t="s">
        <v>42</v>
      </c>
      <c r="R298" s="24">
        <f t="shared" si="64"/>
        <v>0</v>
      </c>
      <c r="S298" s="24">
        <f t="shared" si="59"/>
        <v>0</v>
      </c>
    </row>
    <row r="299" spans="1:19" s="19" customFormat="1">
      <c r="A299" s="18" t="s">
        <v>226</v>
      </c>
      <c r="B299" s="19" t="s">
        <v>25</v>
      </c>
      <c r="C299" s="20"/>
      <c r="D299" s="21" t="s">
        <v>19</v>
      </c>
      <c r="E299" s="26"/>
      <c r="F299" s="22">
        <v>10</v>
      </c>
      <c r="G299" s="23" t="s">
        <v>42</v>
      </c>
      <c r="H299" s="22">
        <v>12</v>
      </c>
      <c r="I299" s="23" t="s">
        <v>19</v>
      </c>
      <c r="J299" s="24">
        <f>5220000/10/12</f>
        <v>43500</v>
      </c>
      <c r="K299" s="21" t="s">
        <v>19</v>
      </c>
      <c r="L299" s="25"/>
      <c r="M299" s="25">
        <v>0.17</v>
      </c>
      <c r="N299" s="22"/>
      <c r="O299" s="23" t="s">
        <v>19</v>
      </c>
      <c r="P299" s="20">
        <f t="shared" si="63"/>
        <v>0</v>
      </c>
      <c r="Q299" s="23" t="s">
        <v>19</v>
      </c>
      <c r="R299" s="24">
        <f t="shared" si="64"/>
        <v>0</v>
      </c>
      <c r="S299" s="24">
        <f t="shared" si="59"/>
        <v>0</v>
      </c>
    </row>
    <row r="300" spans="1:19" s="19" customFormat="1">
      <c r="A300" s="18"/>
      <c r="C300" s="20"/>
      <c r="D300" s="21"/>
      <c r="E300" s="26"/>
      <c r="F300" s="22"/>
      <c r="G300" s="23"/>
      <c r="H300" s="22"/>
      <c r="I300" s="23"/>
      <c r="J300" s="24"/>
      <c r="K300" s="21"/>
      <c r="L300" s="25"/>
      <c r="M300" s="25"/>
      <c r="N300" s="22"/>
      <c r="O300" s="23"/>
      <c r="P300" s="20"/>
      <c r="Q300" s="23"/>
      <c r="R300" s="24"/>
      <c r="S300" s="24"/>
    </row>
    <row r="301" spans="1:19" s="19" customFormat="1">
      <c r="A301" s="88" t="s">
        <v>673</v>
      </c>
      <c r="C301" s="20"/>
      <c r="D301" s="21"/>
      <c r="E301" s="26"/>
      <c r="F301" s="22"/>
      <c r="G301" s="23"/>
      <c r="H301" s="22"/>
      <c r="I301" s="23"/>
      <c r="J301" s="24"/>
      <c r="K301" s="21"/>
      <c r="L301" s="25"/>
      <c r="M301" s="25"/>
      <c r="N301" s="22"/>
      <c r="O301" s="23"/>
      <c r="P301" s="20"/>
      <c r="Q301" s="23"/>
      <c r="R301" s="24"/>
      <c r="S301" s="24"/>
    </row>
    <row r="302" spans="1:19" s="19" customFormat="1">
      <c r="A302" s="18" t="s">
        <v>791</v>
      </c>
      <c r="B302" s="19" t="s">
        <v>178</v>
      </c>
      <c r="C302" s="20"/>
      <c r="D302" s="21" t="s">
        <v>42</v>
      </c>
      <c r="E302" s="26"/>
      <c r="F302" s="22">
        <v>20</v>
      </c>
      <c r="G302" s="23" t="s">
        <v>33</v>
      </c>
      <c r="H302" s="22">
        <v>4</v>
      </c>
      <c r="I302" s="23" t="s">
        <v>42</v>
      </c>
      <c r="J302" s="24">
        <f>1400*12</f>
        <v>16800</v>
      </c>
      <c r="K302" s="21" t="s">
        <v>42</v>
      </c>
      <c r="L302" s="25">
        <v>0.05</v>
      </c>
      <c r="M302" s="25"/>
      <c r="N302" s="22"/>
      <c r="O302" s="23" t="s">
        <v>42</v>
      </c>
      <c r="P302" s="20">
        <f>(C302+(E302*F302*H302))-N302</f>
        <v>0</v>
      </c>
      <c r="Q302" s="23" t="s">
        <v>42</v>
      </c>
      <c r="R302" s="24">
        <f>P302*(J302-(J302*L302)-((J302-(J302*L302))*M302))</f>
        <v>0</v>
      </c>
      <c r="S302" s="24">
        <f t="shared" ref="S302" si="65">R302/1.11</f>
        <v>0</v>
      </c>
    </row>
    <row r="303" spans="1:19" s="19" customFormat="1" ht="15.75">
      <c r="A303" s="89"/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 ht="15.75">
      <c r="A304" s="44" t="s">
        <v>227</v>
      </c>
      <c r="C304" s="20"/>
      <c r="D304" s="21"/>
      <c r="E304" s="26"/>
      <c r="F304" s="22"/>
      <c r="G304" s="23"/>
      <c r="H304" s="22"/>
      <c r="I304" s="23"/>
      <c r="J304" s="24"/>
      <c r="K304" s="21"/>
      <c r="L304" s="25"/>
      <c r="M304" s="25"/>
      <c r="N304" s="22"/>
      <c r="O304" s="23"/>
      <c r="P304" s="20"/>
      <c r="Q304" s="23"/>
      <c r="R304" s="24"/>
      <c r="S304" s="24"/>
    </row>
    <row r="305" spans="1:19" s="19" customFormat="1">
      <c r="A305" s="18" t="s">
        <v>228</v>
      </c>
      <c r="B305" s="19" t="s">
        <v>18</v>
      </c>
      <c r="C305" s="20"/>
      <c r="D305" s="21" t="s">
        <v>19</v>
      </c>
      <c r="E305" s="26"/>
      <c r="F305" s="22">
        <v>12</v>
      </c>
      <c r="G305" s="23" t="s">
        <v>33</v>
      </c>
      <c r="H305" s="22">
        <v>12</v>
      </c>
      <c r="I305" s="23" t="s">
        <v>19</v>
      </c>
      <c r="J305" s="24">
        <f>52500/12</f>
        <v>4375</v>
      </c>
      <c r="K305" s="21" t="s">
        <v>19</v>
      </c>
      <c r="L305" s="25">
        <v>0.125</v>
      </c>
      <c r="M305" s="25">
        <v>0.05</v>
      </c>
      <c r="N305" s="22"/>
      <c r="O305" s="23" t="s">
        <v>19</v>
      </c>
      <c r="P305" s="20">
        <f t="shared" ref="P305:P316" si="66">(C305+(E305*F305*H305))-N305</f>
        <v>0</v>
      </c>
      <c r="Q305" s="23" t="s">
        <v>19</v>
      </c>
      <c r="R305" s="24">
        <f t="shared" ref="R305:R316" si="67">P305*(J305-(J305*L305)-((J305-(J305*L305))*M305))</f>
        <v>0</v>
      </c>
      <c r="S305" s="24">
        <f t="shared" ref="S305" si="68">R305/1.11</f>
        <v>0</v>
      </c>
    </row>
    <row r="306" spans="1:19" s="19" customFormat="1">
      <c r="A306" s="18" t="s">
        <v>229</v>
      </c>
      <c r="B306" s="19" t="s">
        <v>18</v>
      </c>
      <c r="C306" s="20"/>
      <c r="D306" s="21" t="s">
        <v>19</v>
      </c>
      <c r="E306" s="26"/>
      <c r="F306" s="22">
        <v>12</v>
      </c>
      <c r="G306" s="23" t="s">
        <v>33</v>
      </c>
      <c r="H306" s="22">
        <v>12</v>
      </c>
      <c r="I306" s="23" t="s">
        <v>19</v>
      </c>
      <c r="J306" s="24">
        <v>20500</v>
      </c>
      <c r="K306" s="21" t="s">
        <v>19</v>
      </c>
      <c r="L306" s="25">
        <v>0.125</v>
      </c>
      <c r="M306" s="25">
        <v>0.05</v>
      </c>
      <c r="N306" s="22"/>
      <c r="O306" s="23" t="s">
        <v>19</v>
      </c>
      <c r="P306" s="20">
        <f t="shared" si="66"/>
        <v>0</v>
      </c>
      <c r="Q306" s="23" t="s">
        <v>19</v>
      </c>
      <c r="R306" s="24">
        <f t="shared" si="67"/>
        <v>0</v>
      </c>
      <c r="S306" s="24">
        <f t="shared" si="59"/>
        <v>0</v>
      </c>
    </row>
    <row r="307" spans="1:19" s="19" customFormat="1">
      <c r="A307" s="18" t="s">
        <v>230</v>
      </c>
      <c r="B307" s="19" t="s">
        <v>18</v>
      </c>
      <c r="C307" s="20"/>
      <c r="D307" s="21" t="s">
        <v>19</v>
      </c>
      <c r="E307" s="26"/>
      <c r="F307" s="22">
        <v>12</v>
      </c>
      <c r="G307" s="23" t="s">
        <v>33</v>
      </c>
      <c r="H307" s="22">
        <v>12</v>
      </c>
      <c r="I307" s="23" t="s">
        <v>19</v>
      </c>
      <c r="J307" s="24">
        <v>22000</v>
      </c>
      <c r="K307" s="21" t="s">
        <v>19</v>
      </c>
      <c r="L307" s="25">
        <v>0.125</v>
      </c>
      <c r="M307" s="25">
        <v>0.05</v>
      </c>
      <c r="N307" s="22"/>
      <c r="O307" s="23" t="s">
        <v>19</v>
      </c>
      <c r="P307" s="20">
        <f t="shared" si="66"/>
        <v>0</v>
      </c>
      <c r="Q307" s="23" t="s">
        <v>19</v>
      </c>
      <c r="R307" s="24">
        <f t="shared" si="67"/>
        <v>0</v>
      </c>
      <c r="S307" s="24">
        <f t="shared" si="59"/>
        <v>0</v>
      </c>
    </row>
    <row r="308" spans="1:19" s="19" customFormat="1">
      <c r="A308" s="18" t="s">
        <v>231</v>
      </c>
      <c r="B308" s="19" t="s">
        <v>18</v>
      </c>
      <c r="C308" s="20"/>
      <c r="D308" s="21" t="s">
        <v>19</v>
      </c>
      <c r="E308" s="26">
        <v>5</v>
      </c>
      <c r="F308" s="22">
        <v>12</v>
      </c>
      <c r="G308" s="23" t="s">
        <v>33</v>
      </c>
      <c r="H308" s="22">
        <v>12</v>
      </c>
      <c r="I308" s="23" t="s">
        <v>19</v>
      </c>
      <c r="J308" s="24">
        <v>4350</v>
      </c>
      <c r="K308" s="21" t="s">
        <v>19</v>
      </c>
      <c r="L308" s="25">
        <v>0.125</v>
      </c>
      <c r="M308" s="25">
        <v>0.05</v>
      </c>
      <c r="N308" s="22"/>
      <c r="O308" s="23" t="s">
        <v>19</v>
      </c>
      <c r="P308" s="20">
        <f t="shared" si="66"/>
        <v>720</v>
      </c>
      <c r="Q308" s="23" t="s">
        <v>19</v>
      </c>
      <c r="R308" s="24">
        <f t="shared" si="67"/>
        <v>2603475</v>
      </c>
      <c r="S308" s="24">
        <f t="shared" si="59"/>
        <v>2345472.9729729728</v>
      </c>
    </row>
    <row r="309" spans="1:19" s="19" customFormat="1">
      <c r="A309" s="18" t="s">
        <v>232</v>
      </c>
      <c r="B309" s="19" t="s">
        <v>18</v>
      </c>
      <c r="C309" s="20"/>
      <c r="D309" s="21" t="s">
        <v>19</v>
      </c>
      <c r="E309" s="26">
        <v>1</v>
      </c>
      <c r="F309" s="22">
        <v>12</v>
      </c>
      <c r="G309" s="23" t="s">
        <v>33</v>
      </c>
      <c r="H309" s="22">
        <v>12</v>
      </c>
      <c r="I309" s="23" t="s">
        <v>19</v>
      </c>
      <c r="J309" s="24">
        <v>6500</v>
      </c>
      <c r="K309" s="21" t="s">
        <v>19</v>
      </c>
      <c r="L309" s="25">
        <v>0.125</v>
      </c>
      <c r="M309" s="25">
        <v>0.05</v>
      </c>
      <c r="N309" s="22"/>
      <c r="O309" s="23" t="s">
        <v>19</v>
      </c>
      <c r="P309" s="20">
        <f t="shared" si="66"/>
        <v>144</v>
      </c>
      <c r="Q309" s="23" t="s">
        <v>19</v>
      </c>
      <c r="R309" s="24">
        <f t="shared" si="67"/>
        <v>778050</v>
      </c>
      <c r="S309" s="24">
        <f t="shared" si="59"/>
        <v>700945.94594594592</v>
      </c>
    </row>
    <row r="310" spans="1:19" s="19" customFormat="1">
      <c r="A310" s="18" t="s">
        <v>233</v>
      </c>
      <c r="B310" s="19" t="s">
        <v>18</v>
      </c>
      <c r="C310" s="20"/>
      <c r="D310" s="21" t="s">
        <v>19</v>
      </c>
      <c r="E310" s="26">
        <v>1</v>
      </c>
      <c r="F310" s="22">
        <v>12</v>
      </c>
      <c r="G310" s="23" t="s">
        <v>33</v>
      </c>
      <c r="H310" s="22">
        <v>12</v>
      </c>
      <c r="I310" s="23" t="s">
        <v>19</v>
      </c>
      <c r="J310" s="24">
        <v>9750</v>
      </c>
      <c r="K310" s="21" t="s">
        <v>19</v>
      </c>
      <c r="L310" s="25">
        <v>0.125</v>
      </c>
      <c r="M310" s="25">
        <v>0.05</v>
      </c>
      <c r="N310" s="22"/>
      <c r="O310" s="23" t="s">
        <v>19</v>
      </c>
      <c r="P310" s="20">
        <f t="shared" si="66"/>
        <v>144</v>
      </c>
      <c r="Q310" s="23" t="s">
        <v>19</v>
      </c>
      <c r="R310" s="24">
        <f t="shared" si="67"/>
        <v>1167075</v>
      </c>
      <c r="S310" s="24">
        <f t="shared" si="59"/>
        <v>1051418.9189189188</v>
      </c>
    </row>
    <row r="311" spans="1:19" s="19" customFormat="1">
      <c r="A311" s="18" t="s">
        <v>234</v>
      </c>
      <c r="B311" s="19" t="s">
        <v>18</v>
      </c>
      <c r="C311" s="20"/>
      <c r="D311" s="21" t="s">
        <v>19</v>
      </c>
      <c r="E311" s="26"/>
      <c r="F311" s="22">
        <v>6</v>
      </c>
      <c r="G311" s="23" t="s">
        <v>33</v>
      </c>
      <c r="H311" s="22">
        <v>12</v>
      </c>
      <c r="I311" s="23" t="s">
        <v>19</v>
      </c>
      <c r="J311" s="24">
        <v>19200</v>
      </c>
      <c r="K311" s="21" t="s">
        <v>19</v>
      </c>
      <c r="L311" s="25">
        <v>0.125</v>
      </c>
      <c r="M311" s="25">
        <v>0.05</v>
      </c>
      <c r="N311" s="22"/>
      <c r="O311" s="23" t="s">
        <v>19</v>
      </c>
      <c r="P311" s="20">
        <f t="shared" si="66"/>
        <v>0</v>
      </c>
      <c r="Q311" s="23" t="s">
        <v>19</v>
      </c>
      <c r="R311" s="24">
        <f t="shared" si="67"/>
        <v>0</v>
      </c>
      <c r="S311" s="24">
        <f t="shared" si="59"/>
        <v>0</v>
      </c>
    </row>
    <row r="312" spans="1:19" s="19" customFormat="1">
      <c r="A312" s="18" t="s">
        <v>235</v>
      </c>
      <c r="B312" s="19" t="s">
        <v>18</v>
      </c>
      <c r="C312" s="20"/>
      <c r="D312" s="21" t="s">
        <v>19</v>
      </c>
      <c r="E312" s="26"/>
      <c r="F312" s="22">
        <v>12</v>
      </c>
      <c r="G312" s="23" t="s">
        <v>33</v>
      </c>
      <c r="H312" s="22">
        <v>12</v>
      </c>
      <c r="I312" s="23" t="s">
        <v>19</v>
      </c>
      <c r="J312" s="24">
        <v>5900</v>
      </c>
      <c r="K312" s="21" t="s">
        <v>19</v>
      </c>
      <c r="L312" s="25">
        <v>0.125</v>
      </c>
      <c r="M312" s="25">
        <v>0.05</v>
      </c>
      <c r="N312" s="22"/>
      <c r="O312" s="23" t="s">
        <v>19</v>
      </c>
      <c r="P312" s="20">
        <f t="shared" si="66"/>
        <v>0</v>
      </c>
      <c r="Q312" s="23" t="s">
        <v>19</v>
      </c>
      <c r="R312" s="24">
        <f t="shared" si="67"/>
        <v>0</v>
      </c>
      <c r="S312" s="24">
        <f t="shared" si="59"/>
        <v>0</v>
      </c>
    </row>
    <row r="313" spans="1:19" s="19" customFormat="1">
      <c r="A313" s="18" t="s">
        <v>236</v>
      </c>
      <c r="B313" s="19" t="s">
        <v>18</v>
      </c>
      <c r="C313" s="20"/>
      <c r="D313" s="21" t="s">
        <v>19</v>
      </c>
      <c r="E313" s="26"/>
      <c r="F313" s="22">
        <v>12</v>
      </c>
      <c r="G313" s="23" t="s">
        <v>33</v>
      </c>
      <c r="H313" s="22">
        <v>12</v>
      </c>
      <c r="I313" s="23" t="s">
        <v>19</v>
      </c>
      <c r="J313" s="24">
        <v>7700</v>
      </c>
      <c r="K313" s="21" t="s">
        <v>19</v>
      </c>
      <c r="L313" s="25">
        <v>0.125</v>
      </c>
      <c r="M313" s="25">
        <v>0.05</v>
      </c>
      <c r="N313" s="22"/>
      <c r="O313" s="23" t="s">
        <v>19</v>
      </c>
      <c r="P313" s="20">
        <f t="shared" si="66"/>
        <v>0</v>
      </c>
      <c r="Q313" s="23" t="s">
        <v>19</v>
      </c>
      <c r="R313" s="24">
        <f t="shared" si="67"/>
        <v>0</v>
      </c>
      <c r="S313" s="24">
        <f t="shared" si="59"/>
        <v>0</v>
      </c>
    </row>
    <row r="314" spans="1:19" s="19" customFormat="1" ht="15">
      <c r="A314" s="18" t="s">
        <v>237</v>
      </c>
      <c r="B314" s="19" t="s">
        <v>18</v>
      </c>
      <c r="C314" s="65"/>
      <c r="D314" s="21" t="s">
        <v>19</v>
      </c>
      <c r="E314" s="26"/>
      <c r="F314" s="22">
        <v>12</v>
      </c>
      <c r="G314" s="23" t="s">
        <v>33</v>
      </c>
      <c r="H314" s="22">
        <v>12</v>
      </c>
      <c r="I314" s="23" t="s">
        <v>19</v>
      </c>
      <c r="J314" s="24">
        <v>11200</v>
      </c>
      <c r="K314" s="21" t="s">
        <v>19</v>
      </c>
      <c r="L314" s="25">
        <v>0.125</v>
      </c>
      <c r="M314" s="25">
        <v>0.05</v>
      </c>
      <c r="N314" s="22"/>
      <c r="O314" s="23" t="s">
        <v>19</v>
      </c>
      <c r="P314" s="20">
        <f t="shared" si="66"/>
        <v>0</v>
      </c>
      <c r="Q314" s="23" t="s">
        <v>19</v>
      </c>
      <c r="R314" s="24">
        <f t="shared" si="67"/>
        <v>0</v>
      </c>
      <c r="S314" s="24">
        <f t="shared" si="59"/>
        <v>0</v>
      </c>
    </row>
    <row r="315" spans="1:19" s="19" customFormat="1">
      <c r="A315" s="18" t="s">
        <v>238</v>
      </c>
      <c r="B315" s="19" t="s">
        <v>18</v>
      </c>
      <c r="C315" s="20"/>
      <c r="D315" s="21" t="s">
        <v>19</v>
      </c>
      <c r="E315" s="26"/>
      <c r="F315" s="22">
        <v>12</v>
      </c>
      <c r="G315" s="23" t="s">
        <v>33</v>
      </c>
      <c r="H315" s="22">
        <v>12</v>
      </c>
      <c r="I315" s="23" t="s">
        <v>19</v>
      </c>
      <c r="J315" s="24">
        <v>7600</v>
      </c>
      <c r="K315" s="21" t="s">
        <v>19</v>
      </c>
      <c r="L315" s="25">
        <v>0.125</v>
      </c>
      <c r="M315" s="25">
        <v>0.05</v>
      </c>
      <c r="N315" s="22"/>
      <c r="O315" s="23" t="s">
        <v>19</v>
      </c>
      <c r="P315" s="20">
        <f t="shared" si="66"/>
        <v>0</v>
      </c>
      <c r="Q315" s="23" t="s">
        <v>19</v>
      </c>
      <c r="R315" s="24">
        <f t="shared" si="67"/>
        <v>0</v>
      </c>
      <c r="S315" s="24">
        <f t="shared" si="59"/>
        <v>0</v>
      </c>
    </row>
    <row r="316" spans="1:19" s="19" customFormat="1">
      <c r="A316" s="18" t="s">
        <v>239</v>
      </c>
      <c r="B316" s="19" t="s">
        <v>18</v>
      </c>
      <c r="C316" s="20"/>
      <c r="D316" s="21" t="s">
        <v>19</v>
      </c>
      <c r="E316" s="26"/>
      <c r="F316" s="22">
        <v>8</v>
      </c>
      <c r="G316" s="23" t="s">
        <v>33</v>
      </c>
      <c r="H316" s="22">
        <v>6</v>
      </c>
      <c r="I316" s="23" t="s">
        <v>19</v>
      </c>
      <c r="J316" s="24">
        <v>65000</v>
      </c>
      <c r="K316" s="21" t="s">
        <v>19</v>
      </c>
      <c r="L316" s="25">
        <v>0.125</v>
      </c>
      <c r="M316" s="25">
        <v>0.05</v>
      </c>
      <c r="N316" s="22"/>
      <c r="O316" s="23" t="s">
        <v>19</v>
      </c>
      <c r="P316" s="20">
        <f t="shared" si="66"/>
        <v>0</v>
      </c>
      <c r="Q316" s="23" t="s">
        <v>19</v>
      </c>
      <c r="R316" s="24">
        <f t="shared" si="67"/>
        <v>0</v>
      </c>
      <c r="S316" s="24">
        <f t="shared" si="59"/>
        <v>0</v>
      </c>
    </row>
    <row r="317" spans="1:19" s="19" customFormat="1">
      <c r="A317" s="18"/>
      <c r="C317" s="20"/>
      <c r="D317" s="21"/>
      <c r="E317" s="26"/>
      <c r="F317" s="22"/>
      <c r="G317" s="23"/>
      <c r="H317" s="22"/>
      <c r="I317" s="23"/>
      <c r="J317" s="24"/>
      <c r="K317" s="21"/>
      <c r="L317" s="25"/>
      <c r="M317" s="25"/>
      <c r="N317" s="22"/>
      <c r="O317" s="23"/>
      <c r="P317" s="20"/>
      <c r="Q317" s="23"/>
      <c r="R317" s="24"/>
      <c r="S317" s="24"/>
    </row>
    <row r="318" spans="1:19" s="19" customFormat="1">
      <c r="A318" s="91" t="s">
        <v>240</v>
      </c>
      <c r="B318" s="19" t="s">
        <v>25</v>
      </c>
      <c r="C318" s="20"/>
      <c r="D318" s="21" t="s">
        <v>42</v>
      </c>
      <c r="E318" s="26">
        <v>2</v>
      </c>
      <c r="F318" s="22">
        <v>1</v>
      </c>
      <c r="G318" s="23" t="s">
        <v>20</v>
      </c>
      <c r="H318" s="22">
        <v>25</v>
      </c>
      <c r="I318" s="23" t="s">
        <v>42</v>
      </c>
      <c r="J318" s="94">
        <v>56400</v>
      </c>
      <c r="K318" s="21" t="s">
        <v>42</v>
      </c>
      <c r="L318" s="25"/>
      <c r="M318" s="25">
        <v>0.17</v>
      </c>
      <c r="N318" s="22"/>
      <c r="O318" s="23" t="s">
        <v>42</v>
      </c>
      <c r="P318" s="20">
        <f t="shared" ref="P318:P325" si="69">(C318+(E318*F318*H318))-N318</f>
        <v>50</v>
      </c>
      <c r="Q318" s="23" t="s">
        <v>42</v>
      </c>
      <c r="R318" s="24">
        <f t="shared" ref="R318:R325" si="70">P318*(J318-(J318*L318)-((J318-(J318*L318))*M318))</f>
        <v>2340600</v>
      </c>
      <c r="S318" s="24">
        <f t="shared" ref="S318" si="71">R318/1.11</f>
        <v>2108648.6486486485</v>
      </c>
    </row>
    <row r="319" spans="1:19" s="19" customFormat="1">
      <c r="A319" s="18" t="s">
        <v>240</v>
      </c>
      <c r="B319" s="19" t="s">
        <v>25</v>
      </c>
      <c r="C319" s="20"/>
      <c r="D319" s="21" t="s">
        <v>42</v>
      </c>
      <c r="E319" s="26"/>
      <c r="F319" s="22">
        <v>1</v>
      </c>
      <c r="G319" s="23" t="s">
        <v>20</v>
      </c>
      <c r="H319" s="22">
        <v>25</v>
      </c>
      <c r="I319" s="23" t="s">
        <v>42</v>
      </c>
      <c r="J319" s="24">
        <f>1245000/25</f>
        <v>49800</v>
      </c>
      <c r="K319" s="21" t="s">
        <v>42</v>
      </c>
      <c r="L319" s="25"/>
      <c r="M319" s="25">
        <v>0.17</v>
      </c>
      <c r="N319" s="22"/>
      <c r="O319" s="23" t="s">
        <v>42</v>
      </c>
      <c r="P319" s="20">
        <f t="shared" si="69"/>
        <v>0</v>
      </c>
      <c r="Q319" s="23" t="s">
        <v>42</v>
      </c>
      <c r="R319" s="24">
        <f t="shared" si="70"/>
        <v>0</v>
      </c>
      <c r="S319" s="24">
        <f t="shared" si="59"/>
        <v>0</v>
      </c>
    </row>
    <row r="320" spans="1:19" s="19" customFormat="1">
      <c r="A320" s="91" t="s">
        <v>241</v>
      </c>
      <c r="B320" s="19" t="s">
        <v>25</v>
      </c>
      <c r="C320" s="20"/>
      <c r="D320" s="21" t="s">
        <v>42</v>
      </c>
      <c r="E320" s="26">
        <v>2</v>
      </c>
      <c r="F320" s="22">
        <v>1</v>
      </c>
      <c r="G320" s="23" t="s">
        <v>20</v>
      </c>
      <c r="H320" s="22">
        <v>25</v>
      </c>
      <c r="I320" s="23" t="s">
        <v>42</v>
      </c>
      <c r="J320" s="94">
        <v>79800</v>
      </c>
      <c r="K320" s="21" t="s">
        <v>42</v>
      </c>
      <c r="L320" s="25"/>
      <c r="M320" s="25">
        <v>0.17</v>
      </c>
      <c r="N320" s="22"/>
      <c r="O320" s="23" t="s">
        <v>42</v>
      </c>
      <c r="P320" s="20">
        <f t="shared" si="69"/>
        <v>50</v>
      </c>
      <c r="Q320" s="23" t="s">
        <v>42</v>
      </c>
      <c r="R320" s="24">
        <f t="shared" si="70"/>
        <v>3311700</v>
      </c>
      <c r="S320" s="24">
        <f t="shared" ref="S320" si="72">R320/1.11</f>
        <v>2983513.5135135134</v>
      </c>
    </row>
    <row r="321" spans="1:19" s="19" customFormat="1">
      <c r="A321" s="18" t="s">
        <v>241</v>
      </c>
      <c r="B321" s="19" t="s">
        <v>25</v>
      </c>
      <c r="C321" s="20"/>
      <c r="D321" s="21" t="s">
        <v>42</v>
      </c>
      <c r="E321" s="26"/>
      <c r="F321" s="22">
        <v>1</v>
      </c>
      <c r="G321" s="23" t="s">
        <v>20</v>
      </c>
      <c r="H321" s="22">
        <v>25</v>
      </c>
      <c r="I321" s="23" t="s">
        <v>42</v>
      </c>
      <c r="J321" s="24">
        <f>1890000/25</f>
        <v>75600</v>
      </c>
      <c r="K321" s="21" t="s">
        <v>42</v>
      </c>
      <c r="L321" s="25"/>
      <c r="M321" s="25">
        <v>0.17</v>
      </c>
      <c r="N321" s="22"/>
      <c r="O321" s="23" t="s">
        <v>42</v>
      </c>
      <c r="P321" s="20">
        <f t="shared" si="69"/>
        <v>0</v>
      </c>
      <c r="Q321" s="23" t="s">
        <v>42</v>
      </c>
      <c r="R321" s="24">
        <f t="shared" si="70"/>
        <v>0</v>
      </c>
      <c r="S321" s="24">
        <f t="shared" si="59"/>
        <v>0</v>
      </c>
    </row>
    <row r="322" spans="1:19" s="19" customFormat="1">
      <c r="A322" s="91" t="s">
        <v>242</v>
      </c>
      <c r="B322" s="19" t="s">
        <v>25</v>
      </c>
      <c r="C322" s="20"/>
      <c r="D322" s="21" t="s">
        <v>42</v>
      </c>
      <c r="E322" s="26">
        <v>2</v>
      </c>
      <c r="F322" s="22">
        <v>1</v>
      </c>
      <c r="G322" s="23" t="s">
        <v>20</v>
      </c>
      <c r="H322" s="22">
        <v>10</v>
      </c>
      <c r="I322" s="23" t="s">
        <v>42</v>
      </c>
      <c r="J322" s="94">
        <v>118800</v>
      </c>
      <c r="K322" s="21" t="s">
        <v>42</v>
      </c>
      <c r="L322" s="25"/>
      <c r="M322" s="25">
        <v>0.17</v>
      </c>
      <c r="N322" s="22"/>
      <c r="O322" s="23" t="s">
        <v>42</v>
      </c>
      <c r="P322" s="20">
        <f t="shared" si="69"/>
        <v>20</v>
      </c>
      <c r="Q322" s="23" t="s">
        <v>42</v>
      </c>
      <c r="R322" s="24">
        <f t="shared" si="70"/>
        <v>1972080</v>
      </c>
      <c r="S322" s="24">
        <f t="shared" ref="S322" si="73">R322/1.11</f>
        <v>1776648.6486486485</v>
      </c>
    </row>
    <row r="323" spans="1:19" s="19" customFormat="1">
      <c r="A323" s="18" t="s">
        <v>242</v>
      </c>
      <c r="B323" s="19" t="s">
        <v>25</v>
      </c>
      <c r="C323" s="20"/>
      <c r="D323" s="21" t="s">
        <v>42</v>
      </c>
      <c r="E323" s="26"/>
      <c r="F323" s="22">
        <v>1</v>
      </c>
      <c r="G323" s="23" t="s">
        <v>20</v>
      </c>
      <c r="H323" s="22">
        <v>10</v>
      </c>
      <c r="I323" s="23" t="s">
        <v>42</v>
      </c>
      <c r="J323" s="24">
        <f>1122000/10</f>
        <v>112200</v>
      </c>
      <c r="K323" s="21" t="s">
        <v>42</v>
      </c>
      <c r="L323" s="25"/>
      <c r="M323" s="25">
        <v>0.17</v>
      </c>
      <c r="N323" s="22"/>
      <c r="O323" s="23" t="s">
        <v>42</v>
      </c>
      <c r="P323" s="20">
        <f t="shared" si="69"/>
        <v>0</v>
      </c>
      <c r="Q323" s="23" t="s">
        <v>42</v>
      </c>
      <c r="R323" s="24">
        <f t="shared" si="70"/>
        <v>0</v>
      </c>
      <c r="S323" s="24">
        <f t="shared" si="59"/>
        <v>0</v>
      </c>
    </row>
    <row r="324" spans="1:19" s="19" customFormat="1">
      <c r="A324" s="18" t="s">
        <v>687</v>
      </c>
      <c r="B324" s="19" t="s">
        <v>25</v>
      </c>
      <c r="C324" s="20"/>
      <c r="D324" s="21" t="s">
        <v>42</v>
      </c>
      <c r="E324" s="26"/>
      <c r="F324" s="22">
        <v>1</v>
      </c>
      <c r="G324" s="23" t="s">
        <v>20</v>
      </c>
      <c r="H324" s="22">
        <v>25</v>
      </c>
      <c r="I324" s="23" t="s">
        <v>42</v>
      </c>
      <c r="J324" s="24">
        <f>2010000/25</f>
        <v>80400</v>
      </c>
      <c r="K324" s="21" t="s">
        <v>42</v>
      </c>
      <c r="L324" s="25"/>
      <c r="M324" s="25">
        <v>0.17</v>
      </c>
      <c r="N324" s="22"/>
      <c r="O324" s="23" t="s">
        <v>42</v>
      </c>
      <c r="P324" s="20">
        <f t="shared" si="69"/>
        <v>0</v>
      </c>
      <c r="Q324" s="23" t="s">
        <v>42</v>
      </c>
      <c r="R324" s="24">
        <f t="shared" si="70"/>
        <v>0</v>
      </c>
      <c r="S324" s="24">
        <f t="shared" si="59"/>
        <v>0</v>
      </c>
    </row>
    <row r="325" spans="1:19" s="19" customFormat="1">
      <c r="A325" s="18" t="s">
        <v>243</v>
      </c>
      <c r="B325" s="19" t="s">
        <v>25</v>
      </c>
      <c r="C325" s="20"/>
      <c r="D325" s="21" t="s">
        <v>42</v>
      </c>
      <c r="E325" s="26"/>
      <c r="F325" s="22">
        <v>1</v>
      </c>
      <c r="G325" s="23" t="s">
        <v>20</v>
      </c>
      <c r="H325" s="22">
        <v>10</v>
      </c>
      <c r="I325" s="23" t="s">
        <v>42</v>
      </c>
      <c r="J325" s="24">
        <f>1260000/10</f>
        <v>126000</v>
      </c>
      <c r="K325" s="21" t="s">
        <v>42</v>
      </c>
      <c r="L325" s="25"/>
      <c r="M325" s="25">
        <v>0.17</v>
      </c>
      <c r="N325" s="22"/>
      <c r="O325" s="23" t="s">
        <v>42</v>
      </c>
      <c r="P325" s="20">
        <f t="shared" si="69"/>
        <v>0</v>
      </c>
      <c r="Q325" s="23" t="s">
        <v>42</v>
      </c>
      <c r="R325" s="24">
        <f t="shared" si="70"/>
        <v>0</v>
      </c>
      <c r="S325" s="24">
        <f t="shared" si="59"/>
        <v>0</v>
      </c>
    </row>
    <row r="326" spans="1:19" s="19" customFormat="1">
      <c r="A326" s="18"/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 ht="15.75">
      <c r="A327" s="44" t="s">
        <v>244</v>
      </c>
      <c r="C327" s="20"/>
      <c r="D327" s="21"/>
      <c r="E327" s="26"/>
      <c r="F327" s="22"/>
      <c r="G327" s="23"/>
      <c r="H327" s="22"/>
      <c r="I327" s="23"/>
      <c r="J327" s="24"/>
      <c r="K327" s="21"/>
      <c r="L327" s="25"/>
      <c r="M327" s="25"/>
      <c r="N327" s="22"/>
      <c r="O327" s="23"/>
      <c r="P327" s="20"/>
      <c r="Q327" s="23"/>
      <c r="R327" s="24"/>
      <c r="S327" s="24"/>
    </row>
    <row r="328" spans="1:19" s="19" customFormat="1">
      <c r="A328" s="66" t="s">
        <v>245</v>
      </c>
      <c r="B328" s="19" t="s">
        <v>25</v>
      </c>
      <c r="C328" s="20"/>
      <c r="D328" s="21" t="s">
        <v>19</v>
      </c>
      <c r="E328" s="26"/>
      <c r="F328" s="22">
        <v>20</v>
      </c>
      <c r="G328" s="23" t="s">
        <v>33</v>
      </c>
      <c r="H328" s="22">
        <v>10</v>
      </c>
      <c r="I328" s="23" t="s">
        <v>19</v>
      </c>
      <c r="J328" s="24">
        <f>3800000/20/10</f>
        <v>19000</v>
      </c>
      <c r="K328" s="21" t="s">
        <v>19</v>
      </c>
      <c r="L328" s="25"/>
      <c r="M328" s="25">
        <v>0.17</v>
      </c>
      <c r="N328" s="22"/>
      <c r="O328" s="23" t="s">
        <v>19</v>
      </c>
      <c r="P328" s="20">
        <f>(C328+(E328*F328*H328))-N328</f>
        <v>0</v>
      </c>
      <c r="Q328" s="23" t="s">
        <v>19</v>
      </c>
      <c r="R328" s="24">
        <f>P328*(J328-(J328*L328)-((J328-(J328*L328))*M328))</f>
        <v>0</v>
      </c>
      <c r="S328" s="24">
        <f t="shared" si="59"/>
        <v>0</v>
      </c>
    </row>
    <row r="329" spans="1:19" s="19" customFormat="1">
      <c r="A329" s="66" t="s">
        <v>246</v>
      </c>
      <c r="B329" s="19" t="s">
        <v>25</v>
      </c>
      <c r="C329" s="20"/>
      <c r="D329" s="21" t="s">
        <v>19</v>
      </c>
      <c r="E329" s="26"/>
      <c r="F329" s="22">
        <v>20</v>
      </c>
      <c r="G329" s="23" t="s">
        <v>33</v>
      </c>
      <c r="H329" s="22">
        <v>12</v>
      </c>
      <c r="I329" s="23" t="s">
        <v>19</v>
      </c>
      <c r="J329" s="24">
        <f>3120000/20/12</f>
        <v>13000</v>
      </c>
      <c r="K329" s="21" t="s">
        <v>19</v>
      </c>
      <c r="L329" s="25"/>
      <c r="M329" s="25">
        <v>0.17</v>
      </c>
      <c r="N329" s="22"/>
      <c r="O329" s="23" t="s">
        <v>19</v>
      </c>
      <c r="P329" s="20">
        <f>(C329+(E329*F329*H329))-N329</f>
        <v>0</v>
      </c>
      <c r="Q329" s="23" t="s">
        <v>19</v>
      </c>
      <c r="R329" s="24">
        <f>P329*(J329-(J329*L329)-((J329-(J329*L329))*M329))</f>
        <v>0</v>
      </c>
      <c r="S329" s="24">
        <f t="shared" si="59"/>
        <v>0</v>
      </c>
    </row>
    <row r="330" spans="1:19" s="19" customFormat="1">
      <c r="A330" s="18"/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19" customFormat="1" ht="15.75">
      <c r="A331" s="44" t="s">
        <v>247</v>
      </c>
      <c r="C331" s="20"/>
      <c r="D331" s="21"/>
      <c r="E331" s="26"/>
      <c r="F331" s="22"/>
      <c r="G331" s="23"/>
      <c r="H331" s="22"/>
      <c r="I331" s="23"/>
      <c r="J331" s="24"/>
      <c r="K331" s="21"/>
      <c r="L331" s="25"/>
      <c r="M331" s="25"/>
      <c r="N331" s="22"/>
      <c r="O331" s="23"/>
      <c r="P331" s="20"/>
      <c r="Q331" s="23"/>
      <c r="R331" s="24"/>
      <c r="S331" s="24"/>
    </row>
    <row r="332" spans="1:19" s="19" customFormat="1">
      <c r="A332" s="18" t="s">
        <v>248</v>
      </c>
      <c r="B332" s="19" t="s">
        <v>18</v>
      </c>
      <c r="C332" s="20"/>
      <c r="D332" s="21" t="s">
        <v>42</v>
      </c>
      <c r="E332" s="26"/>
      <c r="F332" s="22">
        <v>1</v>
      </c>
      <c r="G332" s="23" t="s">
        <v>20</v>
      </c>
      <c r="H332" s="22">
        <v>24</v>
      </c>
      <c r="I332" s="23" t="s">
        <v>42</v>
      </c>
      <c r="J332" s="24">
        <v>88200</v>
      </c>
      <c r="K332" s="21" t="s">
        <v>42</v>
      </c>
      <c r="L332" s="25">
        <v>0.125</v>
      </c>
      <c r="M332" s="25">
        <v>0.05</v>
      </c>
      <c r="N332" s="22"/>
      <c r="O332" s="23" t="s">
        <v>42</v>
      </c>
      <c r="P332" s="20">
        <f t="shared" ref="P332:P341" si="74">(C332+(E332*F332*H332))-N332</f>
        <v>0</v>
      </c>
      <c r="Q332" s="23" t="s">
        <v>42</v>
      </c>
      <c r="R332" s="24">
        <f t="shared" ref="R332:R341" si="75">P332*(J332-(J332*L332)-((J332-(J332*L332))*M332))</f>
        <v>0</v>
      </c>
      <c r="S332" s="24">
        <f t="shared" si="59"/>
        <v>0</v>
      </c>
    </row>
    <row r="333" spans="1:19" s="19" customFormat="1">
      <c r="A333" s="18" t="s">
        <v>664</v>
      </c>
      <c r="B333" s="19" t="s">
        <v>18</v>
      </c>
      <c r="C333" s="20"/>
      <c r="D333" s="21" t="s">
        <v>42</v>
      </c>
      <c r="E333" s="26"/>
      <c r="F333" s="22">
        <v>1</v>
      </c>
      <c r="G333" s="23" t="s">
        <v>20</v>
      </c>
      <c r="H333" s="22">
        <v>24</v>
      </c>
      <c r="I333" s="23" t="s">
        <v>42</v>
      </c>
      <c r="J333" s="24">
        <v>114000</v>
      </c>
      <c r="K333" s="21" t="s">
        <v>42</v>
      </c>
      <c r="L333" s="25">
        <v>0.125</v>
      </c>
      <c r="M333" s="25">
        <v>0.05</v>
      </c>
      <c r="N333" s="22"/>
      <c r="O333" s="23" t="s">
        <v>42</v>
      </c>
      <c r="P333" s="20">
        <f t="shared" si="74"/>
        <v>0</v>
      </c>
      <c r="Q333" s="23" t="s">
        <v>42</v>
      </c>
      <c r="R333" s="24">
        <f t="shared" si="75"/>
        <v>0</v>
      </c>
      <c r="S333" s="24">
        <f t="shared" si="59"/>
        <v>0</v>
      </c>
    </row>
    <row r="334" spans="1:19" s="19" customFormat="1">
      <c r="A334" s="18" t="s">
        <v>249</v>
      </c>
      <c r="B334" s="19" t="s">
        <v>18</v>
      </c>
      <c r="C334" s="20"/>
      <c r="D334" s="21" t="s">
        <v>42</v>
      </c>
      <c r="E334" s="26"/>
      <c r="F334" s="22">
        <v>1</v>
      </c>
      <c r="G334" s="23" t="s">
        <v>20</v>
      </c>
      <c r="H334" s="22">
        <v>24</v>
      </c>
      <c r="I334" s="23" t="s">
        <v>42</v>
      </c>
      <c r="J334" s="24">
        <v>88200</v>
      </c>
      <c r="K334" s="21" t="s">
        <v>42</v>
      </c>
      <c r="L334" s="25">
        <v>0.125</v>
      </c>
      <c r="M334" s="25">
        <v>0.05</v>
      </c>
      <c r="N334" s="22"/>
      <c r="O334" s="23" t="s">
        <v>42</v>
      </c>
      <c r="P334" s="20">
        <f t="shared" si="74"/>
        <v>0</v>
      </c>
      <c r="Q334" s="23" t="s">
        <v>42</v>
      </c>
      <c r="R334" s="24">
        <f t="shared" si="75"/>
        <v>0</v>
      </c>
      <c r="S334" s="24">
        <f t="shared" si="59"/>
        <v>0</v>
      </c>
    </row>
    <row r="335" spans="1:19" s="19" customFormat="1">
      <c r="A335" s="18" t="s">
        <v>250</v>
      </c>
      <c r="B335" s="19" t="s">
        <v>18</v>
      </c>
      <c r="C335" s="20"/>
      <c r="D335" s="21" t="s">
        <v>42</v>
      </c>
      <c r="E335" s="26"/>
      <c r="F335" s="22">
        <v>1</v>
      </c>
      <c r="G335" s="23" t="s">
        <v>20</v>
      </c>
      <c r="H335" s="22">
        <v>24</v>
      </c>
      <c r="I335" s="23" t="s">
        <v>42</v>
      </c>
      <c r="J335" s="24">
        <v>89400</v>
      </c>
      <c r="K335" s="21" t="s">
        <v>42</v>
      </c>
      <c r="L335" s="25">
        <v>0.125</v>
      </c>
      <c r="M335" s="25">
        <v>0.05</v>
      </c>
      <c r="N335" s="22"/>
      <c r="O335" s="23" t="s">
        <v>42</v>
      </c>
      <c r="P335" s="20">
        <f t="shared" si="74"/>
        <v>0</v>
      </c>
      <c r="Q335" s="23" t="s">
        <v>42</v>
      </c>
      <c r="R335" s="24">
        <f t="shared" si="75"/>
        <v>0</v>
      </c>
      <c r="S335" s="24">
        <f t="shared" si="59"/>
        <v>0</v>
      </c>
    </row>
    <row r="336" spans="1:19" s="19" customFormat="1">
      <c r="A336" s="18" t="s">
        <v>251</v>
      </c>
      <c r="B336" s="19" t="s">
        <v>18</v>
      </c>
      <c r="C336" s="20"/>
      <c r="D336" s="21" t="s">
        <v>158</v>
      </c>
      <c r="E336" s="26"/>
      <c r="F336" s="22">
        <v>12</v>
      </c>
      <c r="G336" s="23" t="s">
        <v>33</v>
      </c>
      <c r="H336" s="22">
        <v>24</v>
      </c>
      <c r="I336" s="23" t="s">
        <v>158</v>
      </c>
      <c r="J336" s="24">
        <v>12000</v>
      </c>
      <c r="K336" s="21" t="s">
        <v>158</v>
      </c>
      <c r="L336" s="25">
        <v>0.125</v>
      </c>
      <c r="M336" s="25">
        <v>0.05</v>
      </c>
      <c r="N336" s="22"/>
      <c r="O336" s="23" t="s">
        <v>158</v>
      </c>
      <c r="P336" s="20">
        <f t="shared" si="74"/>
        <v>0</v>
      </c>
      <c r="Q336" s="23" t="s">
        <v>158</v>
      </c>
      <c r="R336" s="24">
        <f t="shared" si="75"/>
        <v>0</v>
      </c>
      <c r="S336" s="24">
        <f t="shared" si="59"/>
        <v>0</v>
      </c>
    </row>
    <row r="337" spans="1:19" s="19" customFormat="1">
      <c r="A337" s="18" t="s">
        <v>252</v>
      </c>
      <c r="B337" s="19" t="s">
        <v>18</v>
      </c>
      <c r="C337" s="20"/>
      <c r="D337" s="21" t="s">
        <v>158</v>
      </c>
      <c r="E337" s="26"/>
      <c r="F337" s="22">
        <v>10</v>
      </c>
      <c r="G337" s="23" t="s">
        <v>33</v>
      </c>
      <c r="H337" s="22">
        <v>10</v>
      </c>
      <c r="I337" s="23" t="s">
        <v>158</v>
      </c>
      <c r="J337" s="24">
        <v>28000</v>
      </c>
      <c r="K337" s="21" t="s">
        <v>158</v>
      </c>
      <c r="L337" s="25">
        <v>0.125</v>
      </c>
      <c r="M337" s="25">
        <v>0.05</v>
      </c>
      <c r="N337" s="22"/>
      <c r="O337" s="23" t="s">
        <v>158</v>
      </c>
      <c r="P337" s="20">
        <f t="shared" si="74"/>
        <v>0</v>
      </c>
      <c r="Q337" s="23" t="s">
        <v>158</v>
      </c>
      <c r="R337" s="24">
        <f t="shared" si="75"/>
        <v>0</v>
      </c>
      <c r="S337" s="24">
        <f t="shared" si="59"/>
        <v>0</v>
      </c>
    </row>
    <row r="338" spans="1:19" s="19" customFormat="1">
      <c r="A338" s="18" t="s">
        <v>253</v>
      </c>
      <c r="B338" s="19" t="s">
        <v>18</v>
      </c>
      <c r="C338" s="20"/>
      <c r="D338" s="21" t="s">
        <v>158</v>
      </c>
      <c r="E338" s="26"/>
      <c r="F338" s="22">
        <v>10</v>
      </c>
      <c r="G338" s="23" t="s">
        <v>33</v>
      </c>
      <c r="H338" s="22">
        <v>10</v>
      </c>
      <c r="I338" s="23" t="s">
        <v>158</v>
      </c>
      <c r="J338" s="24">
        <v>33500</v>
      </c>
      <c r="K338" s="21" t="s">
        <v>158</v>
      </c>
      <c r="L338" s="25">
        <v>0.125</v>
      </c>
      <c r="M338" s="25">
        <v>0.05</v>
      </c>
      <c r="N338" s="22"/>
      <c r="O338" s="23" t="s">
        <v>158</v>
      </c>
      <c r="P338" s="20">
        <f t="shared" si="74"/>
        <v>0</v>
      </c>
      <c r="Q338" s="23" t="s">
        <v>158</v>
      </c>
      <c r="R338" s="24">
        <f t="shared" si="75"/>
        <v>0</v>
      </c>
      <c r="S338" s="24">
        <f t="shared" si="59"/>
        <v>0</v>
      </c>
    </row>
    <row r="339" spans="1:19" s="19" customFormat="1">
      <c r="A339" s="18" t="s">
        <v>254</v>
      </c>
      <c r="B339" s="19" t="s">
        <v>18</v>
      </c>
      <c r="C339" s="20"/>
      <c r="D339" s="21" t="s">
        <v>158</v>
      </c>
      <c r="E339" s="26"/>
      <c r="F339" s="22">
        <v>8</v>
      </c>
      <c r="G339" s="23" t="s">
        <v>33</v>
      </c>
      <c r="H339" s="22">
        <v>10</v>
      </c>
      <c r="I339" s="23" t="s">
        <v>158</v>
      </c>
      <c r="J339" s="24">
        <v>48500</v>
      </c>
      <c r="K339" s="21" t="s">
        <v>158</v>
      </c>
      <c r="L339" s="25">
        <v>0.125</v>
      </c>
      <c r="M339" s="25">
        <v>0.05</v>
      </c>
      <c r="N339" s="22"/>
      <c r="O339" s="23" t="s">
        <v>158</v>
      </c>
      <c r="P339" s="20">
        <f t="shared" si="74"/>
        <v>0</v>
      </c>
      <c r="Q339" s="23" t="s">
        <v>158</v>
      </c>
      <c r="R339" s="24">
        <f t="shared" si="75"/>
        <v>0</v>
      </c>
      <c r="S339" s="24">
        <f t="shared" si="59"/>
        <v>0</v>
      </c>
    </row>
    <row r="340" spans="1:19" s="19" customFormat="1">
      <c r="A340" s="18" t="s">
        <v>255</v>
      </c>
      <c r="B340" s="19" t="s">
        <v>18</v>
      </c>
      <c r="C340" s="20"/>
      <c r="D340" s="21" t="s">
        <v>158</v>
      </c>
      <c r="E340" s="26"/>
      <c r="F340" s="22">
        <v>10</v>
      </c>
      <c r="G340" s="23" t="s">
        <v>33</v>
      </c>
      <c r="H340" s="22">
        <v>12</v>
      </c>
      <c r="I340" s="23" t="s">
        <v>158</v>
      </c>
      <c r="J340" s="24">
        <v>17000</v>
      </c>
      <c r="K340" s="21" t="s">
        <v>158</v>
      </c>
      <c r="L340" s="25">
        <v>0.125</v>
      </c>
      <c r="M340" s="25">
        <v>0.05</v>
      </c>
      <c r="N340" s="22"/>
      <c r="O340" s="23" t="s">
        <v>158</v>
      </c>
      <c r="P340" s="20">
        <f t="shared" si="74"/>
        <v>0</v>
      </c>
      <c r="Q340" s="23" t="s">
        <v>158</v>
      </c>
      <c r="R340" s="24">
        <f t="shared" si="75"/>
        <v>0</v>
      </c>
      <c r="S340" s="24">
        <f t="shared" si="59"/>
        <v>0</v>
      </c>
    </row>
    <row r="341" spans="1:19" s="19" customFormat="1">
      <c r="A341" s="18" t="s">
        <v>256</v>
      </c>
      <c r="B341" s="19" t="s">
        <v>18</v>
      </c>
      <c r="C341" s="20"/>
      <c r="D341" s="21" t="s">
        <v>158</v>
      </c>
      <c r="E341" s="26"/>
      <c r="F341" s="22">
        <v>24</v>
      </c>
      <c r="G341" s="23" t="s">
        <v>33</v>
      </c>
      <c r="H341" s="22">
        <v>12</v>
      </c>
      <c r="I341" s="23" t="s">
        <v>158</v>
      </c>
      <c r="J341" s="24">
        <v>13300</v>
      </c>
      <c r="K341" s="21" t="s">
        <v>158</v>
      </c>
      <c r="L341" s="25">
        <v>0.125</v>
      </c>
      <c r="M341" s="25">
        <v>0.05</v>
      </c>
      <c r="N341" s="22"/>
      <c r="O341" s="23" t="s">
        <v>158</v>
      </c>
      <c r="P341" s="20">
        <f t="shared" si="74"/>
        <v>0</v>
      </c>
      <c r="Q341" s="23" t="s">
        <v>158</v>
      </c>
      <c r="R341" s="24">
        <f t="shared" si="75"/>
        <v>0</v>
      </c>
      <c r="S341" s="24">
        <f t="shared" si="59"/>
        <v>0</v>
      </c>
    </row>
    <row r="342" spans="1:19" s="19" customFormat="1">
      <c r="A342" s="18"/>
      <c r="C342" s="20"/>
      <c r="D342" s="21"/>
      <c r="E342" s="26"/>
      <c r="F342" s="22"/>
      <c r="G342" s="23"/>
      <c r="H342" s="22"/>
      <c r="I342" s="23"/>
      <c r="J342" s="24"/>
      <c r="K342" s="21"/>
      <c r="L342" s="25"/>
      <c r="M342" s="25"/>
      <c r="N342" s="22"/>
      <c r="O342" s="23"/>
      <c r="P342" s="20"/>
      <c r="Q342" s="23"/>
      <c r="R342" s="24"/>
      <c r="S342" s="24"/>
    </row>
    <row r="343" spans="1:19" s="19" customFormat="1">
      <c r="A343" s="59" t="s">
        <v>257</v>
      </c>
      <c r="B343" s="19" t="s">
        <v>25</v>
      </c>
      <c r="C343" s="20"/>
      <c r="D343" s="21" t="s">
        <v>19</v>
      </c>
      <c r="E343" s="26"/>
      <c r="F343" s="22">
        <v>24</v>
      </c>
      <c r="G343" s="23" t="s">
        <v>42</v>
      </c>
      <c r="H343" s="22">
        <v>12</v>
      </c>
      <c r="I343" s="23" t="s">
        <v>19</v>
      </c>
      <c r="J343" s="24">
        <f>2160000/24/12</f>
        <v>7500</v>
      </c>
      <c r="K343" s="21" t="s">
        <v>19</v>
      </c>
      <c r="L343" s="25"/>
      <c r="M343" s="25">
        <v>0.17</v>
      </c>
      <c r="N343" s="22"/>
      <c r="O343" s="23" t="s">
        <v>19</v>
      </c>
      <c r="P343" s="20">
        <f t="shared" ref="P343:P346" si="76">(C343+(E343*F343*H343))-N343</f>
        <v>0</v>
      </c>
      <c r="Q343" s="23" t="s">
        <v>19</v>
      </c>
      <c r="R343" s="24">
        <f t="shared" ref="R343:R346" si="77">P343*(J343-(J343*L343)-((J343-(J343*L343))*M343))</f>
        <v>0</v>
      </c>
      <c r="S343" s="24">
        <f t="shared" si="59"/>
        <v>0</v>
      </c>
    </row>
    <row r="344" spans="1:19" s="19" customFormat="1">
      <c r="A344" s="59" t="s">
        <v>258</v>
      </c>
      <c r="B344" s="19" t="s">
        <v>25</v>
      </c>
      <c r="C344" s="20"/>
      <c r="D344" s="21" t="s">
        <v>19</v>
      </c>
      <c r="E344" s="26"/>
      <c r="F344" s="22">
        <v>24</v>
      </c>
      <c r="G344" s="23" t="s">
        <v>42</v>
      </c>
      <c r="H344" s="22">
        <v>12</v>
      </c>
      <c r="I344" s="23" t="s">
        <v>19</v>
      </c>
      <c r="J344" s="24">
        <f>2160000/24/12</f>
        <v>7500</v>
      </c>
      <c r="K344" s="21" t="s">
        <v>19</v>
      </c>
      <c r="L344" s="25"/>
      <c r="M344" s="25">
        <v>0.17</v>
      </c>
      <c r="N344" s="22"/>
      <c r="O344" s="23" t="s">
        <v>19</v>
      </c>
      <c r="P344" s="20">
        <f t="shared" si="76"/>
        <v>0</v>
      </c>
      <c r="Q344" s="23" t="s">
        <v>19</v>
      </c>
      <c r="R344" s="24">
        <f t="shared" si="77"/>
        <v>0</v>
      </c>
      <c r="S344" s="24">
        <f t="shared" si="59"/>
        <v>0</v>
      </c>
    </row>
    <row r="345" spans="1:19" s="19" customFormat="1">
      <c r="A345" s="59" t="s">
        <v>816</v>
      </c>
      <c r="B345" s="19" t="s">
        <v>25</v>
      </c>
      <c r="C345" s="20"/>
      <c r="D345" s="21" t="s">
        <v>19</v>
      </c>
      <c r="E345" s="26"/>
      <c r="F345" s="22">
        <v>24</v>
      </c>
      <c r="G345" s="23" t="s">
        <v>42</v>
      </c>
      <c r="H345" s="22">
        <v>12</v>
      </c>
      <c r="I345" s="23" t="s">
        <v>19</v>
      </c>
      <c r="J345" s="24">
        <f>2160000/24/12</f>
        <v>7500</v>
      </c>
      <c r="K345" s="21" t="s">
        <v>19</v>
      </c>
      <c r="L345" s="25"/>
      <c r="M345" s="25">
        <v>0.17</v>
      </c>
      <c r="N345" s="22"/>
      <c r="O345" s="23" t="s">
        <v>19</v>
      </c>
      <c r="P345" s="20">
        <f t="shared" si="76"/>
        <v>0</v>
      </c>
      <c r="Q345" s="23" t="s">
        <v>19</v>
      </c>
      <c r="R345" s="24">
        <f t="shared" si="77"/>
        <v>0</v>
      </c>
      <c r="S345" s="24">
        <f t="shared" si="59"/>
        <v>0</v>
      </c>
    </row>
    <row r="346" spans="1:19" s="19" customFormat="1">
      <c r="A346" s="59" t="s">
        <v>817</v>
      </c>
      <c r="B346" s="19" t="s">
        <v>25</v>
      </c>
      <c r="C346" s="20"/>
      <c r="D346" s="21" t="s">
        <v>19</v>
      </c>
      <c r="E346" s="26"/>
      <c r="F346" s="22">
        <v>12</v>
      </c>
      <c r="G346" s="23" t="s">
        <v>42</v>
      </c>
      <c r="H346" s="22">
        <v>12</v>
      </c>
      <c r="I346" s="23" t="s">
        <v>19</v>
      </c>
      <c r="J346" s="24">
        <f>3024000/12/12</f>
        <v>21000</v>
      </c>
      <c r="K346" s="21" t="s">
        <v>19</v>
      </c>
      <c r="L346" s="25"/>
      <c r="M346" s="25">
        <v>0.17</v>
      </c>
      <c r="N346" s="22"/>
      <c r="O346" s="23" t="s">
        <v>19</v>
      </c>
      <c r="P346" s="20">
        <f t="shared" si="76"/>
        <v>0</v>
      </c>
      <c r="Q346" s="23" t="s">
        <v>19</v>
      </c>
      <c r="R346" s="24">
        <f t="shared" si="77"/>
        <v>0</v>
      </c>
      <c r="S346" s="24">
        <f t="shared" si="59"/>
        <v>0</v>
      </c>
    </row>
    <row r="347" spans="1:19" s="19" customFormat="1">
      <c r="A347" s="18"/>
      <c r="C347" s="20"/>
      <c r="D347" s="21"/>
      <c r="E347" s="26"/>
      <c r="F347" s="22"/>
      <c r="G347" s="23"/>
      <c r="H347" s="22"/>
      <c r="I347" s="23"/>
      <c r="J347" s="24"/>
      <c r="K347" s="21"/>
      <c r="L347" s="25"/>
      <c r="M347" s="25"/>
      <c r="N347" s="22"/>
      <c r="O347" s="23"/>
      <c r="P347" s="20"/>
      <c r="Q347" s="23"/>
      <c r="R347" s="24"/>
      <c r="S347" s="24"/>
    </row>
    <row r="348" spans="1:19" s="19" customFormat="1" ht="15.75">
      <c r="A348" s="44" t="s">
        <v>259</v>
      </c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>
      <c r="A349" s="18" t="s">
        <v>260</v>
      </c>
      <c r="B349" s="19" t="s">
        <v>18</v>
      </c>
      <c r="C349" s="20"/>
      <c r="D349" s="21" t="s">
        <v>33</v>
      </c>
      <c r="E349" s="26"/>
      <c r="F349" s="22">
        <v>1</v>
      </c>
      <c r="G349" s="23" t="s">
        <v>20</v>
      </c>
      <c r="H349" s="22">
        <v>20</v>
      </c>
      <c r="I349" s="23" t="s">
        <v>33</v>
      </c>
      <c r="J349" s="24">
        <f>6200*12</f>
        <v>74400</v>
      </c>
      <c r="K349" s="21" t="s">
        <v>33</v>
      </c>
      <c r="L349" s="25">
        <v>0.125</v>
      </c>
      <c r="M349" s="25">
        <v>0.05</v>
      </c>
      <c r="N349" s="22"/>
      <c r="O349" s="23" t="s">
        <v>33</v>
      </c>
      <c r="P349" s="20">
        <f>(C349+(E349*F349*H349))-N349</f>
        <v>0</v>
      </c>
      <c r="Q349" s="23" t="s">
        <v>33</v>
      </c>
      <c r="R349" s="24">
        <f>P349*(J349-(J349*L349)-((J349-(J349*L349))*M349))</f>
        <v>0</v>
      </c>
      <c r="S349" s="24">
        <f t="shared" si="59"/>
        <v>0</v>
      </c>
    </row>
    <row r="350" spans="1:19" s="19" customFormat="1">
      <c r="A350" s="18" t="s">
        <v>261</v>
      </c>
      <c r="B350" s="19" t="s">
        <v>18</v>
      </c>
      <c r="C350" s="20"/>
      <c r="D350" s="21" t="s">
        <v>33</v>
      </c>
      <c r="E350" s="26"/>
      <c r="F350" s="22">
        <v>1</v>
      </c>
      <c r="G350" s="23" t="s">
        <v>20</v>
      </c>
      <c r="H350" s="22">
        <v>20</v>
      </c>
      <c r="I350" s="23" t="s">
        <v>33</v>
      </c>
      <c r="J350" s="24">
        <f>6800*12</f>
        <v>81600</v>
      </c>
      <c r="K350" s="21" t="s">
        <v>33</v>
      </c>
      <c r="L350" s="25">
        <v>0.125</v>
      </c>
      <c r="M350" s="25">
        <v>0.05</v>
      </c>
      <c r="N350" s="22"/>
      <c r="O350" s="23" t="s">
        <v>33</v>
      </c>
      <c r="P350" s="20">
        <f>(C350+(E350*F350*H350))-N350</f>
        <v>0</v>
      </c>
      <c r="Q350" s="23" t="s">
        <v>33</v>
      </c>
      <c r="R350" s="24">
        <f>P350*(J350-(J350*L350)-((J350-(J350*L350))*M350))</f>
        <v>0</v>
      </c>
      <c r="S350" s="24">
        <f t="shared" si="59"/>
        <v>0</v>
      </c>
    </row>
    <row r="351" spans="1:19" s="19" customFormat="1">
      <c r="A351" s="18"/>
      <c r="C351" s="20"/>
      <c r="D351" s="21"/>
      <c r="E351" s="26"/>
      <c r="F351" s="22"/>
      <c r="G351" s="23"/>
      <c r="H351" s="22"/>
      <c r="I351" s="23"/>
      <c r="J351" s="24"/>
      <c r="K351" s="21"/>
      <c r="L351" s="25"/>
      <c r="M351" s="25"/>
      <c r="N351" s="22"/>
      <c r="O351" s="23"/>
      <c r="P351" s="20"/>
      <c r="Q351" s="23"/>
      <c r="R351" s="24"/>
      <c r="S351" s="24"/>
    </row>
    <row r="352" spans="1:19" s="19" customFormat="1" ht="15.75">
      <c r="A352" s="44" t="s">
        <v>262</v>
      </c>
      <c r="C352" s="20"/>
      <c r="D352" s="21"/>
      <c r="E352" s="26"/>
      <c r="F352" s="22"/>
      <c r="G352" s="23"/>
      <c r="H352" s="22"/>
      <c r="I352" s="23"/>
      <c r="J352" s="24"/>
      <c r="K352" s="21"/>
      <c r="L352" s="25"/>
      <c r="M352" s="25"/>
      <c r="N352" s="22"/>
      <c r="O352" s="23"/>
      <c r="P352" s="20"/>
      <c r="Q352" s="23"/>
      <c r="R352" s="24"/>
      <c r="S352" s="24"/>
    </row>
    <row r="353" spans="1:19" s="19" customFormat="1">
      <c r="A353" s="88" t="s">
        <v>263</v>
      </c>
      <c r="C353" s="20"/>
      <c r="D353" s="21"/>
      <c r="E353" s="26"/>
      <c r="F353" s="22"/>
      <c r="G353" s="23"/>
      <c r="H353" s="22"/>
      <c r="I353" s="23"/>
      <c r="J353" s="24"/>
      <c r="K353" s="21"/>
      <c r="L353" s="25"/>
      <c r="M353" s="25"/>
      <c r="N353" s="22"/>
      <c r="O353" s="23"/>
      <c r="P353" s="20"/>
      <c r="Q353" s="23"/>
      <c r="R353" s="24"/>
      <c r="S353" s="24"/>
    </row>
    <row r="354" spans="1:19" s="19" customFormat="1">
      <c r="A354" s="18" t="s">
        <v>264</v>
      </c>
      <c r="B354" s="19" t="s">
        <v>25</v>
      </c>
      <c r="C354" s="20"/>
      <c r="D354" s="21" t="s">
        <v>101</v>
      </c>
      <c r="E354" s="26"/>
      <c r="F354" s="22">
        <v>1</v>
      </c>
      <c r="G354" s="23" t="s">
        <v>20</v>
      </c>
      <c r="H354" s="22">
        <v>50</v>
      </c>
      <c r="I354" s="23" t="s">
        <v>101</v>
      </c>
      <c r="J354" s="24">
        <f>740000/50</f>
        <v>14800</v>
      </c>
      <c r="K354" s="21" t="s">
        <v>101</v>
      </c>
      <c r="L354" s="25"/>
      <c r="M354" s="25">
        <v>0.17</v>
      </c>
      <c r="N354" s="22"/>
      <c r="O354" s="23" t="s">
        <v>101</v>
      </c>
      <c r="P354" s="20">
        <f>(C354+(E354*F354*H354))-N354</f>
        <v>0</v>
      </c>
      <c r="Q354" s="23" t="s">
        <v>101</v>
      </c>
      <c r="R354" s="24">
        <f>P354*(J354-(J354*L354)-((J354-(J354*L354))*M354))</f>
        <v>0</v>
      </c>
      <c r="S354" s="24">
        <f t="shared" si="59"/>
        <v>0</v>
      </c>
    </row>
    <row r="355" spans="1:19" s="19" customFormat="1">
      <c r="A355" s="88" t="s">
        <v>265</v>
      </c>
      <c r="C355" s="20"/>
      <c r="D355" s="21"/>
      <c r="E355" s="26"/>
      <c r="F355" s="22"/>
      <c r="G355" s="23"/>
      <c r="H355" s="22"/>
      <c r="I355" s="23"/>
      <c r="J355" s="24"/>
      <c r="K355" s="21"/>
      <c r="L355" s="25"/>
      <c r="M355" s="25"/>
      <c r="N355" s="22"/>
      <c r="O355" s="23"/>
      <c r="P355" s="20"/>
      <c r="Q355" s="23"/>
      <c r="R355" s="24"/>
      <c r="S355" s="24"/>
    </row>
    <row r="356" spans="1:19" s="19" customFormat="1">
      <c r="A356" s="18" t="s">
        <v>266</v>
      </c>
      <c r="B356" s="19" t="s">
        <v>267</v>
      </c>
      <c r="C356" s="20"/>
      <c r="D356" s="21" t="s">
        <v>101</v>
      </c>
      <c r="E356" s="26"/>
      <c r="F356" s="22">
        <v>1</v>
      </c>
      <c r="G356" s="23" t="s">
        <v>20</v>
      </c>
      <c r="H356" s="22">
        <v>50</v>
      </c>
      <c r="I356" s="23" t="s">
        <v>101</v>
      </c>
      <c r="J356" s="24">
        <v>32500</v>
      </c>
      <c r="K356" s="21" t="s">
        <v>101</v>
      </c>
      <c r="L356" s="25"/>
      <c r="M356" s="25"/>
      <c r="N356" s="22"/>
      <c r="O356" s="23" t="s">
        <v>101</v>
      </c>
      <c r="P356" s="20">
        <f>(C356+(E356*F356*H356))-N356</f>
        <v>0</v>
      </c>
      <c r="Q356" s="23" t="s">
        <v>101</v>
      </c>
      <c r="R356" s="24">
        <f>P356*(J356-(J356*L356)-((J356-(J356*L356))*M356))</f>
        <v>0</v>
      </c>
      <c r="S356" s="24">
        <f t="shared" ref="S356:S435" si="78">R356/1.11</f>
        <v>0</v>
      </c>
    </row>
    <row r="357" spans="1:19" s="19" customFormat="1">
      <c r="A357" s="18"/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19" customFormat="1" ht="15.75">
      <c r="A358" s="44" t="s">
        <v>268</v>
      </c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>
      <c r="A359" s="18" t="s">
        <v>269</v>
      </c>
      <c r="B359" s="19" t="s">
        <v>18</v>
      </c>
      <c r="C359" s="20"/>
      <c r="D359" s="21" t="s">
        <v>105</v>
      </c>
      <c r="E359" s="26"/>
      <c r="F359" s="22">
        <v>8</v>
      </c>
      <c r="G359" s="23" t="s">
        <v>33</v>
      </c>
      <c r="H359" s="22">
        <v>25</v>
      </c>
      <c r="I359" s="23" t="s">
        <v>105</v>
      </c>
      <c r="J359" s="24">
        <v>4000</v>
      </c>
      <c r="K359" s="21" t="s">
        <v>105</v>
      </c>
      <c r="L359" s="25">
        <v>0.125</v>
      </c>
      <c r="M359" s="25">
        <v>0.05</v>
      </c>
      <c r="N359" s="22"/>
      <c r="O359" s="23" t="s">
        <v>105</v>
      </c>
      <c r="P359" s="20">
        <f>(C359+(E359*F359*H359))-N359</f>
        <v>0</v>
      </c>
      <c r="Q359" s="23" t="s">
        <v>105</v>
      </c>
      <c r="R359" s="24">
        <f>P359*(J359-(J359*L359)-((J359-(J359*L359))*M359))</f>
        <v>0</v>
      </c>
      <c r="S359" s="24">
        <f t="shared" si="78"/>
        <v>0</v>
      </c>
    </row>
    <row r="360" spans="1:19" s="19" customFormat="1">
      <c r="A360" s="18" t="s">
        <v>270</v>
      </c>
      <c r="B360" s="19" t="s">
        <v>18</v>
      </c>
      <c r="C360" s="20"/>
      <c r="D360" s="21" t="s">
        <v>79</v>
      </c>
      <c r="E360" s="26"/>
      <c r="F360" s="22">
        <v>1</v>
      </c>
      <c r="G360" s="23" t="s">
        <v>20</v>
      </c>
      <c r="H360" s="22">
        <v>48</v>
      </c>
      <c r="I360" s="23" t="s">
        <v>79</v>
      </c>
      <c r="J360" s="24">
        <v>30000</v>
      </c>
      <c r="K360" s="21" t="s">
        <v>79</v>
      </c>
      <c r="L360" s="25">
        <v>0.125</v>
      </c>
      <c r="M360" s="25">
        <v>0.05</v>
      </c>
      <c r="N360" s="22"/>
      <c r="O360" s="23" t="s">
        <v>79</v>
      </c>
      <c r="P360" s="20">
        <f>(C360+(E360*F360*H360))-N360</f>
        <v>0</v>
      </c>
      <c r="Q360" s="23" t="s">
        <v>79</v>
      </c>
      <c r="R360" s="24">
        <f>P360*(J360-(J360*L360)-((J360-(J360*L360))*M360))</f>
        <v>0</v>
      </c>
      <c r="S360" s="24">
        <f t="shared" si="78"/>
        <v>0</v>
      </c>
    </row>
    <row r="361" spans="1:19" s="19" customFormat="1">
      <c r="A361" s="18" t="s">
        <v>271</v>
      </c>
      <c r="B361" s="19" t="s">
        <v>18</v>
      </c>
      <c r="C361" s="20"/>
      <c r="D361" s="21" t="s">
        <v>79</v>
      </c>
      <c r="E361" s="26"/>
      <c r="F361" s="22">
        <v>1</v>
      </c>
      <c r="G361" s="23" t="s">
        <v>20</v>
      </c>
      <c r="H361" s="22">
        <v>48</v>
      </c>
      <c r="I361" s="23" t="s">
        <v>79</v>
      </c>
      <c r="J361" s="24">
        <v>23000</v>
      </c>
      <c r="K361" s="21" t="s">
        <v>79</v>
      </c>
      <c r="L361" s="25">
        <v>0.125</v>
      </c>
      <c r="M361" s="25">
        <v>0.05</v>
      </c>
      <c r="N361" s="22"/>
      <c r="O361" s="23" t="s">
        <v>79</v>
      </c>
      <c r="P361" s="20">
        <f>(C361+(E361*F361*H361))-N361</f>
        <v>0</v>
      </c>
      <c r="Q361" s="23" t="s">
        <v>79</v>
      </c>
      <c r="R361" s="24">
        <f>P361*(J361-(J361*L361)-((J361-(J361*L361))*M361))</f>
        <v>0</v>
      </c>
      <c r="S361" s="24">
        <f t="shared" si="78"/>
        <v>0</v>
      </c>
    </row>
    <row r="362" spans="1:19" s="19" customFormat="1">
      <c r="A362" s="18"/>
      <c r="C362" s="20"/>
      <c r="D362" s="21"/>
      <c r="E362" s="26"/>
      <c r="F362" s="22"/>
      <c r="G362" s="23"/>
      <c r="H362" s="22"/>
      <c r="I362" s="23"/>
      <c r="J362" s="24"/>
      <c r="K362" s="21"/>
      <c r="L362" s="25"/>
      <c r="M362" s="25"/>
      <c r="N362" s="22"/>
      <c r="O362" s="23"/>
      <c r="P362" s="20"/>
      <c r="Q362" s="23"/>
      <c r="R362" s="24"/>
      <c r="S362" s="24"/>
    </row>
    <row r="363" spans="1:19" s="19" customFormat="1">
      <c r="A363" s="18" t="s">
        <v>272</v>
      </c>
      <c r="B363" s="19" t="s">
        <v>25</v>
      </c>
      <c r="C363" s="20"/>
      <c r="D363" s="21" t="s">
        <v>105</v>
      </c>
      <c r="E363" s="26"/>
      <c r="F363" s="22">
        <v>80</v>
      </c>
      <c r="G363" s="23" t="s">
        <v>33</v>
      </c>
      <c r="H363" s="22">
        <v>25</v>
      </c>
      <c r="I363" s="23" t="s">
        <v>105</v>
      </c>
      <c r="J363" s="24">
        <v>4500</v>
      </c>
      <c r="K363" s="21" t="s">
        <v>105</v>
      </c>
      <c r="L363" s="25"/>
      <c r="M363" s="25">
        <v>0.17</v>
      </c>
      <c r="N363" s="22"/>
      <c r="O363" s="23" t="s">
        <v>105</v>
      </c>
      <c r="P363" s="20">
        <f>(C363+(E363*F363*H363))-N363</f>
        <v>0</v>
      </c>
      <c r="Q363" s="23" t="s">
        <v>105</v>
      </c>
      <c r="R363" s="24">
        <f>P363*(J363-(J363*L363)-((J363-(J363*L363))*M363))</f>
        <v>0</v>
      </c>
      <c r="S363" s="24">
        <f t="shared" si="78"/>
        <v>0</v>
      </c>
    </row>
    <row r="364" spans="1:19" s="19" customFormat="1">
      <c r="A364" s="18" t="s">
        <v>273</v>
      </c>
      <c r="B364" s="19" t="s">
        <v>25</v>
      </c>
      <c r="C364" s="20"/>
      <c r="D364" s="21" t="s">
        <v>79</v>
      </c>
      <c r="E364" s="26"/>
      <c r="F364" s="22">
        <v>1</v>
      </c>
      <c r="G364" s="23" t="s">
        <v>20</v>
      </c>
      <c r="H364" s="22">
        <v>48</v>
      </c>
      <c r="I364" s="23" t="s">
        <v>79</v>
      </c>
      <c r="J364" s="24">
        <v>23500</v>
      </c>
      <c r="K364" s="21" t="s">
        <v>79</v>
      </c>
      <c r="L364" s="25"/>
      <c r="M364" s="25">
        <v>0.17</v>
      </c>
      <c r="N364" s="22"/>
      <c r="O364" s="23" t="s">
        <v>79</v>
      </c>
      <c r="P364" s="20">
        <f>(C364+(E364*F364*H364))-N364</f>
        <v>0</v>
      </c>
      <c r="Q364" s="23" t="s">
        <v>79</v>
      </c>
      <c r="R364" s="24">
        <f>P364*(J364-(J364*L364)-((J364-(J364*L364))*M364))</f>
        <v>0</v>
      </c>
      <c r="S364" s="24">
        <f t="shared" si="78"/>
        <v>0</v>
      </c>
    </row>
    <row r="365" spans="1:19" s="19" customFormat="1">
      <c r="A365" s="18"/>
      <c r="C365" s="20"/>
      <c r="D365" s="21"/>
      <c r="E365" s="26"/>
      <c r="F365" s="22"/>
      <c r="G365" s="23"/>
      <c r="H365" s="22"/>
      <c r="I365" s="23"/>
      <c r="J365" s="24"/>
      <c r="K365" s="21"/>
      <c r="L365" s="25"/>
      <c r="M365" s="25"/>
      <c r="N365" s="22"/>
      <c r="O365" s="23"/>
      <c r="P365" s="20"/>
      <c r="Q365" s="23"/>
      <c r="R365" s="24"/>
      <c r="S365" s="24"/>
    </row>
    <row r="366" spans="1:19" s="19" customFormat="1" ht="15.75">
      <c r="A366" s="44" t="s">
        <v>274</v>
      </c>
      <c r="C366" s="20"/>
      <c r="D366" s="21"/>
      <c r="E366" s="26"/>
      <c r="F366" s="22"/>
      <c r="G366" s="23"/>
      <c r="H366" s="22"/>
      <c r="I366" s="23"/>
      <c r="J366" s="24"/>
      <c r="K366" s="21"/>
      <c r="L366" s="25"/>
      <c r="M366" s="25"/>
      <c r="N366" s="22"/>
      <c r="O366" s="23"/>
      <c r="P366" s="20"/>
      <c r="Q366" s="23"/>
      <c r="R366" s="24"/>
      <c r="S366" s="24"/>
    </row>
    <row r="367" spans="1:19" s="19" customFormat="1">
      <c r="A367" s="18" t="s">
        <v>275</v>
      </c>
      <c r="B367" s="19" t="s">
        <v>18</v>
      </c>
      <c r="C367" s="20"/>
      <c r="D367" s="21" t="s">
        <v>158</v>
      </c>
      <c r="E367" s="26"/>
      <c r="F367" s="22">
        <v>10</v>
      </c>
      <c r="G367" s="23" t="s">
        <v>33</v>
      </c>
      <c r="H367" s="22">
        <v>24</v>
      </c>
      <c r="I367" s="23" t="s">
        <v>158</v>
      </c>
      <c r="J367" s="24">
        <v>8800</v>
      </c>
      <c r="K367" s="21" t="s">
        <v>158</v>
      </c>
      <c r="L367" s="25">
        <v>0.125</v>
      </c>
      <c r="M367" s="25">
        <v>0.05</v>
      </c>
      <c r="N367" s="22"/>
      <c r="O367" s="23" t="s">
        <v>158</v>
      </c>
      <c r="P367" s="20">
        <f t="shared" ref="P367:P373" si="79">(C367+(E367*F367*H367))-N367</f>
        <v>0</v>
      </c>
      <c r="Q367" s="23" t="s">
        <v>158</v>
      </c>
      <c r="R367" s="24">
        <f t="shared" ref="R367:R373" si="80">P367*(J367-(J367*L367)-((J367-(J367*L367))*M367))</f>
        <v>0</v>
      </c>
      <c r="S367" s="24">
        <f t="shared" si="78"/>
        <v>0</v>
      </c>
    </row>
    <row r="368" spans="1:19" s="19" customFormat="1">
      <c r="A368" s="18" t="s">
        <v>276</v>
      </c>
      <c r="B368" s="19" t="s">
        <v>18</v>
      </c>
      <c r="C368" s="20"/>
      <c r="D368" s="21" t="s">
        <v>158</v>
      </c>
      <c r="E368" s="26"/>
      <c r="F368" s="22">
        <v>6</v>
      </c>
      <c r="G368" s="23" t="s">
        <v>33</v>
      </c>
      <c r="H368" s="22">
        <v>24</v>
      </c>
      <c r="I368" s="23" t="s">
        <v>158</v>
      </c>
      <c r="J368" s="24">
        <v>29500</v>
      </c>
      <c r="K368" s="21" t="s">
        <v>158</v>
      </c>
      <c r="L368" s="25">
        <v>0.125</v>
      </c>
      <c r="M368" s="25">
        <v>0.05</v>
      </c>
      <c r="N368" s="22"/>
      <c r="O368" s="23" t="s">
        <v>158</v>
      </c>
      <c r="P368" s="20">
        <f t="shared" si="79"/>
        <v>0</v>
      </c>
      <c r="Q368" s="23" t="s">
        <v>158</v>
      </c>
      <c r="R368" s="24">
        <f t="shared" si="80"/>
        <v>0</v>
      </c>
      <c r="S368" s="24">
        <f t="shared" si="78"/>
        <v>0</v>
      </c>
    </row>
    <row r="369" spans="1:19" s="19" customFormat="1">
      <c r="A369" s="18" t="s">
        <v>277</v>
      </c>
      <c r="B369" s="19" t="s">
        <v>18</v>
      </c>
      <c r="C369" s="20"/>
      <c r="D369" s="21" t="s">
        <v>158</v>
      </c>
      <c r="E369" s="26"/>
      <c r="F369" s="22">
        <v>12</v>
      </c>
      <c r="G369" s="23" t="s">
        <v>33</v>
      </c>
      <c r="H369" s="22">
        <v>12</v>
      </c>
      <c r="I369" s="23" t="s">
        <v>158</v>
      </c>
      <c r="J369" s="24">
        <v>19600</v>
      </c>
      <c r="K369" s="21" t="s">
        <v>158</v>
      </c>
      <c r="L369" s="25">
        <v>0.125</v>
      </c>
      <c r="M369" s="25">
        <v>0.05</v>
      </c>
      <c r="N369" s="22"/>
      <c r="O369" s="23" t="s">
        <v>158</v>
      </c>
      <c r="P369" s="20">
        <f t="shared" si="79"/>
        <v>0</v>
      </c>
      <c r="Q369" s="23" t="s">
        <v>158</v>
      </c>
      <c r="R369" s="24">
        <f t="shared" si="80"/>
        <v>0</v>
      </c>
      <c r="S369" s="24">
        <f t="shared" si="78"/>
        <v>0</v>
      </c>
    </row>
    <row r="370" spans="1:19" s="19" customFormat="1">
      <c r="A370" s="18" t="s">
        <v>278</v>
      </c>
      <c r="B370" s="19" t="s">
        <v>18</v>
      </c>
      <c r="C370" s="20"/>
      <c r="D370" s="21" t="s">
        <v>158</v>
      </c>
      <c r="E370" s="26"/>
      <c r="F370" s="22">
        <v>12</v>
      </c>
      <c r="G370" s="23" t="s">
        <v>33</v>
      </c>
      <c r="H370" s="22">
        <v>12</v>
      </c>
      <c r="I370" s="23" t="s">
        <v>158</v>
      </c>
      <c r="J370" s="24">
        <v>18500</v>
      </c>
      <c r="K370" s="21" t="s">
        <v>158</v>
      </c>
      <c r="L370" s="25">
        <v>0.125</v>
      </c>
      <c r="M370" s="25">
        <v>0.05</v>
      </c>
      <c r="N370" s="22"/>
      <c r="O370" s="23" t="s">
        <v>158</v>
      </c>
      <c r="P370" s="20">
        <f t="shared" si="79"/>
        <v>0</v>
      </c>
      <c r="Q370" s="23" t="s">
        <v>158</v>
      </c>
      <c r="R370" s="24">
        <f t="shared" si="80"/>
        <v>0</v>
      </c>
      <c r="S370" s="24">
        <f t="shared" si="78"/>
        <v>0</v>
      </c>
    </row>
    <row r="371" spans="1:19" s="19" customFormat="1">
      <c r="A371" s="18" t="s">
        <v>279</v>
      </c>
      <c r="B371" s="19" t="s">
        <v>18</v>
      </c>
      <c r="C371" s="20"/>
      <c r="D371" s="21" t="s">
        <v>158</v>
      </c>
      <c r="E371" s="26"/>
      <c r="F371" s="22">
        <v>10</v>
      </c>
      <c r="G371" s="23" t="s">
        <v>33</v>
      </c>
      <c r="H371" s="22">
        <v>24</v>
      </c>
      <c r="I371" s="23" t="s">
        <v>158</v>
      </c>
      <c r="J371" s="24">
        <v>10600</v>
      </c>
      <c r="K371" s="21" t="s">
        <v>158</v>
      </c>
      <c r="L371" s="25">
        <v>0.125</v>
      </c>
      <c r="M371" s="25">
        <v>0.05</v>
      </c>
      <c r="N371" s="22"/>
      <c r="O371" s="23" t="s">
        <v>158</v>
      </c>
      <c r="P371" s="20">
        <f t="shared" si="79"/>
        <v>0</v>
      </c>
      <c r="Q371" s="23" t="s">
        <v>158</v>
      </c>
      <c r="R371" s="24">
        <f t="shared" si="80"/>
        <v>0</v>
      </c>
      <c r="S371" s="24">
        <f t="shared" si="78"/>
        <v>0</v>
      </c>
    </row>
    <row r="372" spans="1:19" s="19" customFormat="1">
      <c r="A372" s="18" t="s">
        <v>280</v>
      </c>
      <c r="B372" s="19" t="s">
        <v>18</v>
      </c>
      <c r="C372" s="20"/>
      <c r="D372" s="21" t="s">
        <v>158</v>
      </c>
      <c r="E372" s="26"/>
      <c r="F372" s="22">
        <v>20</v>
      </c>
      <c r="G372" s="23" t="s">
        <v>33</v>
      </c>
      <c r="H372" s="22">
        <v>12</v>
      </c>
      <c r="I372" s="23" t="s">
        <v>158</v>
      </c>
      <c r="J372" s="24">
        <v>4000</v>
      </c>
      <c r="K372" s="21" t="s">
        <v>158</v>
      </c>
      <c r="L372" s="25">
        <v>0.4</v>
      </c>
      <c r="M372" s="25">
        <v>0.05</v>
      </c>
      <c r="N372" s="22"/>
      <c r="O372" s="23" t="s">
        <v>158</v>
      </c>
      <c r="P372" s="20">
        <f t="shared" si="79"/>
        <v>0</v>
      </c>
      <c r="Q372" s="23" t="s">
        <v>158</v>
      </c>
      <c r="R372" s="24">
        <f t="shared" si="80"/>
        <v>0</v>
      </c>
      <c r="S372" s="24">
        <f t="shared" si="78"/>
        <v>0</v>
      </c>
    </row>
    <row r="373" spans="1:19" s="19" customFormat="1">
      <c r="A373" s="18" t="s">
        <v>768</v>
      </c>
      <c r="B373" s="19" t="s">
        <v>18</v>
      </c>
      <c r="C373" s="20"/>
      <c r="D373" s="21" t="s">
        <v>158</v>
      </c>
      <c r="E373" s="26"/>
      <c r="F373" s="22">
        <v>12</v>
      </c>
      <c r="G373" s="23" t="s">
        <v>33</v>
      </c>
      <c r="H373" s="22">
        <v>12</v>
      </c>
      <c r="I373" s="23" t="s">
        <v>158</v>
      </c>
      <c r="J373" s="24">
        <v>34500</v>
      </c>
      <c r="K373" s="21" t="s">
        <v>158</v>
      </c>
      <c r="L373" s="25">
        <v>0.125</v>
      </c>
      <c r="M373" s="25">
        <v>0.05</v>
      </c>
      <c r="N373" s="22"/>
      <c r="O373" s="23" t="s">
        <v>158</v>
      </c>
      <c r="P373" s="20">
        <f t="shared" si="79"/>
        <v>0</v>
      </c>
      <c r="Q373" s="23" t="s">
        <v>158</v>
      </c>
      <c r="R373" s="24">
        <f t="shared" si="80"/>
        <v>0</v>
      </c>
      <c r="S373" s="24">
        <f t="shared" si="78"/>
        <v>0</v>
      </c>
    </row>
    <row r="374" spans="1:19" s="19" customFormat="1">
      <c r="A374" s="18"/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 ht="15.75">
      <c r="A375" s="44" t="s">
        <v>281</v>
      </c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19" customFormat="1">
      <c r="A376" s="88" t="s">
        <v>282</v>
      </c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>
      <c r="A377" s="18" t="s">
        <v>283</v>
      </c>
      <c r="B377" s="19" t="s">
        <v>18</v>
      </c>
      <c r="C377" s="20"/>
      <c r="D377" s="21" t="s">
        <v>284</v>
      </c>
      <c r="E377" s="26">
        <v>5</v>
      </c>
      <c r="F377" s="22">
        <v>100</v>
      </c>
      <c r="G377" s="23" t="s">
        <v>101</v>
      </c>
      <c r="H377" s="22">
        <v>10</v>
      </c>
      <c r="I377" s="23" t="s">
        <v>284</v>
      </c>
      <c r="J377" s="24">
        <v>2050</v>
      </c>
      <c r="K377" s="21" t="s">
        <v>284</v>
      </c>
      <c r="L377" s="25">
        <v>0.125</v>
      </c>
      <c r="M377" s="25">
        <v>0.05</v>
      </c>
      <c r="N377" s="22"/>
      <c r="O377" s="23" t="s">
        <v>284</v>
      </c>
      <c r="P377" s="20">
        <f t="shared" ref="P377:P385" si="81">(C377+(E377*F377*H377))-N377</f>
        <v>5000</v>
      </c>
      <c r="Q377" s="23" t="s">
        <v>284</v>
      </c>
      <c r="R377" s="24">
        <f t="shared" ref="R377:R385" si="82">P377*(J377-(J377*L377)-((J377-(J377*L377))*M377))</f>
        <v>8520312.5</v>
      </c>
      <c r="S377" s="24">
        <f t="shared" si="78"/>
        <v>7675957.2072072066</v>
      </c>
    </row>
    <row r="378" spans="1:19" s="19" customFormat="1">
      <c r="A378" s="18" t="s">
        <v>285</v>
      </c>
      <c r="B378" s="19" t="s">
        <v>18</v>
      </c>
      <c r="C378" s="20"/>
      <c r="D378" s="21" t="s">
        <v>284</v>
      </c>
      <c r="E378" s="26"/>
      <c r="F378" s="22">
        <v>100</v>
      </c>
      <c r="G378" s="23" t="s">
        <v>101</v>
      </c>
      <c r="H378" s="22">
        <v>10</v>
      </c>
      <c r="I378" s="23" t="s">
        <v>284</v>
      </c>
      <c r="J378" s="24">
        <v>3000</v>
      </c>
      <c r="K378" s="21" t="s">
        <v>284</v>
      </c>
      <c r="L378" s="25">
        <v>0.125</v>
      </c>
      <c r="M378" s="25">
        <v>0.05</v>
      </c>
      <c r="N378" s="22"/>
      <c r="O378" s="23" t="s">
        <v>284</v>
      </c>
      <c r="P378" s="20">
        <f t="shared" si="81"/>
        <v>0</v>
      </c>
      <c r="Q378" s="23" t="s">
        <v>284</v>
      </c>
      <c r="R378" s="24">
        <f t="shared" si="82"/>
        <v>0</v>
      </c>
      <c r="S378" s="24">
        <f t="shared" si="78"/>
        <v>0</v>
      </c>
    </row>
    <row r="379" spans="1:19" s="19" customFormat="1">
      <c r="A379" s="18" t="s">
        <v>286</v>
      </c>
      <c r="B379" s="19" t="s">
        <v>18</v>
      </c>
      <c r="C379" s="20"/>
      <c r="D379" s="21" t="s">
        <v>284</v>
      </c>
      <c r="E379" s="26">
        <v>3</v>
      </c>
      <c r="F379" s="22">
        <v>50</v>
      </c>
      <c r="G379" s="23" t="s">
        <v>101</v>
      </c>
      <c r="H379" s="22">
        <v>10</v>
      </c>
      <c r="I379" s="23" t="s">
        <v>284</v>
      </c>
      <c r="J379" s="24">
        <v>3050</v>
      </c>
      <c r="K379" s="21" t="s">
        <v>284</v>
      </c>
      <c r="L379" s="25">
        <v>0.125</v>
      </c>
      <c r="M379" s="25">
        <v>0.05</v>
      </c>
      <c r="N379" s="22"/>
      <c r="O379" s="23" t="s">
        <v>284</v>
      </c>
      <c r="P379" s="20">
        <f t="shared" si="81"/>
        <v>1500</v>
      </c>
      <c r="Q379" s="23" t="s">
        <v>284</v>
      </c>
      <c r="R379" s="24">
        <f t="shared" si="82"/>
        <v>3802968.75</v>
      </c>
      <c r="S379" s="24">
        <f t="shared" si="78"/>
        <v>3426097.9729729728</v>
      </c>
    </row>
    <row r="380" spans="1:19" s="19" customFormat="1">
      <c r="A380" s="18" t="s">
        <v>287</v>
      </c>
      <c r="B380" s="19" t="s">
        <v>18</v>
      </c>
      <c r="C380" s="20"/>
      <c r="D380" s="21" t="s">
        <v>284</v>
      </c>
      <c r="E380" s="26">
        <v>1</v>
      </c>
      <c r="F380" s="22">
        <v>50</v>
      </c>
      <c r="G380" s="23" t="s">
        <v>101</v>
      </c>
      <c r="H380" s="22">
        <v>10</v>
      </c>
      <c r="I380" s="23" t="s">
        <v>284</v>
      </c>
      <c r="J380" s="24">
        <v>4200</v>
      </c>
      <c r="K380" s="21" t="s">
        <v>284</v>
      </c>
      <c r="L380" s="25">
        <v>0.125</v>
      </c>
      <c r="M380" s="25">
        <v>0.05</v>
      </c>
      <c r="N380" s="22"/>
      <c r="O380" s="23" t="s">
        <v>284</v>
      </c>
      <c r="P380" s="20">
        <f t="shared" si="81"/>
        <v>500</v>
      </c>
      <c r="Q380" s="23" t="s">
        <v>284</v>
      </c>
      <c r="R380" s="24">
        <f t="shared" si="82"/>
        <v>1745625</v>
      </c>
      <c r="S380" s="24">
        <f t="shared" si="78"/>
        <v>1572635.1351351349</v>
      </c>
    </row>
    <row r="381" spans="1:19" s="19" customFormat="1">
      <c r="A381" s="68" t="s">
        <v>288</v>
      </c>
      <c r="B381" s="19" t="s">
        <v>18</v>
      </c>
      <c r="C381" s="20"/>
      <c r="D381" s="21" t="s">
        <v>284</v>
      </c>
      <c r="E381" s="26"/>
      <c r="F381" s="22">
        <v>50</v>
      </c>
      <c r="G381" s="23" t="s">
        <v>101</v>
      </c>
      <c r="H381" s="22">
        <v>10</v>
      </c>
      <c r="I381" s="23" t="s">
        <v>284</v>
      </c>
      <c r="J381" s="24">
        <v>4300</v>
      </c>
      <c r="K381" s="21" t="s">
        <v>284</v>
      </c>
      <c r="L381" s="25">
        <v>0.125</v>
      </c>
      <c r="M381" s="25">
        <v>0.05</v>
      </c>
      <c r="N381" s="22"/>
      <c r="O381" s="23" t="s">
        <v>284</v>
      </c>
      <c r="P381" s="20">
        <f t="shared" si="81"/>
        <v>0</v>
      </c>
      <c r="Q381" s="23" t="s">
        <v>284</v>
      </c>
      <c r="R381" s="24">
        <f t="shared" si="82"/>
        <v>0</v>
      </c>
      <c r="S381" s="24">
        <f t="shared" si="78"/>
        <v>0</v>
      </c>
    </row>
    <row r="382" spans="1:19" s="19" customFormat="1">
      <c r="A382" s="68" t="s">
        <v>289</v>
      </c>
      <c r="B382" s="19" t="s">
        <v>18</v>
      </c>
      <c r="C382" s="20"/>
      <c r="D382" s="21" t="s">
        <v>284</v>
      </c>
      <c r="E382" s="26"/>
      <c r="F382" s="22">
        <v>100</v>
      </c>
      <c r="G382" s="23" t="s">
        <v>101</v>
      </c>
      <c r="H382" s="22">
        <v>10</v>
      </c>
      <c r="I382" s="23" t="s">
        <v>284</v>
      </c>
      <c r="J382" s="24">
        <v>3000</v>
      </c>
      <c r="K382" s="21" t="s">
        <v>284</v>
      </c>
      <c r="L382" s="25">
        <v>0.125</v>
      </c>
      <c r="M382" s="25">
        <v>0.05</v>
      </c>
      <c r="N382" s="22"/>
      <c r="O382" s="23" t="s">
        <v>284</v>
      </c>
      <c r="P382" s="20">
        <f t="shared" si="81"/>
        <v>0</v>
      </c>
      <c r="Q382" s="23" t="s">
        <v>284</v>
      </c>
      <c r="R382" s="24">
        <f t="shared" si="82"/>
        <v>0</v>
      </c>
      <c r="S382" s="24">
        <f t="shared" si="78"/>
        <v>0</v>
      </c>
    </row>
    <row r="383" spans="1:19" s="19" customFormat="1">
      <c r="A383" s="68" t="s">
        <v>290</v>
      </c>
      <c r="B383" s="19" t="s">
        <v>18</v>
      </c>
      <c r="C383" s="20"/>
      <c r="D383" s="21" t="s">
        <v>284</v>
      </c>
      <c r="E383" s="26"/>
      <c r="F383" s="22">
        <v>100</v>
      </c>
      <c r="G383" s="23" t="s">
        <v>101</v>
      </c>
      <c r="H383" s="22">
        <v>10</v>
      </c>
      <c r="I383" s="23" t="s">
        <v>284</v>
      </c>
      <c r="J383" s="24">
        <v>3000</v>
      </c>
      <c r="K383" s="21" t="s">
        <v>284</v>
      </c>
      <c r="L383" s="25">
        <v>0.125</v>
      </c>
      <c r="M383" s="25">
        <v>0.05</v>
      </c>
      <c r="N383" s="22"/>
      <c r="O383" s="23" t="s">
        <v>284</v>
      </c>
      <c r="P383" s="20">
        <f t="shared" si="81"/>
        <v>0</v>
      </c>
      <c r="Q383" s="23" t="s">
        <v>284</v>
      </c>
      <c r="R383" s="24">
        <f t="shared" si="82"/>
        <v>0</v>
      </c>
      <c r="S383" s="24">
        <f t="shared" si="78"/>
        <v>0</v>
      </c>
    </row>
    <row r="384" spans="1:19" s="19" customFormat="1">
      <c r="A384" s="68" t="s">
        <v>291</v>
      </c>
      <c r="B384" s="19" t="s">
        <v>18</v>
      </c>
      <c r="C384" s="20"/>
      <c r="D384" s="21" t="s">
        <v>284</v>
      </c>
      <c r="E384" s="26"/>
      <c r="F384" s="22">
        <v>50</v>
      </c>
      <c r="G384" s="23" t="s">
        <v>101</v>
      </c>
      <c r="H384" s="22">
        <v>10</v>
      </c>
      <c r="I384" s="23" t="s">
        <v>284</v>
      </c>
      <c r="J384" s="24">
        <v>4300</v>
      </c>
      <c r="K384" s="21" t="s">
        <v>284</v>
      </c>
      <c r="L384" s="25">
        <v>0.125</v>
      </c>
      <c r="M384" s="25">
        <v>0.05</v>
      </c>
      <c r="N384" s="22"/>
      <c r="O384" s="23" t="s">
        <v>284</v>
      </c>
      <c r="P384" s="20">
        <f t="shared" si="81"/>
        <v>0</v>
      </c>
      <c r="Q384" s="23" t="s">
        <v>284</v>
      </c>
      <c r="R384" s="24">
        <f t="shared" si="82"/>
        <v>0</v>
      </c>
      <c r="S384" s="24">
        <f t="shared" si="78"/>
        <v>0</v>
      </c>
    </row>
    <row r="385" spans="1:19" s="19" customFormat="1">
      <c r="A385" s="68" t="s">
        <v>292</v>
      </c>
      <c r="B385" s="19" t="s">
        <v>18</v>
      </c>
      <c r="C385" s="20"/>
      <c r="D385" s="21" t="s">
        <v>101</v>
      </c>
      <c r="E385" s="26"/>
      <c r="F385" s="22">
        <v>1</v>
      </c>
      <c r="G385" s="23" t="s">
        <v>20</v>
      </c>
      <c r="H385" s="22">
        <v>50</v>
      </c>
      <c r="I385" s="23" t="s">
        <v>101</v>
      </c>
      <c r="J385" s="24">
        <v>15500</v>
      </c>
      <c r="K385" s="21" t="s">
        <v>101</v>
      </c>
      <c r="L385" s="25">
        <v>0.125</v>
      </c>
      <c r="M385" s="25">
        <v>0.05</v>
      </c>
      <c r="N385" s="22"/>
      <c r="O385" s="23" t="s">
        <v>101</v>
      </c>
      <c r="P385" s="20">
        <f t="shared" si="81"/>
        <v>0</v>
      </c>
      <c r="Q385" s="23" t="s">
        <v>101</v>
      </c>
      <c r="R385" s="24">
        <f t="shared" si="82"/>
        <v>0</v>
      </c>
      <c r="S385" s="24">
        <f t="shared" si="78"/>
        <v>0</v>
      </c>
    </row>
    <row r="386" spans="1:19" s="19" customFormat="1">
      <c r="A386" s="58"/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>
      <c r="A387" s="18" t="s">
        <v>293</v>
      </c>
      <c r="B387" s="19" t="s">
        <v>25</v>
      </c>
      <c r="C387" s="20"/>
      <c r="D387" s="21" t="s">
        <v>294</v>
      </c>
      <c r="E387" s="26"/>
      <c r="F387" s="22">
        <v>1</v>
      </c>
      <c r="G387" s="23" t="s">
        <v>20</v>
      </c>
      <c r="H387" s="22">
        <v>50</v>
      </c>
      <c r="I387" s="23" t="s">
        <v>294</v>
      </c>
      <c r="J387" s="24">
        <f>1050000/50</f>
        <v>21000</v>
      </c>
      <c r="K387" s="21" t="s">
        <v>294</v>
      </c>
      <c r="L387" s="25"/>
      <c r="M387" s="25">
        <v>0.17</v>
      </c>
      <c r="N387" s="22"/>
      <c r="O387" s="23" t="s">
        <v>294</v>
      </c>
      <c r="P387" s="20">
        <f>(C387+(E387*F387*H387))-N387</f>
        <v>0</v>
      </c>
      <c r="Q387" s="23" t="s">
        <v>294</v>
      </c>
      <c r="R387" s="24">
        <f>P387*(J387-(J387*L387)-((J387-(J387*L387))*M387))</f>
        <v>0</v>
      </c>
      <c r="S387" s="24">
        <f t="shared" si="78"/>
        <v>0</v>
      </c>
    </row>
    <row r="388" spans="1:19" s="19" customFormat="1">
      <c r="A388" s="18" t="s">
        <v>295</v>
      </c>
      <c r="B388" s="19" t="s">
        <v>25</v>
      </c>
      <c r="C388" s="20"/>
      <c r="D388" s="21" t="s">
        <v>294</v>
      </c>
      <c r="E388" s="26"/>
      <c r="F388" s="22">
        <v>1</v>
      </c>
      <c r="G388" s="23" t="s">
        <v>20</v>
      </c>
      <c r="H388" s="22">
        <v>50</v>
      </c>
      <c r="I388" s="23" t="s">
        <v>294</v>
      </c>
      <c r="J388" s="24">
        <f>1350000/50</f>
        <v>27000</v>
      </c>
      <c r="K388" s="21" t="s">
        <v>294</v>
      </c>
      <c r="L388" s="25"/>
      <c r="M388" s="25">
        <v>0.17</v>
      </c>
      <c r="N388" s="22"/>
      <c r="O388" s="23" t="s">
        <v>294</v>
      </c>
      <c r="P388" s="20">
        <f>(C388+(E388*F388*H388))-N388</f>
        <v>0</v>
      </c>
      <c r="Q388" s="23" t="s">
        <v>294</v>
      </c>
      <c r="R388" s="24">
        <f>P388*(J388-(J388*L388)-((J388-(J388*L388))*M388))</f>
        <v>0</v>
      </c>
      <c r="S388" s="24">
        <f t="shared" si="78"/>
        <v>0</v>
      </c>
    </row>
    <row r="389" spans="1:19" s="19" customFormat="1">
      <c r="A389" s="18"/>
      <c r="C389" s="20"/>
      <c r="D389" s="21"/>
      <c r="E389" s="26"/>
      <c r="F389" s="22"/>
      <c r="G389" s="23"/>
      <c r="H389" s="22"/>
      <c r="I389" s="23"/>
      <c r="J389" s="24"/>
      <c r="K389" s="21"/>
      <c r="L389" s="25"/>
      <c r="M389" s="25"/>
      <c r="N389" s="22"/>
      <c r="O389" s="23"/>
      <c r="P389" s="20"/>
      <c r="Q389" s="23"/>
      <c r="R389" s="24"/>
      <c r="S389" s="24"/>
    </row>
    <row r="390" spans="1:19" s="19" customFormat="1">
      <c r="A390" s="88" t="s">
        <v>296</v>
      </c>
      <c r="C390" s="20"/>
      <c r="D390" s="21"/>
      <c r="E390" s="26"/>
      <c r="F390" s="22"/>
      <c r="G390" s="23"/>
      <c r="H390" s="22"/>
      <c r="I390" s="23"/>
      <c r="J390" s="24"/>
      <c r="K390" s="21"/>
      <c r="L390" s="25"/>
      <c r="M390" s="25"/>
      <c r="N390" s="22"/>
      <c r="O390" s="23"/>
      <c r="P390" s="20"/>
      <c r="Q390" s="23"/>
      <c r="R390" s="24"/>
      <c r="S390" s="24"/>
    </row>
    <row r="391" spans="1:19" s="19" customFormat="1">
      <c r="A391" s="18" t="s">
        <v>297</v>
      </c>
      <c r="B391" s="19" t="s">
        <v>18</v>
      </c>
      <c r="C391" s="20"/>
      <c r="D391" s="21" t="s">
        <v>19</v>
      </c>
      <c r="E391" s="26">
        <v>1</v>
      </c>
      <c r="F391" s="22">
        <v>1</v>
      </c>
      <c r="G391" s="23" t="s">
        <v>20</v>
      </c>
      <c r="H391" s="22">
        <v>20</v>
      </c>
      <c r="I391" s="23" t="s">
        <v>19</v>
      </c>
      <c r="J391" s="24">
        <v>40500</v>
      </c>
      <c r="K391" s="21" t="s">
        <v>19</v>
      </c>
      <c r="L391" s="25">
        <v>0.125</v>
      </c>
      <c r="M391" s="25">
        <v>0.05</v>
      </c>
      <c r="N391" s="22"/>
      <c r="O391" s="23" t="s">
        <v>19</v>
      </c>
      <c r="P391" s="20">
        <f>(C391+(E391*F391*H391))-N391</f>
        <v>20</v>
      </c>
      <c r="Q391" s="23" t="s">
        <v>19</v>
      </c>
      <c r="R391" s="24">
        <f>P391*(J391-(J391*L391)-((J391-(J391*L391))*M391))</f>
        <v>673312.5</v>
      </c>
      <c r="S391" s="24">
        <f t="shared" si="78"/>
        <v>606587.83783783775</v>
      </c>
    </row>
    <row r="392" spans="1:19" s="19" customFormat="1">
      <c r="A392" s="18"/>
      <c r="C392" s="20"/>
      <c r="D392" s="21"/>
      <c r="E392" s="26"/>
      <c r="F392" s="22"/>
      <c r="G392" s="23"/>
      <c r="H392" s="22"/>
      <c r="I392" s="23"/>
      <c r="J392" s="24"/>
      <c r="K392" s="21"/>
      <c r="L392" s="25"/>
      <c r="M392" s="25"/>
      <c r="N392" s="22"/>
      <c r="O392" s="23"/>
      <c r="P392" s="20"/>
      <c r="Q392" s="23"/>
      <c r="R392" s="24"/>
      <c r="S392" s="24"/>
    </row>
    <row r="393" spans="1:19" s="19" customFormat="1">
      <c r="A393" s="18" t="s">
        <v>298</v>
      </c>
      <c r="B393" s="19" t="s">
        <v>25</v>
      </c>
      <c r="C393" s="20"/>
      <c r="D393" s="21" t="s">
        <v>19</v>
      </c>
      <c r="E393" s="26"/>
      <c r="F393" s="22">
        <v>1</v>
      </c>
      <c r="G393" s="23" t="s">
        <v>20</v>
      </c>
      <c r="H393" s="22">
        <v>50</v>
      </c>
      <c r="I393" s="23" t="s">
        <v>19</v>
      </c>
      <c r="J393" s="24">
        <f>2250000/50</f>
        <v>45000</v>
      </c>
      <c r="K393" s="21" t="s">
        <v>19</v>
      </c>
      <c r="L393" s="25"/>
      <c r="M393" s="25">
        <v>0.17</v>
      </c>
      <c r="N393" s="22"/>
      <c r="O393" s="23" t="s">
        <v>19</v>
      </c>
      <c r="P393" s="20">
        <f>(C393+(E393*F393*H393))-N393</f>
        <v>0</v>
      </c>
      <c r="Q393" s="23" t="s">
        <v>19</v>
      </c>
      <c r="R393" s="24">
        <f>P393*(J393-(J393*L393)-((J393-(J393*L393))*M393))</f>
        <v>0</v>
      </c>
      <c r="S393" s="24">
        <f t="shared" si="78"/>
        <v>0</v>
      </c>
    </row>
    <row r="394" spans="1:19" s="19" customFormat="1">
      <c r="A394" s="18" t="s">
        <v>299</v>
      </c>
      <c r="B394" s="19" t="s">
        <v>25</v>
      </c>
      <c r="C394" s="20"/>
      <c r="D394" s="21" t="s">
        <v>19</v>
      </c>
      <c r="E394" s="26">
        <v>1</v>
      </c>
      <c r="F394" s="22">
        <v>1</v>
      </c>
      <c r="G394" s="23" t="s">
        <v>20</v>
      </c>
      <c r="H394" s="22">
        <v>50</v>
      </c>
      <c r="I394" s="23" t="s">
        <v>19</v>
      </c>
      <c r="J394" s="24">
        <f>2750000/50</f>
        <v>55000</v>
      </c>
      <c r="K394" s="21" t="s">
        <v>19</v>
      </c>
      <c r="L394" s="25"/>
      <c r="M394" s="25">
        <v>0.17</v>
      </c>
      <c r="N394" s="22"/>
      <c r="O394" s="23" t="s">
        <v>19</v>
      </c>
      <c r="P394" s="20">
        <f>(C394+(E394*F394*H394))-N394</f>
        <v>50</v>
      </c>
      <c r="Q394" s="23" t="s">
        <v>19</v>
      </c>
      <c r="R394" s="24">
        <f>P394*(J394-(J394*L394)-((J394-(J394*L394))*M394))</f>
        <v>2282500</v>
      </c>
      <c r="S394" s="24">
        <f t="shared" si="78"/>
        <v>2056306.306306306</v>
      </c>
    </row>
    <row r="395" spans="1:19" s="19" customFormat="1">
      <c r="A395" s="59" t="s">
        <v>300</v>
      </c>
      <c r="B395" s="19" t="s">
        <v>25</v>
      </c>
      <c r="C395" s="20"/>
      <c r="D395" s="21" t="s">
        <v>19</v>
      </c>
      <c r="E395" s="26"/>
      <c r="F395" s="22">
        <v>1</v>
      </c>
      <c r="G395" s="23" t="s">
        <v>20</v>
      </c>
      <c r="H395" s="22">
        <v>50</v>
      </c>
      <c r="I395" s="23" t="s">
        <v>19</v>
      </c>
      <c r="J395" s="24">
        <f>4750000/50</f>
        <v>95000</v>
      </c>
      <c r="K395" s="21" t="s">
        <v>19</v>
      </c>
      <c r="L395" s="25"/>
      <c r="M395" s="25">
        <v>0.17</v>
      </c>
      <c r="N395" s="22"/>
      <c r="O395" s="23" t="s">
        <v>19</v>
      </c>
      <c r="P395" s="20">
        <f>(C395+(E395*F395*H395))-N395</f>
        <v>0</v>
      </c>
      <c r="Q395" s="23" t="s">
        <v>19</v>
      </c>
      <c r="R395" s="24">
        <f>P395*(J395-(J395*L395)-((J395-(J395*L395))*M395))</f>
        <v>0</v>
      </c>
      <c r="S395" s="24">
        <f t="shared" si="78"/>
        <v>0</v>
      </c>
    </row>
    <row r="396" spans="1:19" s="19" customFormat="1">
      <c r="A396" s="18"/>
      <c r="C396" s="20"/>
      <c r="D396" s="21"/>
      <c r="E396" s="26"/>
      <c r="F396" s="22"/>
      <c r="G396" s="23"/>
      <c r="H396" s="22"/>
      <c r="I396" s="23"/>
      <c r="J396" s="24"/>
      <c r="K396" s="21"/>
      <c r="L396" s="25"/>
      <c r="M396" s="25"/>
      <c r="N396" s="22"/>
      <c r="O396" s="23"/>
      <c r="P396" s="20"/>
      <c r="Q396" s="23"/>
      <c r="R396" s="24"/>
      <c r="S396" s="24"/>
    </row>
    <row r="397" spans="1:19" s="19" customFormat="1" ht="15.75">
      <c r="A397" s="44" t="s">
        <v>301</v>
      </c>
      <c r="C397" s="20"/>
      <c r="D397" s="21"/>
      <c r="E397" s="26"/>
      <c r="F397" s="22"/>
      <c r="G397" s="23"/>
      <c r="H397" s="22"/>
      <c r="I397" s="23"/>
      <c r="J397" s="24"/>
      <c r="K397" s="21"/>
      <c r="L397" s="25"/>
      <c r="M397" s="25"/>
      <c r="N397" s="22"/>
      <c r="O397" s="23"/>
      <c r="P397" s="20"/>
      <c r="Q397" s="23"/>
      <c r="R397" s="24"/>
      <c r="S397" s="24"/>
    </row>
    <row r="398" spans="1:19" s="19" customFormat="1">
      <c r="A398" s="18" t="s">
        <v>819</v>
      </c>
      <c r="B398" s="19" t="s">
        <v>18</v>
      </c>
      <c r="C398" s="20"/>
      <c r="D398" s="21" t="s">
        <v>101</v>
      </c>
      <c r="E398" s="26"/>
      <c r="F398" s="22">
        <v>1</v>
      </c>
      <c r="G398" s="23" t="s">
        <v>20</v>
      </c>
      <c r="H398" s="22">
        <v>10</v>
      </c>
      <c r="I398" s="23" t="s">
        <v>101</v>
      </c>
      <c r="J398" s="24">
        <v>85000</v>
      </c>
      <c r="K398" s="21" t="s">
        <v>101</v>
      </c>
      <c r="L398" s="25">
        <v>0.125</v>
      </c>
      <c r="M398" s="25">
        <v>0.05</v>
      </c>
      <c r="N398" s="22"/>
      <c r="O398" s="23" t="s">
        <v>101</v>
      </c>
      <c r="P398" s="20">
        <f>(C398+(E398*F398*H398))-N398</f>
        <v>0</v>
      </c>
      <c r="Q398" s="23" t="s">
        <v>101</v>
      </c>
      <c r="R398" s="24">
        <f>P398*(J398-(J398*L398)-((J398-(J398*L398))*M398))</f>
        <v>0</v>
      </c>
      <c r="S398" s="24">
        <f t="shared" ref="S398" si="83">R398/1.11</f>
        <v>0</v>
      </c>
    </row>
    <row r="399" spans="1:19" s="19" customFormat="1">
      <c r="A399" s="18" t="s">
        <v>302</v>
      </c>
      <c r="B399" s="19" t="s">
        <v>18</v>
      </c>
      <c r="C399" s="20"/>
      <c r="D399" s="21" t="s">
        <v>101</v>
      </c>
      <c r="E399" s="26"/>
      <c r="F399" s="22">
        <v>1</v>
      </c>
      <c r="G399" s="23" t="s">
        <v>20</v>
      </c>
      <c r="H399" s="22">
        <v>10</v>
      </c>
      <c r="I399" s="23" t="s">
        <v>101</v>
      </c>
      <c r="J399" s="24">
        <v>104000</v>
      </c>
      <c r="K399" s="21" t="s">
        <v>101</v>
      </c>
      <c r="L399" s="25">
        <v>0.125</v>
      </c>
      <c r="M399" s="25">
        <v>0.05</v>
      </c>
      <c r="N399" s="22"/>
      <c r="O399" s="23" t="s">
        <v>101</v>
      </c>
      <c r="P399" s="20">
        <f>(C399+(E399*F399*H399))-N399</f>
        <v>0</v>
      </c>
      <c r="Q399" s="23" t="s">
        <v>101</v>
      </c>
      <c r="R399" s="24">
        <f>P399*(J399-(J399*L399)-((J399-(J399*L399))*M399))</f>
        <v>0</v>
      </c>
      <c r="S399" s="24">
        <f t="shared" si="78"/>
        <v>0</v>
      </c>
    </row>
    <row r="400" spans="1:19" s="19" customFormat="1">
      <c r="A400" s="18"/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19" customFormat="1">
      <c r="A401" s="18" t="s">
        <v>303</v>
      </c>
      <c r="B401" s="19" t="s">
        <v>25</v>
      </c>
      <c r="C401" s="20"/>
      <c r="D401" s="21" t="s">
        <v>101</v>
      </c>
      <c r="E401" s="26"/>
      <c r="F401" s="22">
        <v>1</v>
      </c>
      <c r="G401" s="23" t="s">
        <v>20</v>
      </c>
      <c r="H401" s="22">
        <v>10</v>
      </c>
      <c r="I401" s="23" t="s">
        <v>101</v>
      </c>
      <c r="J401" s="24">
        <f>1150000/10</f>
        <v>115000</v>
      </c>
      <c r="K401" s="21" t="s">
        <v>101</v>
      </c>
      <c r="L401" s="25"/>
      <c r="M401" s="25">
        <v>0.17</v>
      </c>
      <c r="N401" s="22"/>
      <c r="O401" s="23" t="s">
        <v>101</v>
      </c>
      <c r="P401" s="20">
        <f>(C401+(E401*F401*H401))-N401</f>
        <v>0</v>
      </c>
      <c r="Q401" s="23" t="s">
        <v>101</v>
      </c>
      <c r="R401" s="24">
        <f>P401*(J401-(J401*L401)-((J401-(J401*L401))*M401))</f>
        <v>0</v>
      </c>
      <c r="S401" s="24">
        <f t="shared" si="78"/>
        <v>0</v>
      </c>
    </row>
    <row r="402" spans="1:19" s="19" customFormat="1">
      <c r="A402" s="18"/>
      <c r="C402" s="20"/>
      <c r="D402" s="21"/>
      <c r="E402" s="26"/>
      <c r="F402" s="22"/>
      <c r="G402" s="23"/>
      <c r="H402" s="22"/>
      <c r="I402" s="23"/>
      <c r="J402" s="24"/>
      <c r="K402" s="21"/>
      <c r="L402" s="25"/>
      <c r="M402" s="25"/>
      <c r="N402" s="22"/>
      <c r="O402" s="23"/>
      <c r="P402" s="20"/>
      <c r="Q402" s="23"/>
      <c r="R402" s="24"/>
      <c r="S402" s="24"/>
    </row>
    <row r="403" spans="1:19" s="19" customFormat="1" ht="15.75">
      <c r="A403" s="44" t="s">
        <v>304</v>
      </c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>
      <c r="A404" s="88" t="s">
        <v>305</v>
      </c>
      <c r="C404" s="20"/>
      <c r="D404" s="21"/>
      <c r="E404" s="26"/>
      <c r="F404" s="22"/>
      <c r="G404" s="23"/>
      <c r="H404" s="22"/>
      <c r="I404" s="23"/>
      <c r="J404" s="24"/>
      <c r="K404" s="21"/>
      <c r="L404" s="25"/>
      <c r="M404" s="25"/>
      <c r="N404" s="22"/>
      <c r="O404" s="23"/>
      <c r="P404" s="20"/>
      <c r="Q404" s="23"/>
      <c r="R404" s="24"/>
      <c r="S404" s="24"/>
    </row>
    <row r="405" spans="1:19" s="19" customFormat="1">
      <c r="A405" s="18" t="s">
        <v>306</v>
      </c>
      <c r="B405" s="19" t="s">
        <v>18</v>
      </c>
      <c r="C405" s="20"/>
      <c r="D405" s="21" t="s">
        <v>42</v>
      </c>
      <c r="E405" s="26"/>
      <c r="F405" s="22">
        <v>48</v>
      </c>
      <c r="G405" s="23" t="s">
        <v>33</v>
      </c>
      <c r="H405" s="22">
        <v>1</v>
      </c>
      <c r="I405" s="23" t="s">
        <v>42</v>
      </c>
      <c r="J405" s="24">
        <f>1625*12</f>
        <v>19500</v>
      </c>
      <c r="K405" s="21" t="s">
        <v>42</v>
      </c>
      <c r="L405" s="25">
        <v>0.125</v>
      </c>
      <c r="M405" s="25">
        <v>0.05</v>
      </c>
      <c r="N405" s="22"/>
      <c r="O405" s="23" t="s">
        <v>42</v>
      </c>
      <c r="P405" s="20">
        <f>(C405+(E405*F405*H405))-N405</f>
        <v>0</v>
      </c>
      <c r="Q405" s="23" t="s">
        <v>42</v>
      </c>
      <c r="R405" s="24">
        <f>P405*(J405-(J405*L405)-((J405-(J405*L405))*M405))</f>
        <v>0</v>
      </c>
      <c r="S405" s="24">
        <f t="shared" si="78"/>
        <v>0</v>
      </c>
    </row>
    <row r="406" spans="1:19" s="19" customFormat="1">
      <c r="A406" s="18" t="s">
        <v>754</v>
      </c>
      <c r="B406" s="19" t="s">
        <v>18</v>
      </c>
      <c r="C406" s="20"/>
      <c r="D406" s="21" t="s">
        <v>42</v>
      </c>
      <c r="E406" s="26"/>
      <c r="F406" s="22">
        <v>24</v>
      </c>
      <c r="G406" s="23" t="s">
        <v>33</v>
      </c>
      <c r="H406" s="22">
        <v>1</v>
      </c>
      <c r="I406" s="23" t="s">
        <v>42</v>
      </c>
      <c r="J406" s="24">
        <f>2500*12</f>
        <v>30000</v>
      </c>
      <c r="K406" s="21" t="s">
        <v>42</v>
      </c>
      <c r="L406" s="25">
        <v>0.125</v>
      </c>
      <c r="M406" s="25">
        <v>0.05</v>
      </c>
      <c r="N406" s="22"/>
      <c r="O406" s="23" t="s">
        <v>42</v>
      </c>
      <c r="P406" s="20">
        <f>(C406+(E406*F406*H406))-N406</f>
        <v>0</v>
      </c>
      <c r="Q406" s="23" t="s">
        <v>42</v>
      </c>
      <c r="R406" s="24">
        <f>P406*(J406-(J406*L406)-((J406-(J406*L406))*M406))</f>
        <v>0</v>
      </c>
      <c r="S406" s="24">
        <f t="shared" si="78"/>
        <v>0</v>
      </c>
    </row>
    <row r="407" spans="1:19" s="19" customFormat="1">
      <c r="A407" s="58" t="s">
        <v>307</v>
      </c>
      <c r="B407" s="19" t="s">
        <v>18</v>
      </c>
      <c r="C407" s="20"/>
      <c r="D407" s="21" t="s">
        <v>42</v>
      </c>
      <c r="E407" s="26">
        <v>2</v>
      </c>
      <c r="F407" s="22">
        <v>48</v>
      </c>
      <c r="G407" s="23" t="s">
        <v>33</v>
      </c>
      <c r="H407" s="22">
        <v>1</v>
      </c>
      <c r="I407" s="23" t="s">
        <v>42</v>
      </c>
      <c r="J407" s="24">
        <f>1550*12</f>
        <v>18600</v>
      </c>
      <c r="K407" s="21" t="s">
        <v>42</v>
      </c>
      <c r="L407" s="25">
        <v>0.125</v>
      </c>
      <c r="M407" s="25">
        <v>0.05</v>
      </c>
      <c r="N407" s="22"/>
      <c r="O407" s="23" t="s">
        <v>42</v>
      </c>
      <c r="P407" s="20">
        <f>(C407+(E407*F407*H407))-N407</f>
        <v>96</v>
      </c>
      <c r="Q407" s="23" t="s">
        <v>42</v>
      </c>
      <c r="R407" s="24">
        <f>P407*(J407-(J407*L407)-((J407-(J407*L407))*M407))</f>
        <v>1484280</v>
      </c>
      <c r="S407" s="24">
        <f t="shared" si="78"/>
        <v>1337189.1891891891</v>
      </c>
    </row>
    <row r="408" spans="1:19" s="19" customFormat="1">
      <c r="A408" s="58" t="s">
        <v>308</v>
      </c>
      <c r="B408" s="19" t="s">
        <v>18</v>
      </c>
      <c r="C408" s="20"/>
      <c r="D408" s="21" t="s">
        <v>42</v>
      </c>
      <c r="E408" s="26"/>
      <c r="F408" s="22">
        <v>24</v>
      </c>
      <c r="G408" s="23" t="s">
        <v>33</v>
      </c>
      <c r="H408" s="22">
        <v>1</v>
      </c>
      <c r="I408" s="23" t="s">
        <v>42</v>
      </c>
      <c r="J408" s="24">
        <f>2150*12</f>
        <v>25800</v>
      </c>
      <c r="K408" s="21" t="s">
        <v>42</v>
      </c>
      <c r="L408" s="25">
        <v>0.125</v>
      </c>
      <c r="M408" s="25">
        <v>0.05</v>
      </c>
      <c r="N408" s="22"/>
      <c r="O408" s="23" t="s">
        <v>42</v>
      </c>
      <c r="P408" s="20">
        <f>(C408+(E408*F408*H408))-N408</f>
        <v>0</v>
      </c>
      <c r="Q408" s="23" t="s">
        <v>42</v>
      </c>
      <c r="R408" s="24">
        <f>P408*(J408-(J408*L408)-((J408-(J408*L408))*M408))</f>
        <v>0</v>
      </c>
      <c r="S408" s="24">
        <f t="shared" si="78"/>
        <v>0</v>
      </c>
    </row>
    <row r="409" spans="1:19" s="19" customFormat="1">
      <c r="A409" s="18" t="s">
        <v>309</v>
      </c>
      <c r="B409" s="19" t="s">
        <v>18</v>
      </c>
      <c r="C409" s="20"/>
      <c r="D409" s="21" t="s">
        <v>42</v>
      </c>
      <c r="E409" s="26"/>
      <c r="F409" s="22">
        <v>24</v>
      </c>
      <c r="G409" s="23" t="s">
        <v>33</v>
      </c>
      <c r="H409" s="22">
        <v>1</v>
      </c>
      <c r="I409" s="23" t="s">
        <v>42</v>
      </c>
      <c r="J409" s="24">
        <f>3000*12</f>
        <v>36000</v>
      </c>
      <c r="K409" s="21" t="s">
        <v>42</v>
      </c>
      <c r="L409" s="25">
        <v>0.125</v>
      </c>
      <c r="M409" s="25">
        <v>0.05</v>
      </c>
      <c r="N409" s="22"/>
      <c r="O409" s="23" t="s">
        <v>42</v>
      </c>
      <c r="P409" s="20">
        <f>(C409+(E409*F409*H409))-N409</f>
        <v>0</v>
      </c>
      <c r="Q409" s="23" t="s">
        <v>42</v>
      </c>
      <c r="R409" s="24">
        <f>P409*(J409-(J409*L409)-((J409-(J409*L409))*M409))</f>
        <v>0</v>
      </c>
      <c r="S409" s="24">
        <f t="shared" si="78"/>
        <v>0</v>
      </c>
    </row>
    <row r="410" spans="1:19" s="19" customFormat="1">
      <c r="A410" s="18"/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19" customFormat="1">
      <c r="A411" s="18" t="s">
        <v>310</v>
      </c>
      <c r="B411" s="19" t="s">
        <v>25</v>
      </c>
      <c r="C411" s="20"/>
      <c r="D411" s="21" t="s">
        <v>42</v>
      </c>
      <c r="E411" s="26"/>
      <c r="F411" s="22">
        <v>1</v>
      </c>
      <c r="G411" s="23" t="s">
        <v>20</v>
      </c>
      <c r="H411" s="22">
        <v>20</v>
      </c>
      <c r="I411" s="23" t="s">
        <v>42</v>
      </c>
      <c r="J411" s="24">
        <f>396000/20</f>
        <v>19800</v>
      </c>
      <c r="K411" s="21" t="s">
        <v>42</v>
      </c>
      <c r="L411" s="25"/>
      <c r="M411" s="25">
        <v>0.17</v>
      </c>
      <c r="N411" s="22"/>
      <c r="O411" s="23" t="s">
        <v>42</v>
      </c>
      <c r="P411" s="20">
        <f>(C411+(E411*F411*H411))-N411</f>
        <v>0</v>
      </c>
      <c r="Q411" s="23" t="s">
        <v>42</v>
      </c>
      <c r="R411" s="24">
        <f>P411*(J411-(J411*L411)-((J411-(J411*L411))*M411))</f>
        <v>0</v>
      </c>
      <c r="S411" s="24">
        <f t="shared" si="78"/>
        <v>0</v>
      </c>
    </row>
    <row r="412" spans="1:19" s="19" customFormat="1">
      <c r="A412" s="18" t="s">
        <v>311</v>
      </c>
      <c r="B412" s="19" t="s">
        <v>25</v>
      </c>
      <c r="C412" s="20"/>
      <c r="D412" s="21" t="s">
        <v>42</v>
      </c>
      <c r="E412" s="26"/>
      <c r="F412" s="22">
        <v>1</v>
      </c>
      <c r="G412" s="23" t="s">
        <v>20</v>
      </c>
      <c r="H412" s="22">
        <v>20</v>
      </c>
      <c r="I412" s="23" t="s">
        <v>42</v>
      </c>
      <c r="J412" s="24">
        <f>504000/20</f>
        <v>25200</v>
      </c>
      <c r="K412" s="21" t="s">
        <v>42</v>
      </c>
      <c r="L412" s="25"/>
      <c r="M412" s="25">
        <v>0.17</v>
      </c>
      <c r="N412" s="22"/>
      <c r="O412" s="23" t="s">
        <v>42</v>
      </c>
      <c r="P412" s="20">
        <f>(C412+(E412*F412*H412))-N412</f>
        <v>0</v>
      </c>
      <c r="Q412" s="23" t="s">
        <v>42</v>
      </c>
      <c r="R412" s="24">
        <f>P412*(J412-(J412*L412)-((J412-(J412*L412))*M412))</f>
        <v>0</v>
      </c>
      <c r="S412" s="24">
        <f t="shared" si="78"/>
        <v>0</v>
      </c>
    </row>
    <row r="413" spans="1:19" s="19" customFormat="1">
      <c r="A413" s="18" t="s">
        <v>312</v>
      </c>
      <c r="B413" s="19" t="s">
        <v>25</v>
      </c>
      <c r="C413" s="20"/>
      <c r="D413" s="21" t="s">
        <v>42</v>
      </c>
      <c r="E413" s="26"/>
      <c r="F413" s="22">
        <v>1</v>
      </c>
      <c r="G413" s="23" t="s">
        <v>20</v>
      </c>
      <c r="H413" s="22">
        <v>20</v>
      </c>
      <c r="I413" s="23" t="s">
        <v>42</v>
      </c>
      <c r="J413" s="24">
        <f>480000/20</f>
        <v>24000</v>
      </c>
      <c r="K413" s="21" t="s">
        <v>42</v>
      </c>
      <c r="L413" s="25"/>
      <c r="M413" s="25">
        <v>0.17</v>
      </c>
      <c r="N413" s="22"/>
      <c r="O413" s="23" t="s">
        <v>42</v>
      </c>
      <c r="P413" s="20">
        <f>(C413+(E413*F413*H413))-N413</f>
        <v>0</v>
      </c>
      <c r="Q413" s="23" t="s">
        <v>42</v>
      </c>
      <c r="R413" s="24">
        <f>P413*(J413-(J413*L413)-((J413-(J413*L413))*M413))</f>
        <v>0</v>
      </c>
      <c r="S413" s="24">
        <f t="shared" si="78"/>
        <v>0</v>
      </c>
    </row>
    <row r="414" spans="1:19" s="19" customFormat="1">
      <c r="A414" s="18"/>
      <c r="C414" s="20"/>
      <c r="D414" s="21"/>
      <c r="E414" s="26"/>
      <c r="F414" s="22"/>
      <c r="G414" s="23"/>
      <c r="H414" s="22"/>
      <c r="I414" s="23"/>
      <c r="J414" s="24"/>
      <c r="K414" s="21"/>
      <c r="L414" s="25"/>
      <c r="M414" s="25"/>
      <c r="N414" s="22"/>
      <c r="O414" s="23"/>
      <c r="P414" s="20"/>
      <c r="Q414" s="23"/>
      <c r="R414" s="24"/>
      <c r="S414" s="24"/>
    </row>
    <row r="415" spans="1:19" s="19" customFormat="1">
      <c r="A415" s="88" t="s">
        <v>313</v>
      </c>
      <c r="C415" s="20"/>
      <c r="D415" s="21"/>
      <c r="E415" s="26"/>
      <c r="F415" s="22"/>
      <c r="G415" s="23"/>
      <c r="H415" s="22"/>
      <c r="I415" s="23"/>
      <c r="J415" s="24"/>
      <c r="K415" s="21"/>
      <c r="L415" s="25"/>
      <c r="M415" s="25"/>
      <c r="N415" s="22"/>
      <c r="O415" s="23"/>
      <c r="P415" s="20"/>
      <c r="Q415" s="23"/>
      <c r="R415" s="24"/>
      <c r="S415" s="24">
        <f t="shared" si="78"/>
        <v>0</v>
      </c>
    </row>
    <row r="416" spans="1:19" s="19" customFormat="1">
      <c r="A416" s="18" t="s">
        <v>314</v>
      </c>
      <c r="B416" s="19" t="s">
        <v>18</v>
      </c>
      <c r="C416" s="20"/>
      <c r="D416" s="21" t="s">
        <v>33</v>
      </c>
      <c r="E416" s="26"/>
      <c r="F416" s="22">
        <v>1</v>
      </c>
      <c r="G416" s="23" t="s">
        <v>20</v>
      </c>
      <c r="H416" s="22">
        <v>64</v>
      </c>
      <c r="I416" s="23" t="s">
        <v>33</v>
      </c>
      <c r="J416" s="24">
        <f>2100*12</f>
        <v>25200</v>
      </c>
      <c r="K416" s="21" t="s">
        <v>33</v>
      </c>
      <c r="L416" s="25">
        <v>0.125</v>
      </c>
      <c r="M416" s="25">
        <v>0.05</v>
      </c>
      <c r="N416" s="22"/>
      <c r="O416" s="23" t="s">
        <v>33</v>
      </c>
      <c r="P416" s="20">
        <f t="shared" ref="P416:P423" si="84">(C416+(E416*F416*H416))-N416</f>
        <v>0</v>
      </c>
      <c r="Q416" s="23" t="s">
        <v>33</v>
      </c>
      <c r="R416" s="24">
        <f t="shared" ref="R416:R423" si="85">P416*(J416-(J416*L416)-((J416-(J416*L416))*M416))</f>
        <v>0</v>
      </c>
      <c r="S416" s="24">
        <f t="shared" si="78"/>
        <v>0</v>
      </c>
    </row>
    <row r="417" spans="1:19" s="19" customFormat="1">
      <c r="A417" s="18" t="s">
        <v>316</v>
      </c>
      <c r="B417" s="19" t="s">
        <v>18</v>
      </c>
      <c r="C417" s="20"/>
      <c r="D417" s="21" t="s">
        <v>33</v>
      </c>
      <c r="E417" s="26"/>
      <c r="F417" s="22">
        <v>1</v>
      </c>
      <c r="G417" s="23" t="s">
        <v>20</v>
      </c>
      <c r="H417" s="22">
        <v>36</v>
      </c>
      <c r="I417" s="23" t="s">
        <v>33</v>
      </c>
      <c r="J417" s="24">
        <f>2100*24</f>
        <v>50400</v>
      </c>
      <c r="K417" s="21" t="s">
        <v>33</v>
      </c>
      <c r="L417" s="25">
        <v>0.125</v>
      </c>
      <c r="M417" s="25">
        <v>0.05</v>
      </c>
      <c r="N417" s="22"/>
      <c r="O417" s="23" t="s">
        <v>33</v>
      </c>
      <c r="P417" s="20">
        <f t="shared" si="84"/>
        <v>0</v>
      </c>
      <c r="Q417" s="23" t="s">
        <v>33</v>
      </c>
      <c r="R417" s="24">
        <f t="shared" si="85"/>
        <v>0</v>
      </c>
      <c r="S417" s="24">
        <f>R417/1.11</f>
        <v>0</v>
      </c>
    </row>
    <row r="418" spans="1:19" s="19" customFormat="1">
      <c r="A418" s="66" t="s">
        <v>753</v>
      </c>
      <c r="B418" s="19" t="s">
        <v>18</v>
      </c>
      <c r="C418" s="20"/>
      <c r="D418" s="21" t="s">
        <v>33</v>
      </c>
      <c r="E418" s="26"/>
      <c r="F418" s="22">
        <v>1</v>
      </c>
      <c r="G418" s="23" t="s">
        <v>20</v>
      </c>
      <c r="H418" s="22">
        <v>36</v>
      </c>
      <c r="I418" s="23" t="s">
        <v>33</v>
      </c>
      <c r="J418" s="24">
        <f>2300*24</f>
        <v>55200</v>
      </c>
      <c r="K418" s="21" t="s">
        <v>33</v>
      </c>
      <c r="L418" s="25">
        <v>0.125</v>
      </c>
      <c r="M418" s="25">
        <v>0.05</v>
      </c>
      <c r="N418" s="22"/>
      <c r="O418" s="23" t="s">
        <v>33</v>
      </c>
      <c r="P418" s="20">
        <f t="shared" si="84"/>
        <v>0</v>
      </c>
      <c r="Q418" s="23" t="s">
        <v>33</v>
      </c>
      <c r="R418" s="24">
        <f t="shared" si="85"/>
        <v>0</v>
      </c>
      <c r="S418" s="24">
        <f>R418/1.11</f>
        <v>0</v>
      </c>
    </row>
    <row r="419" spans="1:19" s="19" customFormat="1">
      <c r="A419" s="18" t="s">
        <v>752</v>
      </c>
      <c r="B419" s="19" t="s">
        <v>18</v>
      </c>
      <c r="C419" s="20"/>
      <c r="D419" s="21" t="s">
        <v>33</v>
      </c>
      <c r="E419" s="26"/>
      <c r="F419" s="22">
        <v>1</v>
      </c>
      <c r="G419" s="23" t="s">
        <v>20</v>
      </c>
      <c r="H419" s="22">
        <v>32</v>
      </c>
      <c r="I419" s="23" t="s">
        <v>33</v>
      </c>
      <c r="J419" s="24">
        <f>1300*12</f>
        <v>15600</v>
      </c>
      <c r="K419" s="21" t="s">
        <v>33</v>
      </c>
      <c r="L419" s="25">
        <v>0.125</v>
      </c>
      <c r="M419" s="25">
        <v>0.05</v>
      </c>
      <c r="N419" s="22"/>
      <c r="O419" s="23" t="s">
        <v>33</v>
      </c>
      <c r="P419" s="20">
        <f t="shared" si="84"/>
        <v>0</v>
      </c>
      <c r="Q419" s="23" t="s">
        <v>33</v>
      </c>
      <c r="R419" s="24">
        <f t="shared" si="85"/>
        <v>0</v>
      </c>
      <c r="S419" s="24">
        <f>R419/1.11</f>
        <v>0</v>
      </c>
    </row>
    <row r="420" spans="1:19" s="19" customFormat="1">
      <c r="A420" s="18" t="s">
        <v>315</v>
      </c>
      <c r="B420" s="19" t="s">
        <v>18</v>
      </c>
      <c r="C420" s="20"/>
      <c r="D420" s="21" t="s">
        <v>33</v>
      </c>
      <c r="E420" s="26"/>
      <c r="F420" s="22">
        <v>1</v>
      </c>
      <c r="G420" s="23" t="s">
        <v>20</v>
      </c>
      <c r="H420" s="22">
        <v>54</v>
      </c>
      <c r="I420" s="23" t="s">
        <v>33</v>
      </c>
      <c r="J420" s="24">
        <f>3400*12</f>
        <v>40800</v>
      </c>
      <c r="K420" s="21" t="s">
        <v>33</v>
      </c>
      <c r="L420" s="25">
        <v>0.125</v>
      </c>
      <c r="M420" s="25">
        <v>0.05</v>
      </c>
      <c r="N420" s="22"/>
      <c r="O420" s="23" t="s">
        <v>33</v>
      </c>
      <c r="P420" s="20">
        <f t="shared" si="84"/>
        <v>0</v>
      </c>
      <c r="Q420" s="23" t="s">
        <v>33</v>
      </c>
      <c r="R420" s="24">
        <f t="shared" si="85"/>
        <v>0</v>
      </c>
      <c r="S420" s="24">
        <f t="shared" si="78"/>
        <v>0</v>
      </c>
    </row>
    <row r="421" spans="1:19" s="19" customFormat="1">
      <c r="A421" s="66" t="s">
        <v>795</v>
      </c>
      <c r="B421" s="19" t="s">
        <v>18</v>
      </c>
      <c r="C421" s="20"/>
      <c r="D421" s="21" t="s">
        <v>33</v>
      </c>
      <c r="E421" s="26"/>
      <c r="F421" s="22">
        <v>1</v>
      </c>
      <c r="G421" s="23" t="s">
        <v>20</v>
      </c>
      <c r="H421" s="22">
        <v>24</v>
      </c>
      <c r="I421" s="23" t="s">
        <v>33</v>
      </c>
      <c r="J421" s="24">
        <f>3300*24</f>
        <v>79200</v>
      </c>
      <c r="K421" s="21" t="s">
        <v>33</v>
      </c>
      <c r="L421" s="25">
        <v>0.125</v>
      </c>
      <c r="M421" s="25">
        <v>0.05</v>
      </c>
      <c r="N421" s="22"/>
      <c r="O421" s="23" t="s">
        <v>33</v>
      </c>
      <c r="P421" s="20">
        <f t="shared" si="84"/>
        <v>0</v>
      </c>
      <c r="Q421" s="23" t="s">
        <v>33</v>
      </c>
      <c r="R421" s="24">
        <f t="shared" si="85"/>
        <v>0</v>
      </c>
      <c r="S421" s="24">
        <f>R421/1.11</f>
        <v>0</v>
      </c>
    </row>
    <row r="422" spans="1:19" s="19" customFormat="1">
      <c r="A422" s="66" t="s">
        <v>317</v>
      </c>
      <c r="B422" s="19" t="s">
        <v>18</v>
      </c>
      <c r="C422" s="20"/>
      <c r="D422" s="21" t="s">
        <v>33</v>
      </c>
      <c r="E422" s="26"/>
      <c r="F422" s="22">
        <v>1</v>
      </c>
      <c r="G422" s="23" t="s">
        <v>20</v>
      </c>
      <c r="H422" s="22">
        <v>36</v>
      </c>
      <c r="I422" s="23" t="s">
        <v>33</v>
      </c>
      <c r="J422" s="24">
        <f>2450*24</f>
        <v>58800</v>
      </c>
      <c r="K422" s="21" t="s">
        <v>33</v>
      </c>
      <c r="L422" s="25">
        <v>0.125</v>
      </c>
      <c r="M422" s="25">
        <v>0.05</v>
      </c>
      <c r="N422" s="22"/>
      <c r="O422" s="23" t="s">
        <v>33</v>
      </c>
      <c r="P422" s="20">
        <f t="shared" si="84"/>
        <v>0</v>
      </c>
      <c r="Q422" s="23" t="s">
        <v>33</v>
      </c>
      <c r="R422" s="24">
        <f t="shared" si="85"/>
        <v>0</v>
      </c>
      <c r="S422" s="24">
        <f>R422/1.11</f>
        <v>0</v>
      </c>
    </row>
    <row r="423" spans="1:19" s="19" customFormat="1">
      <c r="A423" s="18" t="s">
        <v>749</v>
      </c>
      <c r="B423" s="19" t="s">
        <v>18</v>
      </c>
      <c r="C423" s="20"/>
      <c r="D423" s="21" t="s">
        <v>33</v>
      </c>
      <c r="E423" s="26"/>
      <c r="F423" s="22">
        <v>1</v>
      </c>
      <c r="G423" s="23" t="s">
        <v>20</v>
      </c>
      <c r="H423" s="22">
        <v>36</v>
      </c>
      <c r="I423" s="23" t="s">
        <v>33</v>
      </c>
      <c r="J423" s="24">
        <f>4600*12</f>
        <v>55200</v>
      </c>
      <c r="K423" s="21" t="s">
        <v>33</v>
      </c>
      <c r="L423" s="25">
        <v>0.125</v>
      </c>
      <c r="M423" s="25">
        <v>0.05</v>
      </c>
      <c r="N423" s="22"/>
      <c r="O423" s="23" t="s">
        <v>33</v>
      </c>
      <c r="P423" s="20">
        <f t="shared" si="84"/>
        <v>0</v>
      </c>
      <c r="Q423" s="23" t="s">
        <v>33</v>
      </c>
      <c r="R423" s="24">
        <f t="shared" si="85"/>
        <v>0</v>
      </c>
      <c r="S423" s="24">
        <f t="shared" ref="S423" si="86">R423/1.11</f>
        <v>0</v>
      </c>
    </row>
    <row r="424" spans="1:19" s="19" customFormat="1">
      <c r="A424" s="18"/>
      <c r="C424" s="20"/>
      <c r="D424" s="21"/>
      <c r="E424" s="26"/>
      <c r="F424" s="22"/>
      <c r="G424" s="23"/>
      <c r="H424" s="22"/>
      <c r="I424" s="23"/>
      <c r="J424" s="24"/>
      <c r="K424" s="21"/>
      <c r="L424" s="25"/>
      <c r="M424" s="25"/>
      <c r="N424" s="22"/>
      <c r="O424" s="23"/>
      <c r="P424" s="20"/>
      <c r="Q424" s="23"/>
      <c r="R424" s="24"/>
      <c r="S424" s="24"/>
    </row>
    <row r="425" spans="1:19" s="19" customFormat="1">
      <c r="A425" s="18" t="s">
        <v>318</v>
      </c>
      <c r="B425" s="19" t="s">
        <v>25</v>
      </c>
      <c r="C425" s="20"/>
      <c r="D425" s="21" t="s">
        <v>33</v>
      </c>
      <c r="E425" s="26"/>
      <c r="F425" s="22">
        <v>1</v>
      </c>
      <c r="G425" s="23" t="s">
        <v>20</v>
      </c>
      <c r="H425" s="22">
        <v>36</v>
      </c>
      <c r="I425" s="23" t="s">
        <v>33</v>
      </c>
      <c r="J425" s="24">
        <f>2376000/36</f>
        <v>66000</v>
      </c>
      <c r="K425" s="21" t="s">
        <v>33</v>
      </c>
      <c r="L425" s="25"/>
      <c r="M425" s="25">
        <v>0.17</v>
      </c>
      <c r="N425" s="22"/>
      <c r="O425" s="23" t="s">
        <v>33</v>
      </c>
      <c r="P425" s="20">
        <f>(C425+(E425*F425*H425))-N425</f>
        <v>0</v>
      </c>
      <c r="Q425" s="23" t="s">
        <v>33</v>
      </c>
      <c r="R425" s="24">
        <f>P425*(J425-(J425*L425)-((J425-(J425*L425))*M425))</f>
        <v>0</v>
      </c>
      <c r="S425" s="24">
        <f t="shared" si="78"/>
        <v>0</v>
      </c>
    </row>
    <row r="426" spans="1:19" s="19" customFormat="1">
      <c r="A426" s="18" t="s">
        <v>319</v>
      </c>
      <c r="B426" s="19" t="s">
        <v>25</v>
      </c>
      <c r="C426" s="20"/>
      <c r="D426" s="21" t="s">
        <v>33</v>
      </c>
      <c r="E426" s="26"/>
      <c r="F426" s="22">
        <v>1</v>
      </c>
      <c r="G426" s="23" t="s">
        <v>20</v>
      </c>
      <c r="H426" s="22">
        <v>36</v>
      </c>
      <c r="I426" s="23" t="s">
        <v>33</v>
      </c>
      <c r="J426" s="24">
        <f>2592000/36</f>
        <v>72000</v>
      </c>
      <c r="K426" s="21" t="s">
        <v>33</v>
      </c>
      <c r="L426" s="25"/>
      <c r="M426" s="25">
        <v>0.17</v>
      </c>
      <c r="N426" s="22"/>
      <c r="O426" s="23" t="s">
        <v>33</v>
      </c>
      <c r="P426" s="20">
        <f>(C426+(E426*F426*H426))-N426</f>
        <v>0</v>
      </c>
      <c r="Q426" s="23" t="s">
        <v>33</v>
      </c>
      <c r="R426" s="24">
        <f>P426*(J426-(J426*L426)-((J426-(J426*L426))*M426))</f>
        <v>0</v>
      </c>
      <c r="S426" s="24">
        <f t="shared" si="78"/>
        <v>0</v>
      </c>
    </row>
    <row r="427" spans="1:19" s="19" customFormat="1">
      <c r="A427" s="18" t="s">
        <v>320</v>
      </c>
      <c r="B427" s="19" t="s">
        <v>25</v>
      </c>
      <c r="C427" s="20"/>
      <c r="D427" s="21" t="s">
        <v>33</v>
      </c>
      <c r="E427" s="26"/>
      <c r="F427" s="22">
        <v>1</v>
      </c>
      <c r="G427" s="23" t="s">
        <v>20</v>
      </c>
      <c r="H427" s="22">
        <v>36</v>
      </c>
      <c r="I427" s="23" t="s">
        <v>33</v>
      </c>
      <c r="J427" s="24">
        <f>2160000/36</f>
        <v>60000</v>
      </c>
      <c r="K427" s="21" t="s">
        <v>33</v>
      </c>
      <c r="L427" s="25"/>
      <c r="M427" s="25">
        <v>0.17</v>
      </c>
      <c r="N427" s="22"/>
      <c r="O427" s="23" t="s">
        <v>33</v>
      </c>
      <c r="P427" s="20">
        <f>(C427+(E427*F427*H427))-N427</f>
        <v>0</v>
      </c>
      <c r="Q427" s="23" t="s">
        <v>33</v>
      </c>
      <c r="R427" s="24">
        <f>P427*(J427-(J427*L427)-((J427-(J427*L427))*M427))</f>
        <v>0</v>
      </c>
      <c r="S427" s="24">
        <f t="shared" si="78"/>
        <v>0</v>
      </c>
    </row>
    <row r="428" spans="1:19" s="19" customFormat="1">
      <c r="A428" s="18"/>
      <c r="C428" s="20"/>
      <c r="D428" s="21"/>
      <c r="E428" s="26"/>
      <c r="F428" s="22"/>
      <c r="G428" s="23"/>
      <c r="H428" s="22"/>
      <c r="I428" s="23"/>
      <c r="J428" s="24"/>
      <c r="K428" s="21"/>
      <c r="L428" s="25"/>
      <c r="M428" s="25"/>
      <c r="N428" s="22"/>
      <c r="O428" s="23"/>
      <c r="P428" s="20"/>
      <c r="Q428" s="23"/>
      <c r="R428" s="24"/>
      <c r="S428" s="24"/>
    </row>
    <row r="429" spans="1:19" s="19" customFormat="1">
      <c r="A429" s="88" t="s">
        <v>801</v>
      </c>
      <c r="C429" s="20"/>
      <c r="D429" s="21"/>
      <c r="E429" s="26"/>
      <c r="F429" s="22"/>
      <c r="G429" s="23"/>
      <c r="H429" s="22"/>
      <c r="I429" s="23"/>
      <c r="J429" s="24"/>
      <c r="K429" s="21"/>
      <c r="L429" s="25"/>
      <c r="M429" s="25"/>
      <c r="N429" s="22"/>
      <c r="O429" s="23"/>
      <c r="P429" s="20"/>
      <c r="Q429" s="23"/>
      <c r="R429" s="24"/>
      <c r="S429" s="24"/>
    </row>
    <row r="430" spans="1:19" s="19" customFormat="1">
      <c r="A430" s="18" t="s">
        <v>321</v>
      </c>
      <c r="B430" s="19" t="s">
        <v>25</v>
      </c>
      <c r="C430" s="20"/>
      <c r="D430" s="21" t="s">
        <v>105</v>
      </c>
      <c r="E430" s="26"/>
      <c r="F430" s="22">
        <v>1</v>
      </c>
      <c r="G430" s="23" t="s">
        <v>20</v>
      </c>
      <c r="H430" s="22">
        <v>60</v>
      </c>
      <c r="I430" s="23" t="s">
        <v>105</v>
      </c>
      <c r="J430" s="24">
        <v>18600</v>
      </c>
      <c r="K430" s="21" t="s">
        <v>105</v>
      </c>
      <c r="L430" s="25"/>
      <c r="M430" s="25">
        <v>0.17</v>
      </c>
      <c r="N430" s="22"/>
      <c r="O430" s="23" t="s">
        <v>105</v>
      </c>
      <c r="P430" s="20">
        <f>(C430+(E430*F430*H430))-N430</f>
        <v>0</v>
      </c>
      <c r="Q430" s="23" t="s">
        <v>105</v>
      </c>
      <c r="R430" s="24">
        <f>P430*(J430-(J430*L430)-((J430-(J430*L430))*M430))</f>
        <v>0</v>
      </c>
      <c r="S430" s="24">
        <f t="shared" si="78"/>
        <v>0</v>
      </c>
    </row>
    <row r="431" spans="1:19" s="19" customFormat="1">
      <c r="A431" s="18"/>
      <c r="C431" s="20"/>
      <c r="D431" s="21"/>
      <c r="E431" s="26"/>
      <c r="F431" s="22"/>
      <c r="G431" s="23"/>
      <c r="H431" s="22"/>
      <c r="I431" s="23"/>
      <c r="J431" s="24"/>
      <c r="K431" s="21"/>
      <c r="L431" s="25"/>
      <c r="M431" s="25"/>
      <c r="N431" s="22"/>
      <c r="O431" s="23"/>
      <c r="P431" s="20"/>
      <c r="Q431" s="23"/>
      <c r="R431" s="24"/>
      <c r="S431" s="24"/>
    </row>
    <row r="432" spans="1:19" s="19" customFormat="1">
      <c r="A432" s="18" t="s">
        <v>802</v>
      </c>
      <c r="B432" s="18" t="s">
        <v>178</v>
      </c>
      <c r="C432" s="60"/>
      <c r="D432" s="61" t="s">
        <v>42</v>
      </c>
      <c r="E432" s="62"/>
      <c r="F432" s="63">
        <v>1</v>
      </c>
      <c r="G432" s="58" t="s">
        <v>20</v>
      </c>
      <c r="H432" s="63">
        <v>160</v>
      </c>
      <c r="I432" s="58" t="s">
        <v>42</v>
      </c>
      <c r="J432" s="29">
        <v>7750</v>
      </c>
      <c r="K432" s="61" t="s">
        <v>42</v>
      </c>
      <c r="L432" s="64">
        <v>0.05</v>
      </c>
      <c r="M432" s="64"/>
      <c r="N432" s="63"/>
      <c r="O432" s="58" t="s">
        <v>42</v>
      </c>
      <c r="P432" s="60">
        <f>(C432+(E432*F432*H432))-N432</f>
        <v>0</v>
      </c>
      <c r="Q432" s="58" t="s">
        <v>42</v>
      </c>
      <c r="R432" s="29">
        <f>P432*(J432-(J432*L432)-((J432-(J432*L432))*M432))</f>
        <v>0</v>
      </c>
      <c r="S432" s="29">
        <f t="shared" si="78"/>
        <v>0</v>
      </c>
    </row>
    <row r="433" spans="1:19" s="19" customFormat="1">
      <c r="A433" s="18"/>
      <c r="C433" s="20"/>
      <c r="D433" s="21"/>
      <c r="E433" s="26"/>
      <c r="F433" s="22"/>
      <c r="G433" s="23"/>
      <c r="H433" s="22"/>
      <c r="I433" s="23"/>
      <c r="J433" s="24"/>
      <c r="K433" s="21"/>
      <c r="L433" s="25"/>
      <c r="M433" s="25"/>
      <c r="N433" s="22"/>
      <c r="O433" s="23"/>
      <c r="P433" s="20"/>
      <c r="Q433" s="23"/>
      <c r="R433" s="24"/>
      <c r="S433" s="24"/>
    </row>
    <row r="434" spans="1:19" s="19" customFormat="1">
      <c r="A434" s="88" t="s">
        <v>322</v>
      </c>
      <c r="C434" s="20"/>
      <c r="D434" s="21"/>
      <c r="E434" s="26"/>
      <c r="F434" s="22"/>
      <c r="G434" s="23"/>
      <c r="H434" s="22"/>
      <c r="I434" s="23"/>
      <c r="J434" s="24"/>
      <c r="K434" s="21"/>
      <c r="L434" s="25"/>
      <c r="M434" s="25"/>
      <c r="N434" s="22"/>
      <c r="O434" s="23"/>
      <c r="P434" s="20"/>
      <c r="Q434" s="23"/>
      <c r="R434" s="24"/>
      <c r="S434" s="24"/>
    </row>
    <row r="435" spans="1:19" s="19" customFormat="1">
      <c r="A435" s="18" t="s">
        <v>323</v>
      </c>
      <c r="B435" s="19" t="s">
        <v>324</v>
      </c>
      <c r="C435" s="20"/>
      <c r="D435" s="21" t="s">
        <v>325</v>
      </c>
      <c r="E435" s="26"/>
      <c r="F435" s="22">
        <v>1</v>
      </c>
      <c r="G435" s="23" t="s">
        <v>20</v>
      </c>
      <c r="H435" s="22">
        <v>25</v>
      </c>
      <c r="I435" s="23" t="s">
        <v>325</v>
      </c>
      <c r="J435" s="24">
        <v>55000</v>
      </c>
      <c r="K435" s="21" t="s">
        <v>325</v>
      </c>
      <c r="L435" s="25"/>
      <c r="M435" s="25"/>
      <c r="N435" s="22"/>
      <c r="O435" s="23" t="s">
        <v>325</v>
      </c>
      <c r="P435" s="20">
        <f>(C435+(E435*F435*H435))-N435</f>
        <v>0</v>
      </c>
      <c r="Q435" s="23" t="s">
        <v>325</v>
      </c>
      <c r="R435" s="24">
        <f>P435*(J435-(J435*L435)-((J435-(J435*L435))*M435))</f>
        <v>0</v>
      </c>
      <c r="S435" s="24">
        <f t="shared" si="78"/>
        <v>0</v>
      </c>
    </row>
    <row r="436" spans="1:19" s="19" customFormat="1">
      <c r="A436" s="18"/>
      <c r="C436" s="20"/>
      <c r="D436" s="21"/>
      <c r="E436" s="26"/>
      <c r="F436" s="22"/>
      <c r="G436" s="23"/>
      <c r="H436" s="22"/>
      <c r="I436" s="23"/>
      <c r="J436" s="24"/>
      <c r="K436" s="21"/>
      <c r="L436" s="25"/>
      <c r="M436" s="25"/>
      <c r="N436" s="22"/>
      <c r="O436" s="23"/>
      <c r="P436" s="20"/>
      <c r="Q436" s="23"/>
      <c r="R436" s="24"/>
      <c r="S436" s="24"/>
    </row>
    <row r="437" spans="1:19" s="19" customFormat="1" ht="15.75">
      <c r="A437" s="44" t="s">
        <v>326</v>
      </c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>
      <c r="A438" s="18" t="s">
        <v>327</v>
      </c>
      <c r="B438" s="19" t="s">
        <v>18</v>
      </c>
      <c r="C438" s="20"/>
      <c r="D438" s="21" t="s">
        <v>101</v>
      </c>
      <c r="E438" s="26"/>
      <c r="F438" s="22">
        <v>1</v>
      </c>
      <c r="G438" s="23" t="s">
        <v>20</v>
      </c>
      <c r="H438" s="22">
        <v>192</v>
      </c>
      <c r="I438" s="23" t="s">
        <v>101</v>
      </c>
      <c r="J438" s="24">
        <v>3450</v>
      </c>
      <c r="K438" s="21" t="s">
        <v>101</v>
      </c>
      <c r="L438" s="25">
        <v>0.125</v>
      </c>
      <c r="M438" s="25">
        <v>0.05</v>
      </c>
      <c r="N438" s="22"/>
      <c r="O438" s="23" t="s">
        <v>101</v>
      </c>
      <c r="P438" s="20">
        <f t="shared" ref="P438:P443" si="87">(C438+(E438*F438*H438))-N438</f>
        <v>0</v>
      </c>
      <c r="Q438" s="23" t="s">
        <v>101</v>
      </c>
      <c r="R438" s="24">
        <f t="shared" ref="R438:R443" si="88">P438*(J438-(J438*L438)-((J438-(J438*L438))*M438))</f>
        <v>0</v>
      </c>
      <c r="S438" s="24">
        <f t="shared" ref="S438:S520" si="89">R438/1.11</f>
        <v>0</v>
      </c>
    </row>
    <row r="439" spans="1:19" s="19" customFormat="1">
      <c r="A439" s="18" t="s">
        <v>328</v>
      </c>
      <c r="B439" s="19" t="s">
        <v>18</v>
      </c>
      <c r="C439" s="20"/>
      <c r="D439" s="21" t="s">
        <v>101</v>
      </c>
      <c r="E439" s="26"/>
      <c r="F439" s="22">
        <v>1</v>
      </c>
      <c r="G439" s="23" t="s">
        <v>20</v>
      </c>
      <c r="H439" s="22">
        <v>160</v>
      </c>
      <c r="I439" s="23" t="s">
        <v>101</v>
      </c>
      <c r="J439" s="24">
        <v>5400</v>
      </c>
      <c r="K439" s="21" t="s">
        <v>101</v>
      </c>
      <c r="L439" s="25">
        <v>0.125</v>
      </c>
      <c r="M439" s="25">
        <v>0.05</v>
      </c>
      <c r="N439" s="22"/>
      <c r="O439" s="23" t="s">
        <v>101</v>
      </c>
      <c r="P439" s="20">
        <f t="shared" si="87"/>
        <v>0</v>
      </c>
      <c r="Q439" s="23" t="s">
        <v>101</v>
      </c>
      <c r="R439" s="24">
        <f t="shared" si="88"/>
        <v>0</v>
      </c>
      <c r="S439" s="24">
        <f t="shared" si="89"/>
        <v>0</v>
      </c>
    </row>
    <row r="440" spans="1:19" s="19" customFormat="1">
      <c r="A440" s="18" t="s">
        <v>329</v>
      </c>
      <c r="B440" s="19" t="s">
        <v>18</v>
      </c>
      <c r="C440" s="20"/>
      <c r="D440" s="21" t="s">
        <v>101</v>
      </c>
      <c r="E440" s="26">
        <v>1</v>
      </c>
      <c r="F440" s="22">
        <v>1</v>
      </c>
      <c r="G440" s="23" t="s">
        <v>20</v>
      </c>
      <c r="H440" s="22">
        <v>192</v>
      </c>
      <c r="I440" s="23" t="s">
        <v>101</v>
      </c>
      <c r="J440" s="24">
        <v>3600</v>
      </c>
      <c r="K440" s="21" t="s">
        <v>101</v>
      </c>
      <c r="L440" s="25">
        <v>0.125</v>
      </c>
      <c r="M440" s="25">
        <v>0.05</v>
      </c>
      <c r="N440" s="22"/>
      <c r="O440" s="23" t="s">
        <v>101</v>
      </c>
      <c r="P440" s="20">
        <f t="shared" si="87"/>
        <v>192</v>
      </c>
      <c r="Q440" s="23" t="s">
        <v>101</v>
      </c>
      <c r="R440" s="24">
        <f t="shared" si="88"/>
        <v>574560</v>
      </c>
      <c r="S440" s="24">
        <f t="shared" si="89"/>
        <v>517621.6216216216</v>
      </c>
    </row>
    <row r="441" spans="1:19" s="19" customFormat="1">
      <c r="A441" s="18" t="s">
        <v>330</v>
      </c>
      <c r="B441" s="19" t="s">
        <v>18</v>
      </c>
      <c r="C441" s="20"/>
      <c r="D441" s="21" t="s">
        <v>101</v>
      </c>
      <c r="E441" s="26"/>
      <c r="F441" s="22">
        <v>1</v>
      </c>
      <c r="G441" s="23" t="s">
        <v>20</v>
      </c>
      <c r="H441" s="22">
        <v>96</v>
      </c>
      <c r="I441" s="23" t="s">
        <v>101</v>
      </c>
      <c r="J441" s="24">
        <v>7000</v>
      </c>
      <c r="K441" s="21" t="s">
        <v>101</v>
      </c>
      <c r="L441" s="25">
        <v>0.125</v>
      </c>
      <c r="M441" s="25">
        <v>0.05</v>
      </c>
      <c r="N441" s="22"/>
      <c r="O441" s="23" t="s">
        <v>101</v>
      </c>
      <c r="P441" s="20">
        <f t="shared" si="87"/>
        <v>0</v>
      </c>
      <c r="Q441" s="23" t="s">
        <v>101</v>
      </c>
      <c r="R441" s="24">
        <f t="shared" si="88"/>
        <v>0</v>
      </c>
      <c r="S441" s="24">
        <f t="shared" si="89"/>
        <v>0</v>
      </c>
    </row>
    <row r="442" spans="1:19" s="19" customFormat="1">
      <c r="A442" s="18" t="s">
        <v>786</v>
      </c>
      <c r="B442" s="19" t="s">
        <v>18</v>
      </c>
      <c r="C442" s="20"/>
      <c r="D442" s="21" t="s">
        <v>101</v>
      </c>
      <c r="E442" s="26"/>
      <c r="F442" s="22">
        <v>1</v>
      </c>
      <c r="G442" s="23" t="s">
        <v>20</v>
      </c>
      <c r="H442" s="22">
        <v>160</v>
      </c>
      <c r="I442" s="23" t="s">
        <v>101</v>
      </c>
      <c r="J442" s="24">
        <v>5700</v>
      </c>
      <c r="K442" s="21" t="s">
        <v>101</v>
      </c>
      <c r="L442" s="25">
        <v>0.125</v>
      </c>
      <c r="M442" s="25">
        <v>0.05</v>
      </c>
      <c r="N442" s="22"/>
      <c r="O442" s="23" t="s">
        <v>101</v>
      </c>
      <c r="P442" s="20">
        <f t="shared" si="87"/>
        <v>0</v>
      </c>
      <c r="Q442" s="23" t="s">
        <v>101</v>
      </c>
      <c r="R442" s="24">
        <f t="shared" si="88"/>
        <v>0</v>
      </c>
      <c r="S442" s="24">
        <f t="shared" si="89"/>
        <v>0</v>
      </c>
    </row>
    <row r="443" spans="1:19" s="19" customFormat="1">
      <c r="A443" s="18" t="s">
        <v>331</v>
      </c>
      <c r="B443" s="19" t="s">
        <v>18</v>
      </c>
      <c r="C443" s="20"/>
      <c r="D443" s="21" t="s">
        <v>101</v>
      </c>
      <c r="E443" s="26"/>
      <c r="F443" s="22">
        <v>1</v>
      </c>
      <c r="G443" s="23" t="s">
        <v>20</v>
      </c>
      <c r="H443" s="22">
        <v>80</v>
      </c>
      <c r="I443" s="23" t="s">
        <v>101</v>
      </c>
      <c r="J443" s="24">
        <v>10800</v>
      </c>
      <c r="K443" s="21" t="s">
        <v>101</v>
      </c>
      <c r="L443" s="25">
        <v>0.125</v>
      </c>
      <c r="M443" s="25">
        <v>0.05</v>
      </c>
      <c r="N443" s="22"/>
      <c r="O443" s="23" t="s">
        <v>101</v>
      </c>
      <c r="P443" s="20">
        <f t="shared" si="87"/>
        <v>0</v>
      </c>
      <c r="Q443" s="23" t="s">
        <v>101</v>
      </c>
      <c r="R443" s="24">
        <f t="shared" si="88"/>
        <v>0</v>
      </c>
      <c r="S443" s="24">
        <f t="shared" si="89"/>
        <v>0</v>
      </c>
    </row>
    <row r="444" spans="1:19" s="19" customFormat="1">
      <c r="A444" s="18"/>
      <c r="C444" s="20"/>
      <c r="D444" s="21"/>
      <c r="E444" s="26"/>
      <c r="F444" s="22"/>
      <c r="G444" s="23"/>
      <c r="H444" s="22"/>
      <c r="I444" s="23"/>
      <c r="J444" s="24"/>
      <c r="K444" s="21"/>
      <c r="L444" s="25"/>
      <c r="M444" s="25"/>
      <c r="N444" s="22"/>
      <c r="O444" s="23"/>
      <c r="P444" s="20"/>
      <c r="Q444" s="23"/>
      <c r="R444" s="24"/>
      <c r="S444" s="24"/>
    </row>
    <row r="445" spans="1:19" s="19" customFormat="1">
      <c r="A445" s="18" t="s">
        <v>332</v>
      </c>
      <c r="B445" s="19" t="s">
        <v>25</v>
      </c>
      <c r="C445" s="20"/>
      <c r="D445" s="21" t="s">
        <v>101</v>
      </c>
      <c r="E445" s="26">
        <v>1</v>
      </c>
      <c r="F445" s="22">
        <v>1</v>
      </c>
      <c r="G445" s="23" t="s">
        <v>20</v>
      </c>
      <c r="H445" s="22">
        <v>192</v>
      </c>
      <c r="I445" s="23" t="s">
        <v>101</v>
      </c>
      <c r="J445" s="24">
        <f>844800/192</f>
        <v>4400</v>
      </c>
      <c r="K445" s="21" t="s">
        <v>101</v>
      </c>
      <c r="L445" s="25"/>
      <c r="M445" s="25">
        <v>0.17</v>
      </c>
      <c r="N445" s="22"/>
      <c r="O445" s="23" t="s">
        <v>101</v>
      </c>
      <c r="P445" s="20">
        <f>(C445+(E445*F445*H445))-N445</f>
        <v>192</v>
      </c>
      <c r="Q445" s="23" t="s">
        <v>101</v>
      </c>
      <c r="R445" s="24">
        <f>P445*(J445-(J445*L445)-((J445-(J445*L445))*M445))</f>
        <v>701184</v>
      </c>
      <c r="S445" s="24">
        <f t="shared" si="89"/>
        <v>631697.29729729728</v>
      </c>
    </row>
    <row r="446" spans="1:19" s="19" customFormat="1">
      <c r="A446" s="18" t="s">
        <v>333</v>
      </c>
      <c r="B446" s="19" t="s">
        <v>25</v>
      </c>
      <c r="C446" s="20"/>
      <c r="D446" s="21" t="s">
        <v>101</v>
      </c>
      <c r="E446" s="26"/>
      <c r="F446" s="22">
        <v>1</v>
      </c>
      <c r="G446" s="23" t="s">
        <v>20</v>
      </c>
      <c r="H446" s="22">
        <v>96</v>
      </c>
      <c r="I446" s="23" t="s">
        <v>101</v>
      </c>
      <c r="J446" s="24">
        <f>801600/96</f>
        <v>8350</v>
      </c>
      <c r="K446" s="21" t="s">
        <v>101</v>
      </c>
      <c r="L446" s="25"/>
      <c r="M446" s="25">
        <v>0.17</v>
      </c>
      <c r="N446" s="22"/>
      <c r="O446" s="23" t="s">
        <v>101</v>
      </c>
      <c r="P446" s="20">
        <f>(C446+(E446*F446*H446))-N446</f>
        <v>0</v>
      </c>
      <c r="Q446" s="23" t="s">
        <v>101</v>
      </c>
      <c r="R446" s="24">
        <f>P446*(J446-(J446*L446)-((J446-(J446*L446))*M446))</f>
        <v>0</v>
      </c>
      <c r="S446" s="24">
        <f t="shared" si="89"/>
        <v>0</v>
      </c>
    </row>
    <row r="447" spans="1:19" s="19" customFormat="1">
      <c r="A447" s="18" t="s">
        <v>334</v>
      </c>
      <c r="B447" s="19" t="s">
        <v>25</v>
      </c>
      <c r="C447" s="20"/>
      <c r="D447" s="21" t="s">
        <v>101</v>
      </c>
      <c r="E447" s="26"/>
      <c r="F447" s="22">
        <v>1</v>
      </c>
      <c r="G447" s="23" t="s">
        <v>20</v>
      </c>
      <c r="H447" s="22">
        <v>160</v>
      </c>
      <c r="I447" s="23" t="s">
        <v>101</v>
      </c>
      <c r="J447" s="24">
        <f>1104000/160</f>
        <v>6900</v>
      </c>
      <c r="K447" s="21" t="s">
        <v>101</v>
      </c>
      <c r="L447" s="25"/>
      <c r="M447" s="25">
        <v>0.17</v>
      </c>
      <c r="N447" s="22"/>
      <c r="O447" s="23" t="s">
        <v>101</v>
      </c>
      <c r="P447" s="20">
        <f>(C447+(E447*F447*H447))-N447</f>
        <v>0</v>
      </c>
      <c r="Q447" s="23" t="s">
        <v>101</v>
      </c>
      <c r="R447" s="24">
        <f>P447*(J447-(J447*L447)-((J447-(J447*L447))*M447))</f>
        <v>0</v>
      </c>
      <c r="S447" s="24">
        <f t="shared" si="89"/>
        <v>0</v>
      </c>
    </row>
    <row r="448" spans="1:19" s="19" customFormat="1">
      <c r="A448" s="18" t="s">
        <v>335</v>
      </c>
      <c r="B448" s="19" t="s">
        <v>25</v>
      </c>
      <c r="C448" s="20"/>
      <c r="D448" s="21" t="s">
        <v>101</v>
      </c>
      <c r="E448" s="26">
        <v>1</v>
      </c>
      <c r="F448" s="22">
        <v>1</v>
      </c>
      <c r="G448" s="23" t="s">
        <v>20</v>
      </c>
      <c r="H448" s="22">
        <v>80</v>
      </c>
      <c r="I448" s="23" t="s">
        <v>101</v>
      </c>
      <c r="J448" s="24">
        <f>1040000/80</f>
        <v>13000</v>
      </c>
      <c r="K448" s="21" t="s">
        <v>101</v>
      </c>
      <c r="L448" s="25"/>
      <c r="M448" s="25">
        <v>0.17</v>
      </c>
      <c r="N448" s="22"/>
      <c r="O448" s="23" t="s">
        <v>101</v>
      </c>
      <c r="P448" s="20">
        <f>(C448+(E448*F448*H448))-N448</f>
        <v>80</v>
      </c>
      <c r="Q448" s="23" t="s">
        <v>101</v>
      </c>
      <c r="R448" s="24">
        <f>P448*(J448-(J448*L448)-((J448-(J448*L448))*M448))</f>
        <v>863200</v>
      </c>
      <c r="S448" s="24">
        <f t="shared" si="89"/>
        <v>777657.65765765763</v>
      </c>
    </row>
    <row r="449" spans="1:20" s="19" customFormat="1">
      <c r="A449" s="18"/>
      <c r="C449" s="20"/>
      <c r="D449" s="21"/>
      <c r="E449" s="26"/>
      <c r="F449" s="22"/>
      <c r="G449" s="23"/>
      <c r="H449" s="22"/>
      <c r="I449" s="23"/>
      <c r="J449" s="24"/>
      <c r="K449" s="21"/>
      <c r="L449" s="25"/>
      <c r="M449" s="25"/>
      <c r="N449" s="22"/>
      <c r="O449" s="23"/>
      <c r="P449" s="20"/>
      <c r="Q449" s="23"/>
      <c r="R449" s="24"/>
      <c r="S449" s="24"/>
    </row>
    <row r="450" spans="1:20" s="19" customFormat="1" ht="15.75">
      <c r="A450" s="44" t="s">
        <v>807</v>
      </c>
      <c r="C450" s="20"/>
      <c r="D450" s="21"/>
      <c r="E450" s="26"/>
      <c r="F450" s="22"/>
      <c r="G450" s="23"/>
      <c r="H450" s="22"/>
      <c r="I450" s="23"/>
      <c r="J450" s="24"/>
      <c r="K450" s="21"/>
      <c r="L450" s="90"/>
      <c r="M450" s="90"/>
      <c r="N450" s="22"/>
      <c r="O450" s="23"/>
      <c r="P450" s="20"/>
      <c r="Q450" s="23"/>
      <c r="R450" s="24"/>
      <c r="S450" s="24"/>
    </row>
    <row r="451" spans="1:20" s="19" customFormat="1">
      <c r="A451" s="18" t="s">
        <v>808</v>
      </c>
      <c r="B451" s="18" t="s">
        <v>178</v>
      </c>
      <c r="C451" s="60"/>
      <c r="D451" s="61" t="s">
        <v>19</v>
      </c>
      <c r="E451" s="62"/>
      <c r="F451" s="63">
        <v>1</v>
      </c>
      <c r="G451" s="58" t="s">
        <v>20</v>
      </c>
      <c r="H451" s="63">
        <v>10</v>
      </c>
      <c r="I451" s="58" t="s">
        <v>19</v>
      </c>
      <c r="J451" s="29">
        <v>55000</v>
      </c>
      <c r="K451" s="61" t="s">
        <v>19</v>
      </c>
      <c r="L451" s="64">
        <v>0.05</v>
      </c>
      <c r="M451" s="64"/>
      <c r="N451" s="63"/>
      <c r="O451" s="58" t="s">
        <v>19</v>
      </c>
      <c r="P451" s="60">
        <f>(C451+(E451*F451*H451))-N451</f>
        <v>0</v>
      </c>
      <c r="Q451" s="58" t="s">
        <v>19</v>
      </c>
      <c r="R451" s="29">
        <f>P451*(J451-(J451*L451)-((J451-(J451*L451))*M451))</f>
        <v>0</v>
      </c>
      <c r="S451" s="29">
        <f t="shared" ref="S451" si="90">R451/1.11</f>
        <v>0</v>
      </c>
    </row>
    <row r="452" spans="1:20" s="19" customFormat="1">
      <c r="A452" s="18"/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/>
    </row>
    <row r="453" spans="1:20" s="19" customFormat="1" ht="15.75">
      <c r="A453" s="44" t="s">
        <v>336</v>
      </c>
      <c r="C453" s="20"/>
      <c r="D453" s="21"/>
      <c r="E453" s="26"/>
      <c r="F453" s="22"/>
      <c r="G453" s="23"/>
      <c r="H453" s="22"/>
      <c r="I453" s="23"/>
      <c r="J453" s="24"/>
      <c r="K453" s="21"/>
      <c r="L453" s="90"/>
      <c r="M453" s="90"/>
      <c r="N453" s="22"/>
      <c r="O453" s="23"/>
      <c r="P453" s="20"/>
      <c r="Q453" s="23"/>
      <c r="R453" s="24"/>
      <c r="S453" s="24"/>
    </row>
    <row r="454" spans="1:20" s="19" customFormat="1">
      <c r="A454" s="88" t="s">
        <v>337</v>
      </c>
      <c r="C454" s="20"/>
      <c r="D454" s="21"/>
      <c r="E454" s="26"/>
      <c r="F454" s="22"/>
      <c r="G454" s="23"/>
      <c r="H454" s="22"/>
      <c r="I454" s="23"/>
      <c r="J454" s="24"/>
      <c r="K454" s="21"/>
      <c r="L454" s="90"/>
      <c r="M454" s="90"/>
      <c r="N454" s="22"/>
      <c r="O454" s="23"/>
      <c r="P454" s="20"/>
      <c r="Q454" s="23"/>
      <c r="R454" s="24"/>
      <c r="S454" s="24"/>
    </row>
    <row r="455" spans="1:20" s="19" customFormat="1">
      <c r="A455" s="18" t="s">
        <v>338</v>
      </c>
      <c r="B455" s="19" t="s">
        <v>18</v>
      </c>
      <c r="C455" s="20"/>
      <c r="D455" s="21" t="s">
        <v>19</v>
      </c>
      <c r="E455" s="26"/>
      <c r="F455" s="22">
        <v>1</v>
      </c>
      <c r="G455" s="23" t="s">
        <v>20</v>
      </c>
      <c r="H455" s="22">
        <v>24</v>
      </c>
      <c r="I455" s="23" t="s">
        <v>19</v>
      </c>
      <c r="J455" s="24">
        <v>35000</v>
      </c>
      <c r="K455" s="21" t="s">
        <v>19</v>
      </c>
      <c r="L455" s="25">
        <v>0.125</v>
      </c>
      <c r="M455" s="25">
        <v>0.05</v>
      </c>
      <c r="N455" s="22"/>
      <c r="O455" s="23" t="s">
        <v>19</v>
      </c>
      <c r="P455" s="20">
        <f>(C455+(E455*F455*H455))-N455</f>
        <v>0</v>
      </c>
      <c r="Q455" s="23" t="s">
        <v>19</v>
      </c>
      <c r="R455" s="24">
        <f>P455*(J455-(J455*L455)-((J455-(J455*L455))*M455))</f>
        <v>0</v>
      </c>
      <c r="S455" s="24">
        <f t="shared" si="89"/>
        <v>0</v>
      </c>
    </row>
    <row r="456" spans="1:20" s="19" customFormat="1">
      <c r="A456" s="18" t="s">
        <v>339</v>
      </c>
      <c r="B456" s="19" t="s">
        <v>18</v>
      </c>
      <c r="C456" s="20"/>
      <c r="D456" s="21" t="s">
        <v>19</v>
      </c>
      <c r="E456" s="26"/>
      <c r="F456" s="22">
        <v>1</v>
      </c>
      <c r="G456" s="23" t="s">
        <v>20</v>
      </c>
      <c r="H456" s="22">
        <v>72</v>
      </c>
      <c r="I456" s="23" t="s">
        <v>19</v>
      </c>
      <c r="J456" s="24">
        <v>15800</v>
      </c>
      <c r="K456" s="21" t="s">
        <v>19</v>
      </c>
      <c r="L456" s="25">
        <v>0.125</v>
      </c>
      <c r="M456" s="25">
        <v>0.05</v>
      </c>
      <c r="N456" s="22"/>
      <c r="O456" s="23" t="s">
        <v>19</v>
      </c>
      <c r="P456" s="20">
        <f>(C456+(E456*F456*H456))-N456</f>
        <v>0</v>
      </c>
      <c r="Q456" s="23" t="s">
        <v>19</v>
      </c>
      <c r="R456" s="24">
        <f>P456*(J456-(J456*L456)-((J456-(J456*L456))*M456))</f>
        <v>0</v>
      </c>
      <c r="S456" s="24">
        <f t="shared" si="89"/>
        <v>0</v>
      </c>
      <c r="T456" s="24"/>
    </row>
    <row r="457" spans="1:20" s="19" customFormat="1">
      <c r="A457" s="18" t="s">
        <v>340</v>
      </c>
      <c r="B457" s="19" t="s">
        <v>18</v>
      </c>
      <c r="C457" s="20"/>
      <c r="D457" s="21" t="s">
        <v>19</v>
      </c>
      <c r="E457" s="26"/>
      <c r="F457" s="22">
        <v>1</v>
      </c>
      <c r="G457" s="23" t="s">
        <v>20</v>
      </c>
      <c r="H457" s="22">
        <v>72</v>
      </c>
      <c r="I457" s="23" t="s">
        <v>19</v>
      </c>
      <c r="J457" s="24">
        <v>15800</v>
      </c>
      <c r="K457" s="21" t="s">
        <v>19</v>
      </c>
      <c r="L457" s="25">
        <v>0.125</v>
      </c>
      <c r="M457" s="25">
        <v>0.05</v>
      </c>
      <c r="N457" s="22"/>
      <c r="O457" s="23" t="s">
        <v>19</v>
      </c>
      <c r="P457" s="20">
        <f>(C457+(E457*F457*H457))-N457</f>
        <v>0</v>
      </c>
      <c r="Q457" s="23" t="s">
        <v>19</v>
      </c>
      <c r="R457" s="24">
        <f>P457*(J457-(J457*L457)-((J457-(J457*L457))*M457))</f>
        <v>0</v>
      </c>
      <c r="S457" s="24">
        <f t="shared" si="89"/>
        <v>0</v>
      </c>
      <c r="T457" s="24"/>
    </row>
    <row r="458" spans="1:20" s="19" customFormat="1">
      <c r="A458" s="18" t="s">
        <v>341</v>
      </c>
      <c r="B458" s="19" t="s">
        <v>18</v>
      </c>
      <c r="C458" s="20"/>
      <c r="D458" s="21" t="s">
        <v>19</v>
      </c>
      <c r="E458" s="26"/>
      <c r="F458" s="22">
        <v>1</v>
      </c>
      <c r="G458" s="23" t="s">
        <v>20</v>
      </c>
      <c r="H458" s="22">
        <v>72</v>
      </c>
      <c r="I458" s="23" t="s">
        <v>19</v>
      </c>
      <c r="J458" s="24">
        <v>20700</v>
      </c>
      <c r="K458" s="21" t="s">
        <v>19</v>
      </c>
      <c r="L458" s="25">
        <v>0.125</v>
      </c>
      <c r="M458" s="25">
        <v>0.05</v>
      </c>
      <c r="N458" s="22"/>
      <c r="O458" s="23" t="s">
        <v>19</v>
      </c>
      <c r="P458" s="20">
        <f>(C458+(E458*F458*H458))-N458</f>
        <v>0</v>
      </c>
      <c r="Q458" s="23" t="s">
        <v>19</v>
      </c>
      <c r="R458" s="24">
        <f>P458*(J458-(J458*L458)-((J458-(J458*L458))*M458))</f>
        <v>0</v>
      </c>
      <c r="S458" s="24">
        <f t="shared" si="89"/>
        <v>0</v>
      </c>
    </row>
    <row r="459" spans="1:20" s="19" customFormat="1">
      <c r="A459" s="18" t="s">
        <v>342</v>
      </c>
      <c r="B459" s="19" t="s">
        <v>18</v>
      </c>
      <c r="C459" s="20"/>
      <c r="D459" s="21" t="s">
        <v>19</v>
      </c>
      <c r="E459" s="26"/>
      <c r="F459" s="22">
        <v>1</v>
      </c>
      <c r="G459" s="23" t="s">
        <v>20</v>
      </c>
      <c r="H459" s="22">
        <v>72</v>
      </c>
      <c r="I459" s="23" t="s">
        <v>19</v>
      </c>
      <c r="J459" s="24">
        <v>20700</v>
      </c>
      <c r="K459" s="21" t="s">
        <v>19</v>
      </c>
      <c r="L459" s="25">
        <v>0.125</v>
      </c>
      <c r="M459" s="25">
        <v>0.05</v>
      </c>
      <c r="N459" s="22"/>
      <c r="O459" s="23" t="s">
        <v>19</v>
      </c>
      <c r="P459" s="20">
        <f>(C459+(E459*F459*H459))-N459</f>
        <v>0</v>
      </c>
      <c r="Q459" s="23" t="s">
        <v>19</v>
      </c>
      <c r="R459" s="24">
        <f>P459*(J459-(J459*L459)-((J459-(J459*L459))*M459))</f>
        <v>0</v>
      </c>
      <c r="S459" s="24">
        <f t="shared" si="89"/>
        <v>0</v>
      </c>
    </row>
    <row r="460" spans="1:20" s="19" customFormat="1">
      <c r="A460" s="18"/>
      <c r="C460" s="20"/>
      <c r="D460" s="21"/>
      <c r="E460" s="26"/>
      <c r="F460" s="22"/>
      <c r="G460" s="23"/>
      <c r="H460" s="22"/>
      <c r="I460" s="23"/>
      <c r="J460" s="24"/>
      <c r="K460" s="21"/>
      <c r="L460" s="25"/>
      <c r="M460" s="25"/>
      <c r="N460" s="22"/>
      <c r="O460" s="23"/>
      <c r="P460" s="20"/>
      <c r="Q460" s="23"/>
      <c r="R460" s="24"/>
      <c r="S460" s="24"/>
    </row>
    <row r="461" spans="1:20" s="19" customFormat="1">
      <c r="A461" s="18" t="s">
        <v>343</v>
      </c>
      <c r="B461" s="19" t="s">
        <v>25</v>
      </c>
      <c r="C461" s="20"/>
      <c r="D461" s="21" t="s">
        <v>19</v>
      </c>
      <c r="E461" s="26"/>
      <c r="F461" s="22">
        <v>1</v>
      </c>
      <c r="G461" s="23" t="s">
        <v>20</v>
      </c>
      <c r="H461" s="22">
        <v>72</v>
      </c>
      <c r="I461" s="23" t="s">
        <v>19</v>
      </c>
      <c r="J461" s="24">
        <f>1310400/72</f>
        <v>18200</v>
      </c>
      <c r="K461" s="21" t="s">
        <v>19</v>
      </c>
      <c r="L461" s="25"/>
      <c r="M461" s="25">
        <v>0.17</v>
      </c>
      <c r="N461" s="22"/>
      <c r="O461" s="23" t="s">
        <v>19</v>
      </c>
      <c r="P461" s="20">
        <f>(C461+(E461*F461*H461))-N461</f>
        <v>0</v>
      </c>
      <c r="Q461" s="23" t="s">
        <v>19</v>
      </c>
      <c r="R461" s="24">
        <f>P461*(J461-(J461*L461)-((J461-(J461*L461))*M461))</f>
        <v>0</v>
      </c>
      <c r="S461" s="24">
        <f t="shared" si="89"/>
        <v>0</v>
      </c>
    </row>
    <row r="462" spans="1:20" s="19" customFormat="1">
      <c r="A462" s="18" t="s">
        <v>344</v>
      </c>
      <c r="B462" s="19" t="s">
        <v>25</v>
      </c>
      <c r="C462" s="20"/>
      <c r="D462" s="21" t="s">
        <v>19</v>
      </c>
      <c r="E462" s="26"/>
      <c r="F462" s="22">
        <v>1</v>
      </c>
      <c r="G462" s="23" t="s">
        <v>20</v>
      </c>
      <c r="H462" s="22">
        <v>72</v>
      </c>
      <c r="I462" s="23" t="s">
        <v>19</v>
      </c>
      <c r="J462" s="24">
        <f>1512000/72</f>
        <v>21000</v>
      </c>
      <c r="K462" s="21" t="s">
        <v>19</v>
      </c>
      <c r="L462" s="25">
        <v>0.125</v>
      </c>
      <c r="M462" s="25">
        <v>0.05</v>
      </c>
      <c r="N462" s="22"/>
      <c r="O462" s="23" t="s">
        <v>19</v>
      </c>
      <c r="P462" s="20">
        <f>(C462+(E462*F462*H462))-N462</f>
        <v>0</v>
      </c>
      <c r="Q462" s="23" t="s">
        <v>19</v>
      </c>
      <c r="R462" s="24">
        <f>P462*(J462-(J462*L462)-((J462-(J462*L462))*M462))</f>
        <v>0</v>
      </c>
      <c r="S462" s="24">
        <f t="shared" si="89"/>
        <v>0</v>
      </c>
    </row>
    <row r="463" spans="1:20" s="19" customFormat="1">
      <c r="A463" s="18" t="s">
        <v>814</v>
      </c>
      <c r="B463" s="19" t="s">
        <v>25</v>
      </c>
      <c r="C463" s="20"/>
      <c r="D463" s="21" t="s">
        <v>19</v>
      </c>
      <c r="E463" s="26"/>
      <c r="F463" s="22">
        <v>1</v>
      </c>
      <c r="G463" s="23" t="s">
        <v>20</v>
      </c>
      <c r="H463" s="22">
        <v>72</v>
      </c>
      <c r="I463" s="23" t="s">
        <v>19</v>
      </c>
      <c r="J463" s="24">
        <f>1224000/72</f>
        <v>17000</v>
      </c>
      <c r="K463" s="21" t="s">
        <v>19</v>
      </c>
      <c r="L463" s="25"/>
      <c r="M463" s="25">
        <v>0.17</v>
      </c>
      <c r="N463" s="22"/>
      <c r="O463" s="23" t="s">
        <v>19</v>
      </c>
      <c r="P463" s="20">
        <f>(C463+(E463*F463*H463))-N463</f>
        <v>0</v>
      </c>
      <c r="Q463" s="23" t="s">
        <v>19</v>
      </c>
      <c r="R463" s="24">
        <f>P463*(J463-(J463*L463)-((J463-(J463*L463))*M463))</f>
        <v>0</v>
      </c>
      <c r="S463" s="24">
        <f t="shared" si="89"/>
        <v>0</v>
      </c>
    </row>
    <row r="464" spans="1:20" s="19" customFormat="1">
      <c r="A464" s="18" t="s">
        <v>345</v>
      </c>
      <c r="B464" s="19" t="s">
        <v>25</v>
      </c>
      <c r="C464" s="20"/>
      <c r="D464" s="21" t="s">
        <v>19</v>
      </c>
      <c r="E464" s="26"/>
      <c r="F464" s="22">
        <v>1</v>
      </c>
      <c r="G464" s="23" t="s">
        <v>20</v>
      </c>
      <c r="H464" s="22">
        <v>120</v>
      </c>
      <c r="I464" s="23" t="s">
        <v>19</v>
      </c>
      <c r="J464" s="24">
        <v>9000</v>
      </c>
      <c r="K464" s="21" t="s">
        <v>19</v>
      </c>
      <c r="L464" s="25"/>
      <c r="M464" s="25">
        <v>0.17</v>
      </c>
      <c r="N464" s="22"/>
      <c r="O464" s="23" t="s">
        <v>19</v>
      </c>
      <c r="P464" s="20">
        <f>(C464+(E464*F464*H464))-N464</f>
        <v>0</v>
      </c>
      <c r="Q464" s="23" t="s">
        <v>19</v>
      </c>
      <c r="R464" s="24">
        <f>P464*(J464-(J464*L464)-((J464-(J464*L464))*M464))</f>
        <v>0</v>
      </c>
      <c r="S464" s="24">
        <f t="shared" si="89"/>
        <v>0</v>
      </c>
    </row>
    <row r="465" spans="1:20" s="19" customFormat="1">
      <c r="A465" s="18"/>
      <c r="C465" s="20"/>
      <c r="D465" s="21"/>
      <c r="E465" s="26"/>
      <c r="F465" s="22"/>
      <c r="G465" s="23"/>
      <c r="H465" s="22"/>
      <c r="I465" s="23"/>
      <c r="J465" s="24"/>
      <c r="K465" s="21"/>
      <c r="L465" s="25"/>
      <c r="M465" s="25"/>
      <c r="N465" s="22"/>
      <c r="O465" s="23"/>
      <c r="P465" s="20"/>
      <c r="Q465" s="23"/>
      <c r="R465" s="24"/>
      <c r="S465" s="24"/>
    </row>
    <row r="466" spans="1:20" s="19" customFormat="1">
      <c r="A466" s="88" t="s">
        <v>346</v>
      </c>
      <c r="C466" s="20"/>
      <c r="D466" s="21"/>
      <c r="E466" s="26"/>
      <c r="F466" s="22"/>
      <c r="G466" s="23"/>
      <c r="H466" s="22"/>
      <c r="I466" s="23"/>
      <c r="J466" s="24"/>
      <c r="K466" s="21"/>
      <c r="L466" s="25"/>
      <c r="M466" s="25"/>
      <c r="N466" s="22"/>
      <c r="O466" s="23"/>
      <c r="P466" s="20"/>
      <c r="Q466" s="23"/>
      <c r="R466" s="24"/>
      <c r="S466" s="24"/>
    </row>
    <row r="467" spans="1:20" s="19" customFormat="1">
      <c r="A467" s="18" t="s">
        <v>347</v>
      </c>
      <c r="B467" s="19" t="s">
        <v>18</v>
      </c>
      <c r="C467" s="20"/>
      <c r="D467" s="21" t="s">
        <v>19</v>
      </c>
      <c r="E467" s="26"/>
      <c r="F467" s="22">
        <v>2</v>
      </c>
      <c r="G467" s="23" t="s">
        <v>33</v>
      </c>
      <c r="H467" s="22">
        <v>24</v>
      </c>
      <c r="I467" s="23" t="s">
        <v>19</v>
      </c>
      <c r="J467" s="24">
        <v>9200</v>
      </c>
      <c r="K467" s="21" t="s">
        <v>19</v>
      </c>
      <c r="L467" s="25">
        <v>0.125</v>
      </c>
      <c r="M467" s="25">
        <v>0.05</v>
      </c>
      <c r="N467" s="22"/>
      <c r="O467" s="23" t="s">
        <v>19</v>
      </c>
      <c r="P467" s="20">
        <f>(C467+(E467*F467*H467))-N467</f>
        <v>0</v>
      </c>
      <c r="Q467" s="23" t="s">
        <v>19</v>
      </c>
      <c r="R467" s="24">
        <f>P467*(J467-(J467*L467)-((J467-(J467*L467))*M467))</f>
        <v>0</v>
      </c>
      <c r="S467" s="24">
        <f t="shared" si="89"/>
        <v>0</v>
      </c>
    </row>
    <row r="468" spans="1:20" s="19" customFormat="1">
      <c r="A468" s="18" t="s">
        <v>763</v>
      </c>
      <c r="B468" s="19" t="s">
        <v>18</v>
      </c>
      <c r="C468" s="20"/>
      <c r="D468" s="21" t="s">
        <v>19</v>
      </c>
      <c r="E468" s="26"/>
      <c r="F468" s="22">
        <v>4</v>
      </c>
      <c r="G468" s="23" t="s">
        <v>33</v>
      </c>
      <c r="H468" s="22">
        <v>24</v>
      </c>
      <c r="I468" s="23" t="s">
        <v>19</v>
      </c>
      <c r="J468" s="24">
        <v>6300</v>
      </c>
      <c r="K468" s="21" t="s">
        <v>19</v>
      </c>
      <c r="L468" s="25">
        <v>0.125</v>
      </c>
      <c r="M468" s="25">
        <v>0.05</v>
      </c>
      <c r="N468" s="22"/>
      <c r="O468" s="23" t="s">
        <v>19</v>
      </c>
      <c r="P468" s="20">
        <f>(C468+(E468*F468*H468))-N468</f>
        <v>0</v>
      </c>
      <c r="Q468" s="23" t="s">
        <v>19</v>
      </c>
      <c r="R468" s="24">
        <f>P468*(J468-(J468*L468)-((J468-(J468*L468))*M468))</f>
        <v>0</v>
      </c>
      <c r="S468" s="24">
        <f t="shared" si="89"/>
        <v>0</v>
      </c>
    </row>
    <row r="469" spans="1:20" s="19" customFormat="1">
      <c r="A469" s="18"/>
      <c r="C469" s="20"/>
      <c r="D469" s="21"/>
      <c r="E469" s="26"/>
      <c r="F469" s="22"/>
      <c r="G469" s="23"/>
      <c r="H469" s="22"/>
      <c r="I469" s="23"/>
      <c r="J469" s="24"/>
      <c r="K469" s="21"/>
      <c r="L469" s="25"/>
      <c r="M469" s="25"/>
      <c r="N469" s="22"/>
      <c r="O469" s="23"/>
      <c r="P469" s="20"/>
      <c r="Q469" s="23"/>
      <c r="R469" s="24"/>
      <c r="S469" s="24"/>
    </row>
    <row r="470" spans="1:20" s="19" customFormat="1">
      <c r="A470" s="18" t="s">
        <v>348</v>
      </c>
      <c r="B470" s="19" t="s">
        <v>25</v>
      </c>
      <c r="C470" s="20"/>
      <c r="D470" s="21" t="s">
        <v>42</v>
      </c>
      <c r="E470" s="26">
        <v>1</v>
      </c>
      <c r="F470" s="22">
        <v>1</v>
      </c>
      <c r="G470" s="23" t="s">
        <v>20</v>
      </c>
      <c r="H470" s="22">
        <v>12</v>
      </c>
      <c r="I470" s="23" t="s">
        <v>42</v>
      </c>
      <c r="J470" s="24">
        <f>741600/12</f>
        <v>61800</v>
      </c>
      <c r="K470" s="21" t="s">
        <v>42</v>
      </c>
      <c r="L470" s="25"/>
      <c r="M470" s="25">
        <v>0.17</v>
      </c>
      <c r="N470" s="22"/>
      <c r="O470" s="23" t="s">
        <v>42</v>
      </c>
      <c r="P470" s="20">
        <f>(C470+(E470*F470*H470))-N470</f>
        <v>12</v>
      </c>
      <c r="Q470" s="23" t="s">
        <v>42</v>
      </c>
      <c r="R470" s="24">
        <f>P470*(J470-(J470*L470)-((J470-(J470*L470))*M470))</f>
        <v>615528</v>
      </c>
      <c r="S470" s="24">
        <f t="shared" si="89"/>
        <v>554529.7297297297</v>
      </c>
    </row>
    <row r="471" spans="1:20" s="19" customFormat="1">
      <c r="A471" s="18" t="s">
        <v>349</v>
      </c>
      <c r="B471" s="19" t="s">
        <v>25</v>
      </c>
      <c r="C471" s="20"/>
      <c r="D471" s="21" t="s">
        <v>42</v>
      </c>
      <c r="E471" s="26">
        <v>1</v>
      </c>
      <c r="F471" s="22">
        <v>1</v>
      </c>
      <c r="G471" s="23" t="s">
        <v>20</v>
      </c>
      <c r="H471" s="22">
        <v>20</v>
      </c>
      <c r="I471" s="23" t="s">
        <v>42</v>
      </c>
      <c r="J471" s="24">
        <f>804000/20</f>
        <v>40200</v>
      </c>
      <c r="K471" s="21" t="s">
        <v>42</v>
      </c>
      <c r="L471" s="25"/>
      <c r="M471" s="25">
        <v>0.17</v>
      </c>
      <c r="N471" s="22"/>
      <c r="O471" s="23" t="s">
        <v>42</v>
      </c>
      <c r="P471" s="20">
        <f>(C471+(E471*F471*H471))-N471</f>
        <v>20</v>
      </c>
      <c r="Q471" s="23" t="s">
        <v>42</v>
      </c>
      <c r="R471" s="24">
        <f>P471*(J471-(J471*L471)-((J471-(J471*L471))*M471))</f>
        <v>667320</v>
      </c>
      <c r="S471" s="24">
        <f t="shared" si="89"/>
        <v>601189.18918918911</v>
      </c>
    </row>
    <row r="472" spans="1:20" s="19" customFormat="1">
      <c r="A472" s="18" t="s">
        <v>350</v>
      </c>
      <c r="B472" s="19" t="s">
        <v>25</v>
      </c>
      <c r="C472" s="20"/>
      <c r="D472" s="21" t="s">
        <v>42</v>
      </c>
      <c r="E472" s="26" t="s">
        <v>854</v>
      </c>
      <c r="F472" s="22">
        <v>1</v>
      </c>
      <c r="G472" s="23" t="s">
        <v>20</v>
      </c>
      <c r="H472" s="22">
        <v>6</v>
      </c>
      <c r="I472" s="23" t="s">
        <v>42</v>
      </c>
      <c r="J472" s="24">
        <f>810000/6</f>
        <v>135000</v>
      </c>
      <c r="K472" s="21" t="s">
        <v>42</v>
      </c>
      <c r="L472" s="25"/>
      <c r="M472" s="25">
        <v>0.17</v>
      </c>
      <c r="N472" s="22"/>
      <c r="O472" s="23" t="s">
        <v>42</v>
      </c>
      <c r="P472" s="20" t="e">
        <f>(C472+(E472*F472*H472))-N472</f>
        <v>#VALUE!</v>
      </c>
      <c r="Q472" s="23" t="s">
        <v>42</v>
      </c>
      <c r="R472" s="24" t="e">
        <f>P472*(J472-(J472*L472)-((J472-(J472*L472))*M472))</f>
        <v>#VALUE!</v>
      </c>
      <c r="S472" s="24" t="e">
        <f t="shared" si="89"/>
        <v>#VALUE!</v>
      </c>
    </row>
    <row r="473" spans="1:20" s="19" customFormat="1">
      <c r="A473" s="18"/>
      <c r="C473" s="20"/>
      <c r="D473" s="21"/>
      <c r="E473" s="26"/>
      <c r="F473" s="22"/>
      <c r="G473" s="23"/>
      <c r="H473" s="22"/>
      <c r="I473" s="23"/>
      <c r="J473" s="24"/>
      <c r="K473" s="21"/>
      <c r="L473" s="25"/>
      <c r="M473" s="25"/>
      <c r="N473" s="22"/>
      <c r="O473" s="23"/>
      <c r="P473" s="20"/>
      <c r="Q473" s="23"/>
      <c r="R473" s="24"/>
      <c r="S473" s="24"/>
    </row>
    <row r="474" spans="1:20" s="19" customFormat="1">
      <c r="A474" s="88" t="s">
        <v>351</v>
      </c>
      <c r="C474" s="20"/>
      <c r="D474" s="21"/>
      <c r="E474" s="26"/>
      <c r="F474" s="22"/>
      <c r="G474" s="23"/>
      <c r="H474" s="22"/>
      <c r="I474" s="23"/>
      <c r="J474" s="24"/>
      <c r="K474" s="21"/>
      <c r="L474" s="90"/>
      <c r="M474" s="90"/>
      <c r="N474" s="22"/>
      <c r="O474" s="23"/>
      <c r="P474" s="20"/>
      <c r="Q474" s="23"/>
      <c r="R474" s="24"/>
      <c r="S474" s="24"/>
    </row>
    <row r="475" spans="1:20" s="19" customFormat="1">
      <c r="A475" s="18" t="s">
        <v>352</v>
      </c>
      <c r="B475" s="19" t="s">
        <v>18</v>
      </c>
      <c r="C475" s="20"/>
      <c r="D475" s="21" t="s">
        <v>158</v>
      </c>
      <c r="E475" s="26"/>
      <c r="F475" s="22">
        <v>36</v>
      </c>
      <c r="G475" s="23" t="s">
        <v>33</v>
      </c>
      <c r="H475" s="22">
        <v>30</v>
      </c>
      <c r="I475" s="23" t="s">
        <v>158</v>
      </c>
      <c r="J475" s="24">
        <v>3200</v>
      </c>
      <c r="K475" s="21" t="s">
        <v>158</v>
      </c>
      <c r="L475" s="25">
        <v>0.125</v>
      </c>
      <c r="M475" s="25">
        <v>0.05</v>
      </c>
      <c r="N475" s="22"/>
      <c r="O475" s="23" t="s">
        <v>158</v>
      </c>
      <c r="P475" s="20">
        <f>(C475+(E475*F475*H475))-N475</f>
        <v>0</v>
      </c>
      <c r="Q475" s="23" t="s">
        <v>158</v>
      </c>
      <c r="R475" s="24">
        <f>P475*(J475-(J475*L475)-((J475-(J475*L475))*M475))</f>
        <v>0</v>
      </c>
      <c r="S475" s="24">
        <f t="shared" si="89"/>
        <v>0</v>
      </c>
      <c r="T475" s="24"/>
    </row>
    <row r="476" spans="1:20" s="19" customFormat="1">
      <c r="A476" s="18" t="s">
        <v>353</v>
      </c>
      <c r="B476" s="19" t="s">
        <v>18</v>
      </c>
      <c r="C476" s="20"/>
      <c r="D476" s="21" t="s">
        <v>158</v>
      </c>
      <c r="E476" s="26"/>
      <c r="F476" s="22">
        <v>36</v>
      </c>
      <c r="G476" s="23" t="s">
        <v>33</v>
      </c>
      <c r="H476" s="22">
        <v>30</v>
      </c>
      <c r="I476" s="23" t="s">
        <v>158</v>
      </c>
      <c r="J476" s="24">
        <v>2900</v>
      </c>
      <c r="K476" s="21" t="s">
        <v>158</v>
      </c>
      <c r="L476" s="25">
        <v>0.125</v>
      </c>
      <c r="M476" s="25">
        <v>0.05</v>
      </c>
      <c r="N476" s="22"/>
      <c r="O476" s="23" t="s">
        <v>158</v>
      </c>
      <c r="P476" s="20">
        <f>(C476+(E476*F476*H476))-N476</f>
        <v>0</v>
      </c>
      <c r="Q476" s="23" t="s">
        <v>158</v>
      </c>
      <c r="R476" s="24">
        <f>P476*(J476-(J476*L476)-((J476-(J476*L476))*M476))</f>
        <v>0</v>
      </c>
      <c r="S476" s="24">
        <f t="shared" si="89"/>
        <v>0</v>
      </c>
      <c r="T476" s="24"/>
    </row>
    <row r="477" spans="1:20" s="19" customFormat="1">
      <c r="A477" s="18"/>
      <c r="C477" s="20"/>
      <c r="D477" s="21"/>
      <c r="E477" s="26"/>
      <c r="F477" s="22"/>
      <c r="G477" s="23"/>
      <c r="H477" s="22"/>
      <c r="I477" s="23"/>
      <c r="J477" s="24"/>
      <c r="K477" s="21"/>
      <c r="L477" s="25"/>
      <c r="M477" s="25"/>
      <c r="N477" s="22"/>
      <c r="O477" s="23"/>
      <c r="P477" s="20"/>
      <c r="Q477" s="23"/>
      <c r="R477" s="24"/>
      <c r="S477" s="24"/>
    </row>
    <row r="478" spans="1:20" s="19" customFormat="1" ht="15.75">
      <c r="A478" s="44" t="s">
        <v>354</v>
      </c>
      <c r="C478" s="20"/>
      <c r="D478" s="21"/>
      <c r="E478" s="26"/>
      <c r="F478" s="22"/>
      <c r="G478" s="23"/>
      <c r="H478" s="22"/>
      <c r="I478" s="23"/>
      <c r="J478" s="24"/>
      <c r="K478" s="21"/>
      <c r="L478" s="25"/>
      <c r="M478" s="25"/>
      <c r="N478" s="22"/>
      <c r="O478" s="23"/>
      <c r="P478" s="20"/>
      <c r="Q478" s="23"/>
      <c r="R478" s="24"/>
      <c r="S478" s="24"/>
    </row>
    <row r="479" spans="1:20" s="19" customFormat="1">
      <c r="A479" s="59" t="s">
        <v>357</v>
      </c>
      <c r="B479" s="19" t="s">
        <v>18</v>
      </c>
      <c r="C479" s="20"/>
      <c r="D479" s="21" t="s">
        <v>101</v>
      </c>
      <c r="E479" s="26"/>
      <c r="F479" s="22">
        <v>1</v>
      </c>
      <c r="G479" s="23" t="s">
        <v>20</v>
      </c>
      <c r="H479" s="22">
        <v>100</v>
      </c>
      <c r="I479" s="23" t="s">
        <v>101</v>
      </c>
      <c r="J479" s="24">
        <v>7800</v>
      </c>
      <c r="K479" s="21" t="s">
        <v>101</v>
      </c>
      <c r="L479" s="25">
        <v>0.125</v>
      </c>
      <c r="M479" s="25">
        <v>0.05</v>
      </c>
      <c r="N479" s="22"/>
      <c r="O479" s="23" t="s">
        <v>101</v>
      </c>
      <c r="P479" s="20">
        <f>(C479+(E479*F479*H479))-N479</f>
        <v>0</v>
      </c>
      <c r="Q479" s="23" t="s">
        <v>101</v>
      </c>
      <c r="R479" s="24">
        <f>P479*(J479-(J479*L479)-((J479-(J479*L479))*M479))</f>
        <v>0</v>
      </c>
      <c r="S479" s="24">
        <f>R479/1.11</f>
        <v>0</v>
      </c>
      <c r="T479" s="24"/>
    </row>
    <row r="480" spans="1:20" s="19" customFormat="1">
      <c r="A480" s="59" t="s">
        <v>358</v>
      </c>
      <c r="B480" s="19" t="s">
        <v>18</v>
      </c>
      <c r="C480" s="20"/>
      <c r="D480" s="21" t="s">
        <v>101</v>
      </c>
      <c r="E480" s="26"/>
      <c r="F480" s="22">
        <v>1</v>
      </c>
      <c r="G480" s="23" t="s">
        <v>20</v>
      </c>
      <c r="H480" s="22">
        <v>100</v>
      </c>
      <c r="I480" s="23" t="s">
        <v>101</v>
      </c>
      <c r="J480" s="24">
        <v>7800</v>
      </c>
      <c r="K480" s="21" t="s">
        <v>101</v>
      </c>
      <c r="L480" s="25">
        <v>0.125</v>
      </c>
      <c r="M480" s="25">
        <v>0.05</v>
      </c>
      <c r="N480" s="22"/>
      <c r="O480" s="23" t="s">
        <v>101</v>
      </c>
      <c r="P480" s="20">
        <f>(C480+(E480*F480*H480))-N480</f>
        <v>0</v>
      </c>
      <c r="Q480" s="23" t="s">
        <v>101</v>
      </c>
      <c r="R480" s="24">
        <f>P480*(J480-(J480*L480)-((J480-(J480*L480))*M480))</f>
        <v>0</v>
      </c>
      <c r="S480" s="24">
        <f>R480/1.11</f>
        <v>0</v>
      </c>
      <c r="T480" s="24"/>
    </row>
    <row r="481" spans="1:20" s="19" customFormat="1">
      <c r="A481" s="59"/>
      <c r="C481" s="20"/>
      <c r="D481" s="21"/>
      <c r="E481" s="26"/>
      <c r="F481" s="22"/>
      <c r="G481" s="23"/>
      <c r="H481" s="22"/>
      <c r="I481" s="23"/>
      <c r="J481" s="24"/>
      <c r="K481" s="21"/>
      <c r="L481" s="25"/>
      <c r="M481" s="25"/>
      <c r="N481" s="22"/>
      <c r="O481" s="23"/>
      <c r="P481" s="20"/>
      <c r="Q481" s="23"/>
      <c r="R481" s="24"/>
      <c r="S481" s="24"/>
      <c r="T481" s="24"/>
    </row>
    <row r="482" spans="1:20" s="19" customFormat="1">
      <c r="A482" s="59" t="s">
        <v>355</v>
      </c>
      <c r="B482" s="19" t="s">
        <v>25</v>
      </c>
      <c r="C482" s="20"/>
      <c r="D482" s="21" t="s">
        <v>33</v>
      </c>
      <c r="E482" s="26"/>
      <c r="F482" s="22">
        <v>10</v>
      </c>
      <c r="G482" s="23" t="s">
        <v>101</v>
      </c>
      <c r="H482" s="22">
        <v>10</v>
      </c>
      <c r="I482" s="23" t="s">
        <v>33</v>
      </c>
      <c r="J482" s="24">
        <f>980000/100</f>
        <v>9800</v>
      </c>
      <c r="K482" s="21" t="s">
        <v>33</v>
      </c>
      <c r="L482" s="25"/>
      <c r="M482" s="25">
        <v>0.17</v>
      </c>
      <c r="N482" s="22"/>
      <c r="O482" s="23" t="s">
        <v>33</v>
      </c>
      <c r="P482" s="20">
        <f>(C482+(E482*F482*H482))-N482</f>
        <v>0</v>
      </c>
      <c r="Q482" s="23" t="s">
        <v>33</v>
      </c>
      <c r="R482" s="24">
        <f>P482*(J482-(J482*L482)-((J482-(J482*L482))*M482))</f>
        <v>0</v>
      </c>
      <c r="S482" s="24">
        <f t="shared" si="89"/>
        <v>0</v>
      </c>
    </row>
    <row r="483" spans="1:20" s="19" customFormat="1">
      <c r="A483" s="59" t="s">
        <v>356</v>
      </c>
      <c r="B483" s="19" t="s">
        <v>25</v>
      </c>
      <c r="C483" s="20"/>
      <c r="D483" s="21" t="s">
        <v>33</v>
      </c>
      <c r="E483" s="26"/>
      <c r="F483" s="22">
        <v>10</v>
      </c>
      <c r="G483" s="23" t="s">
        <v>101</v>
      </c>
      <c r="H483" s="22">
        <v>10</v>
      </c>
      <c r="I483" s="23" t="s">
        <v>33</v>
      </c>
      <c r="J483" s="24">
        <f>980000/100</f>
        <v>9800</v>
      </c>
      <c r="K483" s="21" t="s">
        <v>33</v>
      </c>
      <c r="L483" s="25"/>
      <c r="M483" s="25">
        <v>0.17</v>
      </c>
      <c r="N483" s="22"/>
      <c r="O483" s="23" t="s">
        <v>33</v>
      </c>
      <c r="P483" s="20">
        <f>(C483+(E483*F483*H483))-N483</f>
        <v>0</v>
      </c>
      <c r="Q483" s="23" t="s">
        <v>33</v>
      </c>
      <c r="R483" s="24">
        <f>P483*(J483-(J483*L483)-((J483-(J483*L483))*M483))</f>
        <v>0</v>
      </c>
      <c r="S483" s="24">
        <f t="shared" si="89"/>
        <v>0</v>
      </c>
    </row>
    <row r="484" spans="1:20" s="19" customFormat="1">
      <c r="A484" s="18"/>
      <c r="C484" s="20"/>
      <c r="D484" s="21"/>
      <c r="E484" s="26"/>
      <c r="F484" s="22"/>
      <c r="G484" s="23"/>
      <c r="H484" s="22"/>
      <c r="I484" s="23"/>
      <c r="J484" s="24"/>
      <c r="K484" s="21"/>
      <c r="L484" s="25"/>
      <c r="M484" s="25"/>
      <c r="N484" s="22"/>
      <c r="O484" s="23"/>
      <c r="P484" s="20"/>
      <c r="Q484" s="23"/>
      <c r="R484" s="24"/>
      <c r="S484" s="24"/>
    </row>
    <row r="485" spans="1:20" s="19" customFormat="1" ht="15.75">
      <c r="A485" s="44" t="s">
        <v>359</v>
      </c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20" s="19" customFormat="1">
      <c r="A486" s="88" t="s">
        <v>360</v>
      </c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/>
    </row>
    <row r="487" spans="1:20" s="19" customFormat="1">
      <c r="A487" s="18" t="s">
        <v>361</v>
      </c>
      <c r="B487" s="19" t="s">
        <v>18</v>
      </c>
      <c r="C487" s="20"/>
      <c r="D487" s="21" t="s">
        <v>42</v>
      </c>
      <c r="E487" s="26"/>
      <c r="F487" s="22">
        <v>1</v>
      </c>
      <c r="G487" s="23" t="s">
        <v>20</v>
      </c>
      <c r="H487" s="22">
        <v>144</v>
      </c>
      <c r="I487" s="23" t="s">
        <v>42</v>
      </c>
      <c r="J487" s="24">
        <v>28200</v>
      </c>
      <c r="K487" s="21" t="s">
        <v>42</v>
      </c>
      <c r="L487" s="25">
        <v>0.125</v>
      </c>
      <c r="M487" s="25">
        <v>0.05</v>
      </c>
      <c r="N487" s="22"/>
      <c r="O487" s="23" t="s">
        <v>42</v>
      </c>
      <c r="P487" s="20">
        <f t="shared" ref="P487:P496" si="91">(C487+(E487*F487*H487))-N487</f>
        <v>0</v>
      </c>
      <c r="Q487" s="23" t="s">
        <v>42</v>
      </c>
      <c r="R487" s="24">
        <f t="shared" ref="R487:R495" si="92">P487*(J487-(J487*L487)-((J487-(J487*L487))*M487))</f>
        <v>0</v>
      </c>
      <c r="S487" s="24">
        <f t="shared" si="89"/>
        <v>0</v>
      </c>
    </row>
    <row r="488" spans="1:20" s="19" customFormat="1">
      <c r="A488" s="18" t="s">
        <v>362</v>
      </c>
      <c r="B488" s="19" t="s">
        <v>18</v>
      </c>
      <c r="C488" s="20"/>
      <c r="D488" s="21" t="s">
        <v>42</v>
      </c>
      <c r="E488" s="26"/>
      <c r="F488" s="22">
        <v>1</v>
      </c>
      <c r="G488" s="23" t="s">
        <v>20</v>
      </c>
      <c r="H488" s="22">
        <v>144</v>
      </c>
      <c r="I488" s="23" t="s">
        <v>42</v>
      </c>
      <c r="J488" s="24">
        <v>7800</v>
      </c>
      <c r="K488" s="21" t="s">
        <v>42</v>
      </c>
      <c r="L488" s="25">
        <v>0.1</v>
      </c>
      <c r="M488" s="25">
        <v>0.05</v>
      </c>
      <c r="N488" s="22"/>
      <c r="O488" s="23" t="s">
        <v>42</v>
      </c>
      <c r="P488" s="20">
        <f t="shared" si="91"/>
        <v>0</v>
      </c>
      <c r="Q488" s="23" t="s">
        <v>42</v>
      </c>
      <c r="R488" s="24">
        <f t="shared" si="92"/>
        <v>0</v>
      </c>
      <c r="S488" s="24">
        <f t="shared" si="89"/>
        <v>0</v>
      </c>
    </row>
    <row r="489" spans="1:20" s="19" customFormat="1">
      <c r="A489" s="18" t="s">
        <v>363</v>
      </c>
      <c r="B489" s="19" t="s">
        <v>18</v>
      </c>
      <c r="C489" s="20"/>
      <c r="D489" s="21" t="s">
        <v>42</v>
      </c>
      <c r="E489" s="26"/>
      <c r="F489" s="22">
        <v>1</v>
      </c>
      <c r="G489" s="23" t="s">
        <v>20</v>
      </c>
      <c r="H489" s="22">
        <v>144</v>
      </c>
      <c r="I489" s="23" t="s">
        <v>42</v>
      </c>
      <c r="J489" s="24">
        <v>6900</v>
      </c>
      <c r="K489" s="21" t="s">
        <v>42</v>
      </c>
      <c r="L489" s="25">
        <v>0.125</v>
      </c>
      <c r="M489" s="25">
        <v>0.05</v>
      </c>
      <c r="N489" s="22"/>
      <c r="O489" s="23" t="s">
        <v>42</v>
      </c>
      <c r="P489" s="20">
        <f t="shared" si="91"/>
        <v>0</v>
      </c>
      <c r="Q489" s="23" t="s">
        <v>42</v>
      </c>
      <c r="R489" s="24">
        <f t="shared" si="92"/>
        <v>0</v>
      </c>
      <c r="S489" s="24">
        <f t="shared" si="89"/>
        <v>0</v>
      </c>
    </row>
    <row r="490" spans="1:20" s="19" customFormat="1">
      <c r="A490" s="18" t="s">
        <v>785</v>
      </c>
      <c r="B490" s="19" t="s">
        <v>18</v>
      </c>
      <c r="C490" s="20"/>
      <c r="D490" s="21" t="s">
        <v>42</v>
      </c>
      <c r="E490" s="26"/>
      <c r="F490" s="22">
        <v>1</v>
      </c>
      <c r="G490" s="23" t="s">
        <v>20</v>
      </c>
      <c r="H490" s="22">
        <v>144</v>
      </c>
      <c r="I490" s="23" t="s">
        <v>42</v>
      </c>
      <c r="J490" s="24">
        <v>7020</v>
      </c>
      <c r="K490" s="21" t="s">
        <v>42</v>
      </c>
      <c r="L490" s="25">
        <v>0.125</v>
      </c>
      <c r="M490" s="25">
        <v>0.05</v>
      </c>
      <c r="N490" s="22"/>
      <c r="O490" s="23" t="s">
        <v>42</v>
      </c>
      <c r="P490" s="20">
        <f t="shared" si="91"/>
        <v>0</v>
      </c>
      <c r="Q490" s="23" t="s">
        <v>42</v>
      </c>
      <c r="R490" s="24">
        <f t="shared" si="92"/>
        <v>0</v>
      </c>
      <c r="S490" s="24">
        <f t="shared" si="89"/>
        <v>0</v>
      </c>
    </row>
    <row r="491" spans="1:20" s="19" customFormat="1">
      <c r="A491" s="18" t="s">
        <v>364</v>
      </c>
      <c r="B491" s="19" t="s">
        <v>18</v>
      </c>
      <c r="C491" s="20"/>
      <c r="D491" s="21" t="s">
        <v>42</v>
      </c>
      <c r="E491" s="26"/>
      <c r="F491" s="22">
        <v>1</v>
      </c>
      <c r="G491" s="23" t="s">
        <v>20</v>
      </c>
      <c r="H491" s="22">
        <v>144</v>
      </c>
      <c r="I491" s="23" t="s">
        <v>42</v>
      </c>
      <c r="J491" s="24">
        <v>7020</v>
      </c>
      <c r="K491" s="21" t="s">
        <v>42</v>
      </c>
      <c r="L491" s="25">
        <v>0.125</v>
      </c>
      <c r="M491" s="25">
        <v>0.05</v>
      </c>
      <c r="N491" s="22"/>
      <c r="O491" s="23" t="s">
        <v>42</v>
      </c>
      <c r="P491" s="20">
        <f t="shared" si="91"/>
        <v>0</v>
      </c>
      <c r="Q491" s="23" t="s">
        <v>42</v>
      </c>
      <c r="R491" s="24">
        <f t="shared" si="92"/>
        <v>0</v>
      </c>
      <c r="S491" s="24">
        <f t="shared" si="89"/>
        <v>0</v>
      </c>
    </row>
    <row r="492" spans="1:20" s="19" customFormat="1">
      <c r="A492" s="18" t="s">
        <v>751</v>
      </c>
      <c r="B492" s="19" t="s">
        <v>18</v>
      </c>
      <c r="C492" s="20"/>
      <c r="D492" s="21" t="s">
        <v>42</v>
      </c>
      <c r="E492" s="26"/>
      <c r="F492" s="22">
        <v>1</v>
      </c>
      <c r="G492" s="23" t="s">
        <v>20</v>
      </c>
      <c r="H492" s="22">
        <v>144</v>
      </c>
      <c r="I492" s="23" t="s">
        <v>42</v>
      </c>
      <c r="J492" s="24">
        <v>6600</v>
      </c>
      <c r="K492" s="21" t="s">
        <v>42</v>
      </c>
      <c r="L492" s="25">
        <v>0.125</v>
      </c>
      <c r="M492" s="25">
        <v>0.05</v>
      </c>
      <c r="N492" s="22"/>
      <c r="O492" s="23" t="s">
        <v>42</v>
      </c>
      <c r="P492" s="20">
        <f t="shared" si="91"/>
        <v>0</v>
      </c>
      <c r="Q492" s="23" t="s">
        <v>42</v>
      </c>
      <c r="R492" s="24">
        <f t="shared" si="92"/>
        <v>0</v>
      </c>
      <c r="S492" s="24">
        <f t="shared" si="89"/>
        <v>0</v>
      </c>
    </row>
    <row r="493" spans="1:20" s="19" customFormat="1">
      <c r="A493" s="18" t="s">
        <v>658</v>
      </c>
      <c r="B493" s="19" t="s">
        <v>18</v>
      </c>
      <c r="C493" s="20"/>
      <c r="D493" s="21" t="s">
        <v>42</v>
      </c>
      <c r="E493" s="26"/>
      <c r="F493" s="22">
        <v>1</v>
      </c>
      <c r="G493" s="23" t="s">
        <v>20</v>
      </c>
      <c r="H493" s="22">
        <v>144</v>
      </c>
      <c r="I493" s="23" t="s">
        <v>42</v>
      </c>
      <c r="J493" s="24">
        <v>6000</v>
      </c>
      <c r="K493" s="21" t="s">
        <v>42</v>
      </c>
      <c r="L493" s="25">
        <v>0.125</v>
      </c>
      <c r="M493" s="25">
        <v>0.05</v>
      </c>
      <c r="N493" s="22"/>
      <c r="O493" s="23" t="s">
        <v>42</v>
      </c>
      <c r="P493" s="20">
        <f t="shared" si="91"/>
        <v>0</v>
      </c>
      <c r="Q493" s="23" t="s">
        <v>42</v>
      </c>
      <c r="R493" s="24">
        <f t="shared" si="92"/>
        <v>0</v>
      </c>
      <c r="S493" s="24">
        <f t="shared" si="89"/>
        <v>0</v>
      </c>
    </row>
    <row r="494" spans="1:20" s="19" customFormat="1">
      <c r="A494" s="18" t="s">
        <v>704</v>
      </c>
      <c r="B494" s="19" t="s">
        <v>18</v>
      </c>
      <c r="C494" s="20"/>
      <c r="D494" s="21" t="s">
        <v>42</v>
      </c>
      <c r="E494" s="26"/>
      <c r="F494" s="22">
        <v>1</v>
      </c>
      <c r="G494" s="23" t="s">
        <v>20</v>
      </c>
      <c r="H494" s="22">
        <v>144</v>
      </c>
      <c r="I494" s="23" t="s">
        <v>42</v>
      </c>
      <c r="J494" s="24">
        <v>6000</v>
      </c>
      <c r="K494" s="21" t="s">
        <v>42</v>
      </c>
      <c r="L494" s="25">
        <v>0.125</v>
      </c>
      <c r="M494" s="25">
        <v>0.05</v>
      </c>
      <c r="N494" s="22"/>
      <c r="O494" s="23" t="s">
        <v>42</v>
      </c>
      <c r="P494" s="20">
        <f t="shared" si="91"/>
        <v>0</v>
      </c>
      <c r="Q494" s="23" t="s">
        <v>42</v>
      </c>
      <c r="R494" s="24">
        <f t="shared" si="92"/>
        <v>0</v>
      </c>
      <c r="S494" s="24">
        <f t="shared" si="89"/>
        <v>0</v>
      </c>
    </row>
    <row r="495" spans="1:20" s="19" customFormat="1">
      <c r="A495" s="18" t="s">
        <v>365</v>
      </c>
      <c r="B495" s="19" t="s">
        <v>18</v>
      </c>
      <c r="C495" s="20"/>
      <c r="D495" s="21" t="s">
        <v>42</v>
      </c>
      <c r="E495" s="26"/>
      <c r="F495" s="22">
        <v>1</v>
      </c>
      <c r="G495" s="23" t="s">
        <v>20</v>
      </c>
      <c r="H495" s="22">
        <v>144</v>
      </c>
      <c r="I495" s="23" t="s">
        <v>42</v>
      </c>
      <c r="J495" s="24">
        <v>5100</v>
      </c>
      <c r="K495" s="21" t="s">
        <v>42</v>
      </c>
      <c r="L495" s="25">
        <v>0.125</v>
      </c>
      <c r="M495" s="25">
        <v>0.05</v>
      </c>
      <c r="N495" s="22"/>
      <c r="O495" s="23" t="s">
        <v>42</v>
      </c>
      <c r="P495" s="20">
        <f t="shared" si="91"/>
        <v>0</v>
      </c>
      <c r="Q495" s="23" t="s">
        <v>42</v>
      </c>
      <c r="R495" s="24">
        <f t="shared" si="92"/>
        <v>0</v>
      </c>
      <c r="S495" s="24">
        <f t="shared" si="89"/>
        <v>0</v>
      </c>
    </row>
    <row r="496" spans="1:20" s="19" customFormat="1">
      <c r="A496" s="91" t="s">
        <v>366</v>
      </c>
      <c r="B496" s="19" t="s">
        <v>18</v>
      </c>
      <c r="C496" s="69">
        <v>36</v>
      </c>
      <c r="D496" s="21" t="s">
        <v>42</v>
      </c>
      <c r="E496" s="26"/>
      <c r="F496" s="22">
        <v>1</v>
      </c>
      <c r="G496" s="23" t="s">
        <v>20</v>
      </c>
      <c r="H496" s="22">
        <v>144</v>
      </c>
      <c r="I496" s="23" t="s">
        <v>42</v>
      </c>
      <c r="J496" s="24">
        <v>12600</v>
      </c>
      <c r="K496" s="21" t="s">
        <v>42</v>
      </c>
      <c r="L496" s="93">
        <v>0.1</v>
      </c>
      <c r="M496" s="93">
        <v>0.05</v>
      </c>
      <c r="N496" s="22"/>
      <c r="O496" s="23" t="s">
        <v>42</v>
      </c>
      <c r="P496" s="20">
        <f t="shared" si="91"/>
        <v>36</v>
      </c>
      <c r="Q496" s="23" t="s">
        <v>42</v>
      </c>
      <c r="R496" s="24">
        <f>P496*(J496-(J496*L496)-((J496-(J496*L496))*M496))</f>
        <v>387828</v>
      </c>
      <c r="S496" s="24">
        <f t="shared" ref="S496" si="93">R496/1.11</f>
        <v>349394.59459459456</v>
      </c>
    </row>
    <row r="497" spans="1:19" s="19" customFormat="1">
      <c r="A497" s="18" t="s">
        <v>366</v>
      </c>
      <c r="B497" s="19" t="s">
        <v>18</v>
      </c>
      <c r="C497" s="69"/>
      <c r="D497" s="21" t="s">
        <v>42</v>
      </c>
      <c r="E497" s="26"/>
      <c r="F497" s="22">
        <v>1</v>
      </c>
      <c r="G497" s="23" t="s">
        <v>20</v>
      </c>
      <c r="H497" s="22">
        <v>144</v>
      </c>
      <c r="I497" s="23" t="s">
        <v>42</v>
      </c>
      <c r="J497" s="24">
        <v>12600</v>
      </c>
      <c r="K497" s="21" t="s">
        <v>42</v>
      </c>
      <c r="L497" s="25">
        <v>0.125</v>
      </c>
      <c r="M497" s="25">
        <v>0.05</v>
      </c>
      <c r="N497" s="22"/>
      <c r="O497" s="23" t="s">
        <v>42</v>
      </c>
      <c r="P497" s="20">
        <f>(C497+(E497*F497*H497))-N497</f>
        <v>0</v>
      </c>
      <c r="Q497" s="23" t="s">
        <v>42</v>
      </c>
      <c r="R497" s="24">
        <f>P497*(J497-(J497*L497)-((J497-(J497*L497))*M497))</f>
        <v>0</v>
      </c>
      <c r="S497" s="24">
        <f>R497/1.11</f>
        <v>0</v>
      </c>
    </row>
    <row r="498" spans="1:19" s="19" customFormat="1">
      <c r="A498" s="18"/>
      <c r="C498" s="69"/>
      <c r="D498" s="21"/>
      <c r="E498" s="26"/>
      <c r="F498" s="22"/>
      <c r="G498" s="23"/>
      <c r="H498" s="22"/>
      <c r="I498" s="23"/>
      <c r="J498" s="24"/>
      <c r="K498" s="21"/>
      <c r="L498" s="25"/>
      <c r="M498" s="25"/>
      <c r="N498" s="22"/>
      <c r="O498" s="23"/>
      <c r="P498" s="20"/>
      <c r="Q498" s="23"/>
      <c r="R498" s="24"/>
      <c r="S498" s="24"/>
    </row>
    <row r="499" spans="1:19" s="19" customFormat="1">
      <c r="A499" s="59" t="s">
        <v>367</v>
      </c>
      <c r="B499" s="19" t="s">
        <v>25</v>
      </c>
      <c r="C499" s="20"/>
      <c r="D499" s="21" t="s">
        <v>42</v>
      </c>
      <c r="E499" s="26"/>
      <c r="F499" s="22">
        <v>1</v>
      </c>
      <c r="G499" s="23" t="s">
        <v>20</v>
      </c>
      <c r="H499" s="22">
        <v>144</v>
      </c>
      <c r="I499" s="23" t="s">
        <v>42</v>
      </c>
      <c r="J499" s="24">
        <v>22200</v>
      </c>
      <c r="K499" s="21" t="s">
        <v>42</v>
      </c>
      <c r="L499" s="25"/>
      <c r="M499" s="25">
        <v>0.17</v>
      </c>
      <c r="N499" s="22"/>
      <c r="O499" s="23" t="s">
        <v>42</v>
      </c>
      <c r="P499" s="20">
        <f t="shared" ref="P499:P505" si="94">(C499+(E499*F499*H499))-N499</f>
        <v>0</v>
      </c>
      <c r="Q499" s="23" t="s">
        <v>42</v>
      </c>
      <c r="R499" s="24">
        <f t="shared" ref="R499:R505" si="95">P499*(J499-(J499*L499)-((J499-(J499*L499))*M499))</f>
        <v>0</v>
      </c>
      <c r="S499" s="24">
        <f t="shared" si="89"/>
        <v>0</v>
      </c>
    </row>
    <row r="500" spans="1:19" s="19" customFormat="1">
      <c r="A500" s="59" t="s">
        <v>368</v>
      </c>
      <c r="B500" s="19" t="s">
        <v>25</v>
      </c>
      <c r="C500" s="20"/>
      <c r="D500" s="21" t="s">
        <v>42</v>
      </c>
      <c r="E500" s="26"/>
      <c r="F500" s="22">
        <v>1</v>
      </c>
      <c r="G500" s="23" t="s">
        <v>20</v>
      </c>
      <c r="H500" s="22">
        <v>144</v>
      </c>
      <c r="I500" s="23" t="s">
        <v>42</v>
      </c>
      <c r="J500" s="24">
        <f>1728000/144</f>
        <v>12000</v>
      </c>
      <c r="K500" s="21" t="s">
        <v>42</v>
      </c>
      <c r="L500" s="25"/>
      <c r="M500" s="25">
        <v>0.17</v>
      </c>
      <c r="N500" s="22"/>
      <c r="O500" s="23" t="s">
        <v>42</v>
      </c>
      <c r="P500" s="20">
        <f t="shared" si="94"/>
        <v>0</v>
      </c>
      <c r="Q500" s="23" t="s">
        <v>42</v>
      </c>
      <c r="R500" s="24">
        <f t="shared" si="95"/>
        <v>0</v>
      </c>
      <c r="S500" s="24">
        <f t="shared" si="89"/>
        <v>0</v>
      </c>
    </row>
    <row r="501" spans="1:19" s="19" customFormat="1">
      <c r="A501" s="59" t="s">
        <v>369</v>
      </c>
      <c r="B501" s="19" t="s">
        <v>25</v>
      </c>
      <c r="C501" s="20"/>
      <c r="D501" s="21" t="s">
        <v>42</v>
      </c>
      <c r="E501" s="26"/>
      <c r="F501" s="22">
        <v>1</v>
      </c>
      <c r="G501" s="23" t="s">
        <v>20</v>
      </c>
      <c r="H501" s="22">
        <v>144</v>
      </c>
      <c r="I501" s="23" t="s">
        <v>42</v>
      </c>
      <c r="J501" s="24">
        <v>13800</v>
      </c>
      <c r="K501" s="21" t="s">
        <v>42</v>
      </c>
      <c r="L501" s="25"/>
      <c r="M501" s="25">
        <v>0.17</v>
      </c>
      <c r="N501" s="22"/>
      <c r="O501" s="23" t="s">
        <v>42</v>
      </c>
      <c r="P501" s="20">
        <f t="shared" si="94"/>
        <v>0</v>
      </c>
      <c r="Q501" s="23" t="s">
        <v>42</v>
      </c>
      <c r="R501" s="24">
        <f t="shared" si="95"/>
        <v>0</v>
      </c>
      <c r="S501" s="24">
        <f t="shared" si="89"/>
        <v>0</v>
      </c>
    </row>
    <row r="502" spans="1:19" s="19" customFormat="1">
      <c r="A502" s="59" t="s">
        <v>370</v>
      </c>
      <c r="B502" s="19" t="s">
        <v>25</v>
      </c>
      <c r="C502" s="20"/>
      <c r="D502" s="21" t="s">
        <v>42</v>
      </c>
      <c r="E502" s="26"/>
      <c r="F502" s="22">
        <v>1</v>
      </c>
      <c r="G502" s="23" t="s">
        <v>20</v>
      </c>
      <c r="H502" s="22">
        <v>144</v>
      </c>
      <c r="I502" s="23" t="s">
        <v>42</v>
      </c>
      <c r="J502" s="24">
        <v>13800</v>
      </c>
      <c r="K502" s="21" t="s">
        <v>42</v>
      </c>
      <c r="L502" s="25"/>
      <c r="M502" s="25">
        <v>0.17</v>
      </c>
      <c r="N502" s="22"/>
      <c r="O502" s="23" t="s">
        <v>42</v>
      </c>
      <c r="P502" s="20">
        <f t="shared" si="94"/>
        <v>0</v>
      </c>
      <c r="Q502" s="23" t="s">
        <v>42</v>
      </c>
      <c r="R502" s="24">
        <f t="shared" si="95"/>
        <v>0</v>
      </c>
      <c r="S502" s="24">
        <f t="shared" si="89"/>
        <v>0</v>
      </c>
    </row>
    <row r="503" spans="1:19" s="19" customFormat="1">
      <c r="A503" s="59" t="s">
        <v>371</v>
      </c>
      <c r="B503" s="19" t="s">
        <v>25</v>
      </c>
      <c r="C503" s="20"/>
      <c r="D503" s="21" t="s">
        <v>42</v>
      </c>
      <c r="E503" s="26"/>
      <c r="F503" s="22">
        <v>1</v>
      </c>
      <c r="G503" s="23" t="s">
        <v>20</v>
      </c>
      <c r="H503" s="22">
        <v>144</v>
      </c>
      <c r="I503" s="23" t="s">
        <v>42</v>
      </c>
      <c r="J503" s="24">
        <v>13800</v>
      </c>
      <c r="K503" s="21" t="s">
        <v>42</v>
      </c>
      <c r="L503" s="25"/>
      <c r="M503" s="25">
        <v>0.17</v>
      </c>
      <c r="N503" s="22"/>
      <c r="O503" s="23" t="s">
        <v>42</v>
      </c>
      <c r="P503" s="20">
        <f t="shared" si="94"/>
        <v>0</v>
      </c>
      <c r="Q503" s="23" t="s">
        <v>42</v>
      </c>
      <c r="R503" s="24">
        <f t="shared" si="95"/>
        <v>0</v>
      </c>
      <c r="S503" s="24">
        <f t="shared" si="89"/>
        <v>0</v>
      </c>
    </row>
    <row r="504" spans="1:19" s="19" customFormat="1">
      <c r="A504" s="59" t="s">
        <v>372</v>
      </c>
      <c r="B504" s="19" t="s">
        <v>25</v>
      </c>
      <c r="C504" s="20"/>
      <c r="D504" s="21" t="s">
        <v>42</v>
      </c>
      <c r="E504" s="26"/>
      <c r="F504" s="22">
        <v>1</v>
      </c>
      <c r="G504" s="23" t="s">
        <v>20</v>
      </c>
      <c r="H504" s="22">
        <v>144</v>
      </c>
      <c r="I504" s="23" t="s">
        <v>42</v>
      </c>
      <c r="J504" s="24">
        <f>1987200/144</f>
        <v>13800</v>
      </c>
      <c r="K504" s="21" t="s">
        <v>42</v>
      </c>
      <c r="L504" s="25"/>
      <c r="M504" s="25">
        <v>0.17</v>
      </c>
      <c r="N504" s="22"/>
      <c r="O504" s="23" t="s">
        <v>42</v>
      </c>
      <c r="P504" s="20">
        <f t="shared" si="94"/>
        <v>0</v>
      </c>
      <c r="Q504" s="23" t="s">
        <v>42</v>
      </c>
      <c r="R504" s="24">
        <f t="shared" si="95"/>
        <v>0</v>
      </c>
      <c r="S504" s="24">
        <f t="shared" si="89"/>
        <v>0</v>
      </c>
    </row>
    <row r="505" spans="1:19" s="19" customFormat="1">
      <c r="A505" s="59" t="s">
        <v>373</v>
      </c>
      <c r="B505" s="19" t="s">
        <v>25</v>
      </c>
      <c r="C505" s="20"/>
      <c r="D505" s="21" t="s">
        <v>42</v>
      </c>
      <c r="E505" s="26"/>
      <c r="F505" s="22">
        <v>1</v>
      </c>
      <c r="G505" s="23" t="s">
        <v>20</v>
      </c>
      <c r="H505" s="22">
        <v>144</v>
      </c>
      <c r="I505" s="23" t="s">
        <v>42</v>
      </c>
      <c r="J505" s="24">
        <f>2073600/12/12</f>
        <v>14400</v>
      </c>
      <c r="K505" s="21" t="s">
        <v>42</v>
      </c>
      <c r="L505" s="25"/>
      <c r="M505" s="25">
        <v>0.17</v>
      </c>
      <c r="N505" s="22"/>
      <c r="O505" s="23" t="s">
        <v>42</v>
      </c>
      <c r="P505" s="20">
        <f t="shared" si="94"/>
        <v>0</v>
      </c>
      <c r="Q505" s="23" t="s">
        <v>42</v>
      </c>
      <c r="R505" s="24">
        <f t="shared" si="95"/>
        <v>0</v>
      </c>
      <c r="S505" s="24">
        <f t="shared" si="89"/>
        <v>0</v>
      </c>
    </row>
    <row r="506" spans="1:19" s="19" customFormat="1">
      <c r="A506" s="59"/>
      <c r="C506" s="20"/>
      <c r="D506" s="21"/>
      <c r="E506" s="26"/>
      <c r="F506" s="22"/>
      <c r="G506" s="23"/>
      <c r="H506" s="22"/>
      <c r="I506" s="23"/>
      <c r="J506" s="24"/>
      <c r="K506" s="21"/>
      <c r="L506" s="25"/>
      <c r="M506" s="25"/>
      <c r="N506" s="22"/>
      <c r="O506" s="23"/>
      <c r="P506" s="20"/>
      <c r="Q506" s="23"/>
      <c r="R506" s="24"/>
      <c r="S506" s="24"/>
    </row>
    <row r="507" spans="1:19" s="19" customFormat="1">
      <c r="A507" s="88" t="s">
        <v>374</v>
      </c>
      <c r="C507" s="20"/>
      <c r="D507" s="21"/>
      <c r="E507" s="26"/>
      <c r="F507" s="22"/>
      <c r="G507" s="23"/>
      <c r="H507" s="22"/>
      <c r="I507" s="23"/>
      <c r="J507" s="24"/>
      <c r="K507" s="21"/>
      <c r="L507" s="25"/>
      <c r="M507" s="25"/>
      <c r="N507" s="22"/>
      <c r="O507" s="23"/>
      <c r="P507" s="20"/>
      <c r="Q507" s="23"/>
      <c r="R507" s="24"/>
      <c r="S507" s="24"/>
    </row>
    <row r="508" spans="1:19" s="19" customFormat="1">
      <c r="A508" s="18" t="s">
        <v>375</v>
      </c>
      <c r="B508" s="19" t="s">
        <v>188</v>
      </c>
      <c r="C508" s="20"/>
      <c r="D508" s="21" t="s">
        <v>42</v>
      </c>
      <c r="E508" s="26"/>
      <c r="F508" s="22">
        <v>1</v>
      </c>
      <c r="G508" s="23" t="s">
        <v>20</v>
      </c>
      <c r="H508" s="22">
        <v>240</v>
      </c>
      <c r="I508" s="23" t="s">
        <v>42</v>
      </c>
      <c r="J508" s="24">
        <v>10000</v>
      </c>
      <c r="K508" s="21" t="s">
        <v>42</v>
      </c>
      <c r="L508" s="25"/>
      <c r="M508" s="25"/>
      <c r="N508" s="22"/>
      <c r="O508" s="23" t="s">
        <v>42</v>
      </c>
      <c r="P508" s="20">
        <f>(C508+(E508*F508*H508))-N508</f>
        <v>0</v>
      </c>
      <c r="Q508" s="23" t="s">
        <v>42</v>
      </c>
      <c r="R508" s="24">
        <f>P508*(J508-(J508*L508)-((J508-(J508*L508))*M508))</f>
        <v>0</v>
      </c>
      <c r="S508" s="24">
        <f t="shared" si="89"/>
        <v>0</v>
      </c>
    </row>
    <row r="509" spans="1:19" s="19" customFormat="1">
      <c r="A509" s="18" t="s">
        <v>376</v>
      </c>
      <c r="B509" s="19" t="s">
        <v>188</v>
      </c>
      <c r="C509" s="20"/>
      <c r="D509" s="21" t="s">
        <v>42</v>
      </c>
      <c r="E509" s="26"/>
      <c r="F509" s="22">
        <v>1</v>
      </c>
      <c r="G509" s="23" t="s">
        <v>20</v>
      </c>
      <c r="H509" s="22">
        <v>240</v>
      </c>
      <c r="I509" s="23" t="s">
        <v>42</v>
      </c>
      <c r="J509" s="24">
        <v>10000</v>
      </c>
      <c r="K509" s="21" t="s">
        <v>42</v>
      </c>
      <c r="L509" s="25"/>
      <c r="M509" s="25"/>
      <c r="N509" s="22"/>
      <c r="O509" s="23" t="s">
        <v>42</v>
      </c>
      <c r="P509" s="20">
        <f>(C509+(E509*F509*H509))-N509</f>
        <v>0</v>
      </c>
      <c r="Q509" s="23" t="s">
        <v>42</v>
      </c>
      <c r="R509" s="24">
        <f>P509*(J509-(J509*L509)-((J509-(J509*L509))*M509))</f>
        <v>0</v>
      </c>
      <c r="S509" s="24">
        <f t="shared" si="89"/>
        <v>0</v>
      </c>
    </row>
    <row r="510" spans="1:19" s="19" customFormat="1">
      <c r="A510" s="18" t="s">
        <v>377</v>
      </c>
      <c r="B510" s="19" t="s">
        <v>188</v>
      </c>
      <c r="C510" s="20"/>
      <c r="D510" s="21" t="s">
        <v>42</v>
      </c>
      <c r="E510" s="26"/>
      <c r="F510" s="22">
        <v>1</v>
      </c>
      <c r="G510" s="23" t="s">
        <v>20</v>
      </c>
      <c r="H510" s="22">
        <v>240</v>
      </c>
      <c r="I510" s="23" t="s">
        <v>42</v>
      </c>
      <c r="J510" s="24">
        <v>10000</v>
      </c>
      <c r="K510" s="21" t="s">
        <v>42</v>
      </c>
      <c r="L510" s="25"/>
      <c r="M510" s="25"/>
      <c r="N510" s="22"/>
      <c r="O510" s="23" t="s">
        <v>42</v>
      </c>
      <c r="P510" s="20">
        <f>(C510+(E510*F510*H510))-N510</f>
        <v>0</v>
      </c>
      <c r="Q510" s="23" t="s">
        <v>42</v>
      </c>
      <c r="R510" s="24">
        <f>P510*(J510-(J510*L510)-((J510-(J510*L510))*M510))</f>
        <v>0</v>
      </c>
      <c r="S510" s="24">
        <f t="shared" si="89"/>
        <v>0</v>
      </c>
    </row>
    <row r="511" spans="1:19" s="19" customFormat="1">
      <c r="A511" s="18" t="s">
        <v>378</v>
      </c>
      <c r="B511" s="19" t="s">
        <v>188</v>
      </c>
      <c r="C511" s="20"/>
      <c r="D511" s="21" t="s">
        <v>42</v>
      </c>
      <c r="E511" s="26"/>
      <c r="F511" s="22">
        <v>1</v>
      </c>
      <c r="G511" s="23" t="s">
        <v>20</v>
      </c>
      <c r="H511" s="22">
        <v>240</v>
      </c>
      <c r="I511" s="23" t="s">
        <v>42</v>
      </c>
      <c r="J511" s="24">
        <v>10000</v>
      </c>
      <c r="K511" s="21" t="s">
        <v>42</v>
      </c>
      <c r="L511" s="25"/>
      <c r="M511" s="25"/>
      <c r="N511" s="22"/>
      <c r="O511" s="23" t="s">
        <v>42</v>
      </c>
      <c r="P511" s="20">
        <f>(C511+(E511*F511*H511))-N511</f>
        <v>0</v>
      </c>
      <c r="Q511" s="23" t="s">
        <v>42</v>
      </c>
      <c r="R511" s="24">
        <f>P511*(J511-(J511*L511)-((J511-(J511*L511))*M511))</f>
        <v>0</v>
      </c>
      <c r="S511" s="24">
        <f t="shared" si="89"/>
        <v>0</v>
      </c>
    </row>
    <row r="512" spans="1:19" s="19" customFormat="1">
      <c r="A512" s="18"/>
      <c r="C512" s="20"/>
      <c r="D512" s="21"/>
      <c r="E512" s="26"/>
      <c r="F512" s="22"/>
      <c r="G512" s="23"/>
      <c r="H512" s="22"/>
      <c r="I512" s="23"/>
      <c r="J512" s="24"/>
      <c r="K512" s="21"/>
      <c r="L512" s="25"/>
      <c r="M512" s="25"/>
      <c r="N512" s="22"/>
      <c r="O512" s="23"/>
      <c r="P512" s="20"/>
      <c r="Q512" s="23"/>
      <c r="R512" s="24"/>
      <c r="S512" s="24"/>
    </row>
    <row r="513" spans="1:19" s="19" customFormat="1">
      <c r="A513" s="18" t="s">
        <v>408</v>
      </c>
      <c r="B513" s="19" t="s">
        <v>267</v>
      </c>
      <c r="C513" s="20"/>
      <c r="D513" s="21" t="s">
        <v>42</v>
      </c>
      <c r="E513" s="26"/>
      <c r="F513" s="22">
        <v>1</v>
      </c>
      <c r="G513" s="23" t="s">
        <v>20</v>
      </c>
      <c r="H513" s="22">
        <v>120</v>
      </c>
      <c r="I513" s="23" t="s">
        <v>42</v>
      </c>
      <c r="J513" s="24">
        <v>25500</v>
      </c>
      <c r="K513" s="21" t="s">
        <v>42</v>
      </c>
      <c r="L513" s="25"/>
      <c r="M513" s="25"/>
      <c r="N513" s="22"/>
      <c r="O513" s="23" t="s">
        <v>42</v>
      </c>
      <c r="P513" s="20">
        <f>(C513+(E513*F513*H513))-N513</f>
        <v>0</v>
      </c>
      <c r="Q513" s="23" t="s">
        <v>42</v>
      </c>
      <c r="R513" s="24">
        <f>P513*(J513-(J513*L513)-((J513-(J513*L513))*M513))</f>
        <v>0</v>
      </c>
      <c r="S513" s="24">
        <f>R513/1.11</f>
        <v>0</v>
      </c>
    </row>
    <row r="514" spans="1:19" s="19" customFormat="1">
      <c r="A514" s="18" t="s">
        <v>774</v>
      </c>
      <c r="B514" s="19" t="s">
        <v>267</v>
      </c>
      <c r="C514" s="20"/>
      <c r="D514" s="21" t="s">
        <v>42</v>
      </c>
      <c r="E514" s="26"/>
      <c r="F514" s="22">
        <v>1</v>
      </c>
      <c r="G514" s="23" t="s">
        <v>20</v>
      </c>
      <c r="H514" s="22">
        <v>120</v>
      </c>
      <c r="I514" s="23" t="s">
        <v>42</v>
      </c>
      <c r="J514" s="24">
        <v>19000</v>
      </c>
      <c r="K514" s="21" t="s">
        <v>42</v>
      </c>
      <c r="L514" s="25"/>
      <c r="M514" s="25"/>
      <c r="N514" s="22"/>
      <c r="O514" s="23" t="s">
        <v>42</v>
      </c>
      <c r="P514" s="20">
        <f>(C514+(E514*F514*H514))-N514</f>
        <v>0</v>
      </c>
      <c r="Q514" s="23" t="s">
        <v>42</v>
      </c>
      <c r="R514" s="24">
        <f>P514*(J514-(J514*L514)-((J514-(J514*L514))*M514))</f>
        <v>0</v>
      </c>
      <c r="S514" s="24">
        <f t="shared" ref="S514" si="96">R514/1.11</f>
        <v>0</v>
      </c>
    </row>
    <row r="515" spans="1:19" s="19" customFormat="1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19" s="19" customFormat="1">
      <c r="A516" s="18" t="s">
        <v>379</v>
      </c>
      <c r="B516" s="19" t="s">
        <v>18</v>
      </c>
      <c r="C516" s="20"/>
      <c r="D516" s="21" t="s">
        <v>42</v>
      </c>
      <c r="E516" s="26"/>
      <c r="F516" s="22">
        <v>1</v>
      </c>
      <c r="G516" s="23" t="s">
        <v>20</v>
      </c>
      <c r="H516" s="22">
        <v>144</v>
      </c>
      <c r="I516" s="23" t="s">
        <v>42</v>
      </c>
      <c r="J516" s="24">
        <v>19800</v>
      </c>
      <c r="K516" s="21" t="s">
        <v>42</v>
      </c>
      <c r="L516" s="25">
        <v>0.125</v>
      </c>
      <c r="M516" s="25">
        <v>0.05</v>
      </c>
      <c r="N516" s="22"/>
      <c r="O516" s="23" t="s">
        <v>42</v>
      </c>
      <c r="P516" s="20">
        <f t="shared" ref="P516:P531" si="97">(C516+(E516*F516*H516))-N516</f>
        <v>0</v>
      </c>
      <c r="Q516" s="23" t="s">
        <v>42</v>
      </c>
      <c r="R516" s="24">
        <f t="shared" ref="R516:R531" si="98">P516*(J516-(J516*L516)-((J516-(J516*L516))*M516))</f>
        <v>0</v>
      </c>
      <c r="S516" s="24">
        <f t="shared" si="89"/>
        <v>0</v>
      </c>
    </row>
    <row r="517" spans="1:19" s="19" customFormat="1">
      <c r="A517" s="18" t="s">
        <v>380</v>
      </c>
      <c r="B517" s="19" t="s">
        <v>18</v>
      </c>
      <c r="C517" s="20"/>
      <c r="D517" s="21" t="s">
        <v>42</v>
      </c>
      <c r="E517" s="26"/>
      <c r="F517" s="22">
        <v>1</v>
      </c>
      <c r="G517" s="23" t="s">
        <v>20</v>
      </c>
      <c r="H517" s="22">
        <v>144</v>
      </c>
      <c r="I517" s="23" t="s">
        <v>42</v>
      </c>
      <c r="J517" s="24">
        <v>20400</v>
      </c>
      <c r="K517" s="21" t="s">
        <v>42</v>
      </c>
      <c r="L517" s="25">
        <v>0.125</v>
      </c>
      <c r="M517" s="25">
        <v>0.05</v>
      </c>
      <c r="N517" s="22"/>
      <c r="O517" s="23" t="s">
        <v>42</v>
      </c>
      <c r="P517" s="20">
        <f t="shared" si="97"/>
        <v>0</v>
      </c>
      <c r="Q517" s="23" t="s">
        <v>42</v>
      </c>
      <c r="R517" s="24">
        <f t="shared" si="98"/>
        <v>0</v>
      </c>
      <c r="S517" s="24">
        <f t="shared" si="89"/>
        <v>0</v>
      </c>
    </row>
    <row r="518" spans="1:19" s="19" customFormat="1">
      <c r="A518" s="59" t="s">
        <v>667</v>
      </c>
      <c r="B518" s="19" t="s">
        <v>18</v>
      </c>
      <c r="C518" s="20"/>
      <c r="D518" s="21" t="s">
        <v>42</v>
      </c>
      <c r="E518" s="26"/>
      <c r="F518" s="22">
        <v>1</v>
      </c>
      <c r="G518" s="23" t="s">
        <v>20</v>
      </c>
      <c r="H518" s="22">
        <v>144</v>
      </c>
      <c r="I518" s="23" t="s">
        <v>42</v>
      </c>
      <c r="J518" s="24">
        <v>69600</v>
      </c>
      <c r="K518" s="21" t="s">
        <v>42</v>
      </c>
      <c r="L518" s="25">
        <v>0.125</v>
      </c>
      <c r="M518" s="25">
        <v>0.05</v>
      </c>
      <c r="N518" s="22"/>
      <c r="O518" s="23" t="s">
        <v>42</v>
      </c>
      <c r="P518" s="20">
        <f t="shared" si="97"/>
        <v>0</v>
      </c>
      <c r="Q518" s="23" t="s">
        <v>42</v>
      </c>
      <c r="R518" s="24">
        <f t="shared" si="98"/>
        <v>0</v>
      </c>
      <c r="S518" s="24">
        <f t="shared" si="89"/>
        <v>0</v>
      </c>
    </row>
    <row r="519" spans="1:19" s="19" customFormat="1">
      <c r="A519" s="59" t="s">
        <v>822</v>
      </c>
      <c r="B519" s="19" t="s">
        <v>18</v>
      </c>
      <c r="C519" s="20"/>
      <c r="D519" s="21" t="s">
        <v>42</v>
      </c>
      <c r="E519" s="26"/>
      <c r="F519" s="22">
        <v>1</v>
      </c>
      <c r="G519" s="23" t="s">
        <v>20</v>
      </c>
      <c r="H519" s="22">
        <v>144</v>
      </c>
      <c r="I519" s="23" t="s">
        <v>42</v>
      </c>
      <c r="J519" s="24">
        <v>32400</v>
      </c>
      <c r="K519" s="21" t="s">
        <v>42</v>
      </c>
      <c r="L519" s="25">
        <v>0.125</v>
      </c>
      <c r="M519" s="25">
        <v>0.05</v>
      </c>
      <c r="N519" s="22"/>
      <c r="O519" s="23" t="s">
        <v>42</v>
      </c>
      <c r="P519" s="20">
        <f t="shared" si="97"/>
        <v>0</v>
      </c>
      <c r="Q519" s="23" t="s">
        <v>42</v>
      </c>
      <c r="R519" s="24">
        <f t="shared" si="98"/>
        <v>0</v>
      </c>
      <c r="S519" s="24">
        <f t="shared" si="89"/>
        <v>0</v>
      </c>
    </row>
    <row r="520" spans="1:19" s="19" customFormat="1">
      <c r="A520" s="59" t="s">
        <v>381</v>
      </c>
      <c r="B520" s="19" t="s">
        <v>18</v>
      </c>
      <c r="C520" s="20"/>
      <c r="D520" s="21" t="s">
        <v>42</v>
      </c>
      <c r="E520" s="26"/>
      <c r="F520" s="22">
        <v>1</v>
      </c>
      <c r="G520" s="23" t="s">
        <v>20</v>
      </c>
      <c r="H520" s="22">
        <v>144</v>
      </c>
      <c r="I520" s="23" t="s">
        <v>42</v>
      </c>
      <c r="J520" s="24">
        <v>27000</v>
      </c>
      <c r="K520" s="21" t="s">
        <v>42</v>
      </c>
      <c r="L520" s="25">
        <v>0.125</v>
      </c>
      <c r="M520" s="25">
        <v>0.05</v>
      </c>
      <c r="N520" s="22"/>
      <c r="O520" s="23" t="s">
        <v>42</v>
      </c>
      <c r="P520" s="20">
        <f t="shared" si="97"/>
        <v>0</v>
      </c>
      <c r="Q520" s="23" t="s">
        <v>42</v>
      </c>
      <c r="R520" s="24">
        <f t="shared" si="98"/>
        <v>0</v>
      </c>
      <c r="S520" s="24">
        <f t="shared" si="89"/>
        <v>0</v>
      </c>
    </row>
    <row r="521" spans="1:19" s="19" customFormat="1">
      <c r="A521" s="59" t="s">
        <v>723</v>
      </c>
      <c r="B521" s="19" t="s">
        <v>18</v>
      </c>
      <c r="C521" s="20"/>
      <c r="D521" s="21" t="s">
        <v>42</v>
      </c>
      <c r="E521" s="26"/>
      <c r="F521" s="22">
        <v>1</v>
      </c>
      <c r="G521" s="23" t="s">
        <v>20</v>
      </c>
      <c r="H521" s="22">
        <v>144</v>
      </c>
      <c r="I521" s="23" t="s">
        <v>42</v>
      </c>
      <c r="J521" s="24">
        <v>21600</v>
      </c>
      <c r="K521" s="21" t="s">
        <v>42</v>
      </c>
      <c r="L521" s="25">
        <v>0.125</v>
      </c>
      <c r="M521" s="25">
        <v>0.05</v>
      </c>
      <c r="N521" s="22"/>
      <c r="O521" s="23" t="s">
        <v>42</v>
      </c>
      <c r="P521" s="20">
        <f t="shared" si="97"/>
        <v>0</v>
      </c>
      <c r="Q521" s="23" t="s">
        <v>42</v>
      </c>
      <c r="R521" s="24">
        <f t="shared" si="98"/>
        <v>0</v>
      </c>
      <c r="S521" s="24">
        <f t="shared" ref="S521:S594" si="99">R521/1.11</f>
        <v>0</v>
      </c>
    </row>
    <row r="522" spans="1:19" s="19" customFormat="1">
      <c r="A522" s="59" t="s">
        <v>382</v>
      </c>
      <c r="B522" s="19" t="s">
        <v>18</v>
      </c>
      <c r="C522" s="20"/>
      <c r="D522" s="21" t="s">
        <v>42</v>
      </c>
      <c r="E522" s="26"/>
      <c r="F522" s="22">
        <v>1</v>
      </c>
      <c r="G522" s="23" t="s">
        <v>20</v>
      </c>
      <c r="H522" s="22">
        <v>144</v>
      </c>
      <c r="I522" s="23" t="s">
        <v>42</v>
      </c>
      <c r="J522" s="24">
        <v>43200</v>
      </c>
      <c r="K522" s="21" t="s">
        <v>42</v>
      </c>
      <c r="L522" s="25">
        <v>0.125</v>
      </c>
      <c r="M522" s="25">
        <v>0.05</v>
      </c>
      <c r="N522" s="22"/>
      <c r="O522" s="23" t="s">
        <v>42</v>
      </c>
      <c r="P522" s="20">
        <f t="shared" si="97"/>
        <v>0</v>
      </c>
      <c r="Q522" s="23" t="s">
        <v>42</v>
      </c>
      <c r="R522" s="24">
        <f t="shared" si="98"/>
        <v>0</v>
      </c>
      <c r="S522" s="24">
        <f t="shared" si="99"/>
        <v>0</v>
      </c>
    </row>
    <row r="523" spans="1:19" s="19" customFormat="1">
      <c r="A523" s="59" t="s">
        <v>383</v>
      </c>
      <c r="B523" s="19" t="s">
        <v>18</v>
      </c>
      <c r="C523" s="20"/>
      <c r="D523" s="21" t="s">
        <v>42</v>
      </c>
      <c r="E523" s="26"/>
      <c r="F523" s="22">
        <v>1</v>
      </c>
      <c r="G523" s="23" t="s">
        <v>20</v>
      </c>
      <c r="H523" s="22">
        <v>144</v>
      </c>
      <c r="I523" s="23" t="s">
        <v>42</v>
      </c>
      <c r="J523" s="24">
        <v>22800</v>
      </c>
      <c r="K523" s="21" t="s">
        <v>42</v>
      </c>
      <c r="L523" s="25">
        <v>0.125</v>
      </c>
      <c r="M523" s="25">
        <v>0.05</v>
      </c>
      <c r="N523" s="22"/>
      <c r="O523" s="23" t="s">
        <v>42</v>
      </c>
      <c r="P523" s="20">
        <f t="shared" si="97"/>
        <v>0</v>
      </c>
      <c r="Q523" s="23" t="s">
        <v>42</v>
      </c>
      <c r="R523" s="24">
        <f t="shared" si="98"/>
        <v>0</v>
      </c>
      <c r="S523" s="24">
        <f t="shared" si="99"/>
        <v>0</v>
      </c>
    </row>
    <row r="524" spans="1:19" s="19" customFormat="1">
      <c r="A524" s="67" t="s">
        <v>384</v>
      </c>
      <c r="B524" s="32" t="s">
        <v>18</v>
      </c>
      <c r="C524" s="33"/>
      <c r="D524" s="34" t="s">
        <v>42</v>
      </c>
      <c r="E524" s="35"/>
      <c r="F524" s="36">
        <v>1</v>
      </c>
      <c r="G524" s="37" t="s">
        <v>20</v>
      </c>
      <c r="H524" s="36">
        <v>144</v>
      </c>
      <c r="I524" s="37" t="s">
        <v>42</v>
      </c>
      <c r="J524" s="38">
        <v>26400</v>
      </c>
      <c r="K524" s="34" t="s">
        <v>42</v>
      </c>
      <c r="L524" s="39">
        <v>0.125</v>
      </c>
      <c r="M524" s="39">
        <v>0.05</v>
      </c>
      <c r="N524" s="36"/>
      <c r="O524" s="70" t="s">
        <v>42</v>
      </c>
      <c r="P524" s="33">
        <f t="shared" si="97"/>
        <v>0</v>
      </c>
      <c r="Q524" s="37" t="s">
        <v>42</v>
      </c>
      <c r="R524" s="38">
        <f t="shared" si="98"/>
        <v>0</v>
      </c>
      <c r="S524" s="38">
        <f t="shared" si="99"/>
        <v>0</v>
      </c>
    </row>
    <row r="525" spans="1:19" s="19" customFormat="1">
      <c r="A525" s="67" t="s">
        <v>839</v>
      </c>
      <c r="B525" s="32" t="s">
        <v>18</v>
      </c>
      <c r="C525" s="33"/>
      <c r="D525" s="34" t="s">
        <v>42</v>
      </c>
      <c r="E525" s="35"/>
      <c r="F525" s="36">
        <v>1</v>
      </c>
      <c r="G525" s="37" t="s">
        <v>20</v>
      </c>
      <c r="H525" s="36">
        <v>144</v>
      </c>
      <c r="I525" s="37" t="s">
        <v>42</v>
      </c>
      <c r="J525" s="38">
        <v>0</v>
      </c>
      <c r="K525" s="34" t="s">
        <v>42</v>
      </c>
      <c r="L525" s="39">
        <v>0</v>
      </c>
      <c r="M525" s="39">
        <v>0</v>
      </c>
      <c r="N525" s="36"/>
      <c r="O525" s="70" t="s">
        <v>42</v>
      </c>
      <c r="P525" s="33">
        <f t="shared" si="97"/>
        <v>0</v>
      </c>
      <c r="Q525" s="37" t="s">
        <v>42</v>
      </c>
      <c r="R525" s="38">
        <f t="shared" si="98"/>
        <v>0</v>
      </c>
      <c r="S525" s="38">
        <f t="shared" si="99"/>
        <v>0</v>
      </c>
    </row>
    <row r="526" spans="1:19" s="19" customFormat="1">
      <c r="A526" s="59" t="s">
        <v>385</v>
      </c>
      <c r="B526" s="19" t="s">
        <v>18</v>
      </c>
      <c r="C526" s="20"/>
      <c r="D526" s="21" t="s">
        <v>42</v>
      </c>
      <c r="E526" s="26"/>
      <c r="F526" s="22">
        <v>1</v>
      </c>
      <c r="G526" s="23" t="s">
        <v>20</v>
      </c>
      <c r="H526" s="22">
        <v>144</v>
      </c>
      <c r="I526" s="23" t="s">
        <v>42</v>
      </c>
      <c r="J526" s="24">
        <v>27600</v>
      </c>
      <c r="K526" s="21" t="s">
        <v>42</v>
      </c>
      <c r="L526" s="25">
        <v>0.125</v>
      </c>
      <c r="M526" s="25">
        <v>0.05</v>
      </c>
      <c r="N526" s="22"/>
      <c r="O526" s="23" t="s">
        <v>42</v>
      </c>
      <c r="P526" s="20">
        <f t="shared" si="97"/>
        <v>0</v>
      </c>
      <c r="Q526" s="23" t="s">
        <v>42</v>
      </c>
      <c r="R526" s="24">
        <f t="shared" si="98"/>
        <v>0</v>
      </c>
      <c r="S526" s="24">
        <f t="shared" si="99"/>
        <v>0</v>
      </c>
    </row>
    <row r="527" spans="1:19">
      <c r="A527" s="59" t="s">
        <v>386</v>
      </c>
      <c r="B527" s="2" t="s">
        <v>18</v>
      </c>
      <c r="D527" s="4" t="s">
        <v>42</v>
      </c>
      <c r="F527" s="6">
        <v>1</v>
      </c>
      <c r="G527" s="7" t="s">
        <v>20</v>
      </c>
      <c r="H527" s="6">
        <v>144</v>
      </c>
      <c r="I527" s="7" t="s">
        <v>42</v>
      </c>
      <c r="J527" s="8">
        <v>25800</v>
      </c>
      <c r="K527" s="4" t="s">
        <v>42</v>
      </c>
      <c r="L527" s="9">
        <v>0.125</v>
      </c>
      <c r="M527" s="9">
        <v>0.05</v>
      </c>
      <c r="O527" s="7" t="s">
        <v>42</v>
      </c>
      <c r="P527" s="3">
        <f t="shared" si="97"/>
        <v>0</v>
      </c>
      <c r="Q527" s="7" t="s">
        <v>42</v>
      </c>
      <c r="R527" s="8">
        <f t="shared" si="98"/>
        <v>0</v>
      </c>
      <c r="S527" s="8">
        <f t="shared" si="99"/>
        <v>0</v>
      </c>
    </row>
    <row r="528" spans="1:19">
      <c r="A528" s="17" t="s">
        <v>387</v>
      </c>
      <c r="B528" s="2" t="s">
        <v>18</v>
      </c>
      <c r="D528" s="4" t="s">
        <v>42</v>
      </c>
      <c r="F528" s="6">
        <v>1</v>
      </c>
      <c r="G528" s="7" t="s">
        <v>20</v>
      </c>
      <c r="H528" s="6">
        <v>144</v>
      </c>
      <c r="I528" s="7" t="s">
        <v>42</v>
      </c>
      <c r="J528" s="8">
        <v>14100</v>
      </c>
      <c r="K528" s="4" t="s">
        <v>42</v>
      </c>
      <c r="L528" s="9">
        <v>0.125</v>
      </c>
      <c r="M528" s="9">
        <v>0.05</v>
      </c>
      <c r="O528" s="7" t="s">
        <v>42</v>
      </c>
      <c r="P528" s="3">
        <f t="shared" si="97"/>
        <v>0</v>
      </c>
      <c r="Q528" s="7" t="s">
        <v>42</v>
      </c>
      <c r="R528" s="8">
        <f t="shared" si="98"/>
        <v>0</v>
      </c>
      <c r="S528" s="8">
        <f t="shared" si="99"/>
        <v>0</v>
      </c>
    </row>
    <row r="529" spans="1:19">
      <c r="A529" s="17" t="s">
        <v>710</v>
      </c>
      <c r="B529" s="2" t="s">
        <v>18</v>
      </c>
      <c r="D529" s="4" t="s">
        <v>42</v>
      </c>
      <c r="F529" s="6">
        <v>1</v>
      </c>
      <c r="G529" s="7" t="s">
        <v>20</v>
      </c>
      <c r="H529" s="6">
        <v>144</v>
      </c>
      <c r="I529" s="7" t="s">
        <v>42</v>
      </c>
      <c r="J529" s="8">
        <v>25800</v>
      </c>
      <c r="K529" s="4" t="s">
        <v>42</v>
      </c>
      <c r="L529" s="9">
        <v>0.125</v>
      </c>
      <c r="M529" s="9">
        <v>0.05</v>
      </c>
      <c r="O529" s="7" t="s">
        <v>42</v>
      </c>
      <c r="P529" s="3">
        <f t="shared" si="97"/>
        <v>0</v>
      </c>
      <c r="Q529" s="7" t="s">
        <v>42</v>
      </c>
      <c r="R529" s="8">
        <f t="shared" si="98"/>
        <v>0</v>
      </c>
      <c r="S529" s="8">
        <f t="shared" si="99"/>
        <v>0</v>
      </c>
    </row>
    <row r="530" spans="1:19">
      <c r="A530" s="17" t="s">
        <v>388</v>
      </c>
      <c r="B530" s="2" t="s">
        <v>18</v>
      </c>
      <c r="D530" s="4" t="s">
        <v>42</v>
      </c>
      <c r="F530" s="6">
        <v>1</v>
      </c>
      <c r="G530" s="7" t="s">
        <v>20</v>
      </c>
      <c r="H530" s="6">
        <v>144</v>
      </c>
      <c r="I530" s="7" t="s">
        <v>42</v>
      </c>
      <c r="J530" s="8">
        <v>20400</v>
      </c>
      <c r="K530" s="4" t="s">
        <v>42</v>
      </c>
      <c r="L530" s="9">
        <v>0.125</v>
      </c>
      <c r="M530" s="9">
        <v>0.05</v>
      </c>
      <c r="O530" s="7" t="s">
        <v>42</v>
      </c>
      <c r="P530" s="3">
        <f t="shared" si="97"/>
        <v>0</v>
      </c>
      <c r="Q530" s="7" t="s">
        <v>42</v>
      </c>
      <c r="R530" s="8">
        <f t="shared" si="98"/>
        <v>0</v>
      </c>
      <c r="S530" s="8">
        <f t="shared" si="99"/>
        <v>0</v>
      </c>
    </row>
    <row r="531" spans="1:19">
      <c r="A531" s="17" t="s">
        <v>831</v>
      </c>
      <c r="B531" s="2" t="s">
        <v>18</v>
      </c>
      <c r="D531" s="4" t="s">
        <v>42</v>
      </c>
      <c r="F531" s="6">
        <v>1</v>
      </c>
      <c r="G531" s="7" t="s">
        <v>20</v>
      </c>
      <c r="H531" s="6">
        <v>144</v>
      </c>
      <c r="I531" s="7" t="s">
        <v>42</v>
      </c>
      <c r="J531" s="8">
        <v>17400</v>
      </c>
      <c r="K531" s="4" t="s">
        <v>42</v>
      </c>
      <c r="L531" s="9">
        <v>0.125</v>
      </c>
      <c r="M531" s="9">
        <v>0.1</v>
      </c>
      <c r="O531" s="7" t="s">
        <v>42</v>
      </c>
      <c r="P531" s="3">
        <f t="shared" si="97"/>
        <v>0</v>
      </c>
      <c r="Q531" s="7" t="s">
        <v>42</v>
      </c>
      <c r="R531" s="8">
        <f t="shared" si="98"/>
        <v>0</v>
      </c>
      <c r="S531" s="8">
        <f t="shared" si="99"/>
        <v>0</v>
      </c>
    </row>
    <row r="533" spans="1:19">
      <c r="A533" s="17" t="s">
        <v>389</v>
      </c>
      <c r="B533" s="2" t="s">
        <v>25</v>
      </c>
      <c r="C533" s="20"/>
      <c r="D533" s="4" t="s">
        <v>42</v>
      </c>
      <c r="F533" s="6">
        <v>1</v>
      </c>
      <c r="G533" s="7" t="s">
        <v>20</v>
      </c>
      <c r="H533" s="6">
        <v>144</v>
      </c>
      <c r="I533" s="7" t="s">
        <v>42</v>
      </c>
      <c r="J533" s="8">
        <v>25200</v>
      </c>
      <c r="K533" s="4" t="s">
        <v>42</v>
      </c>
      <c r="M533" s="9">
        <v>0.17</v>
      </c>
      <c r="O533" s="7" t="s">
        <v>42</v>
      </c>
      <c r="P533" s="3">
        <f t="shared" ref="P533:P557" si="100">(C533+(E533*F533*H533))-N533</f>
        <v>0</v>
      </c>
      <c r="Q533" s="7" t="s">
        <v>42</v>
      </c>
      <c r="R533" s="8">
        <f t="shared" ref="R533:R557" si="101">P533*(J533-(J533*L533)-((J533-(J533*L533))*M533))</f>
        <v>0</v>
      </c>
      <c r="S533" s="8">
        <f t="shared" si="99"/>
        <v>0</v>
      </c>
    </row>
    <row r="534" spans="1:19">
      <c r="A534" s="17" t="s">
        <v>683</v>
      </c>
      <c r="B534" s="2" t="s">
        <v>25</v>
      </c>
      <c r="D534" s="4" t="s">
        <v>42</v>
      </c>
      <c r="E534" s="5">
        <v>2</v>
      </c>
      <c r="F534" s="6">
        <v>1</v>
      </c>
      <c r="G534" s="7" t="s">
        <v>20</v>
      </c>
      <c r="H534" s="6">
        <v>144</v>
      </c>
      <c r="I534" s="7" t="s">
        <v>42</v>
      </c>
      <c r="J534" s="8">
        <f>3758400/144</f>
        <v>26100</v>
      </c>
      <c r="K534" s="4" t="s">
        <v>42</v>
      </c>
      <c r="M534" s="9">
        <v>0.17</v>
      </c>
      <c r="O534" s="7" t="s">
        <v>42</v>
      </c>
      <c r="P534" s="3">
        <f t="shared" si="100"/>
        <v>288</v>
      </c>
      <c r="Q534" s="7" t="s">
        <v>42</v>
      </c>
      <c r="R534" s="8">
        <f t="shared" si="101"/>
        <v>6238944</v>
      </c>
      <c r="S534" s="8">
        <f t="shared" si="99"/>
        <v>5620670.2702702694</v>
      </c>
    </row>
    <row r="535" spans="1:19">
      <c r="A535" s="17" t="s">
        <v>390</v>
      </c>
      <c r="B535" s="2" t="s">
        <v>25</v>
      </c>
      <c r="D535" s="4" t="s">
        <v>42</v>
      </c>
      <c r="F535" s="6">
        <v>1</v>
      </c>
      <c r="G535" s="7" t="s">
        <v>20</v>
      </c>
      <c r="H535" s="6">
        <v>144</v>
      </c>
      <c r="I535" s="7" t="s">
        <v>42</v>
      </c>
      <c r="J535" s="8">
        <f>3715200/144</f>
        <v>25800</v>
      </c>
      <c r="K535" s="4" t="s">
        <v>42</v>
      </c>
      <c r="M535" s="9">
        <v>0.17</v>
      </c>
      <c r="O535" s="7" t="s">
        <v>42</v>
      </c>
      <c r="P535" s="3">
        <f t="shared" si="100"/>
        <v>0</v>
      </c>
      <c r="Q535" s="7" t="s">
        <v>42</v>
      </c>
      <c r="R535" s="8">
        <f t="shared" si="101"/>
        <v>0</v>
      </c>
      <c r="S535" s="8">
        <f t="shared" si="99"/>
        <v>0</v>
      </c>
    </row>
    <row r="536" spans="1:19">
      <c r="A536" s="17" t="s">
        <v>401</v>
      </c>
      <c r="B536" s="2" t="s">
        <v>25</v>
      </c>
      <c r="C536" s="20"/>
      <c r="D536" s="4" t="s">
        <v>42</v>
      </c>
      <c r="F536" s="6">
        <v>1</v>
      </c>
      <c r="G536" s="7" t="s">
        <v>20</v>
      </c>
      <c r="H536" s="6">
        <v>144</v>
      </c>
      <c r="I536" s="7" t="s">
        <v>42</v>
      </c>
      <c r="J536" s="8">
        <v>25800</v>
      </c>
      <c r="K536" s="4" t="s">
        <v>42</v>
      </c>
      <c r="M536" s="9">
        <v>0.17</v>
      </c>
      <c r="O536" s="7" t="s">
        <v>42</v>
      </c>
      <c r="P536" s="3">
        <f t="shared" si="100"/>
        <v>0</v>
      </c>
      <c r="Q536" s="7" t="s">
        <v>42</v>
      </c>
      <c r="R536" s="8">
        <f t="shared" si="101"/>
        <v>0</v>
      </c>
      <c r="S536" s="8">
        <f>R536/1.11</f>
        <v>0</v>
      </c>
    </row>
    <row r="537" spans="1:19">
      <c r="A537" s="59" t="s">
        <v>811</v>
      </c>
      <c r="B537" s="2" t="s">
        <v>25</v>
      </c>
      <c r="D537" s="4" t="s">
        <v>42</v>
      </c>
      <c r="F537" s="6">
        <v>1</v>
      </c>
      <c r="G537" s="7" t="s">
        <v>20</v>
      </c>
      <c r="H537" s="6">
        <v>144</v>
      </c>
      <c r="I537" s="7" t="s">
        <v>42</v>
      </c>
      <c r="J537" s="8">
        <f>3628800/144</f>
        <v>25200</v>
      </c>
      <c r="K537" s="4" t="s">
        <v>42</v>
      </c>
      <c r="M537" s="9">
        <v>0.17</v>
      </c>
      <c r="O537" s="7" t="s">
        <v>42</v>
      </c>
      <c r="P537" s="3">
        <f t="shared" si="100"/>
        <v>0</v>
      </c>
      <c r="Q537" s="7" t="s">
        <v>42</v>
      </c>
      <c r="R537" s="8">
        <f t="shared" si="101"/>
        <v>0</v>
      </c>
      <c r="S537" s="8">
        <f t="shared" ref="S537" si="102">R537/1.11</f>
        <v>0</v>
      </c>
    </row>
    <row r="538" spans="1:19">
      <c r="A538" s="59" t="s">
        <v>391</v>
      </c>
      <c r="B538" s="2" t="s">
        <v>25</v>
      </c>
      <c r="D538" s="4" t="s">
        <v>42</v>
      </c>
      <c r="F538" s="6">
        <v>1</v>
      </c>
      <c r="G538" s="7" t="s">
        <v>20</v>
      </c>
      <c r="H538" s="6">
        <v>144</v>
      </c>
      <c r="I538" s="7" t="s">
        <v>42</v>
      </c>
      <c r="J538" s="8">
        <f>3758400/144</f>
        <v>26100</v>
      </c>
      <c r="K538" s="4" t="s">
        <v>42</v>
      </c>
      <c r="M538" s="9">
        <v>0.17</v>
      </c>
      <c r="O538" s="7" t="s">
        <v>42</v>
      </c>
      <c r="P538" s="3">
        <f t="shared" si="100"/>
        <v>0</v>
      </c>
      <c r="Q538" s="7" t="s">
        <v>42</v>
      </c>
      <c r="R538" s="8">
        <f t="shared" si="101"/>
        <v>0</v>
      </c>
      <c r="S538" s="8">
        <f t="shared" si="99"/>
        <v>0</v>
      </c>
    </row>
    <row r="539" spans="1:19">
      <c r="A539" s="59" t="s">
        <v>392</v>
      </c>
      <c r="B539" s="2" t="s">
        <v>25</v>
      </c>
      <c r="C539" s="20"/>
      <c r="D539" s="4" t="s">
        <v>42</v>
      </c>
      <c r="F539" s="6">
        <v>1</v>
      </c>
      <c r="G539" s="7" t="s">
        <v>20</v>
      </c>
      <c r="H539" s="6">
        <v>144</v>
      </c>
      <c r="I539" s="7" t="s">
        <v>42</v>
      </c>
      <c r="J539" s="8">
        <f>3628800/144</f>
        <v>25200</v>
      </c>
      <c r="K539" s="4" t="s">
        <v>42</v>
      </c>
      <c r="M539" s="9">
        <v>0.17</v>
      </c>
      <c r="O539" s="7" t="s">
        <v>42</v>
      </c>
      <c r="P539" s="3">
        <f t="shared" si="100"/>
        <v>0</v>
      </c>
      <c r="Q539" s="7" t="s">
        <v>42</v>
      </c>
      <c r="R539" s="8">
        <f t="shared" si="101"/>
        <v>0</v>
      </c>
      <c r="S539" s="8">
        <f t="shared" si="99"/>
        <v>0</v>
      </c>
    </row>
    <row r="540" spans="1:19">
      <c r="A540" s="59" t="s">
        <v>393</v>
      </c>
      <c r="B540" s="2" t="s">
        <v>25</v>
      </c>
      <c r="C540" s="20"/>
      <c r="D540" s="4" t="s">
        <v>42</v>
      </c>
      <c r="F540" s="6">
        <v>1</v>
      </c>
      <c r="G540" s="7" t="s">
        <v>20</v>
      </c>
      <c r="H540" s="6">
        <v>144</v>
      </c>
      <c r="I540" s="7" t="s">
        <v>42</v>
      </c>
      <c r="J540" s="8">
        <f>3628800/144</f>
        <v>25200</v>
      </c>
      <c r="K540" s="4" t="s">
        <v>42</v>
      </c>
      <c r="M540" s="9">
        <v>0.17</v>
      </c>
      <c r="O540" s="7" t="s">
        <v>42</v>
      </c>
      <c r="P540" s="3">
        <f t="shared" si="100"/>
        <v>0</v>
      </c>
      <c r="Q540" s="7" t="s">
        <v>42</v>
      </c>
      <c r="R540" s="8">
        <f t="shared" si="101"/>
        <v>0</v>
      </c>
      <c r="S540" s="8">
        <f t="shared" si="99"/>
        <v>0</v>
      </c>
    </row>
    <row r="541" spans="1:19" s="19" customFormat="1">
      <c r="A541" s="18" t="s">
        <v>394</v>
      </c>
      <c r="B541" s="19" t="s">
        <v>25</v>
      </c>
      <c r="C541" s="69"/>
      <c r="D541" s="21" t="s">
        <v>42</v>
      </c>
      <c r="E541" s="26">
        <v>17</v>
      </c>
      <c r="F541" s="22">
        <v>1</v>
      </c>
      <c r="G541" s="23" t="s">
        <v>20</v>
      </c>
      <c r="H541" s="22">
        <v>144</v>
      </c>
      <c r="I541" s="23" t="s">
        <v>42</v>
      </c>
      <c r="J541" s="24">
        <f>5616000/144</f>
        <v>39000</v>
      </c>
      <c r="K541" s="21" t="s">
        <v>42</v>
      </c>
      <c r="L541" s="25"/>
      <c r="M541" s="25">
        <v>0.17</v>
      </c>
      <c r="N541" s="22"/>
      <c r="O541" s="23" t="s">
        <v>42</v>
      </c>
      <c r="P541" s="20">
        <f t="shared" si="100"/>
        <v>2448</v>
      </c>
      <c r="Q541" s="23" t="s">
        <v>42</v>
      </c>
      <c r="R541" s="24">
        <f t="shared" si="101"/>
        <v>79241760</v>
      </c>
      <c r="S541" s="24">
        <f t="shared" si="99"/>
        <v>71388972.972972959</v>
      </c>
    </row>
    <row r="542" spans="1:19">
      <c r="A542" s="17" t="s">
        <v>395</v>
      </c>
      <c r="B542" s="2" t="s">
        <v>25</v>
      </c>
      <c r="C542" s="20"/>
      <c r="D542" s="4" t="s">
        <v>42</v>
      </c>
      <c r="F542" s="6">
        <v>1</v>
      </c>
      <c r="G542" s="7" t="s">
        <v>20</v>
      </c>
      <c r="H542" s="6">
        <v>144</v>
      </c>
      <c r="I542" s="7" t="s">
        <v>42</v>
      </c>
      <c r="J542" s="8">
        <f>5356800/144</f>
        <v>37200</v>
      </c>
      <c r="K542" s="4" t="s">
        <v>42</v>
      </c>
      <c r="M542" s="9">
        <v>0.17</v>
      </c>
      <c r="O542" s="7" t="s">
        <v>42</v>
      </c>
      <c r="P542" s="3">
        <f t="shared" si="100"/>
        <v>0</v>
      </c>
      <c r="Q542" s="7" t="s">
        <v>42</v>
      </c>
      <c r="R542" s="8">
        <f t="shared" si="101"/>
        <v>0</v>
      </c>
      <c r="S542" s="8">
        <f t="shared" si="99"/>
        <v>0</v>
      </c>
    </row>
    <row r="543" spans="1:19" s="19" customFormat="1">
      <c r="A543" s="18" t="s">
        <v>396</v>
      </c>
      <c r="B543" s="19" t="s">
        <v>25</v>
      </c>
      <c r="C543" s="20"/>
      <c r="D543" s="21" t="s">
        <v>42</v>
      </c>
      <c r="E543" s="26"/>
      <c r="F543" s="22">
        <v>1</v>
      </c>
      <c r="G543" s="23" t="s">
        <v>20</v>
      </c>
      <c r="H543" s="22">
        <v>144</v>
      </c>
      <c r="I543" s="23" t="s">
        <v>42</v>
      </c>
      <c r="J543" s="24">
        <f>5356800/144</f>
        <v>37200</v>
      </c>
      <c r="K543" s="21" t="s">
        <v>42</v>
      </c>
      <c r="L543" s="25"/>
      <c r="M543" s="25">
        <v>0.17</v>
      </c>
      <c r="N543" s="22"/>
      <c r="O543" s="23" t="s">
        <v>42</v>
      </c>
      <c r="P543" s="20">
        <f t="shared" si="100"/>
        <v>0</v>
      </c>
      <c r="Q543" s="23" t="s">
        <v>42</v>
      </c>
      <c r="R543" s="24">
        <f t="shared" si="101"/>
        <v>0</v>
      </c>
      <c r="S543" s="24">
        <f t="shared" si="99"/>
        <v>0</v>
      </c>
    </row>
    <row r="544" spans="1:19" s="19" customFormat="1">
      <c r="A544" s="18" t="s">
        <v>778</v>
      </c>
      <c r="B544" s="19" t="s">
        <v>25</v>
      </c>
      <c r="C544" s="69"/>
      <c r="D544" s="21" t="s">
        <v>42</v>
      </c>
      <c r="E544" s="26"/>
      <c r="F544" s="22">
        <v>1</v>
      </c>
      <c r="G544" s="23" t="s">
        <v>20</v>
      </c>
      <c r="H544" s="22">
        <v>144</v>
      </c>
      <c r="I544" s="23" t="s">
        <v>42</v>
      </c>
      <c r="J544" s="24">
        <f>5702400/144</f>
        <v>39600</v>
      </c>
      <c r="K544" s="21" t="s">
        <v>42</v>
      </c>
      <c r="L544" s="25"/>
      <c r="M544" s="25">
        <v>0.17</v>
      </c>
      <c r="N544" s="22"/>
      <c r="O544" s="23" t="s">
        <v>42</v>
      </c>
      <c r="P544" s="20">
        <f t="shared" si="100"/>
        <v>0</v>
      </c>
      <c r="Q544" s="23" t="s">
        <v>42</v>
      </c>
      <c r="R544" s="24">
        <f t="shared" si="101"/>
        <v>0</v>
      </c>
      <c r="S544" s="24">
        <f t="shared" si="99"/>
        <v>0</v>
      </c>
    </row>
    <row r="545" spans="1:19" s="19" customFormat="1">
      <c r="A545" s="18" t="s">
        <v>779</v>
      </c>
      <c r="B545" s="19" t="s">
        <v>25</v>
      </c>
      <c r="C545" s="69"/>
      <c r="D545" s="21" t="s">
        <v>42</v>
      </c>
      <c r="E545" s="26">
        <v>1</v>
      </c>
      <c r="F545" s="22">
        <v>1</v>
      </c>
      <c r="G545" s="23" t="s">
        <v>20</v>
      </c>
      <c r="H545" s="22">
        <v>144</v>
      </c>
      <c r="I545" s="23" t="s">
        <v>42</v>
      </c>
      <c r="J545" s="24">
        <f>5702400/144</f>
        <v>39600</v>
      </c>
      <c r="K545" s="21" t="s">
        <v>42</v>
      </c>
      <c r="L545" s="25"/>
      <c r="M545" s="25">
        <v>0.17</v>
      </c>
      <c r="N545" s="22"/>
      <c r="O545" s="23" t="s">
        <v>42</v>
      </c>
      <c r="P545" s="20">
        <f t="shared" si="100"/>
        <v>144</v>
      </c>
      <c r="Q545" s="23" t="s">
        <v>42</v>
      </c>
      <c r="R545" s="24">
        <f t="shared" si="101"/>
        <v>4732992</v>
      </c>
      <c r="S545" s="24">
        <f t="shared" si="99"/>
        <v>4263956.7567567565</v>
      </c>
    </row>
    <row r="546" spans="1:19" s="19" customFormat="1">
      <c r="A546" s="18" t="s">
        <v>397</v>
      </c>
      <c r="B546" s="19" t="s">
        <v>25</v>
      </c>
      <c r="C546" s="20"/>
      <c r="D546" s="21" t="s">
        <v>42</v>
      </c>
      <c r="E546" s="26"/>
      <c r="F546" s="22">
        <v>1</v>
      </c>
      <c r="G546" s="23" t="s">
        <v>20</v>
      </c>
      <c r="H546" s="22">
        <v>144</v>
      </c>
      <c r="I546" s="23" t="s">
        <v>42</v>
      </c>
      <c r="J546" s="24">
        <f>5702400/144</f>
        <v>39600</v>
      </c>
      <c r="K546" s="21" t="s">
        <v>42</v>
      </c>
      <c r="L546" s="25"/>
      <c r="M546" s="25">
        <v>0.17</v>
      </c>
      <c r="N546" s="22"/>
      <c r="O546" s="23" t="s">
        <v>42</v>
      </c>
      <c r="P546" s="20">
        <f t="shared" si="100"/>
        <v>0</v>
      </c>
      <c r="Q546" s="23" t="s">
        <v>42</v>
      </c>
      <c r="R546" s="24">
        <f t="shared" si="101"/>
        <v>0</v>
      </c>
      <c r="S546" s="24">
        <f t="shared" si="99"/>
        <v>0</v>
      </c>
    </row>
    <row r="547" spans="1:19">
      <c r="A547" s="17" t="s">
        <v>398</v>
      </c>
      <c r="B547" s="2" t="s">
        <v>25</v>
      </c>
      <c r="D547" s="4" t="s">
        <v>42</v>
      </c>
      <c r="F547" s="6">
        <v>1</v>
      </c>
      <c r="G547" s="7" t="s">
        <v>20</v>
      </c>
      <c r="H547" s="6">
        <v>144</v>
      </c>
      <c r="I547" s="7" t="s">
        <v>42</v>
      </c>
      <c r="J547" s="8">
        <f>2764800/144</f>
        <v>19200</v>
      </c>
      <c r="K547" s="4" t="s">
        <v>42</v>
      </c>
      <c r="M547" s="9">
        <v>0.17</v>
      </c>
      <c r="O547" s="7" t="s">
        <v>42</v>
      </c>
      <c r="P547" s="3">
        <f t="shared" si="100"/>
        <v>0</v>
      </c>
      <c r="Q547" s="7" t="s">
        <v>42</v>
      </c>
      <c r="R547" s="8">
        <f t="shared" si="101"/>
        <v>0</v>
      </c>
      <c r="S547" s="8">
        <f t="shared" si="99"/>
        <v>0</v>
      </c>
    </row>
    <row r="548" spans="1:19">
      <c r="A548" s="17" t="s">
        <v>399</v>
      </c>
      <c r="B548" s="2" t="s">
        <v>25</v>
      </c>
      <c r="D548" s="4" t="s">
        <v>42</v>
      </c>
      <c r="F548" s="6">
        <v>1</v>
      </c>
      <c r="G548" s="7" t="s">
        <v>20</v>
      </c>
      <c r="H548" s="6">
        <v>144</v>
      </c>
      <c r="I548" s="7" t="s">
        <v>42</v>
      </c>
      <c r="J548" s="8">
        <f>2764800/144</f>
        <v>19200</v>
      </c>
      <c r="K548" s="4" t="s">
        <v>42</v>
      </c>
      <c r="M548" s="9">
        <v>0.17</v>
      </c>
      <c r="O548" s="7" t="s">
        <v>42</v>
      </c>
      <c r="P548" s="3">
        <f t="shared" si="100"/>
        <v>0</v>
      </c>
      <c r="Q548" s="7" t="s">
        <v>42</v>
      </c>
      <c r="R548" s="8">
        <f t="shared" si="101"/>
        <v>0</v>
      </c>
      <c r="S548" s="8">
        <f t="shared" si="99"/>
        <v>0</v>
      </c>
    </row>
    <row r="549" spans="1:19">
      <c r="A549" s="17" t="s">
        <v>400</v>
      </c>
      <c r="B549" s="2" t="s">
        <v>25</v>
      </c>
      <c r="D549" s="4" t="s">
        <v>42</v>
      </c>
      <c r="F549" s="6">
        <v>1</v>
      </c>
      <c r="G549" s="7" t="s">
        <v>20</v>
      </c>
      <c r="H549" s="6">
        <v>144</v>
      </c>
      <c r="I549" s="7" t="s">
        <v>42</v>
      </c>
      <c r="J549" s="8">
        <v>23400</v>
      </c>
      <c r="K549" s="4" t="s">
        <v>42</v>
      </c>
      <c r="M549" s="9">
        <v>0.17</v>
      </c>
      <c r="O549" s="7" t="s">
        <v>42</v>
      </c>
      <c r="P549" s="3">
        <f t="shared" si="100"/>
        <v>0</v>
      </c>
      <c r="Q549" s="7" t="s">
        <v>42</v>
      </c>
      <c r="R549" s="8">
        <f t="shared" si="101"/>
        <v>0</v>
      </c>
      <c r="S549" s="8">
        <f t="shared" si="99"/>
        <v>0</v>
      </c>
    </row>
    <row r="550" spans="1:19" s="19" customFormat="1">
      <c r="A550" s="18" t="s">
        <v>402</v>
      </c>
      <c r="B550" s="19" t="s">
        <v>25</v>
      </c>
      <c r="C550" s="20"/>
      <c r="D550" s="21" t="s">
        <v>42</v>
      </c>
      <c r="E550" s="26">
        <v>1</v>
      </c>
      <c r="F550" s="22">
        <v>1</v>
      </c>
      <c r="G550" s="23" t="s">
        <v>20</v>
      </c>
      <c r="H550" s="22">
        <v>144</v>
      </c>
      <c r="I550" s="23" t="s">
        <v>42</v>
      </c>
      <c r="J550" s="24">
        <f>3542400/144</f>
        <v>24600</v>
      </c>
      <c r="K550" s="21" t="s">
        <v>42</v>
      </c>
      <c r="L550" s="25"/>
      <c r="M550" s="25">
        <v>0.17</v>
      </c>
      <c r="N550" s="22"/>
      <c r="O550" s="23" t="s">
        <v>42</v>
      </c>
      <c r="P550" s="20">
        <f t="shared" si="100"/>
        <v>144</v>
      </c>
      <c r="Q550" s="23" t="s">
        <v>42</v>
      </c>
      <c r="R550" s="24">
        <f t="shared" si="101"/>
        <v>2940192</v>
      </c>
      <c r="S550" s="24">
        <f t="shared" si="99"/>
        <v>2648821.6216216213</v>
      </c>
    </row>
    <row r="551" spans="1:19" s="19" customFormat="1">
      <c r="A551" s="18" t="s">
        <v>403</v>
      </c>
      <c r="B551" s="19" t="s">
        <v>25</v>
      </c>
      <c r="C551" s="20"/>
      <c r="D551" s="21" t="s">
        <v>42</v>
      </c>
      <c r="E551" s="26">
        <v>17</v>
      </c>
      <c r="F551" s="22">
        <v>1</v>
      </c>
      <c r="G551" s="23" t="s">
        <v>20</v>
      </c>
      <c r="H551" s="22">
        <v>144</v>
      </c>
      <c r="I551" s="23" t="s">
        <v>42</v>
      </c>
      <c r="J551" s="24">
        <f>3110400/144</f>
        <v>21600</v>
      </c>
      <c r="K551" s="21" t="s">
        <v>42</v>
      </c>
      <c r="L551" s="25"/>
      <c r="M551" s="25">
        <v>0.17</v>
      </c>
      <c r="N551" s="22"/>
      <c r="O551" s="23" t="s">
        <v>42</v>
      </c>
      <c r="P551" s="20">
        <f t="shared" si="100"/>
        <v>2448</v>
      </c>
      <c r="Q551" s="23" t="s">
        <v>42</v>
      </c>
      <c r="R551" s="24">
        <f t="shared" si="101"/>
        <v>43887744</v>
      </c>
      <c r="S551" s="24">
        <f t="shared" si="99"/>
        <v>39538508.108108103</v>
      </c>
    </row>
    <row r="552" spans="1:19" s="19" customFormat="1">
      <c r="A552" s="18" t="s">
        <v>813</v>
      </c>
      <c r="B552" s="19" t="s">
        <v>25</v>
      </c>
      <c r="C552" s="20"/>
      <c r="D552" s="21" t="s">
        <v>42</v>
      </c>
      <c r="E552" s="26">
        <v>4</v>
      </c>
      <c r="F552" s="22">
        <v>1</v>
      </c>
      <c r="G552" s="23" t="s">
        <v>20</v>
      </c>
      <c r="H552" s="22">
        <v>144</v>
      </c>
      <c r="I552" s="23" t="s">
        <v>42</v>
      </c>
      <c r="J552" s="24">
        <f>3456000/144</f>
        <v>24000</v>
      </c>
      <c r="K552" s="21" t="s">
        <v>42</v>
      </c>
      <c r="L552" s="25"/>
      <c r="M552" s="25">
        <v>0.17</v>
      </c>
      <c r="N552" s="22"/>
      <c r="O552" s="23" t="s">
        <v>42</v>
      </c>
      <c r="P552" s="20">
        <f t="shared" si="100"/>
        <v>576</v>
      </c>
      <c r="Q552" s="23" t="s">
        <v>42</v>
      </c>
      <c r="R552" s="24">
        <f t="shared" si="101"/>
        <v>11473920</v>
      </c>
      <c r="S552" s="24">
        <f t="shared" si="99"/>
        <v>10336864.864864863</v>
      </c>
    </row>
    <row r="553" spans="1:19" s="19" customFormat="1">
      <c r="A553" s="18" t="s">
        <v>404</v>
      </c>
      <c r="B553" s="19" t="s">
        <v>25</v>
      </c>
      <c r="C553" s="20"/>
      <c r="D553" s="21" t="s">
        <v>42</v>
      </c>
      <c r="E553" s="26"/>
      <c r="F553" s="22">
        <v>1</v>
      </c>
      <c r="G553" s="23" t="s">
        <v>20</v>
      </c>
      <c r="H553" s="22">
        <v>144</v>
      </c>
      <c r="I553" s="23" t="s">
        <v>42</v>
      </c>
      <c r="J553" s="24">
        <f>3758400/144</f>
        <v>26100</v>
      </c>
      <c r="K553" s="21" t="s">
        <v>42</v>
      </c>
      <c r="L553" s="25"/>
      <c r="M553" s="25">
        <v>0.17</v>
      </c>
      <c r="N553" s="22"/>
      <c r="O553" s="23" t="s">
        <v>42</v>
      </c>
      <c r="P553" s="20">
        <f t="shared" si="100"/>
        <v>0</v>
      </c>
      <c r="Q553" s="23" t="s">
        <v>42</v>
      </c>
      <c r="R553" s="24">
        <f t="shared" si="101"/>
        <v>0</v>
      </c>
      <c r="S553" s="24">
        <f t="shared" si="99"/>
        <v>0</v>
      </c>
    </row>
    <row r="554" spans="1:19" s="19" customFormat="1">
      <c r="A554" s="18" t="s">
        <v>718</v>
      </c>
      <c r="B554" s="19" t="s">
        <v>25</v>
      </c>
      <c r="C554" s="20"/>
      <c r="D554" s="21" t="s">
        <v>42</v>
      </c>
      <c r="E554" s="26"/>
      <c r="F554" s="22">
        <v>1</v>
      </c>
      <c r="G554" s="23" t="s">
        <v>20</v>
      </c>
      <c r="H554" s="22">
        <v>144</v>
      </c>
      <c r="I554" s="23" t="s">
        <v>42</v>
      </c>
      <c r="J554" s="24">
        <f>5616000/144</f>
        <v>39000</v>
      </c>
      <c r="K554" s="21" t="s">
        <v>42</v>
      </c>
      <c r="L554" s="25"/>
      <c r="M554" s="25">
        <v>0.17</v>
      </c>
      <c r="N554" s="22"/>
      <c r="O554" s="23" t="s">
        <v>42</v>
      </c>
      <c r="P554" s="20">
        <f t="shared" si="100"/>
        <v>0</v>
      </c>
      <c r="Q554" s="23" t="s">
        <v>42</v>
      </c>
      <c r="R554" s="24">
        <f t="shared" si="101"/>
        <v>0</v>
      </c>
      <c r="S554" s="24">
        <f t="shared" si="99"/>
        <v>0</v>
      </c>
    </row>
    <row r="555" spans="1:19" s="19" customFormat="1">
      <c r="A555" s="18" t="s">
        <v>405</v>
      </c>
      <c r="B555" s="19" t="s">
        <v>25</v>
      </c>
      <c r="C555" s="20"/>
      <c r="D555" s="21" t="s">
        <v>42</v>
      </c>
      <c r="E555" s="26">
        <v>2</v>
      </c>
      <c r="F555" s="22">
        <v>1</v>
      </c>
      <c r="G555" s="23" t="s">
        <v>20</v>
      </c>
      <c r="H555" s="22">
        <v>144</v>
      </c>
      <c r="I555" s="23" t="s">
        <v>42</v>
      </c>
      <c r="J555" s="24">
        <f>5270400/144</f>
        <v>36600</v>
      </c>
      <c r="K555" s="21" t="s">
        <v>42</v>
      </c>
      <c r="L555" s="25"/>
      <c r="M555" s="25">
        <v>0.17</v>
      </c>
      <c r="N555" s="22"/>
      <c r="O555" s="23" t="s">
        <v>42</v>
      </c>
      <c r="P555" s="20">
        <f t="shared" si="100"/>
        <v>288</v>
      </c>
      <c r="Q555" s="23" t="s">
        <v>42</v>
      </c>
      <c r="R555" s="24">
        <f t="shared" si="101"/>
        <v>8748864</v>
      </c>
      <c r="S555" s="24">
        <f t="shared" si="99"/>
        <v>7881859.4594594585</v>
      </c>
    </row>
    <row r="556" spans="1:19" s="19" customFormat="1">
      <c r="A556" s="18" t="s">
        <v>406</v>
      </c>
      <c r="B556" s="19" t="s">
        <v>25</v>
      </c>
      <c r="C556" s="20"/>
      <c r="D556" s="21" t="s">
        <v>42</v>
      </c>
      <c r="E556" s="26"/>
      <c r="F556" s="22">
        <v>1</v>
      </c>
      <c r="G556" s="23" t="s">
        <v>20</v>
      </c>
      <c r="H556" s="22">
        <v>144</v>
      </c>
      <c r="I556" s="23" t="s">
        <v>42</v>
      </c>
      <c r="J556" s="24">
        <f>5616000/144</f>
        <v>39000</v>
      </c>
      <c r="K556" s="21" t="s">
        <v>42</v>
      </c>
      <c r="L556" s="25"/>
      <c r="M556" s="25">
        <v>0.17</v>
      </c>
      <c r="N556" s="22"/>
      <c r="O556" s="23" t="s">
        <v>42</v>
      </c>
      <c r="P556" s="20">
        <f t="shared" si="100"/>
        <v>0</v>
      </c>
      <c r="Q556" s="23" t="s">
        <v>42</v>
      </c>
      <c r="R556" s="24">
        <f t="shared" si="101"/>
        <v>0</v>
      </c>
      <c r="S556" s="24">
        <f t="shared" si="99"/>
        <v>0</v>
      </c>
    </row>
    <row r="557" spans="1:19">
      <c r="A557" s="17" t="s">
        <v>407</v>
      </c>
      <c r="B557" s="2" t="s">
        <v>25</v>
      </c>
      <c r="D557" s="4" t="s">
        <v>42</v>
      </c>
      <c r="F557" s="6">
        <v>1</v>
      </c>
      <c r="G557" s="7" t="s">
        <v>20</v>
      </c>
      <c r="H557" s="6">
        <v>144</v>
      </c>
      <c r="I557" s="7" t="s">
        <v>42</v>
      </c>
      <c r="J557" s="8">
        <f>5616000/144</f>
        <v>39000</v>
      </c>
      <c r="K557" s="4" t="s">
        <v>42</v>
      </c>
      <c r="M557" s="9">
        <v>0.17</v>
      </c>
      <c r="O557" s="7" t="s">
        <v>42</v>
      </c>
      <c r="P557" s="3">
        <f t="shared" si="100"/>
        <v>0</v>
      </c>
      <c r="Q557" s="7" t="s">
        <v>42</v>
      </c>
      <c r="R557" s="8">
        <f t="shared" si="101"/>
        <v>0</v>
      </c>
      <c r="S557" s="8">
        <f t="shared" si="99"/>
        <v>0</v>
      </c>
    </row>
    <row r="559" spans="1:19" s="19" customFormat="1">
      <c r="A559" s="18" t="s">
        <v>409</v>
      </c>
      <c r="B559" s="19" t="s">
        <v>267</v>
      </c>
      <c r="C559" s="20"/>
      <c r="D559" s="21" t="s">
        <v>42</v>
      </c>
      <c r="E559" s="26"/>
      <c r="F559" s="22">
        <v>1</v>
      </c>
      <c r="G559" s="23" t="s">
        <v>20</v>
      </c>
      <c r="H559" s="22">
        <v>144</v>
      </c>
      <c r="I559" s="23" t="s">
        <v>42</v>
      </c>
      <c r="J559" s="24">
        <v>22500</v>
      </c>
      <c r="K559" s="21" t="s">
        <v>42</v>
      </c>
      <c r="L559" s="25"/>
      <c r="M559" s="25"/>
      <c r="N559" s="22"/>
      <c r="O559" s="23" t="s">
        <v>42</v>
      </c>
      <c r="P559" s="20">
        <f t="shared" ref="P559:P586" si="103">(C559+(E559*F559*H559))-N559</f>
        <v>0</v>
      </c>
      <c r="Q559" s="23" t="s">
        <v>42</v>
      </c>
      <c r="R559" s="24">
        <f t="shared" ref="R559:R586" si="104">P559*(J559-(J559*L559)-((J559-(J559*L559))*M559))</f>
        <v>0</v>
      </c>
      <c r="S559" s="24">
        <f t="shared" si="99"/>
        <v>0</v>
      </c>
    </row>
    <row r="560" spans="1:19">
      <c r="A560" s="17" t="s">
        <v>410</v>
      </c>
      <c r="B560" s="2" t="s">
        <v>267</v>
      </c>
      <c r="D560" s="4" t="s">
        <v>42</v>
      </c>
      <c r="F560" s="6">
        <v>1</v>
      </c>
      <c r="G560" s="7" t="s">
        <v>20</v>
      </c>
      <c r="H560" s="6">
        <v>144</v>
      </c>
      <c r="I560" s="7" t="s">
        <v>42</v>
      </c>
      <c r="J560" s="8">
        <v>26000</v>
      </c>
      <c r="K560" s="4" t="s">
        <v>42</v>
      </c>
      <c r="O560" s="7" t="s">
        <v>42</v>
      </c>
      <c r="P560" s="3">
        <f t="shared" si="103"/>
        <v>0</v>
      </c>
      <c r="Q560" s="7" t="s">
        <v>42</v>
      </c>
      <c r="R560" s="8">
        <f t="shared" si="104"/>
        <v>0</v>
      </c>
      <c r="S560" s="8">
        <f t="shared" si="99"/>
        <v>0</v>
      </c>
    </row>
    <row r="561" spans="1:19" s="19" customFormat="1">
      <c r="A561" s="18" t="s">
        <v>411</v>
      </c>
      <c r="B561" s="19" t="s">
        <v>267</v>
      </c>
      <c r="C561" s="20"/>
      <c r="D561" s="21" t="s">
        <v>42</v>
      </c>
      <c r="E561" s="26"/>
      <c r="F561" s="22">
        <v>1</v>
      </c>
      <c r="G561" s="23" t="s">
        <v>20</v>
      </c>
      <c r="H561" s="22">
        <v>96</v>
      </c>
      <c r="I561" s="23" t="s">
        <v>42</v>
      </c>
      <c r="J561" s="24">
        <v>31500</v>
      </c>
      <c r="K561" s="21" t="s">
        <v>42</v>
      </c>
      <c r="L561" s="25"/>
      <c r="M561" s="25"/>
      <c r="N561" s="22"/>
      <c r="O561" s="23" t="s">
        <v>42</v>
      </c>
      <c r="P561" s="20">
        <f t="shared" si="103"/>
        <v>0</v>
      </c>
      <c r="Q561" s="23" t="s">
        <v>42</v>
      </c>
      <c r="R561" s="24">
        <f t="shared" si="104"/>
        <v>0</v>
      </c>
      <c r="S561" s="24">
        <f t="shared" si="99"/>
        <v>0</v>
      </c>
    </row>
    <row r="562" spans="1:19">
      <c r="A562" s="17" t="s">
        <v>724</v>
      </c>
      <c r="B562" s="2" t="s">
        <v>267</v>
      </c>
      <c r="D562" s="4" t="s">
        <v>42</v>
      </c>
      <c r="F562" s="6">
        <v>1</v>
      </c>
      <c r="G562" s="7" t="s">
        <v>20</v>
      </c>
      <c r="H562" s="6">
        <v>144</v>
      </c>
      <c r="I562" s="7" t="s">
        <v>42</v>
      </c>
      <c r="J562" s="8">
        <f>31818+(31818*10%)</f>
        <v>34999.800000000003</v>
      </c>
      <c r="K562" s="4" t="s">
        <v>42</v>
      </c>
      <c r="O562" s="7" t="s">
        <v>42</v>
      </c>
      <c r="P562" s="3">
        <f t="shared" si="103"/>
        <v>0</v>
      </c>
      <c r="Q562" s="7" t="s">
        <v>42</v>
      </c>
      <c r="R562" s="8">
        <f t="shared" si="104"/>
        <v>0</v>
      </c>
      <c r="S562" s="8">
        <f t="shared" si="99"/>
        <v>0</v>
      </c>
    </row>
    <row r="563" spans="1:19">
      <c r="A563" s="17" t="s">
        <v>725</v>
      </c>
      <c r="B563" s="2" t="s">
        <v>267</v>
      </c>
      <c r="D563" s="4" t="s">
        <v>42</v>
      </c>
      <c r="F563" s="6">
        <v>1</v>
      </c>
      <c r="G563" s="7" t="s">
        <v>20</v>
      </c>
      <c r="H563" s="6">
        <v>144</v>
      </c>
      <c r="I563" s="7" t="s">
        <v>42</v>
      </c>
      <c r="J563" s="8">
        <v>16175</v>
      </c>
      <c r="K563" s="4" t="s">
        <v>42</v>
      </c>
      <c r="O563" s="7" t="s">
        <v>42</v>
      </c>
      <c r="P563" s="3">
        <f t="shared" si="103"/>
        <v>0</v>
      </c>
      <c r="Q563" s="7" t="s">
        <v>42</v>
      </c>
      <c r="R563" s="8">
        <f t="shared" si="104"/>
        <v>0</v>
      </c>
      <c r="S563" s="8">
        <f t="shared" si="99"/>
        <v>0</v>
      </c>
    </row>
    <row r="564" spans="1:19">
      <c r="A564" s="17" t="s">
        <v>726</v>
      </c>
      <c r="B564" s="2" t="s">
        <v>267</v>
      </c>
      <c r="D564" s="4" t="s">
        <v>42</v>
      </c>
      <c r="F564" s="6">
        <v>1</v>
      </c>
      <c r="G564" s="7" t="s">
        <v>20</v>
      </c>
      <c r="H564" s="6">
        <v>144</v>
      </c>
      <c r="I564" s="7" t="s">
        <v>42</v>
      </c>
      <c r="J564" s="8">
        <v>16175</v>
      </c>
      <c r="K564" s="4" t="s">
        <v>42</v>
      </c>
      <c r="O564" s="7" t="s">
        <v>42</v>
      </c>
      <c r="P564" s="3">
        <f t="shared" si="103"/>
        <v>0</v>
      </c>
      <c r="Q564" s="7" t="s">
        <v>42</v>
      </c>
      <c r="R564" s="8">
        <f t="shared" si="104"/>
        <v>0</v>
      </c>
      <c r="S564" s="8">
        <f t="shared" si="99"/>
        <v>0</v>
      </c>
    </row>
    <row r="565" spans="1:19">
      <c r="A565" s="17" t="s">
        <v>727</v>
      </c>
      <c r="B565" s="2" t="s">
        <v>267</v>
      </c>
      <c r="D565" s="4" t="s">
        <v>42</v>
      </c>
      <c r="F565" s="6">
        <v>1</v>
      </c>
      <c r="G565" s="7" t="s">
        <v>20</v>
      </c>
      <c r="H565" s="6">
        <v>144</v>
      </c>
      <c r="I565" s="7" t="s">
        <v>42</v>
      </c>
      <c r="J565" s="8">
        <v>16175</v>
      </c>
      <c r="K565" s="4" t="s">
        <v>42</v>
      </c>
      <c r="O565" s="7" t="s">
        <v>42</v>
      </c>
      <c r="P565" s="3">
        <f t="shared" si="103"/>
        <v>0</v>
      </c>
      <c r="Q565" s="7" t="s">
        <v>42</v>
      </c>
      <c r="R565" s="8">
        <f t="shared" si="104"/>
        <v>0</v>
      </c>
      <c r="S565" s="8">
        <f t="shared" si="99"/>
        <v>0</v>
      </c>
    </row>
    <row r="566" spans="1:19">
      <c r="A566" s="17" t="s">
        <v>728</v>
      </c>
      <c r="B566" s="2" t="s">
        <v>267</v>
      </c>
      <c r="D566" s="4" t="s">
        <v>42</v>
      </c>
      <c r="F566" s="6">
        <v>1</v>
      </c>
      <c r="G566" s="7" t="s">
        <v>20</v>
      </c>
      <c r="H566" s="6">
        <v>144</v>
      </c>
      <c r="I566" s="7" t="s">
        <v>42</v>
      </c>
      <c r="J566" s="8">
        <v>16175</v>
      </c>
      <c r="K566" s="4" t="s">
        <v>42</v>
      </c>
      <c r="O566" s="7" t="s">
        <v>42</v>
      </c>
      <c r="P566" s="3">
        <f t="shared" si="103"/>
        <v>0</v>
      </c>
      <c r="Q566" s="7" t="s">
        <v>42</v>
      </c>
      <c r="R566" s="8">
        <f t="shared" si="104"/>
        <v>0</v>
      </c>
      <c r="S566" s="8">
        <f t="shared" si="99"/>
        <v>0</v>
      </c>
    </row>
    <row r="567" spans="1:19">
      <c r="A567" s="17" t="s">
        <v>729</v>
      </c>
      <c r="B567" s="2" t="s">
        <v>267</v>
      </c>
      <c r="D567" s="4" t="s">
        <v>42</v>
      </c>
      <c r="F567" s="6">
        <v>1</v>
      </c>
      <c r="G567" s="7" t="s">
        <v>20</v>
      </c>
      <c r="H567" s="6">
        <v>144</v>
      </c>
      <c r="I567" s="7" t="s">
        <v>42</v>
      </c>
      <c r="J567" s="8">
        <v>16175</v>
      </c>
      <c r="K567" s="4" t="s">
        <v>42</v>
      </c>
      <c r="O567" s="7" t="s">
        <v>42</v>
      </c>
      <c r="P567" s="3">
        <f t="shared" si="103"/>
        <v>0</v>
      </c>
      <c r="Q567" s="7" t="s">
        <v>42</v>
      </c>
      <c r="R567" s="8">
        <f t="shared" si="104"/>
        <v>0</v>
      </c>
      <c r="S567" s="8">
        <f t="shared" si="99"/>
        <v>0</v>
      </c>
    </row>
    <row r="568" spans="1:19">
      <c r="A568" s="17" t="s">
        <v>730</v>
      </c>
      <c r="B568" s="2" t="s">
        <v>267</v>
      </c>
      <c r="D568" s="4" t="s">
        <v>42</v>
      </c>
      <c r="F568" s="6">
        <v>1</v>
      </c>
      <c r="G568" s="7" t="s">
        <v>20</v>
      </c>
      <c r="H568" s="6">
        <v>144</v>
      </c>
      <c r="I568" s="7" t="s">
        <v>42</v>
      </c>
      <c r="J568" s="8">
        <v>16175</v>
      </c>
      <c r="K568" s="4" t="s">
        <v>42</v>
      </c>
      <c r="O568" s="7" t="s">
        <v>42</v>
      </c>
      <c r="P568" s="3">
        <f t="shared" si="103"/>
        <v>0</v>
      </c>
      <c r="Q568" s="7" t="s">
        <v>42</v>
      </c>
      <c r="R568" s="8">
        <f t="shared" si="104"/>
        <v>0</v>
      </c>
      <c r="S568" s="8">
        <f t="shared" si="99"/>
        <v>0</v>
      </c>
    </row>
    <row r="569" spans="1:19">
      <c r="A569" s="17" t="s">
        <v>731</v>
      </c>
      <c r="B569" s="2" t="s">
        <v>267</v>
      </c>
      <c r="D569" s="4" t="s">
        <v>42</v>
      </c>
      <c r="F569" s="6">
        <v>1</v>
      </c>
      <c r="G569" s="7" t="s">
        <v>20</v>
      </c>
      <c r="H569" s="6">
        <v>144</v>
      </c>
      <c r="I569" s="7" t="s">
        <v>42</v>
      </c>
      <c r="J569" s="8">
        <v>16175</v>
      </c>
      <c r="K569" s="4" t="s">
        <v>42</v>
      </c>
      <c r="O569" s="7" t="s">
        <v>42</v>
      </c>
      <c r="P569" s="3">
        <f t="shared" si="103"/>
        <v>0</v>
      </c>
      <c r="Q569" s="7" t="s">
        <v>42</v>
      </c>
      <c r="R569" s="8">
        <f t="shared" si="104"/>
        <v>0</v>
      </c>
      <c r="S569" s="8">
        <f t="shared" si="99"/>
        <v>0</v>
      </c>
    </row>
    <row r="570" spans="1:19">
      <c r="A570" s="17" t="s">
        <v>732</v>
      </c>
      <c r="B570" s="2" t="s">
        <v>267</v>
      </c>
      <c r="D570" s="4" t="s">
        <v>42</v>
      </c>
      <c r="F570" s="6">
        <v>1</v>
      </c>
      <c r="G570" s="7" t="s">
        <v>20</v>
      </c>
      <c r="H570" s="6">
        <v>144</v>
      </c>
      <c r="I570" s="7" t="s">
        <v>42</v>
      </c>
      <c r="J570" s="8">
        <v>16175</v>
      </c>
      <c r="K570" s="4" t="s">
        <v>42</v>
      </c>
      <c r="O570" s="7" t="s">
        <v>42</v>
      </c>
      <c r="P570" s="3">
        <f t="shared" si="103"/>
        <v>0</v>
      </c>
      <c r="Q570" s="7" t="s">
        <v>42</v>
      </c>
      <c r="R570" s="8">
        <f t="shared" si="104"/>
        <v>0</v>
      </c>
      <c r="S570" s="8">
        <f t="shared" si="99"/>
        <v>0</v>
      </c>
    </row>
    <row r="571" spans="1:19">
      <c r="A571" s="17" t="s">
        <v>733</v>
      </c>
      <c r="B571" s="2" t="s">
        <v>267</v>
      </c>
      <c r="D571" s="4" t="s">
        <v>42</v>
      </c>
      <c r="F571" s="6">
        <v>1</v>
      </c>
      <c r="G571" s="7" t="s">
        <v>20</v>
      </c>
      <c r="H571" s="6">
        <v>144</v>
      </c>
      <c r="I571" s="7" t="s">
        <v>42</v>
      </c>
      <c r="J571" s="8">
        <v>16175</v>
      </c>
      <c r="K571" s="4" t="s">
        <v>42</v>
      </c>
      <c r="O571" s="7" t="s">
        <v>42</v>
      </c>
      <c r="P571" s="3">
        <f t="shared" si="103"/>
        <v>0</v>
      </c>
      <c r="Q571" s="7" t="s">
        <v>42</v>
      </c>
      <c r="R571" s="8">
        <f t="shared" si="104"/>
        <v>0</v>
      </c>
      <c r="S571" s="8">
        <f t="shared" si="99"/>
        <v>0</v>
      </c>
    </row>
    <row r="572" spans="1:19">
      <c r="A572" s="17" t="s">
        <v>734</v>
      </c>
      <c r="B572" s="2" t="s">
        <v>267</v>
      </c>
      <c r="D572" s="4" t="s">
        <v>42</v>
      </c>
      <c r="F572" s="6">
        <v>1</v>
      </c>
      <c r="G572" s="7" t="s">
        <v>20</v>
      </c>
      <c r="H572" s="6">
        <v>144</v>
      </c>
      <c r="I572" s="7" t="s">
        <v>42</v>
      </c>
      <c r="J572" s="8">
        <v>16175</v>
      </c>
      <c r="K572" s="4" t="s">
        <v>42</v>
      </c>
      <c r="O572" s="7" t="s">
        <v>42</v>
      </c>
      <c r="P572" s="3">
        <f t="shared" si="103"/>
        <v>0</v>
      </c>
      <c r="Q572" s="7" t="s">
        <v>42</v>
      </c>
      <c r="R572" s="8">
        <f t="shared" si="104"/>
        <v>0</v>
      </c>
      <c r="S572" s="8">
        <f t="shared" si="99"/>
        <v>0</v>
      </c>
    </row>
    <row r="573" spans="1:19">
      <c r="A573" s="17" t="s">
        <v>735</v>
      </c>
      <c r="B573" s="2" t="s">
        <v>267</v>
      </c>
      <c r="D573" s="4" t="s">
        <v>42</v>
      </c>
      <c r="F573" s="6">
        <v>1</v>
      </c>
      <c r="G573" s="7" t="s">
        <v>20</v>
      </c>
      <c r="H573" s="6">
        <v>144</v>
      </c>
      <c r="I573" s="7" t="s">
        <v>42</v>
      </c>
      <c r="J573" s="8">
        <v>16175</v>
      </c>
      <c r="K573" s="4" t="s">
        <v>42</v>
      </c>
      <c r="O573" s="7" t="s">
        <v>42</v>
      </c>
      <c r="P573" s="3">
        <f t="shared" si="103"/>
        <v>0</v>
      </c>
      <c r="Q573" s="7" t="s">
        <v>42</v>
      </c>
      <c r="R573" s="8">
        <f t="shared" si="104"/>
        <v>0</v>
      </c>
      <c r="S573" s="8">
        <f t="shared" si="99"/>
        <v>0</v>
      </c>
    </row>
    <row r="574" spans="1:19">
      <c r="A574" s="17" t="s">
        <v>736</v>
      </c>
      <c r="B574" s="2" t="s">
        <v>267</v>
      </c>
      <c r="D574" s="4" t="s">
        <v>42</v>
      </c>
      <c r="F574" s="6">
        <v>1</v>
      </c>
      <c r="G574" s="7" t="s">
        <v>20</v>
      </c>
      <c r="H574" s="6">
        <v>144</v>
      </c>
      <c r="I574" s="7" t="s">
        <v>42</v>
      </c>
      <c r="J574" s="8">
        <v>16175</v>
      </c>
      <c r="K574" s="4" t="s">
        <v>42</v>
      </c>
      <c r="O574" s="7" t="s">
        <v>42</v>
      </c>
      <c r="P574" s="3">
        <f t="shared" si="103"/>
        <v>0</v>
      </c>
      <c r="Q574" s="7" t="s">
        <v>42</v>
      </c>
      <c r="R574" s="8">
        <f t="shared" si="104"/>
        <v>0</v>
      </c>
      <c r="S574" s="8">
        <f t="shared" si="99"/>
        <v>0</v>
      </c>
    </row>
    <row r="575" spans="1:19">
      <c r="A575" s="17" t="s">
        <v>737</v>
      </c>
      <c r="B575" s="2" t="s">
        <v>267</v>
      </c>
      <c r="D575" s="4" t="s">
        <v>42</v>
      </c>
      <c r="F575" s="6">
        <v>1</v>
      </c>
      <c r="G575" s="7" t="s">
        <v>20</v>
      </c>
      <c r="H575" s="6">
        <v>144</v>
      </c>
      <c r="I575" s="7" t="s">
        <v>42</v>
      </c>
      <c r="J575" s="8">
        <v>16175</v>
      </c>
      <c r="K575" s="4" t="s">
        <v>42</v>
      </c>
      <c r="O575" s="7" t="s">
        <v>42</v>
      </c>
      <c r="P575" s="3">
        <f t="shared" si="103"/>
        <v>0</v>
      </c>
      <c r="Q575" s="7" t="s">
        <v>42</v>
      </c>
      <c r="R575" s="8">
        <f t="shared" si="104"/>
        <v>0</v>
      </c>
      <c r="S575" s="8">
        <f t="shared" si="99"/>
        <v>0</v>
      </c>
    </row>
    <row r="576" spans="1:19">
      <c r="A576" s="17" t="s">
        <v>738</v>
      </c>
      <c r="B576" s="2" t="s">
        <v>267</v>
      </c>
      <c r="D576" s="4" t="s">
        <v>42</v>
      </c>
      <c r="F576" s="6">
        <v>1</v>
      </c>
      <c r="G576" s="7" t="s">
        <v>20</v>
      </c>
      <c r="H576" s="6">
        <v>144</v>
      </c>
      <c r="I576" s="7" t="s">
        <v>42</v>
      </c>
      <c r="J576" s="8">
        <v>16175</v>
      </c>
      <c r="K576" s="4" t="s">
        <v>42</v>
      </c>
      <c r="O576" s="7" t="s">
        <v>42</v>
      </c>
      <c r="P576" s="3">
        <f t="shared" si="103"/>
        <v>0</v>
      </c>
      <c r="Q576" s="7" t="s">
        <v>42</v>
      </c>
      <c r="R576" s="8">
        <f t="shared" si="104"/>
        <v>0</v>
      </c>
      <c r="S576" s="8">
        <f t="shared" si="99"/>
        <v>0</v>
      </c>
    </row>
    <row r="577" spans="1:19">
      <c r="A577" s="17" t="s">
        <v>739</v>
      </c>
      <c r="B577" s="2" t="s">
        <v>267</v>
      </c>
      <c r="D577" s="4" t="s">
        <v>42</v>
      </c>
      <c r="F577" s="6">
        <v>1</v>
      </c>
      <c r="G577" s="7" t="s">
        <v>20</v>
      </c>
      <c r="H577" s="6">
        <v>144</v>
      </c>
      <c r="I577" s="7" t="s">
        <v>42</v>
      </c>
      <c r="J577" s="8">
        <v>16175</v>
      </c>
      <c r="K577" s="4" t="s">
        <v>42</v>
      </c>
      <c r="O577" s="7" t="s">
        <v>42</v>
      </c>
      <c r="P577" s="3">
        <f t="shared" si="103"/>
        <v>0</v>
      </c>
      <c r="Q577" s="7" t="s">
        <v>42</v>
      </c>
      <c r="R577" s="8">
        <f t="shared" si="104"/>
        <v>0</v>
      </c>
      <c r="S577" s="8">
        <f t="shared" si="99"/>
        <v>0</v>
      </c>
    </row>
    <row r="578" spans="1:19">
      <c r="A578" s="17" t="s">
        <v>740</v>
      </c>
      <c r="B578" s="2" t="s">
        <v>267</v>
      </c>
      <c r="D578" s="4" t="s">
        <v>42</v>
      </c>
      <c r="F578" s="6">
        <v>1</v>
      </c>
      <c r="G578" s="7" t="s">
        <v>20</v>
      </c>
      <c r="H578" s="6">
        <v>144</v>
      </c>
      <c r="I578" s="7" t="s">
        <v>42</v>
      </c>
      <c r="J578" s="8">
        <v>16175</v>
      </c>
      <c r="K578" s="4" t="s">
        <v>42</v>
      </c>
      <c r="O578" s="7" t="s">
        <v>42</v>
      </c>
      <c r="P578" s="3">
        <f t="shared" si="103"/>
        <v>0</v>
      </c>
      <c r="Q578" s="7" t="s">
        <v>42</v>
      </c>
      <c r="R578" s="8">
        <f t="shared" si="104"/>
        <v>0</v>
      </c>
      <c r="S578" s="8">
        <f t="shared" si="99"/>
        <v>0</v>
      </c>
    </row>
    <row r="579" spans="1:19">
      <c r="A579" s="17" t="s">
        <v>741</v>
      </c>
      <c r="B579" s="2" t="s">
        <v>267</v>
      </c>
      <c r="D579" s="4" t="s">
        <v>42</v>
      </c>
      <c r="F579" s="6">
        <v>1</v>
      </c>
      <c r="G579" s="7" t="s">
        <v>20</v>
      </c>
      <c r="H579" s="6">
        <v>144</v>
      </c>
      <c r="I579" s="7" t="s">
        <v>42</v>
      </c>
      <c r="J579" s="8">
        <v>16175</v>
      </c>
      <c r="K579" s="4" t="s">
        <v>42</v>
      </c>
      <c r="O579" s="7" t="s">
        <v>42</v>
      </c>
      <c r="P579" s="3">
        <f t="shared" si="103"/>
        <v>0</v>
      </c>
      <c r="Q579" s="7" t="s">
        <v>42</v>
      </c>
      <c r="R579" s="8">
        <f t="shared" si="104"/>
        <v>0</v>
      </c>
      <c r="S579" s="8">
        <f t="shared" si="99"/>
        <v>0</v>
      </c>
    </row>
    <row r="580" spans="1:19" s="19" customFormat="1">
      <c r="A580" s="18" t="s">
        <v>412</v>
      </c>
      <c r="B580" s="19" t="s">
        <v>267</v>
      </c>
      <c r="C580" s="20"/>
      <c r="D580" s="21" t="s">
        <v>42</v>
      </c>
      <c r="E580" s="26"/>
      <c r="F580" s="22">
        <v>1</v>
      </c>
      <c r="G580" s="23" t="s">
        <v>20</v>
      </c>
      <c r="H580" s="22">
        <v>144</v>
      </c>
      <c r="I580" s="23" t="s">
        <v>42</v>
      </c>
      <c r="J580" s="24">
        <v>16175</v>
      </c>
      <c r="K580" s="21" t="s">
        <v>42</v>
      </c>
      <c r="L580" s="25"/>
      <c r="M580" s="25"/>
      <c r="N580" s="22"/>
      <c r="O580" s="23" t="s">
        <v>42</v>
      </c>
      <c r="P580" s="20">
        <f t="shared" si="103"/>
        <v>0</v>
      </c>
      <c r="Q580" s="23" t="s">
        <v>42</v>
      </c>
      <c r="R580" s="24">
        <f t="shared" si="104"/>
        <v>0</v>
      </c>
      <c r="S580" s="24">
        <f t="shared" si="99"/>
        <v>0</v>
      </c>
    </row>
    <row r="581" spans="1:19">
      <c r="A581" s="17" t="s">
        <v>742</v>
      </c>
      <c r="B581" s="2" t="s">
        <v>267</v>
      </c>
      <c r="D581" s="4" t="s">
        <v>42</v>
      </c>
      <c r="F581" s="6">
        <v>1</v>
      </c>
      <c r="G581" s="7" t="s">
        <v>20</v>
      </c>
      <c r="H581" s="6">
        <v>144</v>
      </c>
      <c r="I581" s="7" t="s">
        <v>42</v>
      </c>
      <c r="J581" s="8">
        <v>16175</v>
      </c>
      <c r="K581" s="4" t="s">
        <v>42</v>
      </c>
      <c r="O581" s="7" t="s">
        <v>42</v>
      </c>
      <c r="P581" s="3">
        <f t="shared" si="103"/>
        <v>0</v>
      </c>
      <c r="Q581" s="7" t="s">
        <v>42</v>
      </c>
      <c r="R581" s="8">
        <f t="shared" si="104"/>
        <v>0</v>
      </c>
      <c r="S581" s="8">
        <f t="shared" si="99"/>
        <v>0</v>
      </c>
    </row>
    <row r="582" spans="1:19">
      <c r="A582" s="17" t="s">
        <v>743</v>
      </c>
      <c r="B582" s="2" t="s">
        <v>267</v>
      </c>
      <c r="D582" s="4" t="s">
        <v>42</v>
      </c>
      <c r="F582" s="6">
        <v>1</v>
      </c>
      <c r="G582" s="7" t="s">
        <v>20</v>
      </c>
      <c r="H582" s="6">
        <v>144</v>
      </c>
      <c r="I582" s="7" t="s">
        <v>42</v>
      </c>
      <c r="J582" s="8">
        <v>16175</v>
      </c>
      <c r="K582" s="4" t="s">
        <v>42</v>
      </c>
      <c r="O582" s="7" t="s">
        <v>42</v>
      </c>
      <c r="P582" s="3">
        <f t="shared" si="103"/>
        <v>0</v>
      </c>
      <c r="Q582" s="7" t="s">
        <v>42</v>
      </c>
      <c r="R582" s="8">
        <f t="shared" si="104"/>
        <v>0</v>
      </c>
      <c r="S582" s="8">
        <f t="shared" si="99"/>
        <v>0</v>
      </c>
    </row>
    <row r="583" spans="1:19">
      <c r="A583" s="17" t="s">
        <v>744</v>
      </c>
      <c r="B583" s="2" t="s">
        <v>267</v>
      </c>
      <c r="D583" s="4" t="s">
        <v>42</v>
      </c>
      <c r="F583" s="6">
        <v>1</v>
      </c>
      <c r="G583" s="7" t="s">
        <v>20</v>
      </c>
      <c r="H583" s="6">
        <v>144</v>
      </c>
      <c r="I583" s="7" t="s">
        <v>42</v>
      </c>
      <c r="J583" s="8">
        <v>16175</v>
      </c>
      <c r="K583" s="4" t="s">
        <v>42</v>
      </c>
      <c r="O583" s="7" t="s">
        <v>42</v>
      </c>
      <c r="P583" s="3">
        <f t="shared" si="103"/>
        <v>0</v>
      </c>
      <c r="Q583" s="7" t="s">
        <v>42</v>
      </c>
      <c r="R583" s="8">
        <f t="shared" si="104"/>
        <v>0</v>
      </c>
      <c r="S583" s="8">
        <f t="shared" si="99"/>
        <v>0</v>
      </c>
    </row>
    <row r="584" spans="1:19">
      <c r="A584" s="17" t="s">
        <v>745</v>
      </c>
      <c r="B584" s="2" t="s">
        <v>267</v>
      </c>
      <c r="D584" s="4" t="s">
        <v>42</v>
      </c>
      <c r="F584" s="6">
        <v>1</v>
      </c>
      <c r="G584" s="7" t="s">
        <v>20</v>
      </c>
      <c r="H584" s="6">
        <v>144</v>
      </c>
      <c r="I584" s="7" t="s">
        <v>42</v>
      </c>
      <c r="J584" s="8">
        <v>16175</v>
      </c>
      <c r="K584" s="4" t="s">
        <v>42</v>
      </c>
      <c r="O584" s="7" t="s">
        <v>42</v>
      </c>
      <c r="P584" s="3">
        <f t="shared" si="103"/>
        <v>0</v>
      </c>
      <c r="Q584" s="7" t="s">
        <v>42</v>
      </c>
      <c r="R584" s="8">
        <f t="shared" si="104"/>
        <v>0</v>
      </c>
      <c r="S584" s="8">
        <f t="shared" si="99"/>
        <v>0</v>
      </c>
    </row>
    <row r="585" spans="1:19">
      <c r="A585" s="17" t="s">
        <v>746</v>
      </c>
      <c r="B585" s="2" t="s">
        <v>267</v>
      </c>
      <c r="D585" s="4" t="s">
        <v>42</v>
      </c>
      <c r="F585" s="6">
        <v>1</v>
      </c>
      <c r="G585" s="7" t="s">
        <v>20</v>
      </c>
      <c r="H585" s="6">
        <v>144</v>
      </c>
      <c r="I585" s="7" t="s">
        <v>42</v>
      </c>
      <c r="J585" s="8">
        <v>16175</v>
      </c>
      <c r="K585" s="4" t="s">
        <v>42</v>
      </c>
      <c r="O585" s="7" t="s">
        <v>42</v>
      </c>
      <c r="P585" s="3">
        <f t="shared" si="103"/>
        <v>0</v>
      </c>
      <c r="Q585" s="7" t="s">
        <v>42</v>
      </c>
      <c r="R585" s="8">
        <f t="shared" si="104"/>
        <v>0</v>
      </c>
      <c r="S585" s="8">
        <f t="shared" si="99"/>
        <v>0</v>
      </c>
    </row>
    <row r="586" spans="1:19">
      <c r="A586" s="17" t="s">
        <v>747</v>
      </c>
      <c r="B586" s="2" t="s">
        <v>267</v>
      </c>
      <c r="D586" s="4" t="s">
        <v>42</v>
      </c>
      <c r="F586" s="6">
        <v>1</v>
      </c>
      <c r="G586" s="7" t="s">
        <v>20</v>
      </c>
      <c r="H586" s="6">
        <v>144</v>
      </c>
      <c r="I586" s="7" t="s">
        <v>42</v>
      </c>
      <c r="J586" s="8">
        <v>16175</v>
      </c>
      <c r="K586" s="4" t="s">
        <v>42</v>
      </c>
      <c r="O586" s="7" t="s">
        <v>42</v>
      </c>
      <c r="P586" s="3">
        <f t="shared" si="103"/>
        <v>0</v>
      </c>
      <c r="Q586" s="7" t="s">
        <v>42</v>
      </c>
      <c r="R586" s="8">
        <f t="shared" si="104"/>
        <v>0</v>
      </c>
      <c r="S586" s="8">
        <f t="shared" si="99"/>
        <v>0</v>
      </c>
    </row>
    <row r="588" spans="1:19">
      <c r="A588" s="17" t="s">
        <v>713</v>
      </c>
      <c r="B588" s="2" t="s">
        <v>699</v>
      </c>
      <c r="D588" s="4" t="s">
        <v>42</v>
      </c>
      <c r="F588" s="6">
        <v>1</v>
      </c>
      <c r="G588" s="7" t="s">
        <v>20</v>
      </c>
      <c r="H588" s="6">
        <v>96</v>
      </c>
      <c r="I588" s="7" t="s">
        <v>42</v>
      </c>
      <c r="J588" s="8">
        <v>26500</v>
      </c>
      <c r="K588" s="4" t="s">
        <v>42</v>
      </c>
      <c r="O588" s="7" t="s">
        <v>42</v>
      </c>
      <c r="P588" s="3">
        <f>(C588+(E588*F588*H588))-N588</f>
        <v>0</v>
      </c>
      <c r="Q588" s="7" t="s">
        <v>42</v>
      </c>
      <c r="R588" s="8">
        <f>P588*(J588-(J588*L588)-((J588-(J588*L588))*M588))</f>
        <v>0</v>
      </c>
      <c r="S588" s="8">
        <f t="shared" si="99"/>
        <v>0</v>
      </c>
    </row>
    <row r="590" spans="1:19">
      <c r="A590" s="17" t="s">
        <v>775</v>
      </c>
      <c r="B590" s="2" t="s">
        <v>178</v>
      </c>
      <c r="D590" s="4" t="s">
        <v>42</v>
      </c>
      <c r="F590" s="6">
        <v>1</v>
      </c>
      <c r="G590" s="7" t="s">
        <v>20</v>
      </c>
      <c r="H590" s="6">
        <v>144</v>
      </c>
      <c r="I590" s="7" t="s">
        <v>42</v>
      </c>
      <c r="J590" s="8">
        <v>19000</v>
      </c>
      <c r="K590" s="4" t="s">
        <v>42</v>
      </c>
      <c r="L590" s="9">
        <v>0.02</v>
      </c>
      <c r="O590" s="7" t="s">
        <v>42</v>
      </c>
      <c r="P590" s="3">
        <f>(C590+(E590*F590*H590))-N590</f>
        <v>0</v>
      </c>
      <c r="Q590" s="7" t="s">
        <v>42</v>
      </c>
      <c r="R590" s="8">
        <f>P590*(J590-(J590*L590)-((J590-(J590*L590))*M590))</f>
        <v>0</v>
      </c>
      <c r="S590" s="8">
        <f t="shared" ref="S590" si="105">R590/1.11</f>
        <v>0</v>
      </c>
    </row>
    <row r="591" spans="1:19">
      <c r="A591" s="17" t="s">
        <v>413</v>
      </c>
      <c r="B591" s="2" t="s">
        <v>178</v>
      </c>
      <c r="D591" s="4" t="s">
        <v>42</v>
      </c>
      <c r="F591" s="6">
        <v>1</v>
      </c>
      <c r="G591" s="7" t="s">
        <v>20</v>
      </c>
      <c r="H591" s="6">
        <v>192</v>
      </c>
      <c r="I591" s="7" t="s">
        <v>42</v>
      </c>
      <c r="J591" s="8">
        <v>12750</v>
      </c>
      <c r="K591" s="4" t="s">
        <v>42</v>
      </c>
      <c r="L591" s="9">
        <v>0.05</v>
      </c>
      <c r="O591" s="7" t="s">
        <v>42</v>
      </c>
      <c r="P591" s="3">
        <f>(C591+(E591*F591*H591))-N591</f>
        <v>0</v>
      </c>
      <c r="Q591" s="7" t="s">
        <v>42</v>
      </c>
      <c r="R591" s="8">
        <f>P591*(J591-(J591*L591)-((J591-(J591*L591))*M591))</f>
        <v>0</v>
      </c>
      <c r="S591" s="8">
        <f t="shared" si="99"/>
        <v>0</v>
      </c>
    </row>
    <row r="593" spans="1:19">
      <c r="A593" s="15" t="s">
        <v>414</v>
      </c>
    </row>
    <row r="594" spans="1:19">
      <c r="A594" s="71" t="s">
        <v>415</v>
      </c>
      <c r="B594" s="32" t="s">
        <v>18</v>
      </c>
      <c r="C594" s="33"/>
      <c r="D594" s="34" t="s">
        <v>158</v>
      </c>
      <c r="E594" s="35"/>
      <c r="F594" s="36">
        <v>8</v>
      </c>
      <c r="G594" s="37" t="s">
        <v>33</v>
      </c>
      <c r="H594" s="36">
        <v>24</v>
      </c>
      <c r="I594" s="37" t="s">
        <v>158</v>
      </c>
      <c r="J594" s="38">
        <v>16500</v>
      </c>
      <c r="K594" s="34" t="s">
        <v>158</v>
      </c>
      <c r="L594" s="39">
        <v>0.125</v>
      </c>
      <c r="M594" s="39">
        <v>0.05</v>
      </c>
      <c r="N594" s="36"/>
      <c r="O594" s="37" t="s">
        <v>158</v>
      </c>
      <c r="P594" s="33">
        <f t="shared" ref="P594:P600" si="106">(C594+(E594*F594*H594))-N594</f>
        <v>0</v>
      </c>
      <c r="Q594" s="37" t="s">
        <v>158</v>
      </c>
      <c r="R594" s="38">
        <f t="shared" ref="R594:R600" si="107">P594*(J594-(J594*L594)-((J594-(J594*L594))*M594))</f>
        <v>0</v>
      </c>
      <c r="S594" s="38">
        <f t="shared" si="99"/>
        <v>0</v>
      </c>
    </row>
    <row r="595" spans="1:19">
      <c r="A595" s="71" t="s">
        <v>809</v>
      </c>
      <c r="B595" s="32" t="s">
        <v>18</v>
      </c>
      <c r="C595" s="33"/>
      <c r="D595" s="34" t="s">
        <v>158</v>
      </c>
      <c r="E595" s="35"/>
      <c r="F595" s="36">
        <v>8</v>
      </c>
      <c r="G595" s="37" t="s">
        <v>33</v>
      </c>
      <c r="H595" s="36">
        <v>24</v>
      </c>
      <c r="I595" s="37" t="s">
        <v>158</v>
      </c>
      <c r="J595" s="38"/>
      <c r="K595" s="34" t="s">
        <v>158</v>
      </c>
      <c r="L595" s="39">
        <v>0.1</v>
      </c>
      <c r="M595" s="39">
        <v>0.05</v>
      </c>
      <c r="N595" s="36"/>
      <c r="O595" s="37" t="s">
        <v>158</v>
      </c>
      <c r="P595" s="33">
        <f t="shared" si="106"/>
        <v>0</v>
      </c>
      <c r="Q595" s="37" t="s">
        <v>158</v>
      </c>
      <c r="R595" s="38">
        <f t="shared" si="107"/>
        <v>0</v>
      </c>
      <c r="S595" s="38">
        <f t="shared" ref="S595:S696" si="108">R595/1.11</f>
        <v>0</v>
      </c>
    </row>
    <row r="596" spans="1:19">
      <c r="A596" s="72" t="s">
        <v>832</v>
      </c>
      <c r="B596" s="2" t="s">
        <v>18</v>
      </c>
      <c r="D596" s="4" t="s">
        <v>158</v>
      </c>
      <c r="F596" s="6">
        <v>12</v>
      </c>
      <c r="G596" s="7" t="s">
        <v>33</v>
      </c>
      <c r="H596" s="6">
        <v>24</v>
      </c>
      <c r="I596" s="7" t="s">
        <v>158</v>
      </c>
      <c r="J596" s="8">
        <v>14400</v>
      </c>
      <c r="K596" s="4" t="s">
        <v>158</v>
      </c>
      <c r="L596" s="9">
        <v>0.125</v>
      </c>
      <c r="M596" s="9">
        <v>0.05</v>
      </c>
      <c r="O596" s="7" t="s">
        <v>158</v>
      </c>
      <c r="P596" s="3">
        <f t="shared" si="106"/>
        <v>0</v>
      </c>
      <c r="Q596" s="7" t="s">
        <v>158</v>
      </c>
      <c r="R596" s="8">
        <f t="shared" si="107"/>
        <v>0</v>
      </c>
      <c r="S596" s="8">
        <f t="shared" si="108"/>
        <v>0</v>
      </c>
    </row>
    <row r="597" spans="1:19">
      <c r="A597" s="72" t="s">
        <v>416</v>
      </c>
      <c r="B597" s="2" t="s">
        <v>18</v>
      </c>
      <c r="D597" s="4" t="s">
        <v>158</v>
      </c>
      <c r="F597" s="6">
        <v>8</v>
      </c>
      <c r="G597" s="7" t="s">
        <v>33</v>
      </c>
      <c r="H597" s="6">
        <v>30</v>
      </c>
      <c r="I597" s="7" t="s">
        <v>158</v>
      </c>
      <c r="K597" s="4" t="s">
        <v>158</v>
      </c>
      <c r="L597" s="9">
        <v>0.1</v>
      </c>
      <c r="M597" s="9">
        <v>0.05</v>
      </c>
      <c r="O597" s="7" t="s">
        <v>158</v>
      </c>
      <c r="P597" s="3">
        <f t="shared" si="106"/>
        <v>0</v>
      </c>
      <c r="Q597" s="7" t="s">
        <v>158</v>
      </c>
      <c r="R597" s="8">
        <f t="shared" si="107"/>
        <v>0</v>
      </c>
      <c r="S597" s="8">
        <f t="shared" si="108"/>
        <v>0</v>
      </c>
    </row>
    <row r="598" spans="1:19">
      <c r="A598" s="72" t="s">
        <v>417</v>
      </c>
      <c r="B598" s="2" t="s">
        <v>18</v>
      </c>
      <c r="D598" s="4" t="s">
        <v>158</v>
      </c>
      <c r="F598" s="6">
        <v>8</v>
      </c>
      <c r="G598" s="7" t="s">
        <v>33</v>
      </c>
      <c r="H598" s="6">
        <v>24</v>
      </c>
      <c r="I598" s="7" t="s">
        <v>158</v>
      </c>
      <c r="J598" s="8">
        <v>21000</v>
      </c>
      <c r="K598" s="4" t="s">
        <v>158</v>
      </c>
      <c r="L598" s="9">
        <v>0.125</v>
      </c>
      <c r="M598" s="9">
        <v>0.05</v>
      </c>
      <c r="O598" s="7" t="s">
        <v>158</v>
      </c>
      <c r="P598" s="3">
        <f t="shared" si="106"/>
        <v>0</v>
      </c>
      <c r="Q598" s="7" t="s">
        <v>158</v>
      </c>
      <c r="R598" s="8">
        <f t="shared" si="107"/>
        <v>0</v>
      </c>
      <c r="S598" s="8">
        <f t="shared" si="108"/>
        <v>0</v>
      </c>
    </row>
    <row r="599" spans="1:19">
      <c r="A599" s="72" t="s">
        <v>418</v>
      </c>
      <c r="B599" s="2" t="s">
        <v>18</v>
      </c>
      <c r="D599" s="4" t="s">
        <v>158</v>
      </c>
      <c r="F599" s="6">
        <v>8</v>
      </c>
      <c r="G599" s="7" t="s">
        <v>33</v>
      </c>
      <c r="H599" s="6">
        <v>24</v>
      </c>
      <c r="I599" s="7" t="s">
        <v>158</v>
      </c>
      <c r="J599" s="8">
        <v>16800</v>
      </c>
      <c r="K599" s="4" t="s">
        <v>158</v>
      </c>
      <c r="L599" s="9">
        <v>0.125</v>
      </c>
      <c r="M599" s="9">
        <v>0.05</v>
      </c>
      <c r="O599" s="7" t="s">
        <v>158</v>
      </c>
      <c r="P599" s="3">
        <f t="shared" si="106"/>
        <v>0</v>
      </c>
      <c r="Q599" s="7" t="s">
        <v>158</v>
      </c>
      <c r="R599" s="8">
        <f t="shared" si="107"/>
        <v>0</v>
      </c>
      <c r="S599" s="8">
        <f t="shared" si="108"/>
        <v>0</v>
      </c>
    </row>
    <row r="600" spans="1:19">
      <c r="A600" s="72" t="s">
        <v>419</v>
      </c>
      <c r="B600" s="2" t="s">
        <v>18</v>
      </c>
      <c r="D600" s="4" t="s">
        <v>158</v>
      </c>
      <c r="F600" s="6">
        <v>6</v>
      </c>
      <c r="G600" s="7" t="s">
        <v>33</v>
      </c>
      <c r="H600" s="6">
        <v>24</v>
      </c>
      <c r="I600" s="7" t="s">
        <v>158</v>
      </c>
      <c r="J600" s="8">
        <v>21000</v>
      </c>
      <c r="K600" s="4" t="s">
        <v>158</v>
      </c>
      <c r="L600" s="9">
        <v>0.125</v>
      </c>
      <c r="M600" s="9">
        <v>0.05</v>
      </c>
      <c r="O600" s="7" t="s">
        <v>158</v>
      </c>
      <c r="P600" s="3">
        <f t="shared" si="106"/>
        <v>0</v>
      </c>
      <c r="Q600" s="7" t="s">
        <v>158</v>
      </c>
      <c r="R600" s="8">
        <f t="shared" si="107"/>
        <v>0</v>
      </c>
      <c r="S600" s="8">
        <f t="shared" si="108"/>
        <v>0</v>
      </c>
    </row>
    <row r="601" spans="1:19">
      <c r="A601" s="73"/>
    </row>
    <row r="602" spans="1:19">
      <c r="A602" s="17" t="s">
        <v>420</v>
      </c>
      <c r="B602" s="2" t="s">
        <v>25</v>
      </c>
      <c r="D602" s="4" t="s">
        <v>158</v>
      </c>
      <c r="F602" s="6">
        <v>8</v>
      </c>
      <c r="G602" s="7" t="s">
        <v>33</v>
      </c>
      <c r="H602" s="6">
        <v>30</v>
      </c>
      <c r="I602" s="7" t="s">
        <v>158</v>
      </c>
      <c r="J602" s="8">
        <f>4800000/8/30</f>
        <v>20000</v>
      </c>
      <c r="K602" s="4" t="s">
        <v>158</v>
      </c>
      <c r="M602" s="9">
        <v>0.17</v>
      </c>
      <c r="O602" s="7" t="s">
        <v>158</v>
      </c>
      <c r="P602" s="3">
        <f>(C602+(E602*F602*H602))-N602</f>
        <v>0</v>
      </c>
      <c r="Q602" s="7" t="s">
        <v>158</v>
      </c>
      <c r="R602" s="8">
        <f>P602*(J602-(J602*L602)-((J602-(J602*L602))*M602))</f>
        <v>0</v>
      </c>
      <c r="S602" s="8">
        <f t="shared" si="108"/>
        <v>0</v>
      </c>
    </row>
    <row r="603" spans="1:19">
      <c r="A603" s="17" t="s">
        <v>684</v>
      </c>
      <c r="B603" s="2" t="s">
        <v>25</v>
      </c>
      <c r="D603" s="4" t="s">
        <v>158</v>
      </c>
      <c r="F603" s="6">
        <v>6</v>
      </c>
      <c r="G603" s="7" t="s">
        <v>33</v>
      </c>
      <c r="H603" s="6">
        <v>30</v>
      </c>
      <c r="I603" s="7" t="s">
        <v>158</v>
      </c>
      <c r="J603" s="8">
        <f>2664000/6/30</f>
        <v>14800</v>
      </c>
      <c r="K603" s="4" t="s">
        <v>158</v>
      </c>
      <c r="M603" s="9">
        <v>0.17</v>
      </c>
      <c r="O603" s="7" t="s">
        <v>158</v>
      </c>
      <c r="P603" s="3">
        <f>(C603+(E603*F603*H603))-N603</f>
        <v>0</v>
      </c>
      <c r="Q603" s="7" t="s">
        <v>158</v>
      </c>
      <c r="R603" s="8">
        <f>P603*(J603-(J603*L603)-((J603-(J603*L603))*M603))</f>
        <v>0</v>
      </c>
      <c r="S603" s="8">
        <f t="shared" si="108"/>
        <v>0</v>
      </c>
    </row>
    <row r="605" spans="1:19">
      <c r="A605" s="15" t="s">
        <v>421</v>
      </c>
    </row>
    <row r="606" spans="1:19">
      <c r="A606" s="17" t="s">
        <v>422</v>
      </c>
      <c r="B606" s="2" t="s">
        <v>18</v>
      </c>
      <c r="D606" s="4" t="s">
        <v>42</v>
      </c>
      <c r="F606" s="6">
        <v>48</v>
      </c>
      <c r="G606" s="7" t="s">
        <v>33</v>
      </c>
      <c r="H606" s="6">
        <v>12</v>
      </c>
      <c r="I606" s="7" t="s">
        <v>19</v>
      </c>
      <c r="J606" s="8">
        <v>5800</v>
      </c>
      <c r="K606" s="4" t="s">
        <v>19</v>
      </c>
      <c r="L606" s="9">
        <v>0.125</v>
      </c>
      <c r="M606" s="9">
        <v>0.05</v>
      </c>
      <c r="O606" s="7" t="s">
        <v>19</v>
      </c>
      <c r="P606" s="3">
        <f>(C606+(E606*F606*H606))-N606</f>
        <v>0</v>
      </c>
      <c r="Q606" s="7" t="s">
        <v>19</v>
      </c>
      <c r="R606" s="8">
        <f>P606*(J606-(J606*L606)-((J606-(J606*L606))*M606))</f>
        <v>0</v>
      </c>
      <c r="S606" s="8">
        <f>R606/1.11</f>
        <v>0</v>
      </c>
    </row>
    <row r="608" spans="1:19">
      <c r="A608" s="72" t="s">
        <v>803</v>
      </c>
      <c r="B608" s="2" t="s">
        <v>25</v>
      </c>
      <c r="D608" s="4" t="s">
        <v>19</v>
      </c>
      <c r="F608" s="6">
        <v>24</v>
      </c>
      <c r="G608" s="7" t="s">
        <v>33</v>
      </c>
      <c r="H608" s="6">
        <v>24</v>
      </c>
      <c r="I608" s="7" t="s">
        <v>19</v>
      </c>
      <c r="J608" s="8">
        <f>2822400/24/24</f>
        <v>4900</v>
      </c>
      <c r="K608" s="4" t="s">
        <v>19</v>
      </c>
      <c r="M608" s="9">
        <v>0.17</v>
      </c>
      <c r="O608" s="7" t="s">
        <v>19</v>
      </c>
      <c r="P608" s="3">
        <f>(C608+(E608*F608*H608))-N608</f>
        <v>0</v>
      </c>
      <c r="Q608" s="7" t="s">
        <v>19</v>
      </c>
      <c r="R608" s="8">
        <f>P608*(J608-(J608*L608)-((J608-(J608*L608))*M608))</f>
        <v>0</v>
      </c>
      <c r="S608" s="8">
        <f t="shared" si="108"/>
        <v>0</v>
      </c>
    </row>
    <row r="609" spans="1:19">
      <c r="A609" s="72" t="s">
        <v>804</v>
      </c>
      <c r="B609" s="2" t="s">
        <v>25</v>
      </c>
      <c r="D609" s="4" t="s">
        <v>42</v>
      </c>
      <c r="F609" s="6">
        <v>24</v>
      </c>
      <c r="G609" s="7" t="s">
        <v>33</v>
      </c>
      <c r="H609" s="6">
        <v>2</v>
      </c>
      <c r="I609" s="7" t="s">
        <v>42</v>
      </c>
      <c r="J609" s="8">
        <f>2592000/24/2</f>
        <v>54000</v>
      </c>
      <c r="K609" s="4" t="s">
        <v>42</v>
      </c>
      <c r="M609" s="9">
        <v>0.17</v>
      </c>
      <c r="O609" s="7" t="s">
        <v>42</v>
      </c>
      <c r="P609" s="3">
        <f>(C609+(E609*F609*H609))-N609</f>
        <v>0</v>
      </c>
      <c r="Q609" s="7" t="s">
        <v>42</v>
      </c>
      <c r="R609" s="8">
        <f>P609*(J609-(J609*L609)-((J609-(J609*L609))*M609))</f>
        <v>0</v>
      </c>
      <c r="S609" s="8">
        <f t="shared" si="108"/>
        <v>0</v>
      </c>
    </row>
    <row r="610" spans="1:19">
      <c r="A610" s="72" t="s">
        <v>805</v>
      </c>
      <c r="B610" s="2" t="s">
        <v>25</v>
      </c>
      <c r="D610" s="4" t="s">
        <v>19</v>
      </c>
      <c r="F610" s="6">
        <v>24</v>
      </c>
      <c r="G610" s="7" t="s">
        <v>33</v>
      </c>
      <c r="H610" s="6">
        <v>24</v>
      </c>
      <c r="I610" s="7" t="s">
        <v>19</v>
      </c>
      <c r="J610" s="8">
        <f>1900800/24/24</f>
        <v>3300</v>
      </c>
      <c r="K610" s="4" t="s">
        <v>19</v>
      </c>
      <c r="M610" s="9">
        <v>0.17</v>
      </c>
      <c r="O610" s="7" t="s">
        <v>19</v>
      </c>
      <c r="P610" s="3">
        <f>(C610+(E610*F610*H610))-N610</f>
        <v>0</v>
      </c>
      <c r="Q610" s="7" t="s">
        <v>19</v>
      </c>
      <c r="R610" s="8">
        <f>P610*(J610-(J610*L610)-((J610-(J610*L610))*M610))</f>
        <v>0</v>
      </c>
      <c r="S610" s="8">
        <f t="shared" si="108"/>
        <v>0</v>
      </c>
    </row>
    <row r="611" spans="1:19">
      <c r="A611" s="73"/>
    </row>
    <row r="612" spans="1:19">
      <c r="A612" s="15" t="s">
        <v>423</v>
      </c>
    </row>
    <row r="613" spans="1:19">
      <c r="A613" s="17" t="s">
        <v>424</v>
      </c>
      <c r="B613" s="2" t="s">
        <v>18</v>
      </c>
      <c r="D613" s="4" t="s">
        <v>101</v>
      </c>
      <c r="F613" s="6">
        <v>18</v>
      </c>
      <c r="G613" s="7" t="s">
        <v>33</v>
      </c>
      <c r="H613" s="6">
        <v>12</v>
      </c>
      <c r="I613" s="7" t="s">
        <v>101</v>
      </c>
      <c r="J613" s="8">
        <f>36000/12</f>
        <v>3000</v>
      </c>
      <c r="K613" s="4" t="s">
        <v>101</v>
      </c>
      <c r="L613" s="9">
        <v>0.125</v>
      </c>
      <c r="M613" s="9">
        <v>0.05</v>
      </c>
      <c r="O613" s="7" t="s">
        <v>101</v>
      </c>
      <c r="P613" s="3">
        <f>(C613+(E613*F613*H613))-N613</f>
        <v>0</v>
      </c>
      <c r="Q613" s="7" t="s">
        <v>101</v>
      </c>
      <c r="R613" s="8">
        <f>P613*(J613-(J613*L613)-((J613-(J613*L613))*M613))</f>
        <v>0</v>
      </c>
      <c r="S613" s="8">
        <f t="shared" si="108"/>
        <v>0</v>
      </c>
    </row>
    <row r="614" spans="1:19">
      <c r="A614" s="17" t="s">
        <v>425</v>
      </c>
      <c r="B614" s="2" t="s">
        <v>18</v>
      </c>
      <c r="D614" s="4" t="s">
        <v>42</v>
      </c>
      <c r="F614" s="6">
        <v>18</v>
      </c>
      <c r="G614" s="7" t="s">
        <v>33</v>
      </c>
      <c r="H614" s="6">
        <v>24</v>
      </c>
      <c r="I614" s="7" t="s">
        <v>42</v>
      </c>
      <c r="J614" s="8">
        <v>27600</v>
      </c>
      <c r="K614" s="4" t="s">
        <v>42</v>
      </c>
      <c r="L614" s="9">
        <v>0.125</v>
      </c>
      <c r="M614" s="9">
        <v>0.05</v>
      </c>
      <c r="O614" s="7" t="s">
        <v>42</v>
      </c>
      <c r="P614" s="3">
        <f>(C614+(E614*F614*H614))-N614</f>
        <v>0</v>
      </c>
      <c r="Q614" s="7" t="s">
        <v>42</v>
      </c>
      <c r="R614" s="8">
        <f>P614*(J614-(J614*L614)-((J614-(J614*L614))*M614))</f>
        <v>0</v>
      </c>
      <c r="S614" s="8">
        <f t="shared" si="108"/>
        <v>0</v>
      </c>
    </row>
    <row r="616" spans="1:19">
      <c r="A616" s="17" t="s">
        <v>426</v>
      </c>
      <c r="B616" s="2" t="s">
        <v>267</v>
      </c>
      <c r="D616" s="4" t="s">
        <v>42</v>
      </c>
      <c r="F616" s="6">
        <v>1</v>
      </c>
      <c r="G616" s="7" t="s">
        <v>20</v>
      </c>
      <c r="H616" s="6">
        <v>96</v>
      </c>
      <c r="I616" s="7" t="s">
        <v>42</v>
      </c>
      <c r="J616" s="8">
        <v>9500</v>
      </c>
      <c r="K616" s="4" t="s">
        <v>42</v>
      </c>
      <c r="O616" s="7" t="s">
        <v>42</v>
      </c>
      <c r="P616" s="3">
        <f>(C616+(E616*F616*H616))-N616</f>
        <v>0</v>
      </c>
      <c r="Q616" s="7" t="s">
        <v>42</v>
      </c>
      <c r="R616" s="8">
        <f>P616*(J616-(J616*L616)-((J616-(J616*L616))*M616))</f>
        <v>0</v>
      </c>
      <c r="S616" s="8">
        <f t="shared" si="108"/>
        <v>0</v>
      </c>
    </row>
    <row r="618" spans="1:19">
      <c r="A618" s="17" t="s">
        <v>427</v>
      </c>
      <c r="B618" s="2" t="s">
        <v>25</v>
      </c>
      <c r="D618" s="4" t="s">
        <v>19</v>
      </c>
      <c r="F618" s="6">
        <v>144</v>
      </c>
      <c r="G618" s="7" t="s">
        <v>33</v>
      </c>
      <c r="H618" s="6">
        <v>2</v>
      </c>
      <c r="I618" s="7" t="s">
        <v>42</v>
      </c>
      <c r="J618" s="8">
        <f>6739200/144/2</f>
        <v>23400</v>
      </c>
      <c r="K618" s="4" t="s">
        <v>42</v>
      </c>
      <c r="M618" s="9">
        <v>0.17</v>
      </c>
      <c r="O618" s="7" t="s">
        <v>42</v>
      </c>
      <c r="P618" s="3">
        <f>(C618+(E618*F618*H618))-N618</f>
        <v>0</v>
      </c>
      <c r="Q618" s="7" t="s">
        <v>42</v>
      </c>
      <c r="R618" s="8">
        <f>P618*(J618-(J618*L618)-((J618-(J618*L618))*M618))</f>
        <v>0</v>
      </c>
      <c r="S618" s="8">
        <f t="shared" si="108"/>
        <v>0</v>
      </c>
    </row>
    <row r="619" spans="1:19">
      <c r="A619" s="17" t="s">
        <v>428</v>
      </c>
      <c r="B619" s="2" t="s">
        <v>25</v>
      </c>
      <c r="D619" s="4" t="s">
        <v>33</v>
      </c>
      <c r="F619" s="6">
        <v>1</v>
      </c>
      <c r="G619" s="7" t="s">
        <v>20</v>
      </c>
      <c r="H619" s="6">
        <v>120</v>
      </c>
      <c r="I619" s="7" t="s">
        <v>33</v>
      </c>
      <c r="J619" s="8">
        <f>2160000/120</f>
        <v>18000</v>
      </c>
      <c r="K619" s="4" t="s">
        <v>33</v>
      </c>
      <c r="M619" s="9">
        <v>0.17</v>
      </c>
      <c r="O619" s="7" t="s">
        <v>33</v>
      </c>
      <c r="P619" s="3">
        <f>(C619+(E619*F619*H619))-N619</f>
        <v>0</v>
      </c>
      <c r="Q619" s="7" t="s">
        <v>33</v>
      </c>
      <c r="R619" s="8">
        <f>P619*(J619-(J619*L619)-((J619-(J619*L619))*M619))</f>
        <v>0</v>
      </c>
      <c r="S619" s="8">
        <f t="shared" si="108"/>
        <v>0</v>
      </c>
    </row>
    <row r="621" spans="1:19">
      <c r="A621" s="17" t="s">
        <v>429</v>
      </c>
      <c r="B621" s="2" t="s">
        <v>188</v>
      </c>
      <c r="D621" s="4" t="s">
        <v>33</v>
      </c>
      <c r="F621" s="6">
        <v>1</v>
      </c>
      <c r="G621" s="7" t="s">
        <v>20</v>
      </c>
      <c r="H621" s="6">
        <v>240</v>
      </c>
      <c r="I621" s="7" t="s">
        <v>33</v>
      </c>
      <c r="J621" s="8">
        <v>5500</v>
      </c>
      <c r="K621" s="4" t="s">
        <v>33</v>
      </c>
      <c r="O621" s="7" t="s">
        <v>33</v>
      </c>
      <c r="P621" s="3">
        <f>(C621+(E621*F621*H621))-N621</f>
        <v>0</v>
      </c>
      <c r="Q621" s="7" t="s">
        <v>33</v>
      </c>
      <c r="R621" s="8">
        <f>P621*(J621-(J621*L621)-((J621-(J621*L621))*M621))</f>
        <v>0</v>
      </c>
      <c r="S621" s="8">
        <f t="shared" si="108"/>
        <v>0</v>
      </c>
    </row>
    <row r="623" spans="1:19">
      <c r="A623" s="15" t="s">
        <v>520</v>
      </c>
    </row>
    <row r="624" spans="1:19" s="19" customFormat="1">
      <c r="A624" s="18" t="s">
        <v>840</v>
      </c>
      <c r="B624" s="19" t="s">
        <v>18</v>
      </c>
      <c r="C624" s="20">
        <v>72</v>
      </c>
      <c r="D624" s="21" t="s">
        <v>19</v>
      </c>
      <c r="E624" s="26"/>
      <c r="F624" s="22">
        <v>48</v>
      </c>
      <c r="G624" s="23" t="s">
        <v>33</v>
      </c>
      <c r="H624" s="22">
        <v>12</v>
      </c>
      <c r="I624" s="23" t="s">
        <v>19</v>
      </c>
      <c r="J624" s="24">
        <v>2350</v>
      </c>
      <c r="K624" s="21" t="s">
        <v>19</v>
      </c>
      <c r="L624" s="25">
        <v>0.1</v>
      </c>
      <c r="M624" s="25">
        <v>0.05</v>
      </c>
      <c r="N624" s="22"/>
      <c r="O624" s="23" t="s">
        <v>19</v>
      </c>
      <c r="P624" s="20">
        <f>(C624+(E624*F624*H624))-N624</f>
        <v>72</v>
      </c>
      <c r="Q624" s="23" t="s">
        <v>19</v>
      </c>
      <c r="R624" s="24">
        <f>P624*(J624-(J624*L624)-((J624-(J624*L624))*M624))</f>
        <v>144666</v>
      </c>
      <c r="S624" s="8">
        <f>R624/1.11</f>
        <v>130329.72972972972</v>
      </c>
    </row>
    <row r="625" spans="1:19">
      <c r="A625" s="59"/>
    </row>
    <row r="626" spans="1:19">
      <c r="A626" s="66" t="s">
        <v>521</v>
      </c>
      <c r="B626" s="2" t="s">
        <v>25</v>
      </c>
      <c r="D626" s="4" t="s">
        <v>42</v>
      </c>
      <c r="F626" s="6">
        <v>1</v>
      </c>
      <c r="G626" s="7" t="s">
        <v>20</v>
      </c>
      <c r="H626" s="6">
        <v>60</v>
      </c>
      <c r="I626" s="7" t="s">
        <v>42</v>
      </c>
      <c r="J626" s="8">
        <f>2160000/60</f>
        <v>36000</v>
      </c>
      <c r="K626" s="4" t="s">
        <v>42</v>
      </c>
      <c r="M626" s="9">
        <v>0.17</v>
      </c>
      <c r="O626" s="7" t="s">
        <v>42</v>
      </c>
      <c r="P626" s="3">
        <f>(C626+(E626*F626*H626))-N626</f>
        <v>0</v>
      </c>
      <c r="Q626" s="7" t="s">
        <v>42</v>
      </c>
      <c r="R626" s="8">
        <f>P626*(J626-(J626*L626)-((J626-(J626*L626))*M626))</f>
        <v>0</v>
      </c>
      <c r="S626" s="8">
        <f>R626/1.11</f>
        <v>0</v>
      </c>
    </row>
    <row r="627" spans="1:19">
      <c r="A627" s="66" t="s">
        <v>522</v>
      </c>
      <c r="B627" s="2" t="s">
        <v>25</v>
      </c>
      <c r="D627" s="4" t="s">
        <v>42</v>
      </c>
      <c r="F627" s="6">
        <v>12</v>
      </c>
      <c r="G627" s="7" t="s">
        <v>86</v>
      </c>
      <c r="H627" s="6">
        <v>12</v>
      </c>
      <c r="I627" s="7" t="s">
        <v>42</v>
      </c>
      <c r="J627" s="8">
        <f>1555200/144</f>
        <v>10800</v>
      </c>
      <c r="K627" s="4" t="s">
        <v>42</v>
      </c>
      <c r="L627" s="9">
        <v>0.05</v>
      </c>
      <c r="M627" s="9">
        <v>0.17</v>
      </c>
      <c r="O627" s="7" t="s">
        <v>42</v>
      </c>
      <c r="P627" s="3">
        <f>(C627+(E627*F627*H627))-N627</f>
        <v>0</v>
      </c>
      <c r="Q627" s="7" t="s">
        <v>42</v>
      </c>
      <c r="R627" s="8">
        <f>P627*(J627-(J627*L627)-((J627-(J627*L627))*M627))</f>
        <v>0</v>
      </c>
      <c r="S627" s="8">
        <f>R627/1.11</f>
        <v>0</v>
      </c>
    </row>
    <row r="628" spans="1:19">
      <c r="A628" s="59"/>
    </row>
    <row r="629" spans="1:19">
      <c r="A629" s="15" t="s">
        <v>523</v>
      </c>
    </row>
    <row r="630" spans="1:19">
      <c r="A630" s="66" t="s">
        <v>524</v>
      </c>
      <c r="B630" s="2" t="s">
        <v>25</v>
      </c>
      <c r="D630" s="4" t="s">
        <v>42</v>
      </c>
      <c r="F630" s="6">
        <v>1</v>
      </c>
      <c r="G630" s="7" t="s">
        <v>20</v>
      </c>
      <c r="H630" s="6">
        <v>60</v>
      </c>
      <c r="I630" s="7" t="s">
        <v>42</v>
      </c>
      <c r="J630" s="8">
        <f>2268000/60</f>
        <v>37800</v>
      </c>
      <c r="K630" s="4" t="s">
        <v>42</v>
      </c>
      <c r="M630" s="9">
        <v>0.17</v>
      </c>
      <c r="O630" s="7" t="s">
        <v>42</v>
      </c>
      <c r="P630" s="3">
        <f>(C630+(E630*F630*H630))-N630</f>
        <v>0</v>
      </c>
      <c r="Q630" s="7" t="s">
        <v>42</v>
      </c>
      <c r="R630" s="8">
        <f>P630*(J630-(J630*L630)-((J630-(J630*L630))*M630))</f>
        <v>0</v>
      </c>
      <c r="S630" s="8">
        <f>R630/1.11</f>
        <v>0</v>
      </c>
    </row>
    <row r="632" spans="1:19">
      <c r="A632" s="31" t="s">
        <v>771</v>
      </c>
      <c r="B632" s="32" t="s">
        <v>605</v>
      </c>
      <c r="C632" s="33"/>
      <c r="D632" s="34" t="s">
        <v>158</v>
      </c>
      <c r="E632" s="35"/>
      <c r="F632" s="36">
        <v>1</v>
      </c>
      <c r="G632" s="37" t="s">
        <v>158</v>
      </c>
      <c r="H632" s="36">
        <v>1</v>
      </c>
      <c r="I632" s="37" t="s">
        <v>158</v>
      </c>
      <c r="J632" s="38">
        <v>4000</v>
      </c>
      <c r="K632" s="34" t="s">
        <v>19</v>
      </c>
      <c r="L632" s="39"/>
      <c r="M632" s="39">
        <v>1.0999999999999999E-2</v>
      </c>
      <c r="N632" s="36"/>
      <c r="O632" s="37" t="s">
        <v>19</v>
      </c>
      <c r="P632" s="33">
        <f>(C632+(E632*F632*H632))-N632</f>
        <v>0</v>
      </c>
      <c r="Q632" s="37" t="s">
        <v>19</v>
      </c>
      <c r="R632" s="38">
        <f>P632*(J632-(J632*L632)-((J632-(J632*L632))*M632))</f>
        <v>0</v>
      </c>
      <c r="S632" s="38">
        <f t="shared" ref="S632:S633" si="109">R632/1.11</f>
        <v>0</v>
      </c>
    </row>
    <row r="633" spans="1:19">
      <c r="A633" s="31" t="s">
        <v>841</v>
      </c>
      <c r="B633" s="32" t="s">
        <v>605</v>
      </c>
      <c r="C633" s="33"/>
      <c r="D633" s="34" t="s">
        <v>158</v>
      </c>
      <c r="E633" s="35"/>
      <c r="F633" s="36">
        <v>1</v>
      </c>
      <c r="G633" s="37" t="s">
        <v>158</v>
      </c>
      <c r="H633" s="36">
        <v>1</v>
      </c>
      <c r="I633" s="37" t="s">
        <v>158</v>
      </c>
      <c r="J633" s="38"/>
      <c r="K633" s="34" t="s">
        <v>19</v>
      </c>
      <c r="L633" s="39">
        <v>0.17499999999999999</v>
      </c>
      <c r="M633" s="39"/>
      <c r="N633" s="36"/>
      <c r="O633" s="37" t="s">
        <v>19</v>
      </c>
      <c r="P633" s="33">
        <f>(C633+(E633*F633*H633))-N633</f>
        <v>0</v>
      </c>
      <c r="Q633" s="37" t="s">
        <v>19</v>
      </c>
      <c r="R633" s="38">
        <f>P633*(J633-(J633*L633)-((J633-(J633*L633))*M633))</f>
        <v>0</v>
      </c>
      <c r="S633" s="38">
        <f t="shared" si="109"/>
        <v>0</v>
      </c>
    </row>
    <row r="634" spans="1:19">
      <c r="A634" s="59"/>
    </row>
    <row r="635" spans="1:19">
      <c r="A635" s="15" t="s">
        <v>525</v>
      </c>
    </row>
    <row r="636" spans="1:19" s="19" customFormat="1">
      <c r="A636" s="18" t="s">
        <v>526</v>
      </c>
      <c r="B636" s="19" t="s">
        <v>18</v>
      </c>
      <c r="C636" s="20"/>
      <c r="D636" s="21" t="s">
        <v>158</v>
      </c>
      <c r="E636" s="26"/>
      <c r="F636" s="22">
        <v>8</v>
      </c>
      <c r="G636" s="23" t="s">
        <v>33</v>
      </c>
      <c r="H636" s="22">
        <v>12</v>
      </c>
      <c r="I636" s="23" t="s">
        <v>158</v>
      </c>
      <c r="J636" s="24">
        <v>17000</v>
      </c>
      <c r="K636" s="21" t="s">
        <v>158</v>
      </c>
      <c r="L636" s="25">
        <v>0.125</v>
      </c>
      <c r="M636" s="25">
        <v>0.05</v>
      </c>
      <c r="N636" s="22"/>
      <c r="O636" s="23" t="s">
        <v>158</v>
      </c>
      <c r="P636" s="20">
        <f>(C636+(E636*F636*H636))-N636</f>
        <v>0</v>
      </c>
      <c r="Q636" s="23" t="s">
        <v>158</v>
      </c>
      <c r="R636" s="24">
        <f>P636*(J636-(J636*L636)-((J636-(J636*L636))*M636))</f>
        <v>0</v>
      </c>
      <c r="S636" s="8">
        <f>R636/1.11</f>
        <v>0</v>
      </c>
    </row>
    <row r="637" spans="1:19" s="19" customFormat="1">
      <c r="A637" s="18" t="s">
        <v>527</v>
      </c>
      <c r="B637" s="19" t="s">
        <v>18</v>
      </c>
      <c r="C637" s="20"/>
      <c r="D637" s="21" t="s">
        <v>158</v>
      </c>
      <c r="E637" s="26"/>
      <c r="F637" s="22">
        <v>8</v>
      </c>
      <c r="G637" s="23" t="s">
        <v>33</v>
      </c>
      <c r="H637" s="22">
        <v>6</v>
      </c>
      <c r="I637" s="23" t="s">
        <v>158</v>
      </c>
      <c r="J637" s="24">
        <v>34000</v>
      </c>
      <c r="K637" s="21" t="s">
        <v>158</v>
      </c>
      <c r="L637" s="25">
        <v>0.125</v>
      </c>
      <c r="M637" s="25">
        <v>0.05</v>
      </c>
      <c r="N637" s="22"/>
      <c r="O637" s="23" t="s">
        <v>158</v>
      </c>
      <c r="P637" s="20">
        <f>(C637+(E637*F637*H637))-N637</f>
        <v>0</v>
      </c>
      <c r="Q637" s="23" t="s">
        <v>158</v>
      </c>
      <c r="R637" s="24">
        <f>P637*(J637-(J637*L637)-((J637-(J637*L637))*M637))</f>
        <v>0</v>
      </c>
      <c r="S637" s="8">
        <f>R637/1.11</f>
        <v>0</v>
      </c>
    </row>
    <row r="638" spans="1:19" s="19" customFormat="1">
      <c r="A638" s="18" t="s">
        <v>528</v>
      </c>
      <c r="B638" s="19" t="s">
        <v>18</v>
      </c>
      <c r="C638" s="20"/>
      <c r="D638" s="21" t="s">
        <v>158</v>
      </c>
      <c r="E638" s="26"/>
      <c r="F638" s="22">
        <v>6</v>
      </c>
      <c r="G638" s="23" t="s">
        <v>33</v>
      </c>
      <c r="H638" s="22">
        <v>24</v>
      </c>
      <c r="I638" s="23" t="s">
        <v>158</v>
      </c>
      <c r="J638" s="24">
        <v>31500</v>
      </c>
      <c r="K638" s="21" t="s">
        <v>158</v>
      </c>
      <c r="L638" s="25">
        <v>0.125</v>
      </c>
      <c r="M638" s="25">
        <v>0.05</v>
      </c>
      <c r="N638" s="22"/>
      <c r="O638" s="23" t="s">
        <v>158</v>
      </c>
      <c r="P638" s="20">
        <f>(C638+(E638*F638*H638))-N638</f>
        <v>0</v>
      </c>
      <c r="Q638" s="23" t="s">
        <v>158</v>
      </c>
      <c r="R638" s="24">
        <f>P638*(J638-(J638*L638)-((J638-(J638*L638))*M638))</f>
        <v>0</v>
      </c>
      <c r="S638" s="8">
        <f>R638/1.11</f>
        <v>0</v>
      </c>
    </row>
    <row r="639" spans="1:19" s="19" customFormat="1">
      <c r="A639" s="18" t="s">
        <v>529</v>
      </c>
      <c r="B639" s="19" t="s">
        <v>18</v>
      </c>
      <c r="C639" s="20"/>
      <c r="D639" s="21" t="s">
        <v>158</v>
      </c>
      <c r="E639" s="26"/>
      <c r="F639" s="22">
        <v>6</v>
      </c>
      <c r="G639" s="23" t="s">
        <v>33</v>
      </c>
      <c r="H639" s="22">
        <v>12</v>
      </c>
      <c r="I639" s="23" t="s">
        <v>158</v>
      </c>
      <c r="J639" s="24">
        <v>63000</v>
      </c>
      <c r="K639" s="21" t="s">
        <v>158</v>
      </c>
      <c r="L639" s="25">
        <v>0.125</v>
      </c>
      <c r="M639" s="25">
        <v>0.05</v>
      </c>
      <c r="N639" s="22"/>
      <c r="O639" s="23" t="s">
        <v>158</v>
      </c>
      <c r="P639" s="20">
        <f>(C639+(E639*F639*H639))-N639</f>
        <v>0</v>
      </c>
      <c r="Q639" s="23" t="s">
        <v>158</v>
      </c>
      <c r="R639" s="24">
        <f>P639*(J639-(J639*L639)-((J639-(J639*L639))*M639))</f>
        <v>0</v>
      </c>
      <c r="S639" s="8">
        <f>R639/1.11</f>
        <v>0</v>
      </c>
    </row>
    <row r="640" spans="1:19" s="19" customFormat="1">
      <c r="A640" s="18" t="s">
        <v>530</v>
      </c>
      <c r="B640" s="19" t="s">
        <v>18</v>
      </c>
      <c r="C640" s="20"/>
      <c r="D640" s="21" t="s">
        <v>158</v>
      </c>
      <c r="E640" s="26"/>
      <c r="F640" s="22">
        <v>6</v>
      </c>
      <c r="G640" s="23" t="s">
        <v>33</v>
      </c>
      <c r="H640" s="22">
        <v>24</v>
      </c>
      <c r="I640" s="23" t="s">
        <v>158</v>
      </c>
      <c r="J640" s="24"/>
      <c r="K640" s="21" t="s">
        <v>158</v>
      </c>
      <c r="L640" s="25">
        <v>0.1</v>
      </c>
      <c r="M640" s="25">
        <v>0.05</v>
      </c>
      <c r="N640" s="22"/>
      <c r="O640" s="23" t="s">
        <v>158</v>
      </c>
      <c r="P640" s="20">
        <f>(C640+(E640*F640*H640))-N640</f>
        <v>0</v>
      </c>
      <c r="Q640" s="23" t="s">
        <v>158</v>
      </c>
      <c r="R640" s="24">
        <f>P640*(J640-(J640*L640)-((J640-(J640*L640))*M640))</f>
        <v>0</v>
      </c>
      <c r="S640" s="8">
        <f>R640/1.11</f>
        <v>0</v>
      </c>
    </row>
    <row r="642" spans="1:19" ht="15.75">
      <c r="A642" s="14" t="s">
        <v>430</v>
      </c>
    </row>
    <row r="643" spans="1:19" s="19" customFormat="1">
      <c r="A643" s="18" t="s">
        <v>431</v>
      </c>
      <c r="B643" s="19" t="s">
        <v>18</v>
      </c>
      <c r="C643" s="20"/>
      <c r="D643" s="21" t="s">
        <v>86</v>
      </c>
      <c r="E643" s="26">
        <v>12</v>
      </c>
      <c r="F643" s="22">
        <v>1</v>
      </c>
      <c r="G643" s="23" t="s">
        <v>20</v>
      </c>
      <c r="H643" s="22">
        <v>30</v>
      </c>
      <c r="I643" s="23" t="s">
        <v>86</v>
      </c>
      <c r="J643" s="24">
        <v>104400</v>
      </c>
      <c r="K643" s="21" t="s">
        <v>86</v>
      </c>
      <c r="L643" s="25">
        <v>0.125</v>
      </c>
      <c r="M643" s="25">
        <v>0.05</v>
      </c>
      <c r="N643" s="22"/>
      <c r="O643" s="23" t="s">
        <v>86</v>
      </c>
      <c r="P643" s="20">
        <f t="shared" ref="P643:P649" si="110">(C643+(E643*F643*H643))-N643</f>
        <v>360</v>
      </c>
      <c r="Q643" s="23" t="s">
        <v>86</v>
      </c>
      <c r="R643" s="24">
        <f t="shared" ref="R643:R649" si="111">P643*(J643-(J643*L643)-((J643-(J643*L643))*M643))</f>
        <v>31241700</v>
      </c>
      <c r="S643" s="24">
        <f t="shared" si="108"/>
        <v>28145675.675675672</v>
      </c>
    </row>
    <row r="644" spans="1:19" s="19" customFormat="1">
      <c r="A644" s="18" t="s">
        <v>663</v>
      </c>
      <c r="B644" s="19" t="s">
        <v>18</v>
      </c>
      <c r="C644" s="20"/>
      <c r="D644" s="21" t="s">
        <v>86</v>
      </c>
      <c r="E644" s="26"/>
      <c r="F644" s="22">
        <v>1</v>
      </c>
      <c r="G644" s="23" t="s">
        <v>20</v>
      </c>
      <c r="H644" s="22">
        <v>30</v>
      </c>
      <c r="I644" s="23" t="s">
        <v>86</v>
      </c>
      <c r="J644" s="24">
        <v>102000</v>
      </c>
      <c r="K644" s="21" t="s">
        <v>86</v>
      </c>
      <c r="L644" s="25">
        <v>0.125</v>
      </c>
      <c r="M644" s="25">
        <v>0.05</v>
      </c>
      <c r="N644" s="22"/>
      <c r="O644" s="23" t="s">
        <v>86</v>
      </c>
      <c r="P644" s="20">
        <f t="shared" si="110"/>
        <v>0</v>
      </c>
      <c r="Q644" s="23" t="s">
        <v>86</v>
      </c>
      <c r="R644" s="24">
        <f t="shared" si="111"/>
        <v>0</v>
      </c>
      <c r="S644" s="24">
        <f t="shared" si="108"/>
        <v>0</v>
      </c>
    </row>
    <row r="645" spans="1:19">
      <c r="A645" s="17" t="s">
        <v>432</v>
      </c>
      <c r="B645" s="2" t="s">
        <v>18</v>
      </c>
      <c r="D645" s="4" t="s">
        <v>86</v>
      </c>
      <c r="F645" s="6">
        <v>1</v>
      </c>
      <c r="G645" s="7" t="s">
        <v>20</v>
      </c>
      <c r="H645" s="6">
        <v>30</v>
      </c>
      <c r="I645" s="7" t="s">
        <v>86</v>
      </c>
      <c r="J645" s="8">
        <v>99000</v>
      </c>
      <c r="K645" s="4" t="s">
        <v>86</v>
      </c>
      <c r="L645" s="9">
        <v>0.125</v>
      </c>
      <c r="M645" s="9">
        <v>0.05</v>
      </c>
      <c r="O645" s="7" t="s">
        <v>86</v>
      </c>
      <c r="P645" s="3">
        <f t="shared" si="110"/>
        <v>0</v>
      </c>
      <c r="Q645" s="7" t="s">
        <v>86</v>
      </c>
      <c r="R645" s="8">
        <f t="shared" si="111"/>
        <v>0</v>
      </c>
      <c r="S645" s="8">
        <f t="shared" si="108"/>
        <v>0</v>
      </c>
    </row>
    <row r="646" spans="1:19">
      <c r="A646" s="17" t="s">
        <v>433</v>
      </c>
      <c r="B646" s="2" t="s">
        <v>18</v>
      </c>
      <c r="D646" s="4" t="s">
        <v>86</v>
      </c>
      <c r="F646" s="6">
        <v>1</v>
      </c>
      <c r="G646" s="7" t="s">
        <v>20</v>
      </c>
      <c r="H646" s="6">
        <v>30</v>
      </c>
      <c r="I646" s="7" t="s">
        <v>86</v>
      </c>
      <c r="J646" s="8">
        <v>96000</v>
      </c>
      <c r="K646" s="4" t="s">
        <v>86</v>
      </c>
      <c r="L646" s="9">
        <v>0.125</v>
      </c>
      <c r="M646" s="9">
        <v>0.05</v>
      </c>
      <c r="O646" s="7" t="s">
        <v>86</v>
      </c>
      <c r="P646" s="3">
        <f t="shared" si="110"/>
        <v>0</v>
      </c>
      <c r="Q646" s="7" t="s">
        <v>86</v>
      </c>
      <c r="R646" s="8">
        <f t="shared" si="111"/>
        <v>0</v>
      </c>
      <c r="S646" s="8">
        <f t="shared" si="108"/>
        <v>0</v>
      </c>
    </row>
    <row r="647" spans="1:19">
      <c r="A647" s="17" t="s">
        <v>434</v>
      </c>
      <c r="B647" s="2" t="s">
        <v>18</v>
      </c>
      <c r="D647" s="4" t="s">
        <v>86</v>
      </c>
      <c r="F647" s="6">
        <v>1</v>
      </c>
      <c r="G647" s="7" t="s">
        <v>20</v>
      </c>
      <c r="H647" s="6">
        <v>30</v>
      </c>
      <c r="I647" s="7" t="s">
        <v>86</v>
      </c>
      <c r="J647" s="8">
        <v>109000</v>
      </c>
      <c r="K647" s="4" t="s">
        <v>86</v>
      </c>
      <c r="L647" s="9">
        <v>0.125</v>
      </c>
      <c r="M647" s="9">
        <v>0.05</v>
      </c>
      <c r="O647" s="7" t="s">
        <v>86</v>
      </c>
      <c r="P647" s="3">
        <f t="shared" si="110"/>
        <v>0</v>
      </c>
      <c r="Q647" s="7" t="s">
        <v>86</v>
      </c>
      <c r="R647" s="8">
        <f t="shared" si="111"/>
        <v>0</v>
      </c>
      <c r="S647" s="8">
        <f t="shared" si="108"/>
        <v>0</v>
      </c>
    </row>
    <row r="648" spans="1:19">
      <c r="A648" s="17" t="s">
        <v>830</v>
      </c>
      <c r="B648" s="2" t="s">
        <v>18</v>
      </c>
      <c r="D648" s="4" t="s">
        <v>86</v>
      </c>
      <c r="F648" s="6">
        <v>1</v>
      </c>
      <c r="G648" s="7" t="s">
        <v>20</v>
      </c>
      <c r="H648" s="6">
        <v>30</v>
      </c>
      <c r="I648" s="7" t="s">
        <v>86</v>
      </c>
      <c r="J648" s="8">
        <v>144000</v>
      </c>
      <c r="K648" s="4" t="s">
        <v>86</v>
      </c>
      <c r="L648" s="9">
        <v>0.125</v>
      </c>
      <c r="M648" s="9">
        <v>0.05</v>
      </c>
      <c r="O648" s="7" t="s">
        <v>86</v>
      </c>
      <c r="P648" s="3">
        <f t="shared" si="110"/>
        <v>0</v>
      </c>
      <c r="Q648" s="7" t="s">
        <v>86</v>
      </c>
      <c r="R648" s="8">
        <f t="shared" si="111"/>
        <v>0</v>
      </c>
      <c r="S648" s="8">
        <f t="shared" si="108"/>
        <v>0</v>
      </c>
    </row>
    <row r="649" spans="1:19">
      <c r="A649" s="17" t="s">
        <v>765</v>
      </c>
      <c r="B649" s="2" t="s">
        <v>18</v>
      </c>
      <c r="D649" s="4" t="s">
        <v>86</v>
      </c>
      <c r="F649" s="6">
        <v>1</v>
      </c>
      <c r="G649" s="7" t="s">
        <v>20</v>
      </c>
      <c r="H649" s="6">
        <v>30</v>
      </c>
      <c r="I649" s="7" t="s">
        <v>86</v>
      </c>
      <c r="J649" s="8">
        <v>144000</v>
      </c>
      <c r="K649" s="4" t="s">
        <v>86</v>
      </c>
      <c r="L649" s="9">
        <v>0.125</v>
      </c>
      <c r="M649" s="9">
        <v>0.05</v>
      </c>
      <c r="O649" s="7" t="s">
        <v>86</v>
      </c>
      <c r="P649" s="3">
        <f t="shared" si="110"/>
        <v>0</v>
      </c>
      <c r="Q649" s="7" t="s">
        <v>86</v>
      </c>
      <c r="R649" s="8">
        <f t="shared" si="111"/>
        <v>0</v>
      </c>
      <c r="S649" s="8">
        <f t="shared" si="108"/>
        <v>0</v>
      </c>
    </row>
    <row r="651" spans="1:19" s="17" customFormat="1">
      <c r="A651" s="59" t="s">
        <v>784</v>
      </c>
      <c r="B651" s="17" t="s">
        <v>25</v>
      </c>
      <c r="C651" s="74"/>
      <c r="D651" s="75" t="s">
        <v>86</v>
      </c>
      <c r="E651" s="41"/>
      <c r="F651" s="76">
        <v>1</v>
      </c>
      <c r="G651" s="77" t="s">
        <v>20</v>
      </c>
      <c r="H651" s="76">
        <v>20</v>
      </c>
      <c r="I651" s="77" t="s">
        <v>86</v>
      </c>
      <c r="J651" s="78">
        <f>2448000/20</f>
        <v>122400</v>
      </c>
      <c r="K651" s="75" t="s">
        <v>86</v>
      </c>
      <c r="L651" s="79"/>
      <c r="M651" s="79">
        <v>0.17</v>
      </c>
      <c r="N651" s="76"/>
      <c r="O651" s="77" t="s">
        <v>86</v>
      </c>
      <c r="P651" s="74">
        <f t="shared" ref="P651:P670" si="112">(C651+(E651*F651*H651))-N651</f>
        <v>0</v>
      </c>
      <c r="Q651" s="77" t="s">
        <v>86</v>
      </c>
      <c r="R651" s="78">
        <f t="shared" ref="R651:R670" si="113">P651*(J651-(J651*L651)-((J651-(J651*L651))*M651))</f>
        <v>0</v>
      </c>
      <c r="S651" s="8">
        <f t="shared" ref="S651:S652" si="114">R651/1.11</f>
        <v>0</v>
      </c>
    </row>
    <row r="652" spans="1:19" s="17" customFormat="1">
      <c r="A652" s="92" t="s">
        <v>435</v>
      </c>
      <c r="B652" s="17" t="s">
        <v>25</v>
      </c>
      <c r="C652" s="74"/>
      <c r="D652" s="75" t="s">
        <v>86</v>
      </c>
      <c r="E652" s="41">
        <v>1</v>
      </c>
      <c r="F652" s="76">
        <v>1</v>
      </c>
      <c r="G652" s="77" t="s">
        <v>20</v>
      </c>
      <c r="H652" s="76">
        <v>20</v>
      </c>
      <c r="I652" s="77" t="s">
        <v>86</v>
      </c>
      <c r="J652" s="96">
        <v>115200</v>
      </c>
      <c r="K652" s="75" t="s">
        <v>86</v>
      </c>
      <c r="L652" s="79"/>
      <c r="M652" s="79">
        <v>0.17</v>
      </c>
      <c r="N652" s="76"/>
      <c r="O652" s="77" t="s">
        <v>86</v>
      </c>
      <c r="P652" s="74">
        <f t="shared" ref="P652" si="115">(C652+(E652*F652*H652))-N652</f>
        <v>20</v>
      </c>
      <c r="Q652" s="77" t="s">
        <v>86</v>
      </c>
      <c r="R652" s="78">
        <f t="shared" ref="R652" si="116">P652*(J652-(J652*L652)-((J652-(J652*L652))*M652))</f>
        <v>1912320</v>
      </c>
      <c r="S652" s="8">
        <f t="shared" si="114"/>
        <v>1722810.8108108107</v>
      </c>
    </row>
    <row r="653" spans="1:19" s="17" customFormat="1">
      <c r="A653" s="59" t="s">
        <v>435</v>
      </c>
      <c r="B653" s="17" t="s">
        <v>25</v>
      </c>
      <c r="C653" s="74"/>
      <c r="D653" s="75" t="s">
        <v>86</v>
      </c>
      <c r="E653" s="41"/>
      <c r="F653" s="76">
        <v>1</v>
      </c>
      <c r="G653" s="77" t="s">
        <v>20</v>
      </c>
      <c r="H653" s="76">
        <v>20</v>
      </c>
      <c r="I653" s="77" t="s">
        <v>86</v>
      </c>
      <c r="J653" s="78">
        <f>2160000/20</f>
        <v>108000</v>
      </c>
      <c r="K653" s="75" t="s">
        <v>86</v>
      </c>
      <c r="L653" s="79"/>
      <c r="M653" s="79">
        <v>0.17</v>
      </c>
      <c r="N653" s="76"/>
      <c r="O653" s="77" t="s">
        <v>86</v>
      </c>
      <c r="P653" s="74">
        <f t="shared" si="112"/>
        <v>0</v>
      </c>
      <c r="Q653" s="77" t="s">
        <v>86</v>
      </c>
      <c r="R653" s="78">
        <f t="shared" si="113"/>
        <v>0</v>
      </c>
      <c r="S653" s="8">
        <f t="shared" si="108"/>
        <v>0</v>
      </c>
    </row>
    <row r="654" spans="1:19" s="17" customFormat="1">
      <c r="A654" s="59" t="s">
        <v>776</v>
      </c>
      <c r="B654" s="17" t="s">
        <v>25</v>
      </c>
      <c r="C654" s="74"/>
      <c r="D654" s="75" t="s">
        <v>86</v>
      </c>
      <c r="E654" s="41"/>
      <c r="F654" s="76">
        <v>1</v>
      </c>
      <c r="G654" s="77" t="s">
        <v>20</v>
      </c>
      <c r="H654" s="76">
        <v>20</v>
      </c>
      <c r="I654" s="77" t="s">
        <v>86</v>
      </c>
      <c r="J654" s="78">
        <f>2880000/20</f>
        <v>144000</v>
      </c>
      <c r="K654" s="75" t="s">
        <v>86</v>
      </c>
      <c r="L654" s="79"/>
      <c r="M654" s="79">
        <v>0.17</v>
      </c>
      <c r="N654" s="76"/>
      <c r="O654" s="77" t="s">
        <v>86</v>
      </c>
      <c r="P654" s="74">
        <f t="shared" si="112"/>
        <v>0</v>
      </c>
      <c r="Q654" s="77" t="s">
        <v>86</v>
      </c>
      <c r="R654" s="78">
        <f t="shared" si="113"/>
        <v>0</v>
      </c>
      <c r="S654" s="8">
        <f t="shared" si="108"/>
        <v>0</v>
      </c>
    </row>
    <row r="655" spans="1:19" s="17" customFormat="1">
      <c r="A655" s="59" t="s">
        <v>666</v>
      </c>
      <c r="B655" s="17" t="s">
        <v>25</v>
      </c>
      <c r="C655" s="74"/>
      <c r="D655" s="75" t="s">
        <v>86</v>
      </c>
      <c r="E655" s="41"/>
      <c r="F655" s="76">
        <v>1</v>
      </c>
      <c r="G655" s="77" t="s">
        <v>20</v>
      </c>
      <c r="H655" s="76">
        <v>20</v>
      </c>
      <c r="I655" s="77" t="s">
        <v>86</v>
      </c>
      <c r="J655" s="78">
        <f>2448000/20</f>
        <v>122400</v>
      </c>
      <c r="K655" s="75" t="s">
        <v>86</v>
      </c>
      <c r="L655" s="79"/>
      <c r="M655" s="79">
        <v>0.17</v>
      </c>
      <c r="N655" s="76"/>
      <c r="O655" s="77" t="s">
        <v>86</v>
      </c>
      <c r="P655" s="74">
        <f t="shared" si="112"/>
        <v>0</v>
      </c>
      <c r="Q655" s="77" t="s">
        <v>86</v>
      </c>
      <c r="R655" s="78">
        <f t="shared" si="113"/>
        <v>0</v>
      </c>
      <c r="S655" s="8">
        <f t="shared" si="108"/>
        <v>0</v>
      </c>
    </row>
    <row r="656" spans="1:19" s="17" customFormat="1">
      <c r="A656" s="59" t="s">
        <v>436</v>
      </c>
      <c r="B656" s="17" t="s">
        <v>25</v>
      </c>
      <c r="C656" s="74"/>
      <c r="D656" s="75" t="s">
        <v>86</v>
      </c>
      <c r="E656" s="41">
        <v>13</v>
      </c>
      <c r="F656" s="76">
        <v>1</v>
      </c>
      <c r="G656" s="77" t="s">
        <v>20</v>
      </c>
      <c r="H656" s="76">
        <v>20</v>
      </c>
      <c r="I656" s="77" t="s">
        <v>86</v>
      </c>
      <c r="J656" s="78">
        <f>2112000/20</f>
        <v>105600</v>
      </c>
      <c r="K656" s="75" t="s">
        <v>86</v>
      </c>
      <c r="L656" s="79"/>
      <c r="M656" s="79">
        <v>0.17</v>
      </c>
      <c r="N656" s="76"/>
      <c r="O656" s="77" t="s">
        <v>86</v>
      </c>
      <c r="P656" s="74">
        <f t="shared" si="112"/>
        <v>260</v>
      </c>
      <c r="Q656" s="77" t="s">
        <v>86</v>
      </c>
      <c r="R656" s="78">
        <f t="shared" si="113"/>
        <v>22788480</v>
      </c>
      <c r="S656" s="8">
        <f t="shared" si="108"/>
        <v>20530162.162162159</v>
      </c>
    </row>
    <row r="657" spans="1:19" s="17" customFormat="1">
      <c r="A657" s="59" t="s">
        <v>437</v>
      </c>
      <c r="B657" s="17" t="s">
        <v>25</v>
      </c>
      <c r="C657" s="74"/>
      <c r="D657" s="75" t="s">
        <v>86</v>
      </c>
      <c r="E657" s="41">
        <v>2</v>
      </c>
      <c r="F657" s="76">
        <v>1</v>
      </c>
      <c r="G657" s="77" t="s">
        <v>20</v>
      </c>
      <c r="H657" s="76">
        <v>20</v>
      </c>
      <c r="I657" s="77" t="s">
        <v>86</v>
      </c>
      <c r="J657" s="78">
        <f>2448000/20</f>
        <v>122400</v>
      </c>
      <c r="K657" s="75" t="s">
        <v>86</v>
      </c>
      <c r="L657" s="79"/>
      <c r="M657" s="79">
        <v>0.17</v>
      </c>
      <c r="N657" s="76"/>
      <c r="O657" s="77" t="s">
        <v>86</v>
      </c>
      <c r="P657" s="74">
        <f t="shared" si="112"/>
        <v>40</v>
      </c>
      <c r="Q657" s="77" t="s">
        <v>86</v>
      </c>
      <c r="R657" s="78">
        <f t="shared" si="113"/>
        <v>4063680</v>
      </c>
      <c r="S657" s="8">
        <f t="shared" si="108"/>
        <v>3660972.9729729728</v>
      </c>
    </row>
    <row r="658" spans="1:19" s="17" customFormat="1">
      <c r="A658" s="59" t="s">
        <v>438</v>
      </c>
      <c r="B658" s="17" t="s">
        <v>25</v>
      </c>
      <c r="C658" s="74"/>
      <c r="D658" s="75" t="s">
        <v>86</v>
      </c>
      <c r="E658" s="41"/>
      <c r="F658" s="76">
        <v>1</v>
      </c>
      <c r="G658" s="77" t="s">
        <v>20</v>
      </c>
      <c r="H658" s="76">
        <v>20</v>
      </c>
      <c r="I658" s="77" t="s">
        <v>86</v>
      </c>
      <c r="J658" s="78">
        <f>2256000/20</f>
        <v>112800</v>
      </c>
      <c r="K658" s="75" t="s">
        <v>86</v>
      </c>
      <c r="L658" s="79"/>
      <c r="M658" s="79">
        <v>0.17</v>
      </c>
      <c r="N658" s="76"/>
      <c r="O658" s="77" t="s">
        <v>86</v>
      </c>
      <c r="P658" s="74">
        <f t="shared" si="112"/>
        <v>0</v>
      </c>
      <c r="Q658" s="77" t="s">
        <v>86</v>
      </c>
      <c r="R658" s="78">
        <f t="shared" si="113"/>
        <v>0</v>
      </c>
      <c r="S658" s="8">
        <f t="shared" si="108"/>
        <v>0</v>
      </c>
    </row>
    <row r="659" spans="1:19" s="17" customFormat="1">
      <c r="A659" s="59" t="s">
        <v>439</v>
      </c>
      <c r="B659" s="17" t="s">
        <v>25</v>
      </c>
      <c r="C659" s="60"/>
      <c r="D659" s="75" t="s">
        <v>86</v>
      </c>
      <c r="E659" s="41">
        <v>1</v>
      </c>
      <c r="F659" s="76">
        <v>1</v>
      </c>
      <c r="G659" s="77" t="s">
        <v>20</v>
      </c>
      <c r="H659" s="76">
        <v>20</v>
      </c>
      <c r="I659" s="77" t="s">
        <v>86</v>
      </c>
      <c r="J659" s="78">
        <f>8500*12</f>
        <v>102000</v>
      </c>
      <c r="K659" s="75" t="s">
        <v>86</v>
      </c>
      <c r="L659" s="79"/>
      <c r="M659" s="79">
        <v>0.17</v>
      </c>
      <c r="N659" s="80"/>
      <c r="O659" s="77" t="s">
        <v>86</v>
      </c>
      <c r="P659" s="74">
        <f t="shared" si="112"/>
        <v>20</v>
      </c>
      <c r="Q659" s="77" t="s">
        <v>86</v>
      </c>
      <c r="R659" s="78">
        <f t="shared" si="113"/>
        <v>1693200</v>
      </c>
      <c r="S659" s="8">
        <f t="shared" si="108"/>
        <v>1525405.4054054052</v>
      </c>
    </row>
    <row r="660" spans="1:19" s="17" customFormat="1">
      <c r="A660" s="59" t="s">
        <v>440</v>
      </c>
      <c r="B660" s="17" t="s">
        <v>25</v>
      </c>
      <c r="C660" s="60"/>
      <c r="D660" s="75" t="s">
        <v>86</v>
      </c>
      <c r="E660" s="41"/>
      <c r="F660" s="76">
        <v>1</v>
      </c>
      <c r="G660" s="77" t="s">
        <v>20</v>
      </c>
      <c r="H660" s="76">
        <v>20</v>
      </c>
      <c r="I660" s="77" t="s">
        <v>86</v>
      </c>
      <c r="J660" s="78">
        <v>103200</v>
      </c>
      <c r="K660" s="75" t="s">
        <v>86</v>
      </c>
      <c r="L660" s="79"/>
      <c r="M660" s="79">
        <v>0.17</v>
      </c>
      <c r="N660" s="76"/>
      <c r="O660" s="77" t="s">
        <v>86</v>
      </c>
      <c r="P660" s="74">
        <f t="shared" si="112"/>
        <v>0</v>
      </c>
      <c r="Q660" s="77" t="s">
        <v>86</v>
      </c>
      <c r="R660" s="78">
        <f t="shared" si="113"/>
        <v>0</v>
      </c>
      <c r="S660" s="8">
        <f t="shared" si="108"/>
        <v>0</v>
      </c>
    </row>
    <row r="661" spans="1:19">
      <c r="A661" s="17" t="s">
        <v>441</v>
      </c>
      <c r="B661" s="2" t="s">
        <v>25</v>
      </c>
      <c r="C661" s="20"/>
      <c r="D661" s="4" t="s">
        <v>86</v>
      </c>
      <c r="F661" s="6">
        <v>1</v>
      </c>
      <c r="G661" s="7" t="s">
        <v>20</v>
      </c>
      <c r="H661" s="6">
        <v>20</v>
      </c>
      <c r="I661" s="7" t="s">
        <v>86</v>
      </c>
      <c r="J661" s="8">
        <f>1980000/20</f>
        <v>99000</v>
      </c>
      <c r="K661" s="4" t="s">
        <v>86</v>
      </c>
      <c r="M661" s="9">
        <v>0.17</v>
      </c>
      <c r="O661" s="7" t="s">
        <v>86</v>
      </c>
      <c r="P661" s="3">
        <f t="shared" si="112"/>
        <v>0</v>
      </c>
      <c r="Q661" s="7" t="s">
        <v>86</v>
      </c>
      <c r="R661" s="8">
        <f t="shared" si="113"/>
        <v>0</v>
      </c>
      <c r="S661" s="8">
        <f t="shared" si="108"/>
        <v>0</v>
      </c>
    </row>
    <row r="662" spans="1:19" s="18" customFormat="1">
      <c r="A662" s="59" t="s">
        <v>442</v>
      </c>
      <c r="B662" s="18" t="s">
        <v>25</v>
      </c>
      <c r="C662" s="60"/>
      <c r="D662" s="61" t="s">
        <v>86</v>
      </c>
      <c r="E662" s="62"/>
      <c r="F662" s="63">
        <v>1</v>
      </c>
      <c r="G662" s="58" t="s">
        <v>20</v>
      </c>
      <c r="H662" s="63">
        <v>20</v>
      </c>
      <c r="I662" s="58" t="s">
        <v>86</v>
      </c>
      <c r="J662" s="29">
        <f>2208000/20</f>
        <v>110400</v>
      </c>
      <c r="K662" s="61" t="s">
        <v>86</v>
      </c>
      <c r="L662" s="64"/>
      <c r="M662" s="64">
        <v>0.17</v>
      </c>
      <c r="N662" s="63"/>
      <c r="O662" s="58" t="s">
        <v>86</v>
      </c>
      <c r="P662" s="60">
        <f t="shared" si="112"/>
        <v>0</v>
      </c>
      <c r="Q662" s="58" t="s">
        <v>86</v>
      </c>
      <c r="R662" s="29">
        <f t="shared" si="113"/>
        <v>0</v>
      </c>
      <c r="S662" s="24">
        <f t="shared" si="108"/>
        <v>0</v>
      </c>
    </row>
    <row r="663" spans="1:19" s="18" customFormat="1">
      <c r="A663" s="59" t="s">
        <v>443</v>
      </c>
      <c r="B663" s="18" t="s">
        <v>25</v>
      </c>
      <c r="C663" s="60"/>
      <c r="D663" s="61" t="s">
        <v>86</v>
      </c>
      <c r="E663" s="62">
        <v>1</v>
      </c>
      <c r="F663" s="63">
        <v>1</v>
      </c>
      <c r="G663" s="58" t="s">
        <v>20</v>
      </c>
      <c r="H663" s="63">
        <v>20</v>
      </c>
      <c r="I663" s="58" t="s">
        <v>86</v>
      </c>
      <c r="J663" s="29">
        <f>2208000/20</f>
        <v>110400</v>
      </c>
      <c r="K663" s="61" t="s">
        <v>86</v>
      </c>
      <c r="L663" s="64"/>
      <c r="M663" s="64">
        <v>0.17</v>
      </c>
      <c r="N663" s="63"/>
      <c r="O663" s="58" t="s">
        <v>86</v>
      </c>
      <c r="P663" s="60">
        <f t="shared" si="112"/>
        <v>20</v>
      </c>
      <c r="Q663" s="58" t="s">
        <v>86</v>
      </c>
      <c r="R663" s="29">
        <f t="shared" si="113"/>
        <v>1832640</v>
      </c>
      <c r="S663" s="24">
        <f t="shared" si="108"/>
        <v>1651027.027027027</v>
      </c>
    </row>
    <row r="664" spans="1:19" s="17" customFormat="1">
      <c r="A664" s="59" t="s">
        <v>444</v>
      </c>
      <c r="B664" s="17" t="s">
        <v>25</v>
      </c>
      <c r="C664" s="74"/>
      <c r="D664" s="75" t="s">
        <v>86</v>
      </c>
      <c r="E664" s="41"/>
      <c r="F664" s="76">
        <v>1</v>
      </c>
      <c r="G664" s="77" t="s">
        <v>20</v>
      </c>
      <c r="H664" s="76">
        <v>20</v>
      </c>
      <c r="I664" s="77" t="s">
        <v>86</v>
      </c>
      <c r="J664" s="78">
        <f>2112000/20</f>
        <v>105600</v>
      </c>
      <c r="K664" s="75" t="s">
        <v>86</v>
      </c>
      <c r="L664" s="79"/>
      <c r="M664" s="79">
        <v>0.17</v>
      </c>
      <c r="N664" s="76"/>
      <c r="O664" s="77" t="s">
        <v>86</v>
      </c>
      <c r="P664" s="74">
        <f t="shared" si="112"/>
        <v>0</v>
      </c>
      <c r="Q664" s="77" t="s">
        <v>86</v>
      </c>
      <c r="R664" s="78">
        <f t="shared" si="113"/>
        <v>0</v>
      </c>
      <c r="S664" s="8">
        <f t="shared" si="108"/>
        <v>0</v>
      </c>
    </row>
    <row r="665" spans="1:19" s="17" customFormat="1">
      <c r="A665" s="59" t="s">
        <v>445</v>
      </c>
      <c r="B665" s="17" t="s">
        <v>25</v>
      </c>
      <c r="C665" s="74"/>
      <c r="D665" s="75" t="s">
        <v>86</v>
      </c>
      <c r="E665" s="41"/>
      <c r="F665" s="76">
        <v>1</v>
      </c>
      <c r="G665" s="77" t="s">
        <v>20</v>
      </c>
      <c r="H665" s="76">
        <v>20</v>
      </c>
      <c r="I665" s="77" t="s">
        <v>86</v>
      </c>
      <c r="J665" s="78">
        <f>2160000/20</f>
        <v>108000</v>
      </c>
      <c r="K665" s="75" t="s">
        <v>86</v>
      </c>
      <c r="L665" s="79"/>
      <c r="M665" s="79">
        <v>0.17</v>
      </c>
      <c r="N665" s="76"/>
      <c r="O665" s="77" t="s">
        <v>86</v>
      </c>
      <c r="P665" s="74">
        <f t="shared" si="112"/>
        <v>0</v>
      </c>
      <c r="Q665" s="77" t="s">
        <v>86</v>
      </c>
      <c r="R665" s="78">
        <f t="shared" si="113"/>
        <v>0</v>
      </c>
      <c r="S665" s="8">
        <f t="shared" si="108"/>
        <v>0</v>
      </c>
    </row>
    <row r="666" spans="1:19" s="17" customFormat="1">
      <c r="A666" s="59" t="s">
        <v>446</v>
      </c>
      <c r="B666" s="17" t="s">
        <v>25</v>
      </c>
      <c r="C666" s="74"/>
      <c r="D666" s="75" t="s">
        <v>86</v>
      </c>
      <c r="E666" s="41">
        <v>12</v>
      </c>
      <c r="F666" s="76">
        <v>1</v>
      </c>
      <c r="G666" s="77" t="s">
        <v>20</v>
      </c>
      <c r="H666" s="76">
        <v>20</v>
      </c>
      <c r="I666" s="77" t="s">
        <v>86</v>
      </c>
      <c r="J666" s="78">
        <f>2160000/20</f>
        <v>108000</v>
      </c>
      <c r="K666" s="75" t="s">
        <v>86</v>
      </c>
      <c r="L666" s="79"/>
      <c r="M666" s="79">
        <v>0.17</v>
      </c>
      <c r="N666" s="76"/>
      <c r="O666" s="77" t="s">
        <v>86</v>
      </c>
      <c r="P666" s="74">
        <f t="shared" si="112"/>
        <v>240</v>
      </c>
      <c r="Q666" s="77" t="s">
        <v>86</v>
      </c>
      <c r="R666" s="78">
        <f t="shared" si="113"/>
        <v>21513600</v>
      </c>
      <c r="S666" s="8">
        <f t="shared" si="108"/>
        <v>19381621.62162162</v>
      </c>
    </row>
    <row r="667" spans="1:19" s="17" customFormat="1">
      <c r="A667" s="59" t="s">
        <v>719</v>
      </c>
      <c r="B667" s="17" t="s">
        <v>25</v>
      </c>
      <c r="C667" s="74"/>
      <c r="D667" s="75" t="s">
        <v>86</v>
      </c>
      <c r="E667" s="41"/>
      <c r="F667" s="76">
        <v>1</v>
      </c>
      <c r="G667" s="77" t="s">
        <v>20</v>
      </c>
      <c r="H667" s="76">
        <v>20</v>
      </c>
      <c r="I667" s="77" t="s">
        <v>86</v>
      </c>
      <c r="J667" s="78">
        <f>2256000/20</f>
        <v>112800</v>
      </c>
      <c r="K667" s="75" t="s">
        <v>86</v>
      </c>
      <c r="L667" s="79"/>
      <c r="M667" s="79">
        <v>0.17</v>
      </c>
      <c r="N667" s="76"/>
      <c r="O667" s="77" t="s">
        <v>86</v>
      </c>
      <c r="P667" s="74">
        <f t="shared" si="112"/>
        <v>0</v>
      </c>
      <c r="Q667" s="77" t="s">
        <v>86</v>
      </c>
      <c r="R667" s="78">
        <f t="shared" si="113"/>
        <v>0</v>
      </c>
      <c r="S667" s="8">
        <f t="shared" si="108"/>
        <v>0</v>
      </c>
    </row>
    <row r="668" spans="1:19" s="17" customFormat="1">
      <c r="A668" s="59" t="s">
        <v>447</v>
      </c>
      <c r="B668" s="17" t="s">
        <v>25</v>
      </c>
      <c r="C668" s="74"/>
      <c r="D668" s="75" t="s">
        <v>86</v>
      </c>
      <c r="E668" s="41">
        <v>1</v>
      </c>
      <c r="F668" s="76">
        <v>1</v>
      </c>
      <c r="G668" s="77" t="s">
        <v>20</v>
      </c>
      <c r="H668" s="76">
        <v>20</v>
      </c>
      <c r="I668" s="77" t="s">
        <v>86</v>
      </c>
      <c r="J668" s="78">
        <f>2112000/20</f>
        <v>105600</v>
      </c>
      <c r="K668" s="75" t="s">
        <v>86</v>
      </c>
      <c r="L668" s="79"/>
      <c r="M668" s="79">
        <v>0.17</v>
      </c>
      <c r="N668" s="76"/>
      <c r="O668" s="77" t="s">
        <v>86</v>
      </c>
      <c r="P668" s="74">
        <f t="shared" si="112"/>
        <v>20</v>
      </c>
      <c r="Q668" s="77" t="s">
        <v>86</v>
      </c>
      <c r="R668" s="78">
        <f t="shared" si="113"/>
        <v>1752960</v>
      </c>
      <c r="S668" s="8">
        <f t="shared" si="108"/>
        <v>1579243.2432432431</v>
      </c>
    </row>
    <row r="669" spans="1:19" s="17" customFormat="1">
      <c r="A669" s="59" t="s">
        <v>448</v>
      </c>
      <c r="B669" s="17" t="s">
        <v>25</v>
      </c>
      <c r="C669" s="74"/>
      <c r="D669" s="75" t="s">
        <v>86</v>
      </c>
      <c r="E669" s="41"/>
      <c r="F669" s="76">
        <v>1</v>
      </c>
      <c r="G669" s="77" t="s">
        <v>20</v>
      </c>
      <c r="H669" s="76">
        <v>20</v>
      </c>
      <c r="I669" s="77" t="s">
        <v>86</v>
      </c>
      <c r="J669" s="78">
        <f>2352000/20</f>
        <v>117600</v>
      </c>
      <c r="K669" s="75" t="s">
        <v>86</v>
      </c>
      <c r="L669" s="79"/>
      <c r="M669" s="79">
        <v>0.17</v>
      </c>
      <c r="N669" s="76"/>
      <c r="O669" s="77" t="s">
        <v>86</v>
      </c>
      <c r="P669" s="74">
        <f t="shared" si="112"/>
        <v>0</v>
      </c>
      <c r="Q669" s="77" t="s">
        <v>86</v>
      </c>
      <c r="R669" s="78">
        <f t="shared" si="113"/>
        <v>0</v>
      </c>
      <c r="S669" s="8">
        <f t="shared" si="108"/>
        <v>0</v>
      </c>
    </row>
    <row r="670" spans="1:19" s="17" customFormat="1">
      <c r="A670" s="59" t="s">
        <v>777</v>
      </c>
      <c r="B670" s="17" t="s">
        <v>25</v>
      </c>
      <c r="C670" s="74"/>
      <c r="D670" s="75" t="s">
        <v>86</v>
      </c>
      <c r="E670" s="41">
        <v>1</v>
      </c>
      <c r="F670" s="76">
        <v>1</v>
      </c>
      <c r="G670" s="77" t="s">
        <v>20</v>
      </c>
      <c r="H670" s="76">
        <v>20</v>
      </c>
      <c r="I670" s="77" t="s">
        <v>86</v>
      </c>
      <c r="J670" s="78">
        <f>2256000/20</f>
        <v>112800</v>
      </c>
      <c r="K670" s="75" t="s">
        <v>86</v>
      </c>
      <c r="L670" s="79"/>
      <c r="M670" s="79">
        <v>0.17</v>
      </c>
      <c r="N670" s="76"/>
      <c r="O670" s="77" t="s">
        <v>86</v>
      </c>
      <c r="P670" s="74">
        <f t="shared" si="112"/>
        <v>20</v>
      </c>
      <c r="Q670" s="77" t="s">
        <v>86</v>
      </c>
      <c r="R670" s="78">
        <f t="shared" si="113"/>
        <v>1872480</v>
      </c>
      <c r="S670" s="8">
        <f t="shared" si="108"/>
        <v>1686918.9189189188</v>
      </c>
    </row>
    <row r="671" spans="1:19" s="17" customFormat="1">
      <c r="A671" s="59"/>
      <c r="C671" s="74"/>
      <c r="D671" s="75"/>
      <c r="E671" s="41"/>
      <c r="F671" s="76"/>
      <c r="G671" s="77"/>
      <c r="H671" s="76"/>
      <c r="I671" s="77"/>
      <c r="J671" s="78"/>
      <c r="K671" s="75"/>
      <c r="L671" s="79"/>
      <c r="M671" s="79"/>
      <c r="N671" s="76"/>
      <c r="O671" s="77"/>
      <c r="P671" s="74"/>
      <c r="Q671" s="77"/>
      <c r="R671" s="78"/>
      <c r="S671" s="8"/>
    </row>
    <row r="672" spans="1:19" s="17" customFormat="1">
      <c r="A672" s="59" t="s">
        <v>449</v>
      </c>
      <c r="B672" s="17" t="s">
        <v>188</v>
      </c>
      <c r="C672" s="74"/>
      <c r="D672" s="75" t="s">
        <v>86</v>
      </c>
      <c r="E672" s="41"/>
      <c r="F672" s="76">
        <v>1</v>
      </c>
      <c r="G672" s="77" t="s">
        <v>20</v>
      </c>
      <c r="H672" s="76">
        <v>30</v>
      </c>
      <c r="I672" s="77" t="s">
        <v>86</v>
      </c>
      <c r="J672" s="78">
        <v>155000</v>
      </c>
      <c r="K672" s="75" t="s">
        <v>86</v>
      </c>
      <c r="L672" s="79"/>
      <c r="M672" s="79"/>
      <c r="N672" s="76"/>
      <c r="O672" s="77" t="s">
        <v>86</v>
      </c>
      <c r="P672" s="74">
        <f>(C672+(E672*F672*H672))-N672</f>
        <v>0</v>
      </c>
      <c r="Q672" s="77" t="s">
        <v>86</v>
      </c>
      <c r="R672" s="78">
        <f>P672*(J672-(J672*L672)-((J672-(J672*L672))*M672))</f>
        <v>0</v>
      </c>
      <c r="S672" s="8">
        <f t="shared" si="108"/>
        <v>0</v>
      </c>
    </row>
    <row r="673" spans="1:19" s="17" customFormat="1">
      <c r="A673" s="59"/>
      <c r="C673" s="74"/>
      <c r="D673" s="75"/>
      <c r="E673" s="41"/>
      <c r="F673" s="76"/>
      <c r="G673" s="77"/>
      <c r="H673" s="76"/>
      <c r="I673" s="77"/>
      <c r="J673" s="78"/>
      <c r="K673" s="75"/>
      <c r="L673" s="79"/>
      <c r="M673" s="79"/>
      <c r="N673" s="76"/>
      <c r="O673" s="77"/>
      <c r="P673" s="74"/>
      <c r="Q673" s="77"/>
      <c r="R673" s="78"/>
      <c r="S673" s="8"/>
    </row>
    <row r="674" spans="1:19">
      <c r="A674" s="15" t="s">
        <v>450</v>
      </c>
    </row>
    <row r="675" spans="1:19">
      <c r="A675" s="17" t="s">
        <v>451</v>
      </c>
      <c r="B675" s="2" t="s">
        <v>188</v>
      </c>
      <c r="D675" s="4" t="s">
        <v>33</v>
      </c>
      <c r="F675" s="6">
        <v>1</v>
      </c>
      <c r="G675" s="7" t="s">
        <v>20</v>
      </c>
      <c r="H675" s="6">
        <v>40</v>
      </c>
      <c r="I675" s="7" t="s">
        <v>33</v>
      </c>
      <c r="J675" s="8">
        <v>33600</v>
      </c>
      <c r="K675" s="4" t="s">
        <v>33</v>
      </c>
      <c r="O675" s="7" t="s">
        <v>33</v>
      </c>
      <c r="P675" s="3">
        <f>(C675+(E675*F675*H675))-N675</f>
        <v>0</v>
      </c>
      <c r="Q675" s="7" t="s">
        <v>33</v>
      </c>
      <c r="R675" s="8">
        <f>P675*(J675-(J675*L675)-((J675-(J675*L675))*M675))</f>
        <v>0</v>
      </c>
      <c r="S675" s="8">
        <f t="shared" si="108"/>
        <v>0</v>
      </c>
    </row>
    <row r="676" spans="1:19">
      <c r="A676" s="17" t="s">
        <v>452</v>
      </c>
      <c r="B676" s="2" t="s">
        <v>188</v>
      </c>
      <c r="D676" s="4" t="s">
        <v>33</v>
      </c>
      <c r="F676" s="6">
        <v>1</v>
      </c>
      <c r="G676" s="7" t="s">
        <v>20</v>
      </c>
      <c r="H676" s="6">
        <v>40</v>
      </c>
      <c r="I676" s="7" t="s">
        <v>33</v>
      </c>
      <c r="J676" s="8">
        <v>33600</v>
      </c>
      <c r="K676" s="4" t="s">
        <v>33</v>
      </c>
      <c r="O676" s="7" t="s">
        <v>33</v>
      </c>
      <c r="P676" s="3">
        <f>(C676+(E676*F676*H676))-N676</f>
        <v>0</v>
      </c>
      <c r="Q676" s="7" t="s">
        <v>33</v>
      </c>
      <c r="R676" s="8">
        <f>P676*(J676-(J676*L676)-((J676-(J676*L676))*M676))</f>
        <v>0</v>
      </c>
      <c r="S676" s="8">
        <f t="shared" si="108"/>
        <v>0</v>
      </c>
    </row>
    <row r="677" spans="1:19">
      <c r="A677" s="17" t="s">
        <v>453</v>
      </c>
      <c r="B677" s="2" t="s">
        <v>188</v>
      </c>
      <c r="D677" s="4" t="s">
        <v>33</v>
      </c>
      <c r="F677" s="6">
        <v>1</v>
      </c>
      <c r="G677" s="7" t="s">
        <v>20</v>
      </c>
      <c r="H677" s="6">
        <v>40</v>
      </c>
      <c r="I677" s="7" t="s">
        <v>33</v>
      </c>
      <c r="J677" s="8">
        <v>33600</v>
      </c>
      <c r="K677" s="4" t="s">
        <v>33</v>
      </c>
      <c r="O677" s="7" t="s">
        <v>33</v>
      </c>
      <c r="P677" s="3">
        <f>(C677+(E677*F677*H677))-N677</f>
        <v>0</v>
      </c>
      <c r="Q677" s="7" t="s">
        <v>33</v>
      </c>
      <c r="R677" s="8">
        <f>P677*(J677-(J677*L677)-((J677-(J677*L677))*M677))</f>
        <v>0</v>
      </c>
      <c r="S677" s="8">
        <f t="shared" si="108"/>
        <v>0</v>
      </c>
    </row>
    <row r="678" spans="1:19">
      <c r="A678" s="17" t="s">
        <v>454</v>
      </c>
      <c r="B678" s="2" t="s">
        <v>188</v>
      </c>
      <c r="C678" s="20"/>
      <c r="D678" s="4" t="s">
        <v>33</v>
      </c>
      <c r="F678" s="6">
        <v>1</v>
      </c>
      <c r="G678" s="7" t="s">
        <v>20</v>
      </c>
      <c r="H678" s="6">
        <v>40</v>
      </c>
      <c r="I678" s="7" t="s">
        <v>33</v>
      </c>
      <c r="J678" s="8">
        <v>33600</v>
      </c>
      <c r="K678" s="4" t="s">
        <v>33</v>
      </c>
      <c r="O678" s="7" t="s">
        <v>33</v>
      </c>
      <c r="P678" s="3">
        <f>(C678+(E678*F678*H678))-N678</f>
        <v>0</v>
      </c>
      <c r="Q678" s="7" t="s">
        <v>33</v>
      </c>
      <c r="R678" s="8">
        <f>P678*(J678-(J678*L678)-((J678-(J678*L678))*M678))</f>
        <v>0</v>
      </c>
      <c r="S678" s="8">
        <f t="shared" si="108"/>
        <v>0</v>
      </c>
    </row>
    <row r="679" spans="1:19">
      <c r="A679" s="17" t="s">
        <v>455</v>
      </c>
      <c r="B679" s="2" t="s">
        <v>188</v>
      </c>
      <c r="C679" s="20"/>
      <c r="D679" s="4" t="s">
        <v>33</v>
      </c>
      <c r="F679" s="6">
        <v>1</v>
      </c>
      <c r="G679" s="7" t="s">
        <v>20</v>
      </c>
      <c r="H679" s="6">
        <v>24</v>
      </c>
      <c r="I679" s="7" t="s">
        <v>33</v>
      </c>
      <c r="J679" s="8">
        <v>38400</v>
      </c>
      <c r="K679" s="4" t="s">
        <v>33</v>
      </c>
      <c r="O679" s="7" t="s">
        <v>33</v>
      </c>
      <c r="P679" s="3">
        <f>(C679+(E679*F679*H679))-N679</f>
        <v>0</v>
      </c>
      <c r="Q679" s="7" t="s">
        <v>33</v>
      </c>
      <c r="R679" s="8">
        <f>P679*(J679-(J679*L679)-((J679-(J679*L679))*M679))</f>
        <v>0</v>
      </c>
      <c r="S679" s="8">
        <f t="shared" si="108"/>
        <v>0</v>
      </c>
    </row>
    <row r="680" spans="1:19">
      <c r="C680" s="20"/>
    </row>
    <row r="681" spans="1:19">
      <c r="A681" s="15" t="s">
        <v>456</v>
      </c>
      <c r="C681" s="20"/>
    </row>
    <row r="682" spans="1:19">
      <c r="A682" s="73" t="s">
        <v>457</v>
      </c>
      <c r="B682" s="2" t="s">
        <v>18</v>
      </c>
      <c r="C682" s="20"/>
      <c r="D682" s="4" t="s">
        <v>86</v>
      </c>
      <c r="F682" s="6">
        <v>1</v>
      </c>
      <c r="G682" s="7" t="s">
        <v>20</v>
      </c>
      <c r="H682" s="6">
        <v>12</v>
      </c>
      <c r="I682" s="7" t="s">
        <v>86</v>
      </c>
      <c r="J682" s="8">
        <v>255600</v>
      </c>
      <c r="K682" s="4" t="s">
        <v>86</v>
      </c>
      <c r="L682" s="9">
        <v>0.125</v>
      </c>
      <c r="M682" s="9">
        <v>0.05</v>
      </c>
      <c r="O682" s="7" t="s">
        <v>86</v>
      </c>
      <c r="P682" s="3">
        <f>(C682+(E682*F682*H682))-N682</f>
        <v>0</v>
      </c>
      <c r="Q682" s="7" t="s">
        <v>86</v>
      </c>
      <c r="R682" s="8">
        <f>P682*(J682-(J682*L682)-((J682-(J682*L682))*M682))</f>
        <v>0</v>
      </c>
      <c r="S682" s="8">
        <f t="shared" ref="S682:S683" si="117">R682/1.11</f>
        <v>0</v>
      </c>
    </row>
    <row r="683" spans="1:19">
      <c r="A683" s="73" t="s">
        <v>458</v>
      </c>
      <c r="B683" s="2" t="s">
        <v>25</v>
      </c>
      <c r="C683" s="20"/>
      <c r="D683" s="4" t="s">
        <v>42</v>
      </c>
      <c r="F683" s="6">
        <v>12</v>
      </c>
      <c r="G683" s="7" t="s">
        <v>33</v>
      </c>
      <c r="H683" s="6">
        <v>6</v>
      </c>
      <c r="I683" s="7" t="s">
        <v>42</v>
      </c>
      <c r="J683" s="8">
        <v>21000</v>
      </c>
      <c r="K683" s="4" t="s">
        <v>42</v>
      </c>
      <c r="M683" s="9">
        <v>0.17</v>
      </c>
      <c r="O683" s="7" t="s">
        <v>42</v>
      </c>
      <c r="P683" s="3">
        <f>(C683+(E683*F683*H683))-N683</f>
        <v>0</v>
      </c>
      <c r="Q683" s="7" t="s">
        <v>42</v>
      </c>
      <c r="R683" s="8">
        <f>P683*(J683-(J683*L683)-((J683-(J683*L683))*M683))</f>
        <v>0</v>
      </c>
      <c r="S683" s="8">
        <f t="shared" si="117"/>
        <v>0</v>
      </c>
    </row>
    <row r="684" spans="1:19">
      <c r="A684" s="73"/>
      <c r="C684" s="20"/>
    </row>
    <row r="685" spans="1:19">
      <c r="A685" s="15" t="s">
        <v>459</v>
      </c>
      <c r="C685" s="20"/>
    </row>
    <row r="686" spans="1:19">
      <c r="A686" s="73" t="s">
        <v>460</v>
      </c>
      <c r="B686" s="2" t="s">
        <v>18</v>
      </c>
      <c r="C686" s="20"/>
      <c r="D686" s="4" t="s">
        <v>42</v>
      </c>
      <c r="F686" s="6">
        <v>1</v>
      </c>
      <c r="G686" s="7" t="s">
        <v>20</v>
      </c>
      <c r="H686" s="6">
        <v>144</v>
      </c>
      <c r="I686" s="7" t="s">
        <v>42</v>
      </c>
      <c r="J686" s="8">
        <v>49200</v>
      </c>
      <c r="K686" s="4" t="s">
        <v>42</v>
      </c>
      <c r="L686" s="9">
        <v>0.125</v>
      </c>
      <c r="M686" s="9">
        <v>0.05</v>
      </c>
      <c r="O686" s="7" t="s">
        <v>42</v>
      </c>
      <c r="P686" s="3">
        <f t="shared" ref="P686:P692" si="118">(C686+(E686*F686*H686))-N686</f>
        <v>0</v>
      </c>
      <c r="Q686" s="7" t="s">
        <v>42</v>
      </c>
      <c r="R686" s="8">
        <f t="shared" ref="R686:R692" si="119">P686*(J686-(J686*L686)-((J686-(J686*L686))*M686))</f>
        <v>0</v>
      </c>
      <c r="S686" s="8">
        <f t="shared" si="108"/>
        <v>0</v>
      </c>
    </row>
    <row r="687" spans="1:19" s="19" customFormat="1">
      <c r="A687" s="73" t="s">
        <v>461</v>
      </c>
      <c r="B687" s="19" t="s">
        <v>18</v>
      </c>
      <c r="C687" s="20"/>
      <c r="D687" s="21" t="s">
        <v>42</v>
      </c>
      <c r="E687" s="26"/>
      <c r="F687" s="22">
        <v>1</v>
      </c>
      <c r="G687" s="23" t="s">
        <v>20</v>
      </c>
      <c r="H687" s="22">
        <v>120</v>
      </c>
      <c r="I687" s="23" t="s">
        <v>42</v>
      </c>
      <c r="J687" s="24">
        <v>30600</v>
      </c>
      <c r="K687" s="21" t="s">
        <v>42</v>
      </c>
      <c r="L687" s="25">
        <v>0.125</v>
      </c>
      <c r="M687" s="25">
        <v>0.05</v>
      </c>
      <c r="N687" s="22"/>
      <c r="O687" s="23" t="s">
        <v>42</v>
      </c>
      <c r="P687" s="20">
        <f t="shared" si="118"/>
        <v>0</v>
      </c>
      <c r="Q687" s="23" t="s">
        <v>42</v>
      </c>
      <c r="R687" s="24">
        <f t="shared" si="119"/>
        <v>0</v>
      </c>
      <c r="S687" s="24">
        <f t="shared" si="108"/>
        <v>0</v>
      </c>
    </row>
    <row r="688" spans="1:19">
      <c r="A688" s="73" t="s">
        <v>462</v>
      </c>
      <c r="B688" s="2" t="s">
        <v>18</v>
      </c>
      <c r="D688" s="4" t="s">
        <v>42</v>
      </c>
      <c r="F688" s="6">
        <v>1</v>
      </c>
      <c r="G688" s="7" t="s">
        <v>20</v>
      </c>
      <c r="H688" s="6">
        <v>144</v>
      </c>
      <c r="I688" s="7" t="s">
        <v>42</v>
      </c>
      <c r="J688" s="8">
        <v>23400</v>
      </c>
      <c r="K688" s="4" t="s">
        <v>42</v>
      </c>
      <c r="L688" s="9">
        <v>0.125</v>
      </c>
      <c r="M688" s="9">
        <v>0.05</v>
      </c>
      <c r="O688" s="7" t="s">
        <v>42</v>
      </c>
      <c r="P688" s="3">
        <f t="shared" si="118"/>
        <v>0</v>
      </c>
      <c r="Q688" s="7" t="s">
        <v>42</v>
      </c>
      <c r="R688" s="8">
        <f t="shared" si="119"/>
        <v>0</v>
      </c>
      <c r="S688" s="8">
        <f t="shared" si="108"/>
        <v>0</v>
      </c>
    </row>
    <row r="689" spans="1:19">
      <c r="A689" s="73" t="s">
        <v>463</v>
      </c>
      <c r="B689" s="2" t="s">
        <v>18</v>
      </c>
      <c r="D689" s="4" t="s">
        <v>42</v>
      </c>
      <c r="F689" s="6">
        <v>1</v>
      </c>
      <c r="G689" s="7" t="s">
        <v>20</v>
      </c>
      <c r="H689" s="6">
        <v>144</v>
      </c>
      <c r="I689" s="7" t="s">
        <v>42</v>
      </c>
      <c r="J689" s="8">
        <v>40800</v>
      </c>
      <c r="K689" s="4" t="s">
        <v>42</v>
      </c>
      <c r="L689" s="9">
        <v>0.125</v>
      </c>
      <c r="M689" s="9">
        <v>0.05</v>
      </c>
      <c r="O689" s="7" t="s">
        <v>42</v>
      </c>
      <c r="P689" s="3">
        <f t="shared" si="118"/>
        <v>0</v>
      </c>
      <c r="Q689" s="7" t="s">
        <v>42</v>
      </c>
      <c r="R689" s="8">
        <f t="shared" si="119"/>
        <v>0</v>
      </c>
      <c r="S689" s="8">
        <f t="shared" si="108"/>
        <v>0</v>
      </c>
    </row>
    <row r="690" spans="1:19">
      <c r="A690" s="73" t="s">
        <v>766</v>
      </c>
      <c r="B690" s="2" t="s">
        <v>18</v>
      </c>
      <c r="D690" s="4" t="s">
        <v>42</v>
      </c>
      <c r="F690" s="6">
        <v>1</v>
      </c>
      <c r="G690" s="7" t="s">
        <v>20</v>
      </c>
      <c r="H690" s="6">
        <v>144</v>
      </c>
      <c r="I690" s="7" t="s">
        <v>42</v>
      </c>
      <c r="J690" s="8">
        <v>40800</v>
      </c>
      <c r="K690" s="4" t="s">
        <v>42</v>
      </c>
      <c r="L690" s="9">
        <v>0.125</v>
      </c>
      <c r="M690" s="9">
        <v>0.05</v>
      </c>
      <c r="O690" s="7" t="s">
        <v>42</v>
      </c>
      <c r="P690" s="3">
        <f t="shared" si="118"/>
        <v>0</v>
      </c>
      <c r="Q690" s="7" t="s">
        <v>42</v>
      </c>
      <c r="R690" s="8">
        <f t="shared" si="119"/>
        <v>0</v>
      </c>
      <c r="S690" s="8">
        <f t="shared" si="108"/>
        <v>0</v>
      </c>
    </row>
    <row r="691" spans="1:19">
      <c r="A691" s="73" t="s">
        <v>464</v>
      </c>
      <c r="B691" s="2" t="s">
        <v>18</v>
      </c>
      <c r="D691" s="4" t="s">
        <v>42</v>
      </c>
      <c r="F691" s="6">
        <v>1</v>
      </c>
      <c r="G691" s="7" t="s">
        <v>20</v>
      </c>
      <c r="H691" s="6">
        <v>144</v>
      </c>
      <c r="I691" s="7" t="s">
        <v>42</v>
      </c>
      <c r="J691" s="8">
        <v>36000</v>
      </c>
      <c r="K691" s="4" t="s">
        <v>42</v>
      </c>
      <c r="L691" s="9">
        <v>0.125</v>
      </c>
      <c r="M691" s="9">
        <v>0.05</v>
      </c>
      <c r="O691" s="7" t="s">
        <v>42</v>
      </c>
      <c r="P691" s="3">
        <f t="shared" si="118"/>
        <v>0</v>
      </c>
      <c r="Q691" s="7" t="s">
        <v>42</v>
      </c>
      <c r="R691" s="8">
        <f t="shared" si="119"/>
        <v>0</v>
      </c>
      <c r="S691" s="8">
        <f t="shared" si="108"/>
        <v>0</v>
      </c>
    </row>
    <row r="692" spans="1:19">
      <c r="A692" s="73" t="s">
        <v>827</v>
      </c>
      <c r="B692" s="2" t="s">
        <v>18</v>
      </c>
      <c r="D692" s="4" t="s">
        <v>42</v>
      </c>
      <c r="F692" s="6">
        <v>1</v>
      </c>
      <c r="G692" s="7" t="s">
        <v>20</v>
      </c>
      <c r="H692" s="6">
        <v>144</v>
      </c>
      <c r="I692" s="7" t="s">
        <v>42</v>
      </c>
      <c r="J692" s="8">
        <v>25200</v>
      </c>
      <c r="K692" s="4" t="s">
        <v>42</v>
      </c>
      <c r="L692" s="9">
        <v>0.125</v>
      </c>
      <c r="M692" s="9">
        <v>0.05</v>
      </c>
      <c r="O692" s="7" t="s">
        <v>42</v>
      </c>
      <c r="P692" s="3">
        <f t="shared" si="118"/>
        <v>0</v>
      </c>
      <c r="Q692" s="7" t="s">
        <v>42</v>
      </c>
      <c r="R692" s="8">
        <f t="shared" si="119"/>
        <v>0</v>
      </c>
      <c r="S692" s="8">
        <f t="shared" si="108"/>
        <v>0</v>
      </c>
    </row>
    <row r="693" spans="1:19">
      <c r="A693" s="73"/>
    </row>
    <row r="694" spans="1:19">
      <c r="A694" s="17" t="s">
        <v>465</v>
      </c>
      <c r="B694" s="2" t="s">
        <v>25</v>
      </c>
      <c r="D694" s="4" t="s">
        <v>42</v>
      </c>
      <c r="F694" s="6">
        <v>1</v>
      </c>
      <c r="G694" s="7" t="s">
        <v>20</v>
      </c>
      <c r="H694" s="6">
        <v>144</v>
      </c>
      <c r="I694" s="7" t="s">
        <v>42</v>
      </c>
      <c r="J694" s="8">
        <f>6739200/144</f>
        <v>46800</v>
      </c>
      <c r="K694" s="4" t="s">
        <v>42</v>
      </c>
      <c r="M694" s="9">
        <v>0.17</v>
      </c>
      <c r="O694" s="7" t="s">
        <v>42</v>
      </c>
      <c r="P694" s="3">
        <f>(C694+(E694*F694*H694))-N694</f>
        <v>0</v>
      </c>
      <c r="Q694" s="7" t="s">
        <v>42</v>
      </c>
      <c r="R694" s="8">
        <f>P694*(J694-(J694*L694)-((J694-(J694*L694))*M694))</f>
        <v>0</v>
      </c>
      <c r="S694" s="8">
        <f t="shared" si="108"/>
        <v>0</v>
      </c>
    </row>
    <row r="695" spans="1:19">
      <c r="A695" s="17" t="s">
        <v>466</v>
      </c>
      <c r="B695" s="2" t="s">
        <v>25</v>
      </c>
      <c r="C695" s="20"/>
      <c r="D695" s="4" t="s">
        <v>42</v>
      </c>
      <c r="F695" s="6">
        <v>1</v>
      </c>
      <c r="G695" s="7" t="s">
        <v>20</v>
      </c>
      <c r="H695" s="6">
        <v>144</v>
      </c>
      <c r="I695" s="7" t="s">
        <v>42</v>
      </c>
      <c r="J695" s="8">
        <f>4492800/144</f>
        <v>31200</v>
      </c>
      <c r="K695" s="4" t="s">
        <v>42</v>
      </c>
      <c r="M695" s="9">
        <v>0.17</v>
      </c>
      <c r="O695" s="7" t="s">
        <v>42</v>
      </c>
      <c r="P695" s="3">
        <f>(C695+(E695*F695*H695))-N695</f>
        <v>0</v>
      </c>
      <c r="Q695" s="7" t="s">
        <v>42</v>
      </c>
      <c r="R695" s="8">
        <f>P695*(J695-(J695*L695)-((J695-(J695*L695))*M695))</f>
        <v>0</v>
      </c>
      <c r="S695" s="8">
        <f t="shared" si="108"/>
        <v>0</v>
      </c>
    </row>
    <row r="696" spans="1:19">
      <c r="A696" s="17" t="s">
        <v>467</v>
      </c>
      <c r="B696" s="2" t="s">
        <v>25</v>
      </c>
      <c r="C696" s="20"/>
      <c r="D696" s="4" t="s">
        <v>42</v>
      </c>
      <c r="F696" s="6">
        <v>1</v>
      </c>
      <c r="G696" s="7" t="s">
        <v>20</v>
      </c>
      <c r="H696" s="6">
        <v>144</v>
      </c>
      <c r="I696" s="7" t="s">
        <v>42</v>
      </c>
      <c r="J696" s="8">
        <v>29400</v>
      </c>
      <c r="K696" s="4" t="s">
        <v>42</v>
      </c>
      <c r="M696" s="9">
        <v>0.17</v>
      </c>
      <c r="O696" s="7" t="s">
        <v>42</v>
      </c>
      <c r="P696" s="3">
        <f>(C696+(E696*F696*H696))-N696</f>
        <v>0</v>
      </c>
      <c r="Q696" s="7" t="s">
        <v>42</v>
      </c>
      <c r="R696" s="8">
        <f>P696*(J696-(J696*L696)-((J696-(J696*L696))*M696))</f>
        <v>0</v>
      </c>
      <c r="S696" s="8">
        <f t="shared" si="108"/>
        <v>0</v>
      </c>
    </row>
    <row r="697" spans="1:19">
      <c r="A697" s="17" t="s">
        <v>468</v>
      </c>
      <c r="B697" s="2" t="s">
        <v>25</v>
      </c>
      <c r="C697" s="20"/>
      <c r="D697" s="4" t="s">
        <v>42</v>
      </c>
      <c r="F697" s="6">
        <v>1</v>
      </c>
      <c r="G697" s="7" t="s">
        <v>20</v>
      </c>
      <c r="H697" s="6">
        <v>144</v>
      </c>
      <c r="I697" s="7" t="s">
        <v>42</v>
      </c>
      <c r="J697" s="8">
        <f>2764800/144</f>
        <v>19200</v>
      </c>
      <c r="K697" s="4" t="s">
        <v>42</v>
      </c>
      <c r="M697" s="9">
        <v>0.17</v>
      </c>
      <c r="O697" s="7" t="s">
        <v>42</v>
      </c>
      <c r="P697" s="3">
        <f>(C697+(E697*F697*H697))-N697</f>
        <v>0</v>
      </c>
      <c r="Q697" s="7" t="s">
        <v>42</v>
      </c>
      <c r="R697" s="8">
        <f>P697*(J697-(J697*L697)-((J697-(J697*L697))*M697))</f>
        <v>0</v>
      </c>
      <c r="S697" s="8">
        <f t="shared" ref="S697:S791" si="120">R697/1.11</f>
        <v>0</v>
      </c>
    </row>
    <row r="698" spans="1:19">
      <c r="A698" s="17" t="s">
        <v>469</v>
      </c>
      <c r="B698" s="2" t="s">
        <v>25</v>
      </c>
      <c r="C698" s="20"/>
      <c r="D698" s="4" t="s">
        <v>42</v>
      </c>
      <c r="F698" s="6">
        <v>1</v>
      </c>
      <c r="G698" s="7" t="s">
        <v>20</v>
      </c>
      <c r="H698" s="6">
        <v>144</v>
      </c>
      <c r="I698" s="7" t="s">
        <v>42</v>
      </c>
      <c r="J698" s="8">
        <f>3369600/144</f>
        <v>23400</v>
      </c>
      <c r="K698" s="4" t="s">
        <v>42</v>
      </c>
      <c r="M698" s="9">
        <v>0.17</v>
      </c>
      <c r="O698" s="7" t="s">
        <v>42</v>
      </c>
      <c r="P698" s="3">
        <f>(C698+(E698*F698*H698))-N698</f>
        <v>0</v>
      </c>
      <c r="Q698" s="7" t="s">
        <v>42</v>
      </c>
      <c r="R698" s="8">
        <f>P698*(J698-(J698*L698)-((J698-(J698*L698))*M698))</f>
        <v>0</v>
      </c>
      <c r="S698" s="8">
        <f t="shared" si="120"/>
        <v>0</v>
      </c>
    </row>
    <row r="699" spans="1:19">
      <c r="C699" s="20"/>
    </row>
    <row r="700" spans="1:19">
      <c r="A700" s="17" t="s">
        <v>470</v>
      </c>
      <c r="B700" s="2" t="s">
        <v>267</v>
      </c>
      <c r="C700" s="20"/>
      <c r="D700" s="4" t="s">
        <v>42</v>
      </c>
      <c r="F700" s="6">
        <v>1</v>
      </c>
      <c r="G700" s="7" t="s">
        <v>20</v>
      </c>
      <c r="H700" s="6">
        <v>144</v>
      </c>
      <c r="I700" s="7" t="s">
        <v>42</v>
      </c>
      <c r="J700" s="8">
        <v>12500</v>
      </c>
      <c r="K700" s="4" t="s">
        <v>42</v>
      </c>
      <c r="O700" s="7" t="s">
        <v>42</v>
      </c>
      <c r="P700" s="3">
        <f>(C700+(E700*F700*H700))-N700</f>
        <v>0</v>
      </c>
      <c r="Q700" s="7" t="s">
        <v>42</v>
      </c>
      <c r="R700" s="8">
        <f>P700*(J700-(J700*L700)-((J700-(J700*L700))*M700))</f>
        <v>0</v>
      </c>
      <c r="S700" s="8">
        <f>R700/1.11</f>
        <v>0</v>
      </c>
    </row>
    <row r="701" spans="1:19">
      <c r="A701" s="17" t="s">
        <v>471</v>
      </c>
      <c r="B701" s="2" t="s">
        <v>267</v>
      </c>
      <c r="C701" s="20"/>
      <c r="D701" s="4" t="s">
        <v>42</v>
      </c>
      <c r="F701" s="6">
        <v>1</v>
      </c>
      <c r="G701" s="7" t="s">
        <v>20</v>
      </c>
      <c r="H701" s="6">
        <v>144</v>
      </c>
      <c r="I701" s="7" t="s">
        <v>42</v>
      </c>
      <c r="J701" s="8">
        <v>12500</v>
      </c>
      <c r="K701" s="4" t="s">
        <v>42</v>
      </c>
      <c r="O701" s="7" t="s">
        <v>42</v>
      </c>
      <c r="P701" s="3">
        <f>(C701+(E701*F701*H701))-N701</f>
        <v>0</v>
      </c>
      <c r="Q701" s="7" t="s">
        <v>42</v>
      </c>
      <c r="R701" s="8">
        <f>P701*(J701-(J701*L701)-((J701-(J701*L701))*M701))</f>
        <v>0</v>
      </c>
      <c r="S701" s="8">
        <f>R701/1.11</f>
        <v>0</v>
      </c>
    </row>
    <row r="702" spans="1:19">
      <c r="A702" s="17" t="s">
        <v>472</v>
      </c>
      <c r="B702" s="2" t="s">
        <v>267</v>
      </c>
      <c r="D702" s="4" t="s">
        <v>42</v>
      </c>
      <c r="F702" s="6">
        <v>1</v>
      </c>
      <c r="G702" s="7" t="s">
        <v>20</v>
      </c>
      <c r="H702" s="6">
        <v>96</v>
      </c>
      <c r="I702" s="7" t="s">
        <v>42</v>
      </c>
      <c r="J702" s="8">
        <v>27500</v>
      </c>
      <c r="K702" s="4" t="s">
        <v>42</v>
      </c>
      <c r="O702" s="7" t="s">
        <v>42</v>
      </c>
      <c r="P702" s="3">
        <f>(C702+(E702*F702*H702))-N702</f>
        <v>0</v>
      </c>
      <c r="Q702" s="7" t="s">
        <v>42</v>
      </c>
      <c r="R702" s="8">
        <f>P702*(J702-(J702*L702)-((J702-(J702*L702))*M702))</f>
        <v>0</v>
      </c>
      <c r="S702" s="8">
        <f>R702/1.11</f>
        <v>0</v>
      </c>
    </row>
    <row r="704" spans="1:19">
      <c r="A704" s="15" t="s">
        <v>674</v>
      </c>
    </row>
    <row r="705" spans="1:19">
      <c r="A705" s="73" t="s">
        <v>675</v>
      </c>
      <c r="B705" s="2" t="s">
        <v>18</v>
      </c>
      <c r="D705" s="4" t="s">
        <v>86</v>
      </c>
      <c r="E705" s="5">
        <v>2</v>
      </c>
      <c r="F705" s="6">
        <v>1</v>
      </c>
      <c r="G705" s="7" t="s">
        <v>20</v>
      </c>
      <c r="H705" s="6">
        <v>12</v>
      </c>
      <c r="I705" s="7" t="s">
        <v>86</v>
      </c>
      <c r="J705" s="8">
        <v>176400</v>
      </c>
      <c r="K705" s="4" t="s">
        <v>86</v>
      </c>
      <c r="L705" s="9">
        <v>0.125</v>
      </c>
      <c r="M705" s="9">
        <v>0.05</v>
      </c>
      <c r="O705" s="7" t="s">
        <v>86</v>
      </c>
      <c r="P705" s="3">
        <f t="shared" ref="P705:P712" si="121">(C705+(E705*F705*H705))-N705</f>
        <v>24</v>
      </c>
      <c r="Q705" s="7" t="s">
        <v>86</v>
      </c>
      <c r="R705" s="8">
        <f t="shared" ref="R705:R712" si="122">P705*(J705-(J705*L705)-((J705-(J705*L705))*M705))</f>
        <v>3519180</v>
      </c>
      <c r="S705" s="8">
        <f t="shared" si="120"/>
        <v>3170432.4324324322</v>
      </c>
    </row>
    <row r="706" spans="1:19">
      <c r="A706" s="73" t="s">
        <v>676</v>
      </c>
      <c r="B706" s="2" t="s">
        <v>18</v>
      </c>
      <c r="D706" s="4" t="s">
        <v>86</v>
      </c>
      <c r="F706" s="6">
        <v>12</v>
      </c>
      <c r="G706" s="7" t="s">
        <v>33</v>
      </c>
      <c r="H706" s="6">
        <v>1</v>
      </c>
      <c r="I706" s="7" t="s">
        <v>86</v>
      </c>
      <c r="J706" s="8">
        <v>183600</v>
      </c>
      <c r="K706" s="4" t="s">
        <v>86</v>
      </c>
      <c r="L706" s="9">
        <v>0.125</v>
      </c>
      <c r="M706" s="9">
        <v>0.05</v>
      </c>
      <c r="O706" s="7" t="s">
        <v>86</v>
      </c>
      <c r="P706" s="3">
        <f t="shared" si="121"/>
        <v>0</v>
      </c>
      <c r="Q706" s="7" t="s">
        <v>86</v>
      </c>
      <c r="R706" s="8">
        <f t="shared" si="122"/>
        <v>0</v>
      </c>
      <c r="S706" s="8">
        <f t="shared" si="120"/>
        <v>0</v>
      </c>
    </row>
    <row r="707" spans="1:19">
      <c r="A707" s="95" t="s">
        <v>677</v>
      </c>
      <c r="B707" s="2" t="s">
        <v>18</v>
      </c>
      <c r="D707" s="4" t="s">
        <v>42</v>
      </c>
      <c r="E707" s="5">
        <v>3</v>
      </c>
      <c r="F707" s="6">
        <v>12</v>
      </c>
      <c r="G707" s="7" t="s">
        <v>86</v>
      </c>
      <c r="H707" s="6">
        <v>12</v>
      </c>
      <c r="I707" s="7" t="s">
        <v>42</v>
      </c>
      <c r="J707" s="94">
        <v>19800</v>
      </c>
      <c r="K707" s="4" t="s">
        <v>42</v>
      </c>
      <c r="L707" s="9">
        <v>0.125</v>
      </c>
      <c r="M707" s="9">
        <v>0.05</v>
      </c>
      <c r="O707" s="7" t="s">
        <v>42</v>
      </c>
      <c r="P707" s="3">
        <f t="shared" ref="P707" si="123">(C707+(E707*F707*H707))-N707</f>
        <v>432</v>
      </c>
      <c r="Q707" s="7" t="s">
        <v>42</v>
      </c>
      <c r="R707" s="8">
        <f t="shared" ref="R707" si="124">P707*(J707-(J707*L707)-((J707-(J707*L707))*M707))</f>
        <v>7110180</v>
      </c>
      <c r="S707" s="8">
        <f t="shared" ref="S707" si="125">R707/1.11</f>
        <v>6405567.5675675673</v>
      </c>
    </row>
    <row r="708" spans="1:19">
      <c r="A708" s="73" t="s">
        <v>677</v>
      </c>
      <c r="B708" s="2" t="s">
        <v>18</v>
      </c>
      <c r="D708" s="4" t="s">
        <v>42</v>
      </c>
      <c r="F708" s="6">
        <v>12</v>
      </c>
      <c r="G708" s="7" t="s">
        <v>86</v>
      </c>
      <c r="H708" s="6">
        <v>12</v>
      </c>
      <c r="I708" s="7" t="s">
        <v>42</v>
      </c>
      <c r="J708" s="8">
        <v>17100</v>
      </c>
      <c r="K708" s="4" t="s">
        <v>42</v>
      </c>
      <c r="L708" s="9">
        <v>0.125</v>
      </c>
      <c r="M708" s="9">
        <v>0.05</v>
      </c>
      <c r="O708" s="7" t="s">
        <v>42</v>
      </c>
      <c r="P708" s="3">
        <f t="shared" si="121"/>
        <v>0</v>
      </c>
      <c r="Q708" s="7" t="s">
        <v>42</v>
      </c>
      <c r="R708" s="8">
        <f t="shared" si="122"/>
        <v>0</v>
      </c>
      <c r="S708" s="8">
        <f t="shared" si="120"/>
        <v>0</v>
      </c>
    </row>
    <row r="709" spans="1:19">
      <c r="A709" s="95" t="s">
        <v>678</v>
      </c>
      <c r="B709" s="2" t="s">
        <v>18</v>
      </c>
      <c r="D709" s="4" t="s">
        <v>42</v>
      </c>
      <c r="E709" s="5">
        <v>4</v>
      </c>
      <c r="F709" s="6">
        <v>12</v>
      </c>
      <c r="G709" s="7" t="s">
        <v>86</v>
      </c>
      <c r="H709" s="6">
        <v>6</v>
      </c>
      <c r="I709" s="7" t="s">
        <v>42</v>
      </c>
      <c r="J709" s="94">
        <f>3100*12</f>
        <v>37200</v>
      </c>
      <c r="K709" s="4" t="s">
        <v>42</v>
      </c>
      <c r="L709" s="9">
        <v>0.125</v>
      </c>
      <c r="M709" s="9">
        <v>0.05</v>
      </c>
      <c r="O709" s="7" t="s">
        <v>42</v>
      </c>
      <c r="P709" s="3">
        <f t="shared" ref="P709" si="126">(C709+(E709*F709*H709))-N709</f>
        <v>288</v>
      </c>
      <c r="Q709" s="7" t="s">
        <v>42</v>
      </c>
      <c r="R709" s="8">
        <f t="shared" ref="R709" si="127">P709*(J709-(J709*L709)-((J709-(J709*L709))*M709))</f>
        <v>8905680</v>
      </c>
      <c r="S709" s="8">
        <f t="shared" ref="S709" si="128">R709/1.11</f>
        <v>8023135.1351351347</v>
      </c>
    </row>
    <row r="710" spans="1:19">
      <c r="A710" s="73" t="s">
        <v>678</v>
      </c>
      <c r="B710" s="2" t="s">
        <v>18</v>
      </c>
      <c r="D710" s="4" t="s">
        <v>42</v>
      </c>
      <c r="F710" s="6">
        <v>12</v>
      </c>
      <c r="G710" s="7" t="s">
        <v>86</v>
      </c>
      <c r="H710" s="6">
        <v>6</v>
      </c>
      <c r="I710" s="7" t="s">
        <v>42</v>
      </c>
      <c r="J710" s="8">
        <v>34500</v>
      </c>
      <c r="K710" s="4" t="s">
        <v>42</v>
      </c>
      <c r="L710" s="9">
        <v>0.125</v>
      </c>
      <c r="M710" s="9">
        <v>0.05</v>
      </c>
      <c r="O710" s="7" t="s">
        <v>42</v>
      </c>
      <c r="P710" s="3">
        <f t="shared" si="121"/>
        <v>0</v>
      </c>
      <c r="Q710" s="7" t="s">
        <v>42</v>
      </c>
      <c r="R710" s="8">
        <f t="shared" si="122"/>
        <v>0</v>
      </c>
      <c r="S710" s="8">
        <f t="shared" si="120"/>
        <v>0</v>
      </c>
    </row>
    <row r="711" spans="1:19">
      <c r="A711" s="73" t="s">
        <v>679</v>
      </c>
      <c r="B711" s="2" t="s">
        <v>18</v>
      </c>
      <c r="D711" s="4" t="s">
        <v>86</v>
      </c>
      <c r="F711" s="6">
        <v>1</v>
      </c>
      <c r="G711" s="7" t="s">
        <v>20</v>
      </c>
      <c r="H711" s="6">
        <v>12</v>
      </c>
      <c r="I711" s="7" t="s">
        <v>86</v>
      </c>
      <c r="J711" s="8">
        <v>183600</v>
      </c>
      <c r="K711" s="4" t="s">
        <v>86</v>
      </c>
      <c r="L711" s="9">
        <v>0.125</v>
      </c>
      <c r="M711" s="9">
        <v>0.05</v>
      </c>
      <c r="O711" s="7" t="s">
        <v>86</v>
      </c>
      <c r="P711" s="3">
        <f t="shared" si="121"/>
        <v>0</v>
      </c>
      <c r="Q711" s="7" t="s">
        <v>86</v>
      </c>
      <c r="R711" s="8">
        <f t="shared" si="122"/>
        <v>0</v>
      </c>
      <c r="S711" s="8">
        <f t="shared" si="120"/>
        <v>0</v>
      </c>
    </row>
    <row r="712" spans="1:19">
      <c r="A712" s="73" t="s">
        <v>767</v>
      </c>
      <c r="B712" s="2" t="s">
        <v>18</v>
      </c>
      <c r="D712" s="4" t="s">
        <v>42</v>
      </c>
      <c r="F712" s="6">
        <v>1</v>
      </c>
      <c r="G712" s="7" t="s">
        <v>20</v>
      </c>
      <c r="H712" s="6">
        <v>17</v>
      </c>
      <c r="I712" s="7" t="s">
        <v>42</v>
      </c>
      <c r="J712" s="8">
        <v>39600</v>
      </c>
      <c r="K712" s="4" t="s">
        <v>42</v>
      </c>
      <c r="L712" s="9">
        <v>0.125</v>
      </c>
      <c r="M712" s="9">
        <v>0.05</v>
      </c>
      <c r="O712" s="7" t="s">
        <v>86</v>
      </c>
      <c r="P712" s="3">
        <f t="shared" si="121"/>
        <v>0</v>
      </c>
      <c r="Q712" s="7" t="s">
        <v>86</v>
      </c>
      <c r="R712" s="8">
        <f t="shared" si="122"/>
        <v>0</v>
      </c>
      <c r="S712" s="8">
        <f t="shared" si="120"/>
        <v>0</v>
      </c>
    </row>
    <row r="713" spans="1:19">
      <c r="A713" s="73"/>
    </row>
    <row r="714" spans="1:19">
      <c r="A714" s="73" t="s">
        <v>680</v>
      </c>
      <c r="B714" s="2" t="s">
        <v>25</v>
      </c>
      <c r="D714" s="4" t="s">
        <v>86</v>
      </c>
      <c r="E714" s="5">
        <v>1</v>
      </c>
      <c r="F714" s="6">
        <v>1</v>
      </c>
      <c r="G714" s="7" t="s">
        <v>20</v>
      </c>
      <c r="H714" s="6">
        <v>18</v>
      </c>
      <c r="I714" s="7" t="s">
        <v>86</v>
      </c>
      <c r="J714" s="8">
        <f>3240000/18</f>
        <v>180000</v>
      </c>
      <c r="K714" s="4" t="s">
        <v>86</v>
      </c>
      <c r="M714" s="9">
        <v>0.17</v>
      </c>
      <c r="O714" s="7" t="s">
        <v>86</v>
      </c>
      <c r="P714" s="3">
        <f>(C714+(E714*F714*H714))-N714</f>
        <v>18</v>
      </c>
      <c r="Q714" s="7" t="s">
        <v>86</v>
      </c>
      <c r="R714" s="8">
        <f>P714*(J714-(J714*L714)-((J714-(J714*L714))*M714))</f>
        <v>2689200</v>
      </c>
      <c r="S714" s="8">
        <f t="shared" si="120"/>
        <v>2422702.7027027025</v>
      </c>
    </row>
    <row r="715" spans="1:19">
      <c r="A715" s="17" t="s">
        <v>681</v>
      </c>
      <c r="B715" s="2" t="s">
        <v>25</v>
      </c>
      <c r="D715" s="4" t="s">
        <v>42</v>
      </c>
      <c r="F715" s="6">
        <v>12</v>
      </c>
      <c r="G715" s="7" t="s">
        <v>86</v>
      </c>
      <c r="H715" s="6">
        <v>12</v>
      </c>
      <c r="I715" s="7" t="s">
        <v>42</v>
      </c>
      <c r="J715" s="8">
        <v>14400</v>
      </c>
      <c r="K715" s="4" t="s">
        <v>42</v>
      </c>
      <c r="M715" s="9">
        <v>0.17</v>
      </c>
      <c r="O715" s="7" t="s">
        <v>42</v>
      </c>
      <c r="P715" s="3">
        <f>(C715+(E715*F715*H715))-N715</f>
        <v>0</v>
      </c>
      <c r="Q715" s="7" t="s">
        <v>42</v>
      </c>
      <c r="R715" s="8">
        <f>P715*(J715-(J715*L715)-((J715-(J715*L715))*M715))</f>
        <v>0</v>
      </c>
      <c r="S715" s="8">
        <f t="shared" si="120"/>
        <v>0</v>
      </c>
    </row>
    <row r="716" spans="1:19">
      <c r="A716" s="17" t="s">
        <v>682</v>
      </c>
      <c r="B716" s="2" t="s">
        <v>25</v>
      </c>
      <c r="D716" s="4" t="s">
        <v>42</v>
      </c>
      <c r="F716" s="6">
        <v>12</v>
      </c>
      <c r="G716" s="7" t="s">
        <v>86</v>
      </c>
      <c r="H716" s="6">
        <v>12</v>
      </c>
      <c r="I716" s="7" t="s">
        <v>42</v>
      </c>
      <c r="J716" s="8">
        <f>2937600/12/12</f>
        <v>20400</v>
      </c>
      <c r="K716" s="4" t="s">
        <v>42</v>
      </c>
      <c r="M716" s="9">
        <v>0.17</v>
      </c>
      <c r="O716" s="7" t="s">
        <v>42</v>
      </c>
      <c r="P716" s="3">
        <f>(C716+(E716*F716*H716))-N716</f>
        <v>0</v>
      </c>
      <c r="Q716" s="7" t="s">
        <v>42</v>
      </c>
      <c r="R716" s="8">
        <f>P716*(J716-(J716*L716)-((J716-(J716*L716))*M716))</f>
        <v>0</v>
      </c>
      <c r="S716" s="8">
        <f t="shared" si="120"/>
        <v>0</v>
      </c>
    </row>
    <row r="718" spans="1:19">
      <c r="A718" s="17" t="s">
        <v>810</v>
      </c>
      <c r="B718" s="2" t="s">
        <v>188</v>
      </c>
      <c r="C718" s="20"/>
      <c r="D718" s="4" t="s">
        <v>158</v>
      </c>
      <c r="F718" s="6">
        <v>40</v>
      </c>
      <c r="G718" s="7" t="s">
        <v>33</v>
      </c>
      <c r="H718" s="6">
        <f>1600/40</f>
        <v>40</v>
      </c>
      <c r="I718" s="7" t="s">
        <v>158</v>
      </c>
      <c r="J718" s="8">
        <v>1532</v>
      </c>
      <c r="K718" s="4" t="s">
        <v>158</v>
      </c>
      <c r="O718" s="7" t="s">
        <v>158</v>
      </c>
      <c r="P718" s="3">
        <f>(C718+(E718*F718*H718))-N718</f>
        <v>0</v>
      </c>
      <c r="Q718" s="7" t="s">
        <v>158</v>
      </c>
      <c r="R718" s="8">
        <f>P718*(J718-(J718*L718)-((J718-(J718*L718))*M718))</f>
        <v>0</v>
      </c>
      <c r="S718" s="8">
        <f t="shared" si="120"/>
        <v>0</v>
      </c>
    </row>
    <row r="720" spans="1:19">
      <c r="A720" s="15" t="s">
        <v>473</v>
      </c>
    </row>
    <row r="721" spans="1:19" s="19" customFormat="1">
      <c r="A721" s="18" t="s">
        <v>474</v>
      </c>
      <c r="B721" s="19" t="s">
        <v>18</v>
      </c>
      <c r="C721" s="20"/>
      <c r="D721" s="21" t="s">
        <v>158</v>
      </c>
      <c r="E721" s="26"/>
      <c r="F721" s="22">
        <v>12</v>
      </c>
      <c r="G721" s="23" t="s">
        <v>33</v>
      </c>
      <c r="H721" s="22">
        <v>24</v>
      </c>
      <c r="I721" s="23" t="s">
        <v>158</v>
      </c>
      <c r="J721" s="24">
        <v>6700</v>
      </c>
      <c r="K721" s="21" t="s">
        <v>158</v>
      </c>
      <c r="L721" s="25">
        <v>0.125</v>
      </c>
      <c r="M721" s="25">
        <v>0.05</v>
      </c>
      <c r="N721" s="22"/>
      <c r="O721" s="23" t="s">
        <v>158</v>
      </c>
      <c r="P721" s="20">
        <f t="shared" ref="P721:P734" si="129">(C721+(E721*F721*H721))-N721</f>
        <v>0</v>
      </c>
      <c r="Q721" s="23" t="s">
        <v>158</v>
      </c>
      <c r="R721" s="24">
        <f t="shared" ref="R721:R734" si="130">P721*(J721-(J721*L721)-((J721-(J721*L721))*M721))</f>
        <v>0</v>
      </c>
      <c r="S721" s="24">
        <f t="shared" si="120"/>
        <v>0</v>
      </c>
    </row>
    <row r="722" spans="1:19" s="19" customFormat="1">
      <c r="A722" s="18" t="s">
        <v>475</v>
      </c>
      <c r="B722" s="19" t="s">
        <v>18</v>
      </c>
      <c r="C722" s="20"/>
      <c r="D722" s="21" t="s">
        <v>158</v>
      </c>
      <c r="E722" s="26"/>
      <c r="F722" s="22">
        <v>12</v>
      </c>
      <c r="G722" s="23" t="s">
        <v>33</v>
      </c>
      <c r="H722" s="22">
        <v>12</v>
      </c>
      <c r="I722" s="23" t="s">
        <v>158</v>
      </c>
      <c r="J722" s="24">
        <v>13800</v>
      </c>
      <c r="K722" s="21" t="s">
        <v>158</v>
      </c>
      <c r="L722" s="25">
        <v>0.125</v>
      </c>
      <c r="M722" s="25">
        <v>0.05</v>
      </c>
      <c r="N722" s="22"/>
      <c r="O722" s="23" t="s">
        <v>158</v>
      </c>
      <c r="P722" s="20">
        <f t="shared" si="129"/>
        <v>0</v>
      </c>
      <c r="Q722" s="23" t="s">
        <v>158</v>
      </c>
      <c r="R722" s="24">
        <f t="shared" si="130"/>
        <v>0</v>
      </c>
      <c r="S722" s="8">
        <f t="shared" si="120"/>
        <v>0</v>
      </c>
    </row>
    <row r="723" spans="1:19" s="19" customFormat="1">
      <c r="A723" s="18" t="s">
        <v>476</v>
      </c>
      <c r="B723" s="19" t="s">
        <v>18</v>
      </c>
      <c r="C723" s="20"/>
      <c r="D723" s="21" t="s">
        <v>158</v>
      </c>
      <c r="E723" s="26"/>
      <c r="F723" s="22">
        <v>12</v>
      </c>
      <c r="G723" s="23" t="s">
        <v>33</v>
      </c>
      <c r="H723" s="22">
        <v>12</v>
      </c>
      <c r="I723" s="23" t="s">
        <v>158</v>
      </c>
      <c r="J723" s="24">
        <v>10600</v>
      </c>
      <c r="K723" s="21" t="s">
        <v>158</v>
      </c>
      <c r="L723" s="25">
        <v>0.125</v>
      </c>
      <c r="M723" s="25">
        <v>0.05</v>
      </c>
      <c r="N723" s="22"/>
      <c r="O723" s="23" t="s">
        <v>158</v>
      </c>
      <c r="P723" s="20">
        <f t="shared" si="129"/>
        <v>0</v>
      </c>
      <c r="Q723" s="23" t="s">
        <v>158</v>
      </c>
      <c r="R723" s="24">
        <f t="shared" si="130"/>
        <v>0</v>
      </c>
      <c r="S723" s="24">
        <f t="shared" si="120"/>
        <v>0</v>
      </c>
    </row>
    <row r="724" spans="1:19" s="19" customFormat="1">
      <c r="A724" s="18" t="s">
        <v>477</v>
      </c>
      <c r="B724" s="19" t="s">
        <v>18</v>
      </c>
      <c r="C724" s="20"/>
      <c r="D724" s="21" t="s">
        <v>158</v>
      </c>
      <c r="E724" s="26"/>
      <c r="F724" s="22">
        <v>12</v>
      </c>
      <c r="G724" s="23" t="s">
        <v>33</v>
      </c>
      <c r="H724" s="22">
        <v>6</v>
      </c>
      <c r="I724" s="23" t="s">
        <v>158</v>
      </c>
      <c r="J724" s="24">
        <v>21200</v>
      </c>
      <c r="K724" s="21" t="s">
        <v>158</v>
      </c>
      <c r="L724" s="25">
        <v>0.125</v>
      </c>
      <c r="M724" s="25">
        <v>0.05</v>
      </c>
      <c r="N724" s="22"/>
      <c r="O724" s="23" t="s">
        <v>158</v>
      </c>
      <c r="P724" s="20">
        <f t="shared" si="129"/>
        <v>0</v>
      </c>
      <c r="Q724" s="23" t="s">
        <v>158</v>
      </c>
      <c r="R724" s="24">
        <f t="shared" si="130"/>
        <v>0</v>
      </c>
      <c r="S724" s="8">
        <f t="shared" si="120"/>
        <v>0</v>
      </c>
    </row>
    <row r="725" spans="1:19" s="19" customFormat="1">
      <c r="A725" s="18" t="s">
        <v>478</v>
      </c>
      <c r="B725" s="19" t="s">
        <v>18</v>
      </c>
      <c r="C725" s="20"/>
      <c r="D725" s="21" t="s">
        <v>158</v>
      </c>
      <c r="E725" s="26"/>
      <c r="F725" s="22">
        <v>8</v>
      </c>
      <c r="G725" s="23" t="s">
        <v>33</v>
      </c>
      <c r="H725" s="22">
        <v>6</v>
      </c>
      <c r="I725" s="23" t="s">
        <v>158</v>
      </c>
      <c r="J725" s="24">
        <v>35000</v>
      </c>
      <c r="K725" s="21" t="s">
        <v>158</v>
      </c>
      <c r="L725" s="25">
        <v>0.125</v>
      </c>
      <c r="M725" s="25">
        <v>0.05</v>
      </c>
      <c r="N725" s="22"/>
      <c r="O725" s="23" t="s">
        <v>158</v>
      </c>
      <c r="P725" s="20">
        <f t="shared" si="129"/>
        <v>0</v>
      </c>
      <c r="Q725" s="23" t="s">
        <v>158</v>
      </c>
      <c r="R725" s="24">
        <f t="shared" si="130"/>
        <v>0</v>
      </c>
      <c r="S725" s="8">
        <f t="shared" si="120"/>
        <v>0</v>
      </c>
    </row>
    <row r="726" spans="1:19" s="19" customFormat="1">
      <c r="A726" s="18" t="s">
        <v>479</v>
      </c>
      <c r="B726" s="19" t="s">
        <v>18</v>
      </c>
      <c r="C726" s="20"/>
      <c r="D726" s="21" t="s">
        <v>158</v>
      </c>
      <c r="E726" s="26"/>
      <c r="F726" s="22">
        <v>12</v>
      </c>
      <c r="G726" s="23" t="s">
        <v>33</v>
      </c>
      <c r="H726" s="22">
        <v>12</v>
      </c>
      <c r="I726" s="23" t="s">
        <v>158</v>
      </c>
      <c r="J726" s="24">
        <v>9600</v>
      </c>
      <c r="K726" s="21" t="s">
        <v>158</v>
      </c>
      <c r="L726" s="25">
        <v>0.125</v>
      </c>
      <c r="M726" s="25">
        <v>0.05</v>
      </c>
      <c r="N726" s="22"/>
      <c r="O726" s="23" t="s">
        <v>158</v>
      </c>
      <c r="P726" s="20">
        <f t="shared" si="129"/>
        <v>0</v>
      </c>
      <c r="Q726" s="23" t="s">
        <v>158</v>
      </c>
      <c r="R726" s="24">
        <f t="shared" si="130"/>
        <v>0</v>
      </c>
      <c r="S726" s="24">
        <f t="shared" si="120"/>
        <v>0</v>
      </c>
    </row>
    <row r="727" spans="1:19">
      <c r="A727" s="17" t="s">
        <v>480</v>
      </c>
      <c r="B727" s="2" t="s">
        <v>18</v>
      </c>
      <c r="D727" s="4" t="s">
        <v>158</v>
      </c>
      <c r="F727" s="6">
        <v>12</v>
      </c>
      <c r="G727" s="7" t="s">
        <v>33</v>
      </c>
      <c r="H727" s="6">
        <v>6</v>
      </c>
      <c r="I727" s="7" t="s">
        <v>158</v>
      </c>
      <c r="J727" s="8">
        <v>19200</v>
      </c>
      <c r="K727" s="4" t="s">
        <v>158</v>
      </c>
      <c r="L727" s="9">
        <v>0.125</v>
      </c>
      <c r="M727" s="9">
        <v>0.05</v>
      </c>
      <c r="O727" s="7" t="s">
        <v>158</v>
      </c>
      <c r="P727" s="3">
        <f t="shared" si="129"/>
        <v>0</v>
      </c>
      <c r="Q727" s="7" t="s">
        <v>158</v>
      </c>
      <c r="R727" s="8">
        <f t="shared" si="130"/>
        <v>0</v>
      </c>
      <c r="S727" s="8">
        <f t="shared" si="120"/>
        <v>0</v>
      </c>
    </row>
    <row r="728" spans="1:19">
      <c r="A728" s="17" t="s">
        <v>481</v>
      </c>
      <c r="B728" s="2" t="s">
        <v>18</v>
      </c>
      <c r="D728" s="4" t="s">
        <v>158</v>
      </c>
      <c r="F728" s="6">
        <v>12</v>
      </c>
      <c r="G728" s="7" t="s">
        <v>33</v>
      </c>
      <c r="H728" s="6">
        <v>24</v>
      </c>
      <c r="I728" s="7" t="s">
        <v>158</v>
      </c>
      <c r="J728" s="8">
        <v>5800</v>
      </c>
      <c r="K728" s="4" t="s">
        <v>158</v>
      </c>
      <c r="L728" s="9">
        <v>0.125</v>
      </c>
      <c r="M728" s="9">
        <v>0.05</v>
      </c>
      <c r="O728" s="7" t="s">
        <v>158</v>
      </c>
      <c r="P728" s="3">
        <f t="shared" si="129"/>
        <v>0</v>
      </c>
      <c r="Q728" s="7" t="s">
        <v>158</v>
      </c>
      <c r="R728" s="8">
        <f t="shared" si="130"/>
        <v>0</v>
      </c>
      <c r="S728" s="8">
        <f t="shared" si="120"/>
        <v>0</v>
      </c>
    </row>
    <row r="729" spans="1:19" s="19" customFormat="1">
      <c r="A729" s="18" t="s">
        <v>482</v>
      </c>
      <c r="B729" s="19" t="s">
        <v>18</v>
      </c>
      <c r="C729" s="20"/>
      <c r="D729" s="21" t="s">
        <v>158</v>
      </c>
      <c r="E729" s="26"/>
      <c r="F729" s="22">
        <v>12</v>
      </c>
      <c r="G729" s="23" t="s">
        <v>33</v>
      </c>
      <c r="H729" s="22">
        <v>12</v>
      </c>
      <c r="I729" s="23" t="s">
        <v>158</v>
      </c>
      <c r="J729" s="24">
        <v>8400</v>
      </c>
      <c r="K729" s="21" t="s">
        <v>158</v>
      </c>
      <c r="L729" s="25">
        <v>0.125</v>
      </c>
      <c r="M729" s="25">
        <v>0.05</v>
      </c>
      <c r="N729" s="22"/>
      <c r="O729" s="23" t="s">
        <v>158</v>
      </c>
      <c r="P729" s="20">
        <f t="shared" si="129"/>
        <v>0</v>
      </c>
      <c r="Q729" s="23" t="s">
        <v>158</v>
      </c>
      <c r="R729" s="24">
        <f t="shared" si="130"/>
        <v>0</v>
      </c>
      <c r="S729" s="8">
        <f t="shared" si="120"/>
        <v>0</v>
      </c>
    </row>
    <row r="730" spans="1:19" s="19" customFormat="1">
      <c r="A730" s="18" t="s">
        <v>837</v>
      </c>
      <c r="B730" s="19" t="s">
        <v>18</v>
      </c>
      <c r="C730" s="20"/>
      <c r="D730" s="21" t="s">
        <v>158</v>
      </c>
      <c r="E730" s="26"/>
      <c r="F730" s="22">
        <v>12</v>
      </c>
      <c r="G730" s="23" t="s">
        <v>33</v>
      </c>
      <c r="H730" s="22">
        <v>6</v>
      </c>
      <c r="I730" s="23" t="s">
        <v>158</v>
      </c>
      <c r="J730" s="24">
        <v>16800</v>
      </c>
      <c r="K730" s="21" t="s">
        <v>158</v>
      </c>
      <c r="L730" s="25">
        <v>0.125</v>
      </c>
      <c r="M730" s="25">
        <v>0.05</v>
      </c>
      <c r="N730" s="22"/>
      <c r="O730" s="23" t="s">
        <v>158</v>
      </c>
      <c r="P730" s="20">
        <f t="shared" si="129"/>
        <v>0</v>
      </c>
      <c r="Q730" s="23" t="s">
        <v>158</v>
      </c>
      <c r="R730" s="24">
        <f t="shared" si="130"/>
        <v>0</v>
      </c>
      <c r="S730" s="8">
        <f t="shared" si="120"/>
        <v>0</v>
      </c>
    </row>
    <row r="731" spans="1:19" s="19" customFormat="1">
      <c r="A731" s="18" t="s">
        <v>483</v>
      </c>
      <c r="B731" s="19" t="s">
        <v>18</v>
      </c>
      <c r="C731" s="20"/>
      <c r="D731" s="21" t="s">
        <v>158</v>
      </c>
      <c r="E731" s="26"/>
      <c r="F731" s="22">
        <v>12</v>
      </c>
      <c r="G731" s="23" t="s">
        <v>33</v>
      </c>
      <c r="H731" s="22">
        <v>12</v>
      </c>
      <c r="I731" s="23" t="s">
        <v>158</v>
      </c>
      <c r="J731" s="24">
        <v>11000</v>
      </c>
      <c r="K731" s="21" t="s">
        <v>158</v>
      </c>
      <c r="L731" s="25">
        <v>0.125</v>
      </c>
      <c r="M731" s="25">
        <v>0.05</v>
      </c>
      <c r="N731" s="22"/>
      <c r="O731" s="23" t="s">
        <v>158</v>
      </c>
      <c r="P731" s="20">
        <f t="shared" si="129"/>
        <v>0</v>
      </c>
      <c r="Q731" s="23" t="s">
        <v>158</v>
      </c>
      <c r="R731" s="24">
        <f t="shared" si="130"/>
        <v>0</v>
      </c>
      <c r="S731" s="8">
        <f t="shared" si="120"/>
        <v>0</v>
      </c>
    </row>
    <row r="732" spans="1:19" s="19" customFormat="1">
      <c r="A732" s="18" t="s">
        <v>484</v>
      </c>
      <c r="B732" s="19" t="s">
        <v>18</v>
      </c>
      <c r="C732" s="20"/>
      <c r="D732" s="21" t="s">
        <v>158</v>
      </c>
      <c r="E732" s="26"/>
      <c r="F732" s="22">
        <v>12</v>
      </c>
      <c r="G732" s="23" t="s">
        <v>33</v>
      </c>
      <c r="H732" s="22">
        <v>24</v>
      </c>
      <c r="I732" s="23" t="s">
        <v>158</v>
      </c>
      <c r="J732" s="24">
        <v>5400</v>
      </c>
      <c r="K732" s="21" t="s">
        <v>158</v>
      </c>
      <c r="L732" s="25">
        <v>0.125</v>
      </c>
      <c r="M732" s="25">
        <v>0.05</v>
      </c>
      <c r="N732" s="22"/>
      <c r="O732" s="23" t="s">
        <v>158</v>
      </c>
      <c r="P732" s="20">
        <f t="shared" si="129"/>
        <v>0</v>
      </c>
      <c r="Q732" s="23" t="s">
        <v>158</v>
      </c>
      <c r="R732" s="24">
        <f t="shared" si="130"/>
        <v>0</v>
      </c>
      <c r="S732" s="8">
        <f t="shared" si="120"/>
        <v>0</v>
      </c>
    </row>
    <row r="733" spans="1:19" s="19" customFormat="1">
      <c r="A733" s="18" t="s">
        <v>485</v>
      </c>
      <c r="B733" s="19" t="s">
        <v>18</v>
      </c>
      <c r="C733" s="20"/>
      <c r="D733" s="21" t="s">
        <v>158</v>
      </c>
      <c r="E733" s="26"/>
      <c r="F733" s="22">
        <v>12</v>
      </c>
      <c r="G733" s="23" t="s">
        <v>33</v>
      </c>
      <c r="H733" s="22">
        <v>12</v>
      </c>
      <c r="I733" s="23" t="s">
        <v>158</v>
      </c>
      <c r="J733" s="24">
        <v>16900</v>
      </c>
      <c r="K733" s="21" t="s">
        <v>158</v>
      </c>
      <c r="L733" s="25">
        <v>0.125</v>
      </c>
      <c r="M733" s="25">
        <v>0.05</v>
      </c>
      <c r="N733" s="22"/>
      <c r="O733" s="23" t="s">
        <v>158</v>
      </c>
      <c r="P733" s="20">
        <f t="shared" si="129"/>
        <v>0</v>
      </c>
      <c r="Q733" s="23" t="s">
        <v>158</v>
      </c>
      <c r="R733" s="24">
        <f t="shared" si="130"/>
        <v>0</v>
      </c>
      <c r="S733" s="8">
        <f t="shared" si="120"/>
        <v>0</v>
      </c>
    </row>
    <row r="734" spans="1:19" s="19" customFormat="1">
      <c r="A734" s="18" t="s">
        <v>486</v>
      </c>
      <c r="B734" s="19" t="s">
        <v>18</v>
      </c>
      <c r="C734" s="20"/>
      <c r="D734" s="21" t="s">
        <v>158</v>
      </c>
      <c r="E734" s="26"/>
      <c r="F734" s="22">
        <v>12</v>
      </c>
      <c r="G734" s="23" t="s">
        <v>33</v>
      </c>
      <c r="H734" s="22">
        <v>6</v>
      </c>
      <c r="I734" s="23" t="s">
        <v>158</v>
      </c>
      <c r="J734" s="24">
        <v>33800</v>
      </c>
      <c r="K734" s="21" t="s">
        <v>158</v>
      </c>
      <c r="L734" s="25">
        <v>0.125</v>
      </c>
      <c r="M734" s="25">
        <v>0.05</v>
      </c>
      <c r="N734" s="22"/>
      <c r="O734" s="23" t="s">
        <v>158</v>
      </c>
      <c r="P734" s="20">
        <f t="shared" si="129"/>
        <v>0</v>
      </c>
      <c r="Q734" s="23" t="s">
        <v>158</v>
      </c>
      <c r="R734" s="24">
        <f t="shared" si="130"/>
        <v>0</v>
      </c>
      <c r="S734" s="8">
        <f t="shared" si="120"/>
        <v>0</v>
      </c>
    </row>
    <row r="735" spans="1:19" s="19" customFormat="1">
      <c r="A735" s="18"/>
      <c r="C735" s="20"/>
      <c r="D735" s="21"/>
      <c r="E735" s="26"/>
      <c r="F735" s="22"/>
      <c r="G735" s="23"/>
      <c r="H735" s="22"/>
      <c r="I735" s="23"/>
      <c r="J735" s="24"/>
      <c r="K735" s="21"/>
      <c r="L735" s="25"/>
      <c r="M735" s="25"/>
      <c r="N735" s="22"/>
      <c r="O735" s="23"/>
      <c r="P735" s="20"/>
      <c r="Q735" s="23"/>
      <c r="R735" s="24"/>
      <c r="S735" s="8"/>
    </row>
    <row r="736" spans="1:19" s="19" customFormat="1">
      <c r="A736" s="18" t="s">
        <v>487</v>
      </c>
      <c r="B736" s="19" t="s">
        <v>25</v>
      </c>
      <c r="C736" s="20"/>
      <c r="D736" s="21" t="s">
        <v>42</v>
      </c>
      <c r="E736" s="26">
        <v>1</v>
      </c>
      <c r="F736" s="22">
        <v>24</v>
      </c>
      <c r="G736" s="23" t="s">
        <v>33</v>
      </c>
      <c r="H736" s="22">
        <v>2</v>
      </c>
      <c r="I736" s="23" t="s">
        <v>42</v>
      </c>
      <c r="J736" s="24">
        <f>3801600/24/2</f>
        <v>79200</v>
      </c>
      <c r="K736" s="21" t="s">
        <v>42</v>
      </c>
      <c r="L736" s="25"/>
      <c r="M736" s="25">
        <v>0.17</v>
      </c>
      <c r="N736" s="22"/>
      <c r="O736" s="23" t="s">
        <v>42</v>
      </c>
      <c r="P736" s="20">
        <f t="shared" ref="P736" si="131">(C736+(E736*F736*H736))-N736</f>
        <v>48</v>
      </c>
      <c r="Q736" s="23" t="s">
        <v>42</v>
      </c>
      <c r="R736" s="24">
        <f t="shared" ref="R736" si="132">P736*(J736-(J736*L736)-((J736-(J736*L736))*M736))</f>
        <v>3155328</v>
      </c>
      <c r="S736" s="24">
        <f t="shared" ref="S736" si="133">R736/1.11</f>
        <v>2842637.8378378376</v>
      </c>
    </row>
    <row r="737" spans="1:19" s="19" customFormat="1">
      <c r="A737" s="18" t="s">
        <v>488</v>
      </c>
      <c r="B737" s="19" t="s">
        <v>25</v>
      </c>
      <c r="C737" s="20"/>
      <c r="D737" s="21" t="s">
        <v>42</v>
      </c>
      <c r="E737" s="26">
        <v>7</v>
      </c>
      <c r="F737" s="22">
        <v>1</v>
      </c>
      <c r="G737" s="23" t="s">
        <v>20</v>
      </c>
      <c r="H737" s="22">
        <v>24</v>
      </c>
      <c r="I737" s="23" t="s">
        <v>42</v>
      </c>
      <c r="J737" s="24">
        <f>2980800/24</f>
        <v>124200</v>
      </c>
      <c r="K737" s="21" t="s">
        <v>42</v>
      </c>
      <c r="L737" s="25"/>
      <c r="M737" s="25">
        <v>0.17</v>
      </c>
      <c r="N737" s="22"/>
      <c r="O737" s="23" t="s">
        <v>42</v>
      </c>
      <c r="P737" s="20">
        <f t="shared" ref="P737:P747" si="134">(C737+(E737*F737*H737))-N737</f>
        <v>168</v>
      </c>
      <c r="Q737" s="23" t="s">
        <v>42</v>
      </c>
      <c r="R737" s="24">
        <f t="shared" ref="R737:R747" si="135">P737*(J737-(J737*L737)-((J737-(J737*L737))*M737))</f>
        <v>17318448</v>
      </c>
      <c r="S737" s="24">
        <f t="shared" si="120"/>
        <v>15602205.405405404</v>
      </c>
    </row>
    <row r="738" spans="1:19">
      <c r="A738" s="17" t="s">
        <v>489</v>
      </c>
      <c r="B738" s="2" t="s">
        <v>25</v>
      </c>
      <c r="D738" s="4" t="s">
        <v>42</v>
      </c>
      <c r="F738" s="6">
        <v>1</v>
      </c>
      <c r="G738" s="7" t="s">
        <v>20</v>
      </c>
      <c r="H738" s="6">
        <v>12</v>
      </c>
      <c r="I738" s="7" t="s">
        <v>42</v>
      </c>
      <c r="J738" s="8">
        <f>2980800/12</f>
        <v>248400</v>
      </c>
      <c r="K738" s="4" t="s">
        <v>42</v>
      </c>
      <c r="M738" s="9">
        <v>0.17</v>
      </c>
      <c r="O738" s="7" t="s">
        <v>42</v>
      </c>
      <c r="P738" s="3">
        <f t="shared" si="134"/>
        <v>0</v>
      </c>
      <c r="Q738" s="7" t="s">
        <v>42</v>
      </c>
      <c r="R738" s="8">
        <f t="shared" si="135"/>
        <v>0</v>
      </c>
      <c r="S738" s="8">
        <f t="shared" si="120"/>
        <v>0</v>
      </c>
    </row>
    <row r="739" spans="1:19">
      <c r="A739" s="17" t="s">
        <v>686</v>
      </c>
      <c r="B739" s="2" t="s">
        <v>25</v>
      </c>
      <c r="D739" s="4" t="s">
        <v>158</v>
      </c>
      <c r="F739" s="6">
        <v>20</v>
      </c>
      <c r="G739" s="7" t="s">
        <v>33</v>
      </c>
      <c r="H739" s="6">
        <v>4</v>
      </c>
      <c r="I739" s="7" t="s">
        <v>158</v>
      </c>
      <c r="J739" s="8">
        <f>2640000/20/4</f>
        <v>33000</v>
      </c>
      <c r="K739" s="4" t="s">
        <v>158</v>
      </c>
      <c r="M739" s="9">
        <v>0.17</v>
      </c>
      <c r="O739" s="7" t="s">
        <v>158</v>
      </c>
      <c r="P739" s="3">
        <f t="shared" si="134"/>
        <v>0</v>
      </c>
      <c r="Q739" s="7" t="s">
        <v>158</v>
      </c>
      <c r="R739" s="8">
        <f t="shared" si="135"/>
        <v>0</v>
      </c>
      <c r="S739" s="8">
        <f>R739/1.11</f>
        <v>0</v>
      </c>
    </row>
    <row r="740" spans="1:19">
      <c r="A740" s="17" t="s">
        <v>490</v>
      </c>
      <c r="B740" s="2" t="s">
        <v>25</v>
      </c>
      <c r="D740" s="4" t="s">
        <v>42</v>
      </c>
      <c r="F740" s="6">
        <v>1</v>
      </c>
      <c r="G740" s="7" t="s">
        <v>20</v>
      </c>
      <c r="H740" s="6">
        <v>24</v>
      </c>
      <c r="I740" s="7" t="s">
        <v>42</v>
      </c>
      <c r="J740" s="8">
        <f>2448000/24</f>
        <v>102000</v>
      </c>
      <c r="K740" s="4" t="s">
        <v>42</v>
      </c>
      <c r="M740" s="9">
        <v>0.17</v>
      </c>
      <c r="O740" s="7" t="s">
        <v>42</v>
      </c>
      <c r="P740" s="3">
        <f t="shared" si="134"/>
        <v>0</v>
      </c>
      <c r="Q740" s="7" t="s">
        <v>42</v>
      </c>
      <c r="R740" s="8">
        <f t="shared" si="135"/>
        <v>0</v>
      </c>
      <c r="S740" s="8">
        <f t="shared" si="120"/>
        <v>0</v>
      </c>
    </row>
    <row r="741" spans="1:19">
      <c r="A741" s="17" t="s">
        <v>491</v>
      </c>
      <c r="B741" s="2" t="s">
        <v>25</v>
      </c>
      <c r="D741" s="4" t="s">
        <v>42</v>
      </c>
      <c r="F741" s="6">
        <v>1</v>
      </c>
      <c r="G741" s="7" t="s">
        <v>20</v>
      </c>
      <c r="H741" s="6">
        <v>16</v>
      </c>
      <c r="I741" s="7" t="s">
        <v>42</v>
      </c>
      <c r="J741" s="8">
        <f>1824000/16</f>
        <v>114000</v>
      </c>
      <c r="K741" s="4" t="s">
        <v>42</v>
      </c>
      <c r="M741" s="9">
        <v>0.17</v>
      </c>
      <c r="O741" s="7" t="s">
        <v>42</v>
      </c>
      <c r="P741" s="3">
        <f t="shared" si="134"/>
        <v>0</v>
      </c>
      <c r="Q741" s="7" t="s">
        <v>42</v>
      </c>
      <c r="R741" s="8">
        <f t="shared" si="135"/>
        <v>0</v>
      </c>
      <c r="S741" s="8">
        <f t="shared" si="120"/>
        <v>0</v>
      </c>
    </row>
    <row r="742" spans="1:19">
      <c r="A742" s="17" t="s">
        <v>689</v>
      </c>
      <c r="B742" s="2" t="s">
        <v>25</v>
      </c>
      <c r="D742" s="4" t="s">
        <v>158</v>
      </c>
      <c r="F742" s="6">
        <v>24</v>
      </c>
      <c r="G742" s="7" t="s">
        <v>33</v>
      </c>
      <c r="H742" s="6">
        <v>6</v>
      </c>
      <c r="I742" s="7" t="s">
        <v>158</v>
      </c>
      <c r="J742" s="8">
        <f>2448000/24/6</f>
        <v>17000</v>
      </c>
      <c r="K742" s="4" t="s">
        <v>158</v>
      </c>
      <c r="M742" s="9">
        <v>0.17</v>
      </c>
      <c r="O742" s="7" t="s">
        <v>158</v>
      </c>
      <c r="P742" s="3">
        <f t="shared" si="134"/>
        <v>0</v>
      </c>
      <c r="Q742" s="7" t="s">
        <v>158</v>
      </c>
      <c r="R742" s="8">
        <f t="shared" si="135"/>
        <v>0</v>
      </c>
      <c r="S742" s="8">
        <f t="shared" si="120"/>
        <v>0</v>
      </c>
    </row>
    <row r="743" spans="1:19">
      <c r="A743" s="17" t="s">
        <v>492</v>
      </c>
      <c r="B743" s="2" t="s">
        <v>25</v>
      </c>
      <c r="D743" s="4" t="s">
        <v>158</v>
      </c>
      <c r="E743" s="5">
        <v>1</v>
      </c>
      <c r="F743" s="6">
        <v>10</v>
      </c>
      <c r="G743" s="7" t="s">
        <v>42</v>
      </c>
      <c r="H743" s="6">
        <v>12</v>
      </c>
      <c r="I743" s="7" t="s">
        <v>158</v>
      </c>
      <c r="J743" s="8">
        <f>2040000/10/12</f>
        <v>17000</v>
      </c>
      <c r="K743" s="4" t="s">
        <v>158</v>
      </c>
      <c r="M743" s="9">
        <v>0.17</v>
      </c>
      <c r="O743" s="7" t="s">
        <v>158</v>
      </c>
      <c r="P743" s="3">
        <f t="shared" si="134"/>
        <v>120</v>
      </c>
      <c r="Q743" s="7" t="s">
        <v>158</v>
      </c>
      <c r="R743" s="8">
        <f t="shared" si="135"/>
        <v>1693200</v>
      </c>
      <c r="S743" s="8">
        <f t="shared" si="120"/>
        <v>1525405.4054054052</v>
      </c>
    </row>
    <row r="744" spans="1:19">
      <c r="A744" s="17" t="s">
        <v>493</v>
      </c>
      <c r="B744" s="2" t="s">
        <v>25</v>
      </c>
      <c r="D744" s="4" t="s">
        <v>158</v>
      </c>
      <c r="F744" s="6">
        <v>10</v>
      </c>
      <c r="G744" s="7" t="s">
        <v>33</v>
      </c>
      <c r="H744" s="6">
        <v>6</v>
      </c>
      <c r="I744" s="7" t="s">
        <v>158</v>
      </c>
      <c r="J744" s="8">
        <f>2040000/10/6</f>
        <v>34000</v>
      </c>
      <c r="K744" s="4" t="s">
        <v>158</v>
      </c>
      <c r="M744" s="9">
        <v>0.17</v>
      </c>
      <c r="O744" s="7" t="s">
        <v>158</v>
      </c>
      <c r="P744" s="3">
        <f t="shared" si="134"/>
        <v>0</v>
      </c>
      <c r="Q744" s="7" t="s">
        <v>158</v>
      </c>
      <c r="R744" s="8">
        <f t="shared" si="135"/>
        <v>0</v>
      </c>
      <c r="S744" s="8">
        <f t="shared" si="120"/>
        <v>0</v>
      </c>
    </row>
    <row r="745" spans="1:19" s="19" customFormat="1">
      <c r="A745" s="18" t="s">
        <v>494</v>
      </c>
      <c r="B745" s="19" t="s">
        <v>25</v>
      </c>
      <c r="C745" s="20"/>
      <c r="D745" s="21" t="s">
        <v>158</v>
      </c>
      <c r="E745" s="26"/>
      <c r="F745" s="22">
        <v>24</v>
      </c>
      <c r="G745" s="23" t="s">
        <v>42</v>
      </c>
      <c r="H745" s="22">
        <v>12</v>
      </c>
      <c r="I745" s="23" t="s">
        <v>158</v>
      </c>
      <c r="J745" s="24">
        <f>3571200/24/12</f>
        <v>12400</v>
      </c>
      <c r="K745" s="21" t="s">
        <v>158</v>
      </c>
      <c r="L745" s="25"/>
      <c r="M745" s="25">
        <v>0.17</v>
      </c>
      <c r="N745" s="22"/>
      <c r="O745" s="23" t="s">
        <v>158</v>
      </c>
      <c r="P745" s="20">
        <f t="shared" si="134"/>
        <v>0</v>
      </c>
      <c r="Q745" s="23" t="s">
        <v>158</v>
      </c>
      <c r="R745" s="24">
        <f t="shared" si="135"/>
        <v>0</v>
      </c>
      <c r="S745" s="8">
        <f t="shared" si="120"/>
        <v>0</v>
      </c>
    </row>
    <row r="746" spans="1:19" s="19" customFormat="1">
      <c r="A746" s="18" t="s">
        <v>495</v>
      </c>
      <c r="B746" s="19" t="s">
        <v>25</v>
      </c>
      <c r="C746" s="20"/>
      <c r="D746" s="21" t="s">
        <v>158</v>
      </c>
      <c r="E746" s="26"/>
      <c r="F746" s="22">
        <v>16</v>
      </c>
      <c r="G746" s="23" t="s">
        <v>42</v>
      </c>
      <c r="H746" s="22">
        <v>12</v>
      </c>
      <c r="I746" s="23" t="s">
        <v>158</v>
      </c>
      <c r="J746" s="24">
        <f>3648000/16/12</f>
        <v>19000</v>
      </c>
      <c r="K746" s="21" t="s">
        <v>158</v>
      </c>
      <c r="L746" s="25"/>
      <c r="M746" s="25">
        <v>0.17</v>
      </c>
      <c r="N746" s="22"/>
      <c r="O746" s="23" t="s">
        <v>158</v>
      </c>
      <c r="P746" s="20">
        <f t="shared" si="134"/>
        <v>0</v>
      </c>
      <c r="Q746" s="23" t="s">
        <v>158</v>
      </c>
      <c r="R746" s="24">
        <f t="shared" si="135"/>
        <v>0</v>
      </c>
      <c r="S746" s="8">
        <f t="shared" si="120"/>
        <v>0</v>
      </c>
    </row>
    <row r="747" spans="1:19">
      <c r="A747" s="17" t="s">
        <v>496</v>
      </c>
      <c r="B747" s="2" t="s">
        <v>25</v>
      </c>
      <c r="D747" s="4" t="s">
        <v>158</v>
      </c>
      <c r="F747" s="6">
        <v>24</v>
      </c>
      <c r="G747" s="7" t="s">
        <v>33</v>
      </c>
      <c r="H747" s="6">
        <v>6</v>
      </c>
      <c r="I747" s="7" t="s">
        <v>158</v>
      </c>
      <c r="J747" s="8">
        <v>22000</v>
      </c>
      <c r="K747" s="4" t="s">
        <v>158</v>
      </c>
      <c r="M747" s="9">
        <v>0.17</v>
      </c>
      <c r="O747" s="7" t="s">
        <v>158</v>
      </c>
      <c r="P747" s="3">
        <f t="shared" si="134"/>
        <v>0</v>
      </c>
      <c r="Q747" s="7" t="s">
        <v>158</v>
      </c>
      <c r="R747" s="8">
        <f t="shared" si="135"/>
        <v>0</v>
      </c>
      <c r="S747" s="8">
        <f t="shared" si="120"/>
        <v>0</v>
      </c>
    </row>
    <row r="749" spans="1:19" ht="15.75">
      <c r="A749" s="14" t="s">
        <v>497</v>
      </c>
    </row>
    <row r="750" spans="1:19">
      <c r="A750" s="17" t="s">
        <v>498</v>
      </c>
      <c r="B750" s="2" t="s">
        <v>18</v>
      </c>
      <c r="D750" s="4" t="s">
        <v>19</v>
      </c>
      <c r="F750" s="6">
        <v>12</v>
      </c>
      <c r="G750" s="7" t="s">
        <v>33</v>
      </c>
      <c r="H750" s="6">
        <v>24</v>
      </c>
      <c r="I750" s="7" t="s">
        <v>19</v>
      </c>
      <c r="J750" s="8">
        <v>3550</v>
      </c>
      <c r="K750" s="4" t="s">
        <v>19</v>
      </c>
      <c r="L750" s="9">
        <v>0.125</v>
      </c>
      <c r="M750" s="9">
        <v>0.05</v>
      </c>
      <c r="O750" s="7" t="s">
        <v>19</v>
      </c>
      <c r="P750" s="3">
        <f>(C750+(E750*F750*H750))-N750</f>
        <v>0</v>
      </c>
      <c r="Q750" s="7" t="s">
        <v>19</v>
      </c>
      <c r="R750" s="8">
        <f>P750*(J750-(J750*L750)-((J750-(J750*L750))*M750))</f>
        <v>0</v>
      </c>
      <c r="S750" s="8">
        <f t="shared" si="120"/>
        <v>0</v>
      </c>
    </row>
    <row r="751" spans="1:19">
      <c r="A751" s="17" t="s">
        <v>499</v>
      </c>
      <c r="B751" s="2" t="s">
        <v>18</v>
      </c>
      <c r="D751" s="4" t="s">
        <v>19</v>
      </c>
      <c r="F751" s="6">
        <v>1</v>
      </c>
      <c r="G751" s="7" t="s">
        <v>20</v>
      </c>
      <c r="H751" s="6">
        <v>288</v>
      </c>
      <c r="I751" s="7" t="s">
        <v>19</v>
      </c>
      <c r="J751" s="8">
        <v>3550</v>
      </c>
      <c r="K751" s="4" t="s">
        <v>19</v>
      </c>
      <c r="L751" s="9">
        <v>0.125</v>
      </c>
      <c r="M751" s="9">
        <v>0.05</v>
      </c>
      <c r="O751" s="7" t="s">
        <v>19</v>
      </c>
      <c r="P751" s="3">
        <f>(C751+(E751*F751*H751))-N751</f>
        <v>0</v>
      </c>
      <c r="Q751" s="7" t="s">
        <v>19</v>
      </c>
      <c r="R751" s="8">
        <f>P751*(J751-(J751*L751)-((J751-(J751*L751))*M751))</f>
        <v>0</v>
      </c>
      <c r="S751" s="8">
        <f t="shared" si="120"/>
        <v>0</v>
      </c>
    </row>
    <row r="752" spans="1:19" s="19" customFormat="1">
      <c r="A752" s="18" t="s">
        <v>500</v>
      </c>
      <c r="B752" s="19" t="s">
        <v>18</v>
      </c>
      <c r="C752" s="20"/>
      <c r="D752" s="21" t="s">
        <v>19</v>
      </c>
      <c r="E752" s="26">
        <v>3</v>
      </c>
      <c r="F752" s="22">
        <v>1</v>
      </c>
      <c r="G752" s="23" t="s">
        <v>20</v>
      </c>
      <c r="H752" s="22">
        <v>288</v>
      </c>
      <c r="I752" s="23" t="s">
        <v>19</v>
      </c>
      <c r="J752" s="24">
        <v>4800</v>
      </c>
      <c r="K752" s="21" t="s">
        <v>19</v>
      </c>
      <c r="L752" s="25">
        <v>0.125</v>
      </c>
      <c r="M752" s="25">
        <v>0.05</v>
      </c>
      <c r="N752" s="22"/>
      <c r="O752" s="23" t="s">
        <v>19</v>
      </c>
      <c r="P752" s="20">
        <f>(C752+(E752*F752*H752))-N752</f>
        <v>864</v>
      </c>
      <c r="Q752" s="23" t="s">
        <v>19</v>
      </c>
      <c r="R752" s="24">
        <f>P752*(J752-(J752*L752)-((J752-(J752*L752))*M752))</f>
        <v>3447360</v>
      </c>
      <c r="S752" s="24">
        <f t="shared" si="120"/>
        <v>3105729.7297297292</v>
      </c>
    </row>
    <row r="753" spans="1:19" s="19" customFormat="1">
      <c r="A753" s="18"/>
      <c r="C753" s="20"/>
      <c r="D753" s="21"/>
      <c r="E753" s="26"/>
      <c r="F753" s="22"/>
      <c r="G753" s="23"/>
      <c r="H753" s="22"/>
      <c r="I753" s="23"/>
      <c r="J753" s="24"/>
      <c r="K753" s="21"/>
      <c r="L753" s="25"/>
      <c r="M753" s="25"/>
      <c r="N753" s="22"/>
      <c r="O753" s="23"/>
      <c r="P753" s="20"/>
      <c r="Q753" s="23"/>
      <c r="R753" s="24"/>
      <c r="S753" s="24"/>
    </row>
    <row r="754" spans="1:19" s="19" customFormat="1">
      <c r="A754" s="18" t="s">
        <v>501</v>
      </c>
      <c r="B754" s="19" t="s">
        <v>25</v>
      </c>
      <c r="C754" s="20"/>
      <c r="D754" s="21" t="s">
        <v>42</v>
      </c>
      <c r="E754" s="26"/>
      <c r="F754" s="22">
        <v>1</v>
      </c>
      <c r="G754" s="23" t="s">
        <v>20</v>
      </c>
      <c r="H754" s="22">
        <v>24</v>
      </c>
      <c r="I754" s="23" t="s">
        <v>42</v>
      </c>
      <c r="J754" s="24">
        <f>1497600/24</f>
        <v>62400</v>
      </c>
      <c r="K754" s="21" t="s">
        <v>42</v>
      </c>
      <c r="L754" s="25"/>
      <c r="M754" s="25">
        <v>0.17</v>
      </c>
      <c r="N754" s="22"/>
      <c r="O754" s="23" t="s">
        <v>42</v>
      </c>
      <c r="P754" s="20">
        <f>(C754+(E754*F754*H754))-N754</f>
        <v>0</v>
      </c>
      <c r="Q754" s="23" t="s">
        <v>42</v>
      </c>
      <c r="R754" s="24">
        <f>P754*(J754-(J754*L754)-((J754-(J754*L754))*M754))</f>
        <v>0</v>
      </c>
      <c r="S754" s="24">
        <f t="shared" si="120"/>
        <v>0</v>
      </c>
    </row>
    <row r="755" spans="1:19" s="19" customFormat="1">
      <c r="A755" s="18"/>
      <c r="C755" s="20"/>
      <c r="D755" s="21"/>
      <c r="E755" s="26"/>
      <c r="F755" s="22"/>
      <c r="G755" s="23"/>
      <c r="H755" s="22"/>
      <c r="I755" s="23"/>
      <c r="J755" s="24"/>
      <c r="K755" s="21"/>
      <c r="L755" s="25"/>
      <c r="M755" s="25"/>
      <c r="N755" s="22"/>
      <c r="O755" s="23"/>
      <c r="P755" s="20"/>
      <c r="Q755" s="23"/>
      <c r="R755" s="24"/>
      <c r="S755" s="8"/>
    </row>
    <row r="756" spans="1:19">
      <c r="A756" s="68" t="s">
        <v>502</v>
      </c>
      <c r="B756" s="2" t="s">
        <v>178</v>
      </c>
      <c r="D756" s="4" t="s">
        <v>19</v>
      </c>
      <c r="F756" s="6">
        <v>1</v>
      </c>
      <c r="G756" s="7" t="s">
        <v>20</v>
      </c>
      <c r="H756" s="6">
        <v>120</v>
      </c>
      <c r="I756" s="7" t="s">
        <v>19</v>
      </c>
      <c r="J756" s="8">
        <v>11500</v>
      </c>
      <c r="K756" s="4" t="s">
        <v>19</v>
      </c>
      <c r="O756" s="7" t="s">
        <v>19</v>
      </c>
      <c r="P756" s="3">
        <f t="shared" ref="P756:P761" si="136">(C756+(E756*F756*H756))-N756</f>
        <v>0</v>
      </c>
      <c r="Q756" s="7" t="s">
        <v>19</v>
      </c>
      <c r="R756" s="8">
        <f t="shared" ref="R756:R761" si="137">P756*(J756-(J756*L756)-((J756-(J756*L756))*M756))</f>
        <v>0</v>
      </c>
      <c r="S756" s="8">
        <f t="shared" si="120"/>
        <v>0</v>
      </c>
    </row>
    <row r="757" spans="1:19">
      <c r="A757" s="68" t="s">
        <v>748</v>
      </c>
      <c r="B757" s="2" t="s">
        <v>178</v>
      </c>
      <c r="D757" s="4" t="s">
        <v>19</v>
      </c>
      <c r="F757" s="6">
        <v>1</v>
      </c>
      <c r="G757" s="7" t="s">
        <v>20</v>
      </c>
      <c r="H757" s="6">
        <v>100</v>
      </c>
      <c r="I757" s="7" t="s">
        <v>19</v>
      </c>
      <c r="J757" s="8">
        <v>13500</v>
      </c>
      <c r="K757" s="4" t="s">
        <v>19</v>
      </c>
      <c r="L757" s="9">
        <v>0.05</v>
      </c>
      <c r="O757" s="7" t="s">
        <v>19</v>
      </c>
      <c r="P757" s="3">
        <f t="shared" si="136"/>
        <v>0</v>
      </c>
      <c r="Q757" s="7" t="s">
        <v>19</v>
      </c>
      <c r="R757" s="8">
        <f t="shared" si="137"/>
        <v>0</v>
      </c>
      <c r="S757" s="8">
        <f t="shared" si="120"/>
        <v>0</v>
      </c>
    </row>
    <row r="758" spans="1:19">
      <c r="A758" s="68" t="s">
        <v>503</v>
      </c>
      <c r="B758" s="2" t="s">
        <v>178</v>
      </c>
      <c r="D758" s="4" t="s">
        <v>19</v>
      </c>
      <c r="F758" s="6">
        <v>1</v>
      </c>
      <c r="G758" s="7" t="s">
        <v>20</v>
      </c>
      <c r="H758" s="6">
        <v>96</v>
      </c>
      <c r="I758" s="7" t="s">
        <v>19</v>
      </c>
      <c r="J758" s="8">
        <v>21000</v>
      </c>
      <c r="K758" s="4" t="s">
        <v>19</v>
      </c>
      <c r="O758" s="7" t="s">
        <v>19</v>
      </c>
      <c r="P758" s="3">
        <f t="shared" si="136"/>
        <v>0</v>
      </c>
      <c r="Q758" s="7" t="s">
        <v>19</v>
      </c>
      <c r="R758" s="8">
        <f t="shared" si="137"/>
        <v>0</v>
      </c>
      <c r="S758" s="8">
        <f t="shared" si="120"/>
        <v>0</v>
      </c>
    </row>
    <row r="759" spans="1:19">
      <c r="A759" s="68" t="s">
        <v>696</v>
      </c>
      <c r="B759" s="2" t="s">
        <v>178</v>
      </c>
      <c r="D759" s="4" t="s">
        <v>19</v>
      </c>
      <c r="F759" s="6">
        <v>1</v>
      </c>
      <c r="G759" s="7" t="s">
        <v>20</v>
      </c>
      <c r="H759" s="6">
        <v>144</v>
      </c>
      <c r="I759" s="7" t="s">
        <v>19</v>
      </c>
      <c r="J759" s="8">
        <v>8750</v>
      </c>
      <c r="K759" s="4" t="s">
        <v>19</v>
      </c>
      <c r="O759" s="7" t="s">
        <v>19</v>
      </c>
      <c r="P759" s="3">
        <f t="shared" si="136"/>
        <v>0</v>
      </c>
      <c r="Q759" s="7" t="s">
        <v>19</v>
      </c>
      <c r="R759" s="8">
        <f t="shared" si="137"/>
        <v>0</v>
      </c>
      <c r="S759" s="8">
        <f t="shared" si="120"/>
        <v>0</v>
      </c>
    </row>
    <row r="760" spans="1:19">
      <c r="A760" s="68" t="s">
        <v>697</v>
      </c>
      <c r="B760" s="2" t="s">
        <v>178</v>
      </c>
      <c r="D760" s="4" t="s">
        <v>19</v>
      </c>
      <c r="F760" s="6">
        <v>1</v>
      </c>
      <c r="G760" s="7" t="s">
        <v>20</v>
      </c>
      <c r="H760" s="6">
        <v>144</v>
      </c>
      <c r="I760" s="7" t="s">
        <v>19</v>
      </c>
      <c r="J760" s="8">
        <v>8750</v>
      </c>
      <c r="K760" s="4" t="s">
        <v>19</v>
      </c>
      <c r="O760" s="7" t="s">
        <v>19</v>
      </c>
      <c r="P760" s="3">
        <f t="shared" si="136"/>
        <v>0</v>
      </c>
      <c r="Q760" s="7" t="s">
        <v>19</v>
      </c>
      <c r="R760" s="8">
        <f t="shared" si="137"/>
        <v>0</v>
      </c>
      <c r="S760" s="8">
        <f t="shared" si="120"/>
        <v>0</v>
      </c>
    </row>
    <row r="761" spans="1:19">
      <c r="A761" s="68" t="s">
        <v>698</v>
      </c>
      <c r="B761" s="2" t="s">
        <v>178</v>
      </c>
      <c r="D761" s="4" t="s">
        <v>19</v>
      </c>
      <c r="F761" s="6">
        <v>1</v>
      </c>
      <c r="G761" s="7" t="s">
        <v>20</v>
      </c>
      <c r="H761" s="6">
        <v>160</v>
      </c>
      <c r="I761" s="7" t="s">
        <v>19</v>
      </c>
      <c r="J761" s="8">
        <v>8750</v>
      </c>
      <c r="K761" s="4" t="s">
        <v>19</v>
      </c>
      <c r="O761" s="7" t="s">
        <v>19</v>
      </c>
      <c r="P761" s="3">
        <f t="shared" si="136"/>
        <v>0</v>
      </c>
      <c r="Q761" s="7" t="s">
        <v>19</v>
      </c>
      <c r="R761" s="8">
        <f t="shared" si="137"/>
        <v>0</v>
      </c>
      <c r="S761" s="8">
        <f t="shared" si="120"/>
        <v>0</v>
      </c>
    </row>
    <row r="762" spans="1:19">
      <c r="A762" s="58"/>
    </row>
    <row r="763" spans="1:19">
      <c r="A763" s="17" t="s">
        <v>692</v>
      </c>
      <c r="B763" s="2" t="s">
        <v>267</v>
      </c>
      <c r="D763" s="4" t="s">
        <v>19</v>
      </c>
      <c r="E763" s="41"/>
      <c r="F763" s="6">
        <v>1</v>
      </c>
      <c r="G763" s="7" t="s">
        <v>20</v>
      </c>
      <c r="H763" s="42">
        <v>480</v>
      </c>
      <c r="I763" s="7" t="s">
        <v>19</v>
      </c>
      <c r="J763" s="8">
        <v>26000</v>
      </c>
      <c r="K763" s="4" t="s">
        <v>19</v>
      </c>
      <c r="L763" s="40">
        <v>0.2</v>
      </c>
      <c r="O763" s="7" t="s">
        <v>19</v>
      </c>
      <c r="P763" s="3">
        <f>(C763+(E763*F763*H763))-N763</f>
        <v>0</v>
      </c>
      <c r="Q763" s="7" t="s">
        <v>19</v>
      </c>
      <c r="R763" s="8">
        <f>P763*(J763-(J763*L763)-((J763-(J763*L763))*M763))</f>
        <v>0</v>
      </c>
      <c r="S763" s="8">
        <f>R763/1.11</f>
        <v>0</v>
      </c>
    </row>
    <row r="764" spans="1:19">
      <c r="A764" s="17" t="s">
        <v>694</v>
      </c>
      <c r="B764" s="2" t="s">
        <v>267</v>
      </c>
      <c r="D764" s="4" t="s">
        <v>19</v>
      </c>
      <c r="E764" s="41"/>
      <c r="F764" s="6">
        <v>1</v>
      </c>
      <c r="G764" s="7" t="s">
        <v>20</v>
      </c>
      <c r="H764" s="42">
        <v>480</v>
      </c>
      <c r="I764" s="7" t="s">
        <v>19</v>
      </c>
      <c r="J764" s="8">
        <v>20800</v>
      </c>
      <c r="K764" s="4" t="s">
        <v>19</v>
      </c>
      <c r="L764" s="40">
        <v>0.3</v>
      </c>
      <c r="O764" s="7" t="s">
        <v>19</v>
      </c>
      <c r="P764" s="3">
        <f>(C764+(E764*F764*H764))-N764</f>
        <v>0</v>
      </c>
      <c r="Q764" s="7" t="s">
        <v>19</v>
      </c>
      <c r="R764" s="8">
        <f>P764*(J764-(J764*L764)-((J764-(J764*L764))*M764))</f>
        <v>0</v>
      </c>
      <c r="S764" s="8">
        <f>R764/1.11</f>
        <v>0</v>
      </c>
    </row>
    <row r="765" spans="1:19">
      <c r="A765" s="17" t="s">
        <v>690</v>
      </c>
      <c r="B765" s="2" t="s">
        <v>267</v>
      </c>
      <c r="D765" s="4" t="s">
        <v>19</v>
      </c>
      <c r="E765" s="41"/>
      <c r="F765" s="6">
        <v>1</v>
      </c>
      <c r="G765" s="7" t="s">
        <v>20</v>
      </c>
      <c r="H765" s="42">
        <v>480</v>
      </c>
      <c r="I765" s="7" t="s">
        <v>19</v>
      </c>
      <c r="J765" s="8">
        <v>15000</v>
      </c>
      <c r="K765" s="4" t="s">
        <v>19</v>
      </c>
      <c r="L765" s="40">
        <v>0.2</v>
      </c>
      <c r="O765" s="7" t="s">
        <v>19</v>
      </c>
      <c r="P765" s="3">
        <f>(C765+(E765*F765*H765))-N765</f>
        <v>0</v>
      </c>
      <c r="Q765" s="7" t="s">
        <v>19</v>
      </c>
      <c r="R765" s="8">
        <f>P765*(J765-(J765*L765)-((J765-(J765*L765))*M765))</f>
        <v>0</v>
      </c>
      <c r="S765" s="8">
        <f>R765/1.11</f>
        <v>0</v>
      </c>
    </row>
    <row r="766" spans="1:19">
      <c r="A766" s="17" t="s">
        <v>693</v>
      </c>
      <c r="B766" s="2" t="s">
        <v>267</v>
      </c>
      <c r="D766" s="4" t="s">
        <v>19</v>
      </c>
      <c r="E766" s="41"/>
      <c r="F766" s="6">
        <v>1</v>
      </c>
      <c r="G766" s="7" t="s">
        <v>20</v>
      </c>
      <c r="H766" s="42">
        <v>480</v>
      </c>
      <c r="I766" s="7" t="s">
        <v>19</v>
      </c>
      <c r="J766" s="8">
        <v>29900</v>
      </c>
      <c r="K766" s="4" t="s">
        <v>19</v>
      </c>
      <c r="L766" s="40">
        <v>0.25</v>
      </c>
      <c r="O766" s="7" t="s">
        <v>19</v>
      </c>
      <c r="P766" s="3">
        <f>(C766+(E766*F766*H766))-N766</f>
        <v>0</v>
      </c>
      <c r="Q766" s="7" t="s">
        <v>19</v>
      </c>
      <c r="R766" s="8">
        <f>P766*(J766-(J766*L766)-((J766-(J766*L766))*M766))</f>
        <v>0</v>
      </c>
      <c r="S766" s="8">
        <f>R766/1.11</f>
        <v>0</v>
      </c>
    </row>
    <row r="767" spans="1:19">
      <c r="A767" s="17" t="s">
        <v>691</v>
      </c>
      <c r="B767" s="2" t="s">
        <v>267</v>
      </c>
      <c r="D767" s="4" t="s">
        <v>19</v>
      </c>
      <c r="E767" s="41"/>
      <c r="F767" s="6">
        <v>1</v>
      </c>
      <c r="G767" s="7" t="s">
        <v>20</v>
      </c>
      <c r="H767" s="42">
        <v>384</v>
      </c>
      <c r="I767" s="7" t="s">
        <v>19</v>
      </c>
      <c r="J767" s="8">
        <v>16000</v>
      </c>
      <c r="K767" s="4" t="s">
        <v>19</v>
      </c>
      <c r="L767" s="40">
        <v>0.25</v>
      </c>
      <c r="O767" s="7" t="s">
        <v>19</v>
      </c>
      <c r="P767" s="3">
        <f>(C767+(E767*F767*H767))-N767</f>
        <v>0</v>
      </c>
      <c r="Q767" s="7" t="s">
        <v>19</v>
      </c>
      <c r="R767" s="8">
        <f>P767*(J767-(J767*L767)-((J767-(J767*L767))*M767))</f>
        <v>0</v>
      </c>
      <c r="S767" s="8">
        <f>R767/1.11</f>
        <v>0</v>
      </c>
    </row>
    <row r="769" spans="1:19" ht="15.75">
      <c r="A769" s="14" t="s">
        <v>504</v>
      </c>
    </row>
    <row r="770" spans="1:19">
      <c r="A770" s="15" t="s">
        <v>505</v>
      </c>
    </row>
    <row r="771" spans="1:19">
      <c r="A771" s="17" t="s">
        <v>796</v>
      </c>
      <c r="B771" s="2" t="s">
        <v>18</v>
      </c>
      <c r="D771" s="4" t="s">
        <v>33</v>
      </c>
      <c r="E771" s="5">
        <v>1</v>
      </c>
      <c r="F771" s="6">
        <v>1</v>
      </c>
      <c r="G771" s="7" t="s">
        <v>20</v>
      </c>
      <c r="H771" s="6">
        <v>48</v>
      </c>
      <c r="I771" s="7" t="s">
        <v>33</v>
      </c>
      <c r="J771" s="8">
        <v>31200</v>
      </c>
      <c r="K771" s="4" t="s">
        <v>33</v>
      </c>
      <c r="L771" s="9">
        <v>0.125</v>
      </c>
      <c r="M771" s="9">
        <v>0.05</v>
      </c>
      <c r="O771" s="7" t="s">
        <v>33</v>
      </c>
      <c r="P771" s="3">
        <f>(C771+(E771*F771*H771))-N771</f>
        <v>48</v>
      </c>
      <c r="Q771" s="7" t="s">
        <v>33</v>
      </c>
      <c r="R771" s="8">
        <f>P771*(J771-(J771*L771)-((J771-(J771*L771))*M771))</f>
        <v>1244880</v>
      </c>
      <c r="S771" s="8">
        <f t="shared" si="120"/>
        <v>1121513.5135135134</v>
      </c>
    </row>
    <row r="773" spans="1:19" s="19" customFormat="1">
      <c r="A773" s="59" t="s">
        <v>797</v>
      </c>
      <c r="B773" s="19" t="s">
        <v>25</v>
      </c>
      <c r="C773" s="20"/>
      <c r="D773" s="21" t="s">
        <v>42</v>
      </c>
      <c r="E773" s="26">
        <v>1</v>
      </c>
      <c r="F773" s="22">
        <v>1</v>
      </c>
      <c r="G773" s="23" t="s">
        <v>20</v>
      </c>
      <c r="H773" s="22">
        <v>48</v>
      </c>
      <c r="I773" s="23" t="s">
        <v>42</v>
      </c>
      <c r="J773" s="24">
        <f>1584000/48</f>
        <v>33000</v>
      </c>
      <c r="K773" s="21" t="s">
        <v>42</v>
      </c>
      <c r="L773" s="25"/>
      <c r="M773" s="25">
        <v>0.17</v>
      </c>
      <c r="N773" s="22"/>
      <c r="O773" s="23" t="s">
        <v>42</v>
      </c>
      <c r="P773" s="20">
        <f>(C773+(E773*F773*H773))-N773</f>
        <v>48</v>
      </c>
      <c r="Q773" s="23" t="s">
        <v>42</v>
      </c>
      <c r="R773" s="24">
        <f>P773*(J773-(J773*L773)-((J773-(J773*L773))*M773))</f>
        <v>1314720</v>
      </c>
      <c r="S773" s="24">
        <f t="shared" si="120"/>
        <v>1184432.4324324324</v>
      </c>
    </row>
    <row r="775" spans="1:19" ht="15.75">
      <c r="A775" s="14" t="s">
        <v>506</v>
      </c>
    </row>
    <row r="776" spans="1:19" s="19" customFormat="1">
      <c r="A776" s="18" t="s">
        <v>668</v>
      </c>
      <c r="B776" s="19" t="s">
        <v>18</v>
      </c>
      <c r="C776" s="20"/>
      <c r="D776" s="21" t="s">
        <v>19</v>
      </c>
      <c r="E776" s="26"/>
      <c r="F776" s="22">
        <v>10</v>
      </c>
      <c r="G776" s="23" t="s">
        <v>33</v>
      </c>
      <c r="H776" s="22">
        <v>12</v>
      </c>
      <c r="I776" s="23" t="s">
        <v>19</v>
      </c>
      <c r="J776" s="24">
        <v>11200</v>
      </c>
      <c r="K776" s="21" t="s">
        <v>19</v>
      </c>
      <c r="L776" s="25">
        <v>0.125</v>
      </c>
      <c r="M776" s="25">
        <v>0.05</v>
      </c>
      <c r="N776" s="22"/>
      <c r="O776" s="23" t="s">
        <v>19</v>
      </c>
      <c r="P776" s="20">
        <f t="shared" ref="P776:P781" si="138">(C776+(E776*F776*H776))-N776</f>
        <v>0</v>
      </c>
      <c r="Q776" s="23" t="s">
        <v>19</v>
      </c>
      <c r="R776" s="24">
        <f t="shared" ref="R776:R781" si="139">P776*(J776-(J776*L776)-((J776-(J776*L776))*M776))</f>
        <v>0</v>
      </c>
      <c r="S776" s="24">
        <f t="shared" ref="S776:S777" si="140">R776/1.11</f>
        <v>0</v>
      </c>
    </row>
    <row r="777" spans="1:19" s="19" customFormat="1">
      <c r="A777" s="18" t="s">
        <v>669</v>
      </c>
      <c r="B777" s="19" t="s">
        <v>18</v>
      </c>
      <c r="C777" s="20"/>
      <c r="D777" s="21" t="s">
        <v>19</v>
      </c>
      <c r="E777" s="26"/>
      <c r="F777" s="22">
        <v>10</v>
      </c>
      <c r="G777" s="23" t="s">
        <v>33</v>
      </c>
      <c r="H777" s="22">
        <v>12</v>
      </c>
      <c r="I777" s="23" t="s">
        <v>19</v>
      </c>
      <c r="J777" s="24">
        <v>12400</v>
      </c>
      <c r="K777" s="21" t="s">
        <v>19</v>
      </c>
      <c r="L777" s="25">
        <v>0.125</v>
      </c>
      <c r="M777" s="25">
        <v>0.05</v>
      </c>
      <c r="N777" s="22"/>
      <c r="O777" s="23" t="s">
        <v>19</v>
      </c>
      <c r="P777" s="20">
        <f t="shared" si="138"/>
        <v>0</v>
      </c>
      <c r="Q777" s="23" t="s">
        <v>19</v>
      </c>
      <c r="R777" s="24">
        <f t="shared" si="139"/>
        <v>0</v>
      </c>
      <c r="S777" s="24">
        <f t="shared" si="140"/>
        <v>0</v>
      </c>
    </row>
    <row r="778" spans="1:19" s="19" customFormat="1">
      <c r="A778" s="18" t="s">
        <v>507</v>
      </c>
      <c r="B778" s="19" t="s">
        <v>18</v>
      </c>
      <c r="C778" s="20"/>
      <c r="D778" s="21" t="s">
        <v>19</v>
      </c>
      <c r="E778" s="26"/>
      <c r="F778" s="22">
        <v>10</v>
      </c>
      <c r="G778" s="23" t="s">
        <v>33</v>
      </c>
      <c r="H778" s="22">
        <v>12</v>
      </c>
      <c r="I778" s="23" t="s">
        <v>19</v>
      </c>
      <c r="J778" s="24">
        <v>12950</v>
      </c>
      <c r="K778" s="21" t="s">
        <v>19</v>
      </c>
      <c r="L778" s="25">
        <v>0.125</v>
      </c>
      <c r="M778" s="25">
        <v>0.05</v>
      </c>
      <c r="N778" s="22"/>
      <c r="O778" s="23" t="s">
        <v>19</v>
      </c>
      <c r="P778" s="20">
        <f t="shared" si="138"/>
        <v>0</v>
      </c>
      <c r="Q778" s="23" t="s">
        <v>19</v>
      </c>
      <c r="R778" s="24">
        <f t="shared" si="139"/>
        <v>0</v>
      </c>
      <c r="S778" s="24">
        <f t="shared" si="120"/>
        <v>0</v>
      </c>
    </row>
    <row r="779" spans="1:19">
      <c r="A779" s="17" t="s">
        <v>508</v>
      </c>
      <c r="B779" s="2" t="s">
        <v>18</v>
      </c>
      <c r="D779" s="4" t="s">
        <v>19</v>
      </c>
      <c r="F779" s="6">
        <v>5</v>
      </c>
      <c r="G779" s="7" t="s">
        <v>33</v>
      </c>
      <c r="H779" s="6">
        <v>12</v>
      </c>
      <c r="I779" s="7" t="s">
        <v>19</v>
      </c>
      <c r="J779" s="8">
        <v>27000</v>
      </c>
      <c r="K779" s="4" t="s">
        <v>19</v>
      </c>
      <c r="L779" s="9">
        <v>0.125</v>
      </c>
      <c r="M779" s="9">
        <v>0.05</v>
      </c>
      <c r="O779" s="7" t="s">
        <v>19</v>
      </c>
      <c r="P779" s="3">
        <f t="shared" si="138"/>
        <v>0</v>
      </c>
      <c r="Q779" s="7" t="s">
        <v>19</v>
      </c>
      <c r="R779" s="8">
        <f t="shared" si="139"/>
        <v>0</v>
      </c>
      <c r="S779" s="8">
        <f t="shared" si="120"/>
        <v>0</v>
      </c>
    </row>
    <row r="780" spans="1:19">
      <c r="A780" s="17" t="s">
        <v>509</v>
      </c>
      <c r="B780" s="2" t="s">
        <v>18</v>
      </c>
      <c r="D780" s="4" t="s">
        <v>19</v>
      </c>
      <c r="F780" s="6">
        <v>1</v>
      </c>
      <c r="G780" s="7" t="s">
        <v>20</v>
      </c>
      <c r="H780" s="6">
        <v>24</v>
      </c>
      <c r="I780" s="7" t="s">
        <v>19</v>
      </c>
      <c r="J780" s="8">
        <v>40000</v>
      </c>
      <c r="K780" s="4" t="s">
        <v>19</v>
      </c>
      <c r="L780" s="9">
        <v>0.125</v>
      </c>
      <c r="M780" s="9">
        <v>0.05</v>
      </c>
      <c r="O780" s="7" t="s">
        <v>19</v>
      </c>
      <c r="P780" s="3">
        <f t="shared" si="138"/>
        <v>0</v>
      </c>
      <c r="Q780" s="7" t="s">
        <v>19</v>
      </c>
      <c r="R780" s="8">
        <f t="shared" si="139"/>
        <v>0</v>
      </c>
      <c r="S780" s="8">
        <f t="shared" si="120"/>
        <v>0</v>
      </c>
    </row>
    <row r="781" spans="1:19">
      <c r="A781" s="17" t="s">
        <v>510</v>
      </c>
      <c r="B781" s="2" t="s">
        <v>18</v>
      </c>
      <c r="D781" s="4" t="s">
        <v>19</v>
      </c>
      <c r="F781" s="6">
        <v>1</v>
      </c>
      <c r="G781" s="7" t="s">
        <v>20</v>
      </c>
      <c r="H781" s="6">
        <v>24</v>
      </c>
      <c r="I781" s="7" t="s">
        <v>19</v>
      </c>
      <c r="J781" s="8">
        <v>45500</v>
      </c>
      <c r="K781" s="4" t="s">
        <v>19</v>
      </c>
      <c r="L781" s="9">
        <v>0.125</v>
      </c>
      <c r="M781" s="9">
        <v>0.05</v>
      </c>
      <c r="O781" s="7" t="s">
        <v>19</v>
      </c>
      <c r="P781" s="3">
        <f t="shared" si="138"/>
        <v>0</v>
      </c>
      <c r="Q781" s="7" t="s">
        <v>19</v>
      </c>
      <c r="R781" s="8">
        <f t="shared" si="139"/>
        <v>0</v>
      </c>
      <c r="S781" s="8">
        <f t="shared" si="120"/>
        <v>0</v>
      </c>
    </row>
    <row r="783" spans="1:19">
      <c r="A783" s="17" t="s">
        <v>511</v>
      </c>
      <c r="B783" s="2" t="s">
        <v>25</v>
      </c>
      <c r="D783" s="4" t="s">
        <v>19</v>
      </c>
      <c r="F783" s="6">
        <v>10</v>
      </c>
      <c r="G783" s="7" t="s">
        <v>42</v>
      </c>
      <c r="H783" s="6">
        <v>12</v>
      </c>
      <c r="I783" s="7" t="s">
        <v>19</v>
      </c>
      <c r="J783" s="8">
        <f>1500000/10/12</f>
        <v>12500</v>
      </c>
      <c r="K783" s="4" t="s">
        <v>19</v>
      </c>
      <c r="M783" s="9">
        <v>0.17</v>
      </c>
      <c r="O783" s="7" t="s">
        <v>19</v>
      </c>
      <c r="P783" s="3">
        <f t="shared" ref="P783:P791" si="141">(C783+(E783*F783*H783))-N783</f>
        <v>0</v>
      </c>
      <c r="Q783" s="7" t="s">
        <v>19</v>
      </c>
      <c r="R783" s="8">
        <f t="shared" ref="R783:R791" si="142">P783*(J783-(J783*L783)-((J783-(J783*L783))*M783))</f>
        <v>0</v>
      </c>
      <c r="S783" s="8">
        <f t="shared" si="120"/>
        <v>0</v>
      </c>
    </row>
    <row r="784" spans="1:19" s="19" customFormat="1">
      <c r="A784" s="18" t="s">
        <v>512</v>
      </c>
      <c r="B784" s="19" t="s">
        <v>25</v>
      </c>
      <c r="C784" s="20"/>
      <c r="D784" s="21" t="s">
        <v>42</v>
      </c>
      <c r="E784" s="26">
        <v>4</v>
      </c>
      <c r="F784" s="22">
        <v>1</v>
      </c>
      <c r="G784" s="23" t="s">
        <v>20</v>
      </c>
      <c r="H784" s="22">
        <v>10</v>
      </c>
      <c r="I784" s="23" t="s">
        <v>42</v>
      </c>
      <c r="J784" s="24">
        <f>1560000/10</f>
        <v>156000</v>
      </c>
      <c r="K784" s="21" t="s">
        <v>42</v>
      </c>
      <c r="L784" s="25"/>
      <c r="M784" s="25">
        <v>0.17</v>
      </c>
      <c r="N784" s="22"/>
      <c r="O784" s="23" t="s">
        <v>42</v>
      </c>
      <c r="P784" s="20">
        <f t="shared" si="141"/>
        <v>40</v>
      </c>
      <c r="Q784" s="23" t="s">
        <v>42</v>
      </c>
      <c r="R784" s="24">
        <f t="shared" si="142"/>
        <v>5179200</v>
      </c>
      <c r="S784" s="24">
        <f t="shared" si="120"/>
        <v>4665945.9459459456</v>
      </c>
    </row>
    <row r="785" spans="1:19" s="19" customFormat="1">
      <c r="A785" s="18" t="s">
        <v>513</v>
      </c>
      <c r="B785" s="19" t="s">
        <v>25</v>
      </c>
      <c r="C785" s="20"/>
      <c r="D785" s="21" t="s">
        <v>19</v>
      </c>
      <c r="E785" s="26"/>
      <c r="F785" s="22">
        <v>10</v>
      </c>
      <c r="G785" s="23" t="s">
        <v>42</v>
      </c>
      <c r="H785" s="22">
        <v>12</v>
      </c>
      <c r="I785" s="23" t="s">
        <v>19</v>
      </c>
      <c r="J785" s="24">
        <f>13000</f>
        <v>13000</v>
      </c>
      <c r="K785" s="21" t="s">
        <v>19</v>
      </c>
      <c r="L785" s="25"/>
      <c r="M785" s="25">
        <v>0.17</v>
      </c>
      <c r="N785" s="22"/>
      <c r="O785" s="23" t="s">
        <v>19</v>
      </c>
      <c r="P785" s="20">
        <f t="shared" si="141"/>
        <v>0</v>
      </c>
      <c r="Q785" s="23" t="s">
        <v>19</v>
      </c>
      <c r="R785" s="24">
        <f t="shared" si="142"/>
        <v>0</v>
      </c>
      <c r="S785" s="8">
        <f t="shared" si="120"/>
        <v>0</v>
      </c>
    </row>
    <row r="786" spans="1:19" s="19" customFormat="1">
      <c r="A786" s="18" t="s">
        <v>514</v>
      </c>
      <c r="B786" s="19" t="s">
        <v>25</v>
      </c>
      <c r="C786" s="20"/>
      <c r="D786" s="21" t="s">
        <v>42</v>
      </c>
      <c r="E786" s="26"/>
      <c r="F786" s="22">
        <v>4</v>
      </c>
      <c r="G786" s="23" t="s">
        <v>33</v>
      </c>
      <c r="H786" s="22">
        <v>2</v>
      </c>
      <c r="I786" s="23" t="s">
        <v>42</v>
      </c>
      <c r="J786" s="24">
        <f>1440000/4/2</f>
        <v>180000</v>
      </c>
      <c r="K786" s="21" t="s">
        <v>42</v>
      </c>
      <c r="L786" s="25"/>
      <c r="M786" s="25">
        <v>0.17</v>
      </c>
      <c r="N786" s="22"/>
      <c r="O786" s="23" t="s">
        <v>42</v>
      </c>
      <c r="P786" s="20">
        <f t="shared" si="141"/>
        <v>0</v>
      </c>
      <c r="Q786" s="23" t="s">
        <v>42</v>
      </c>
      <c r="R786" s="24">
        <f t="shared" si="142"/>
        <v>0</v>
      </c>
      <c r="S786" s="24">
        <f t="shared" si="120"/>
        <v>0</v>
      </c>
    </row>
    <row r="787" spans="1:19" s="19" customFormat="1">
      <c r="A787" s="18" t="s">
        <v>515</v>
      </c>
      <c r="B787" s="19" t="s">
        <v>25</v>
      </c>
      <c r="C787" s="20"/>
      <c r="D787" s="21" t="s">
        <v>42</v>
      </c>
      <c r="E787" s="26"/>
      <c r="F787" s="22">
        <v>1</v>
      </c>
      <c r="G787" s="23" t="s">
        <v>20</v>
      </c>
      <c r="H787" s="22">
        <v>5</v>
      </c>
      <c r="I787" s="23" t="s">
        <v>42</v>
      </c>
      <c r="J787" s="24">
        <f>1410000/5</f>
        <v>282000</v>
      </c>
      <c r="K787" s="21" t="s">
        <v>19</v>
      </c>
      <c r="L787" s="25"/>
      <c r="M787" s="25">
        <v>0.17</v>
      </c>
      <c r="N787" s="22"/>
      <c r="O787" s="23" t="s">
        <v>42</v>
      </c>
      <c r="P787" s="20">
        <f t="shared" si="141"/>
        <v>0</v>
      </c>
      <c r="Q787" s="23" t="s">
        <v>42</v>
      </c>
      <c r="R787" s="24">
        <f t="shared" si="142"/>
        <v>0</v>
      </c>
      <c r="S787" s="24">
        <f t="shared" si="120"/>
        <v>0</v>
      </c>
    </row>
    <row r="788" spans="1:19" s="19" customFormat="1">
      <c r="A788" s="18" t="s">
        <v>516</v>
      </c>
      <c r="B788" s="19" t="s">
        <v>25</v>
      </c>
      <c r="C788" s="20"/>
      <c r="D788" s="21" t="s">
        <v>42</v>
      </c>
      <c r="E788" s="26"/>
      <c r="F788" s="22">
        <v>1</v>
      </c>
      <c r="G788" s="23" t="s">
        <v>20</v>
      </c>
      <c r="H788" s="22">
        <v>4</v>
      </c>
      <c r="I788" s="23" t="s">
        <v>42</v>
      </c>
      <c r="J788" s="24">
        <f>1410000/4</f>
        <v>352500</v>
      </c>
      <c r="K788" s="21" t="s">
        <v>42</v>
      </c>
      <c r="L788" s="25"/>
      <c r="M788" s="25">
        <v>0.17</v>
      </c>
      <c r="N788" s="22"/>
      <c r="O788" s="23" t="s">
        <v>42</v>
      </c>
      <c r="P788" s="20">
        <f t="shared" si="141"/>
        <v>0</v>
      </c>
      <c r="Q788" s="23" t="s">
        <v>42</v>
      </c>
      <c r="R788" s="24">
        <f t="shared" si="142"/>
        <v>0</v>
      </c>
      <c r="S788" s="24">
        <f t="shared" si="120"/>
        <v>0</v>
      </c>
    </row>
    <row r="789" spans="1:19">
      <c r="A789" s="17" t="s">
        <v>517</v>
      </c>
      <c r="B789" s="2" t="s">
        <v>25</v>
      </c>
      <c r="D789" s="4" t="s">
        <v>19</v>
      </c>
      <c r="F789" s="6">
        <v>1</v>
      </c>
      <c r="G789" s="7" t="s">
        <v>20</v>
      </c>
      <c r="H789" s="6">
        <v>24</v>
      </c>
      <c r="I789" s="7" t="s">
        <v>19</v>
      </c>
      <c r="J789" s="8">
        <f>1164000/24</f>
        <v>48500</v>
      </c>
      <c r="K789" s="4" t="s">
        <v>19</v>
      </c>
      <c r="M789" s="9">
        <v>0.17</v>
      </c>
      <c r="O789" s="7" t="s">
        <v>19</v>
      </c>
      <c r="P789" s="3">
        <f t="shared" si="141"/>
        <v>0</v>
      </c>
      <c r="Q789" s="7" t="s">
        <v>19</v>
      </c>
      <c r="R789" s="8">
        <f t="shared" si="142"/>
        <v>0</v>
      </c>
      <c r="S789" s="8">
        <f t="shared" si="120"/>
        <v>0</v>
      </c>
    </row>
    <row r="790" spans="1:19">
      <c r="A790" s="17" t="s">
        <v>518</v>
      </c>
      <c r="B790" s="2" t="s">
        <v>25</v>
      </c>
      <c r="D790" s="4" t="s">
        <v>19</v>
      </c>
      <c r="F790" s="6">
        <v>1</v>
      </c>
      <c r="G790" s="7" t="s">
        <v>20</v>
      </c>
      <c r="H790" s="6">
        <v>24</v>
      </c>
      <c r="I790" s="7" t="s">
        <v>19</v>
      </c>
      <c r="J790" s="8">
        <f>1020000/24</f>
        <v>42500</v>
      </c>
      <c r="K790" s="4" t="s">
        <v>19</v>
      </c>
      <c r="M790" s="9">
        <v>0.17</v>
      </c>
      <c r="O790" s="7" t="s">
        <v>19</v>
      </c>
      <c r="P790" s="3">
        <f t="shared" si="141"/>
        <v>0</v>
      </c>
      <c r="Q790" s="7" t="s">
        <v>19</v>
      </c>
      <c r="R790" s="8">
        <f t="shared" si="142"/>
        <v>0</v>
      </c>
      <c r="S790" s="8">
        <f t="shared" si="120"/>
        <v>0</v>
      </c>
    </row>
    <row r="791" spans="1:19">
      <c r="A791" s="17" t="s">
        <v>519</v>
      </c>
      <c r="B791" s="2" t="s">
        <v>25</v>
      </c>
      <c r="D791" s="4" t="s">
        <v>19</v>
      </c>
      <c r="E791" s="5">
        <v>2</v>
      </c>
      <c r="F791" s="6">
        <v>1</v>
      </c>
      <c r="G791" s="7" t="s">
        <v>20</v>
      </c>
      <c r="H791" s="6">
        <v>24</v>
      </c>
      <c r="I791" s="7" t="s">
        <v>19</v>
      </c>
      <c r="J791" s="8">
        <f>1416000/24</f>
        <v>59000</v>
      </c>
      <c r="K791" s="4" t="s">
        <v>19</v>
      </c>
      <c r="M791" s="9">
        <v>0.17</v>
      </c>
      <c r="O791" s="7" t="s">
        <v>19</v>
      </c>
      <c r="P791" s="3">
        <f t="shared" si="141"/>
        <v>48</v>
      </c>
      <c r="Q791" s="7" t="s">
        <v>19</v>
      </c>
      <c r="R791" s="8">
        <f t="shared" si="142"/>
        <v>2350560</v>
      </c>
      <c r="S791" s="8">
        <f t="shared" si="120"/>
        <v>2117621.6216216213</v>
      </c>
    </row>
    <row r="794" spans="1:19" ht="15.75">
      <c r="A794" s="14" t="s">
        <v>531</v>
      </c>
    </row>
    <row r="795" spans="1:19" s="19" customFormat="1">
      <c r="A795" s="18" t="s">
        <v>532</v>
      </c>
      <c r="B795" s="19" t="s">
        <v>18</v>
      </c>
      <c r="C795" s="20"/>
      <c r="D795" s="21" t="s">
        <v>19</v>
      </c>
      <c r="E795" s="26"/>
      <c r="F795" s="22">
        <v>72</v>
      </c>
      <c r="G795" s="23" t="s">
        <v>33</v>
      </c>
      <c r="H795" s="22">
        <v>10</v>
      </c>
      <c r="I795" s="23" t="s">
        <v>19</v>
      </c>
      <c r="J795" s="24">
        <v>3700</v>
      </c>
      <c r="K795" s="21" t="s">
        <v>19</v>
      </c>
      <c r="L795" s="25">
        <v>0.125</v>
      </c>
      <c r="M795" s="25">
        <v>0.05</v>
      </c>
      <c r="N795" s="22"/>
      <c r="O795" s="23" t="s">
        <v>19</v>
      </c>
      <c r="P795" s="20">
        <f>(C795+(E795*F795*H795))-N795</f>
        <v>0</v>
      </c>
      <c r="Q795" s="23" t="s">
        <v>19</v>
      </c>
      <c r="R795" s="24">
        <f>P795*(J795-(J795*L795)-((J795-(J795*L795))*M795))</f>
        <v>0</v>
      </c>
      <c r="S795" s="24">
        <f t="shared" ref="S795:S868" si="143">R795/1.11</f>
        <v>0</v>
      </c>
    </row>
    <row r="796" spans="1:19" s="19" customFormat="1">
      <c r="A796" s="18" t="s">
        <v>533</v>
      </c>
      <c r="B796" s="19" t="s">
        <v>18</v>
      </c>
      <c r="C796" s="20"/>
      <c r="D796" s="21" t="s">
        <v>158</v>
      </c>
      <c r="E796" s="26"/>
      <c r="F796" s="22">
        <v>12</v>
      </c>
      <c r="G796" s="23" t="s">
        <v>33</v>
      </c>
      <c r="H796" s="22">
        <v>24</v>
      </c>
      <c r="I796" s="23" t="s">
        <v>158</v>
      </c>
      <c r="J796" s="24">
        <v>16500</v>
      </c>
      <c r="K796" s="21" t="s">
        <v>158</v>
      </c>
      <c r="L796" s="25">
        <v>0.125</v>
      </c>
      <c r="M796" s="25">
        <v>0.05</v>
      </c>
      <c r="N796" s="22"/>
      <c r="O796" s="23" t="s">
        <v>158</v>
      </c>
      <c r="P796" s="20">
        <f>(C796+(E796*F796*H796))-N796</f>
        <v>0</v>
      </c>
      <c r="Q796" s="23" t="s">
        <v>158</v>
      </c>
      <c r="R796" s="24">
        <f>P796*(J796-(J796*L796)-((J796-(J796*L796))*M796))</f>
        <v>0</v>
      </c>
      <c r="S796" s="8">
        <f t="shared" si="143"/>
        <v>0</v>
      </c>
    </row>
    <row r="797" spans="1:19" s="19" customFormat="1">
      <c r="A797" s="18"/>
      <c r="C797" s="20"/>
      <c r="D797" s="21"/>
      <c r="E797" s="26"/>
      <c r="F797" s="22"/>
      <c r="G797" s="23"/>
      <c r="H797" s="22"/>
      <c r="I797" s="23"/>
      <c r="J797" s="24"/>
      <c r="K797" s="21"/>
      <c r="L797" s="25"/>
      <c r="M797" s="25"/>
      <c r="N797" s="22"/>
      <c r="O797" s="23"/>
      <c r="P797" s="20"/>
      <c r="Q797" s="23"/>
      <c r="R797" s="24"/>
      <c r="S797" s="8"/>
    </row>
    <row r="798" spans="1:19">
      <c r="A798" s="17" t="s">
        <v>534</v>
      </c>
      <c r="B798" s="2" t="s">
        <v>25</v>
      </c>
      <c r="D798" s="4" t="s">
        <v>19</v>
      </c>
      <c r="F798" s="6">
        <v>48</v>
      </c>
      <c r="G798" s="7" t="s">
        <v>33</v>
      </c>
      <c r="H798" s="6">
        <v>10</v>
      </c>
      <c r="I798" s="7" t="s">
        <v>19</v>
      </c>
      <c r="J798" s="8">
        <f>30500/10</f>
        <v>3050</v>
      </c>
      <c r="K798" s="4" t="s">
        <v>19</v>
      </c>
      <c r="M798" s="9">
        <v>0.17</v>
      </c>
      <c r="O798" s="7" t="s">
        <v>19</v>
      </c>
      <c r="P798" s="3">
        <f>(C798+(E798*F798*H798))-N798</f>
        <v>0</v>
      </c>
      <c r="Q798" s="7" t="s">
        <v>19</v>
      </c>
      <c r="R798" s="8">
        <f>P798*(J798-(J798*L798)-((J798-(J798*L798))*M798))</f>
        <v>0</v>
      </c>
      <c r="S798" s="8">
        <f t="shared" si="143"/>
        <v>0</v>
      </c>
    </row>
    <row r="799" spans="1:19">
      <c r="A799" s="17" t="s">
        <v>535</v>
      </c>
      <c r="B799" s="2" t="s">
        <v>25</v>
      </c>
      <c r="D799" s="4" t="s">
        <v>19</v>
      </c>
      <c r="F799" s="6">
        <v>48</v>
      </c>
      <c r="G799" s="7" t="s">
        <v>33</v>
      </c>
      <c r="H799" s="6">
        <v>10</v>
      </c>
      <c r="I799" s="7" t="s">
        <v>19</v>
      </c>
      <c r="J799" s="8">
        <f>30500/10</f>
        <v>3050</v>
      </c>
      <c r="K799" s="4" t="s">
        <v>19</v>
      </c>
      <c r="M799" s="9">
        <v>0.17</v>
      </c>
      <c r="O799" s="7" t="s">
        <v>19</v>
      </c>
      <c r="P799" s="3">
        <f>(C799+(E799*F799*H799))-N799</f>
        <v>0</v>
      </c>
      <c r="Q799" s="7" t="s">
        <v>19</v>
      </c>
      <c r="R799" s="8">
        <f>P799*(J799-(J799*L799)-((J799-(J799*L799))*M799))</f>
        <v>0</v>
      </c>
      <c r="S799" s="8">
        <f t="shared" si="143"/>
        <v>0</v>
      </c>
    </row>
    <row r="800" spans="1:19">
      <c r="A800" s="17" t="s">
        <v>536</v>
      </c>
      <c r="B800" s="2" t="s">
        <v>25</v>
      </c>
      <c r="D800" s="4" t="s">
        <v>42</v>
      </c>
      <c r="F800" s="6">
        <v>12</v>
      </c>
      <c r="G800" s="7" t="s">
        <v>33</v>
      </c>
      <c r="H800" s="6">
        <v>12</v>
      </c>
      <c r="I800" s="7" t="s">
        <v>42</v>
      </c>
      <c r="J800" s="8">
        <v>25800</v>
      </c>
      <c r="K800" s="4" t="s">
        <v>42</v>
      </c>
      <c r="M800" s="9">
        <v>0.17</v>
      </c>
      <c r="O800" s="7" t="s">
        <v>42</v>
      </c>
      <c r="P800" s="3">
        <f>(C800+(E800*F800*H800))-N800</f>
        <v>0</v>
      </c>
      <c r="Q800" s="7" t="s">
        <v>42</v>
      </c>
      <c r="R800" s="8">
        <f>P800*(J800-(J800*L800)-((J800-(J800*L800))*M800))</f>
        <v>0</v>
      </c>
      <c r="S800" s="8">
        <f t="shared" si="143"/>
        <v>0</v>
      </c>
    </row>
    <row r="802" spans="1:19" s="19" customFormat="1">
      <c r="A802" s="18" t="s">
        <v>537</v>
      </c>
      <c r="B802" s="19" t="s">
        <v>267</v>
      </c>
      <c r="C802" s="20"/>
      <c r="D802" s="21" t="s">
        <v>101</v>
      </c>
      <c r="E802" s="26"/>
      <c r="F802" s="22">
        <v>1</v>
      </c>
      <c r="G802" s="23" t="s">
        <v>20</v>
      </c>
      <c r="H802" s="22">
        <v>24</v>
      </c>
      <c r="I802" s="23" t="s">
        <v>101</v>
      </c>
      <c r="J802" s="24">
        <v>94000</v>
      </c>
      <c r="K802" s="21" t="s">
        <v>101</v>
      </c>
      <c r="L802" s="25"/>
      <c r="M802" s="25"/>
      <c r="N802" s="22"/>
      <c r="O802" s="23" t="s">
        <v>101</v>
      </c>
      <c r="P802" s="20">
        <f>(C802+(E802*F802*H802))-N802</f>
        <v>0</v>
      </c>
      <c r="Q802" s="23" t="s">
        <v>101</v>
      </c>
      <c r="R802" s="24">
        <f>P802*(J802-(J802*L802)-((J802-(J802*L802))*M802))</f>
        <v>0</v>
      </c>
      <c r="S802" s="8">
        <f t="shared" si="143"/>
        <v>0</v>
      </c>
    </row>
    <row r="803" spans="1:19" s="19" customFormat="1">
      <c r="A803" s="18"/>
      <c r="C803" s="20"/>
      <c r="D803" s="21"/>
      <c r="E803" s="26"/>
      <c r="F803" s="22"/>
      <c r="G803" s="23"/>
      <c r="H803" s="22"/>
      <c r="I803" s="23"/>
      <c r="J803" s="24"/>
      <c r="K803" s="21"/>
      <c r="L803" s="25"/>
      <c r="M803" s="25"/>
      <c r="N803" s="22"/>
      <c r="O803" s="23"/>
      <c r="P803" s="20"/>
      <c r="Q803" s="23"/>
      <c r="R803" s="24"/>
      <c r="S803" s="8"/>
    </row>
    <row r="804" spans="1:19">
      <c r="A804" s="17" t="s">
        <v>538</v>
      </c>
      <c r="B804" s="2" t="s">
        <v>178</v>
      </c>
      <c r="D804" s="4" t="s">
        <v>42</v>
      </c>
      <c r="F804" s="6">
        <v>1</v>
      </c>
      <c r="G804" s="7" t="s">
        <v>20</v>
      </c>
      <c r="H804" s="6">
        <v>108</v>
      </c>
      <c r="I804" s="7" t="s">
        <v>42</v>
      </c>
      <c r="J804" s="8">
        <v>18000</v>
      </c>
      <c r="K804" s="4" t="s">
        <v>42</v>
      </c>
      <c r="L804" s="9">
        <v>0.05</v>
      </c>
      <c r="O804" s="7" t="s">
        <v>42</v>
      </c>
      <c r="P804" s="3">
        <f>(C804+(E804*F804*H804))-N804</f>
        <v>0</v>
      </c>
      <c r="Q804" s="7" t="s">
        <v>42</v>
      </c>
      <c r="R804" s="8">
        <f>P804*(J804-(J804*L804)-((J804-(J804*L804))*M804))</f>
        <v>0</v>
      </c>
      <c r="S804" s="8">
        <f t="shared" si="143"/>
        <v>0</v>
      </c>
    </row>
    <row r="806" spans="1:19">
      <c r="A806" s="17" t="s">
        <v>672</v>
      </c>
      <c r="B806" s="2" t="s">
        <v>605</v>
      </c>
      <c r="D806" s="4" t="s">
        <v>19</v>
      </c>
      <c r="F806" s="6">
        <v>1</v>
      </c>
      <c r="G806" s="7" t="s">
        <v>20</v>
      </c>
      <c r="H806" s="6">
        <v>600</v>
      </c>
      <c r="I806" s="7" t="s">
        <v>19</v>
      </c>
      <c r="J806" s="8">
        <v>2700</v>
      </c>
      <c r="K806" s="4" t="s">
        <v>19</v>
      </c>
      <c r="L806" s="9">
        <v>0.35</v>
      </c>
      <c r="O806" s="7" t="s">
        <v>19</v>
      </c>
      <c r="P806" s="3">
        <f>(C806+(E806*F806*H806))-N806</f>
        <v>0</v>
      </c>
      <c r="Q806" s="7" t="s">
        <v>19</v>
      </c>
      <c r="R806" s="8">
        <f>P806*(J806-(J806*L806)-((J806-(J806*L806))*M806))</f>
        <v>0</v>
      </c>
      <c r="S806" s="8">
        <f t="shared" si="143"/>
        <v>0</v>
      </c>
    </row>
    <row r="808" spans="1:19" ht="15.75">
      <c r="A808" s="14" t="s">
        <v>539</v>
      </c>
    </row>
    <row r="809" spans="1:19">
      <c r="A809" s="15" t="s">
        <v>540</v>
      </c>
    </row>
    <row r="810" spans="1:19" s="19" customFormat="1">
      <c r="A810" s="18" t="s">
        <v>541</v>
      </c>
      <c r="B810" s="19" t="s">
        <v>18</v>
      </c>
      <c r="C810" s="20"/>
      <c r="D810" s="21" t="s">
        <v>19</v>
      </c>
      <c r="E810" s="26"/>
      <c r="F810" s="22">
        <v>40</v>
      </c>
      <c r="G810" s="23" t="s">
        <v>101</v>
      </c>
      <c r="H810" s="22">
        <v>12</v>
      </c>
      <c r="I810" s="23" t="s">
        <v>19</v>
      </c>
      <c r="J810" s="24">
        <v>6700</v>
      </c>
      <c r="K810" s="21" t="s">
        <v>19</v>
      </c>
      <c r="L810" s="25">
        <v>0.125</v>
      </c>
      <c r="M810" s="25">
        <v>0.05</v>
      </c>
      <c r="N810" s="22"/>
      <c r="O810" s="23" t="s">
        <v>19</v>
      </c>
      <c r="P810" s="20">
        <f>(C810+(E810*F810*H810))-N810</f>
        <v>0</v>
      </c>
      <c r="Q810" s="23" t="s">
        <v>19</v>
      </c>
      <c r="R810" s="24">
        <f>P810*(J810-(J810*L810)-((J810-(J810*L810))*M810))</f>
        <v>0</v>
      </c>
      <c r="S810" s="8">
        <f t="shared" si="143"/>
        <v>0</v>
      </c>
    </row>
    <row r="811" spans="1:19" s="19" customFormat="1">
      <c r="A811" s="91" t="s">
        <v>542</v>
      </c>
      <c r="B811" s="19" t="s">
        <v>18</v>
      </c>
      <c r="C811" s="20"/>
      <c r="D811" s="21" t="s">
        <v>19</v>
      </c>
      <c r="E811" s="26">
        <v>1</v>
      </c>
      <c r="F811" s="22">
        <v>20</v>
      </c>
      <c r="G811" s="23" t="s">
        <v>101</v>
      </c>
      <c r="H811" s="22">
        <v>12</v>
      </c>
      <c r="I811" s="23" t="s">
        <v>19</v>
      </c>
      <c r="J811" s="94">
        <v>8600</v>
      </c>
      <c r="K811" s="21" t="s">
        <v>19</v>
      </c>
      <c r="L811" s="25">
        <v>0.125</v>
      </c>
      <c r="M811" s="25">
        <v>0.05</v>
      </c>
      <c r="N811" s="22"/>
      <c r="O811" s="23" t="s">
        <v>19</v>
      </c>
      <c r="P811" s="20">
        <f>(C811+(E811*F811*H811))-N811</f>
        <v>240</v>
      </c>
      <c r="Q811" s="23" t="s">
        <v>19</v>
      </c>
      <c r="R811" s="24">
        <f>P811*(J811-(J811*L811)-((J811-(J811*L811))*M811))</f>
        <v>1715700</v>
      </c>
      <c r="S811" s="8">
        <f t="shared" ref="S811" si="144">R811/1.11</f>
        <v>1545675.6756756755</v>
      </c>
    </row>
    <row r="812" spans="1:19" s="19" customFormat="1">
      <c r="A812" s="18" t="s">
        <v>542</v>
      </c>
      <c r="B812" s="19" t="s">
        <v>18</v>
      </c>
      <c r="C812" s="20"/>
      <c r="D812" s="21" t="s">
        <v>19</v>
      </c>
      <c r="E812" s="26"/>
      <c r="F812" s="22">
        <v>20</v>
      </c>
      <c r="G812" s="23" t="s">
        <v>101</v>
      </c>
      <c r="H812" s="22">
        <v>12</v>
      </c>
      <c r="I812" s="23" t="s">
        <v>19</v>
      </c>
      <c r="J812" s="24">
        <v>8400</v>
      </c>
      <c r="K812" s="21" t="s">
        <v>19</v>
      </c>
      <c r="L812" s="25">
        <v>0.125</v>
      </c>
      <c r="M812" s="25">
        <v>0.05</v>
      </c>
      <c r="N812" s="22"/>
      <c r="O812" s="23" t="s">
        <v>19</v>
      </c>
      <c r="P812" s="20">
        <f>(C812+(E812*F812*H812))-N812</f>
        <v>0</v>
      </c>
      <c r="Q812" s="23" t="s">
        <v>19</v>
      </c>
      <c r="R812" s="24">
        <f>P812*(J812-(J812*L812)-((J812-(J812*L812))*M812))</f>
        <v>0</v>
      </c>
      <c r="S812" s="8">
        <f t="shared" si="143"/>
        <v>0</v>
      </c>
    </row>
    <row r="813" spans="1:19" s="19" customFormat="1">
      <c r="A813" s="18"/>
      <c r="C813" s="20"/>
      <c r="D813" s="21"/>
      <c r="E813" s="26"/>
      <c r="F813" s="22"/>
      <c r="G813" s="23"/>
      <c r="H813" s="22"/>
      <c r="I813" s="23"/>
      <c r="J813" s="24"/>
      <c r="K813" s="21"/>
      <c r="L813" s="25"/>
      <c r="M813" s="25"/>
      <c r="N813" s="22"/>
      <c r="O813" s="23"/>
      <c r="P813" s="20"/>
      <c r="Q813" s="23"/>
      <c r="R813" s="24"/>
      <c r="S813" s="8"/>
    </row>
    <row r="814" spans="1:19">
      <c r="A814" s="59" t="s">
        <v>543</v>
      </c>
      <c r="B814" s="2" t="s">
        <v>25</v>
      </c>
      <c r="D814" s="4" t="s">
        <v>42</v>
      </c>
      <c r="F814" s="6">
        <v>1</v>
      </c>
      <c r="G814" s="7" t="s">
        <v>20</v>
      </c>
      <c r="H814" s="6">
        <v>40</v>
      </c>
      <c r="I814" s="7" t="s">
        <v>42</v>
      </c>
      <c r="J814" s="8">
        <f>3096000/40</f>
        <v>77400</v>
      </c>
      <c r="K814" s="4" t="s">
        <v>42</v>
      </c>
      <c r="M814" s="9">
        <v>0.17</v>
      </c>
      <c r="O814" s="7" t="s">
        <v>42</v>
      </c>
      <c r="P814" s="3">
        <f t="shared" ref="P814:P819" si="145">(C814+(E814*F814*H814))-N814</f>
        <v>0</v>
      </c>
      <c r="Q814" s="7" t="s">
        <v>42</v>
      </c>
      <c r="R814" s="8">
        <f t="shared" ref="R814:R819" si="146">P814*(J814-(J814*L814)-((J814-(J814*L814))*M814))</f>
        <v>0</v>
      </c>
      <c r="S814" s="8">
        <f t="shared" si="143"/>
        <v>0</v>
      </c>
    </row>
    <row r="815" spans="1:19">
      <c r="A815" s="59" t="s">
        <v>544</v>
      </c>
      <c r="B815" s="2" t="s">
        <v>25</v>
      </c>
      <c r="D815" s="4" t="s">
        <v>42</v>
      </c>
      <c r="F815" s="6">
        <v>1</v>
      </c>
      <c r="G815" s="7" t="s">
        <v>20</v>
      </c>
      <c r="H815" s="6">
        <v>40</v>
      </c>
      <c r="I815" s="7" t="s">
        <v>42</v>
      </c>
      <c r="J815" s="8">
        <f>2976000/40</f>
        <v>74400</v>
      </c>
      <c r="K815" s="4" t="s">
        <v>42</v>
      </c>
      <c r="M815" s="9">
        <v>0.17</v>
      </c>
      <c r="O815" s="7" t="s">
        <v>42</v>
      </c>
      <c r="P815" s="3">
        <f t="shared" si="145"/>
        <v>0</v>
      </c>
      <c r="Q815" s="7" t="s">
        <v>42</v>
      </c>
      <c r="R815" s="8">
        <f t="shared" si="146"/>
        <v>0</v>
      </c>
      <c r="S815" s="8">
        <f t="shared" si="143"/>
        <v>0</v>
      </c>
    </row>
    <row r="816" spans="1:19">
      <c r="A816" s="59" t="s">
        <v>545</v>
      </c>
      <c r="B816" s="2" t="s">
        <v>25</v>
      </c>
      <c r="D816" s="4" t="s">
        <v>19</v>
      </c>
      <c r="F816" s="6">
        <v>1</v>
      </c>
      <c r="G816" s="7" t="s">
        <v>20</v>
      </c>
      <c r="H816" s="6">
        <v>20</v>
      </c>
      <c r="I816" s="7" t="s">
        <v>19</v>
      </c>
      <c r="J816" s="8">
        <v>90000</v>
      </c>
      <c r="K816" s="4" t="s">
        <v>19</v>
      </c>
      <c r="M816" s="9">
        <v>0.17</v>
      </c>
      <c r="O816" s="7" t="s">
        <v>19</v>
      </c>
      <c r="P816" s="3">
        <f t="shared" si="145"/>
        <v>0</v>
      </c>
      <c r="Q816" s="7" t="s">
        <v>19</v>
      </c>
      <c r="R816" s="8">
        <f t="shared" si="146"/>
        <v>0</v>
      </c>
      <c r="S816" s="8">
        <f t="shared" si="143"/>
        <v>0</v>
      </c>
    </row>
    <row r="817" spans="1:19">
      <c r="A817" s="59" t="s">
        <v>546</v>
      </c>
      <c r="B817" s="2" t="s">
        <v>25</v>
      </c>
      <c r="D817" s="4" t="s">
        <v>19</v>
      </c>
      <c r="F817" s="6">
        <v>1</v>
      </c>
      <c r="G817" s="7" t="s">
        <v>20</v>
      </c>
      <c r="H817" s="6">
        <v>20</v>
      </c>
      <c r="I817" s="7" t="s">
        <v>19</v>
      </c>
      <c r="J817" s="8">
        <v>87500</v>
      </c>
      <c r="K817" s="4" t="s">
        <v>19</v>
      </c>
      <c r="M817" s="9">
        <v>0.17</v>
      </c>
      <c r="O817" s="7" t="s">
        <v>19</v>
      </c>
      <c r="P817" s="3">
        <f t="shared" si="145"/>
        <v>0</v>
      </c>
      <c r="Q817" s="7" t="s">
        <v>19</v>
      </c>
      <c r="R817" s="8">
        <f t="shared" si="146"/>
        <v>0</v>
      </c>
      <c r="S817" s="8">
        <f t="shared" si="143"/>
        <v>0</v>
      </c>
    </row>
    <row r="818" spans="1:19">
      <c r="A818" s="59" t="s">
        <v>547</v>
      </c>
      <c r="B818" s="2" t="s">
        <v>25</v>
      </c>
      <c r="D818" s="4" t="s">
        <v>42</v>
      </c>
      <c r="F818" s="6">
        <v>1</v>
      </c>
      <c r="G818" s="7" t="s">
        <v>20</v>
      </c>
      <c r="H818" s="6">
        <v>40</v>
      </c>
      <c r="I818" s="7" t="s">
        <v>42</v>
      </c>
      <c r="J818" s="8">
        <f>3360000/40</f>
        <v>84000</v>
      </c>
      <c r="K818" s="4" t="s">
        <v>42</v>
      </c>
      <c r="M818" s="9">
        <v>0.17</v>
      </c>
      <c r="O818" s="7" t="s">
        <v>42</v>
      </c>
      <c r="P818" s="3">
        <f t="shared" si="145"/>
        <v>0</v>
      </c>
      <c r="Q818" s="7" t="s">
        <v>42</v>
      </c>
      <c r="R818" s="8">
        <f t="shared" si="146"/>
        <v>0</v>
      </c>
      <c r="S818" s="8">
        <f t="shared" si="143"/>
        <v>0</v>
      </c>
    </row>
    <row r="819" spans="1:19">
      <c r="A819" s="59" t="s">
        <v>548</v>
      </c>
      <c r="B819" s="2" t="s">
        <v>25</v>
      </c>
      <c r="D819" s="4" t="s">
        <v>42</v>
      </c>
      <c r="F819" s="6">
        <v>1</v>
      </c>
      <c r="G819" s="7" t="s">
        <v>20</v>
      </c>
      <c r="H819" s="6">
        <v>20</v>
      </c>
      <c r="I819" s="7" t="s">
        <v>42</v>
      </c>
      <c r="J819" s="8">
        <f>1992000/20</f>
        <v>99600</v>
      </c>
      <c r="K819" s="4" t="s">
        <v>42</v>
      </c>
      <c r="M819" s="9">
        <v>0.17</v>
      </c>
      <c r="O819" s="7" t="s">
        <v>42</v>
      </c>
      <c r="P819" s="3">
        <f t="shared" si="145"/>
        <v>0</v>
      </c>
      <c r="Q819" s="7" t="s">
        <v>42</v>
      </c>
      <c r="R819" s="8">
        <f t="shared" si="146"/>
        <v>0</v>
      </c>
      <c r="S819" s="8">
        <f t="shared" si="143"/>
        <v>0</v>
      </c>
    </row>
    <row r="820" spans="1:19">
      <c r="A820" s="59"/>
    </row>
    <row r="821" spans="1:19">
      <c r="A821" s="15" t="s">
        <v>549</v>
      </c>
    </row>
    <row r="822" spans="1:19" s="19" customFormat="1">
      <c r="A822" s="18" t="s">
        <v>550</v>
      </c>
      <c r="B822" s="19" t="s">
        <v>18</v>
      </c>
      <c r="C822" s="20"/>
      <c r="D822" s="21" t="s">
        <v>42</v>
      </c>
      <c r="E822" s="26"/>
      <c r="F822" s="22">
        <v>18</v>
      </c>
      <c r="G822" s="23" t="s">
        <v>101</v>
      </c>
      <c r="H822" s="22">
        <v>1</v>
      </c>
      <c r="I822" s="23" t="s">
        <v>42</v>
      </c>
      <c r="J822" s="24">
        <f>4900*12</f>
        <v>58800</v>
      </c>
      <c r="K822" s="21" t="s">
        <v>42</v>
      </c>
      <c r="L822" s="25">
        <v>0.125</v>
      </c>
      <c r="M822" s="25">
        <v>0.05</v>
      </c>
      <c r="N822" s="22"/>
      <c r="O822" s="23" t="s">
        <v>42</v>
      </c>
      <c r="P822" s="20">
        <f>(C822+(E822*F822*H822))-N822</f>
        <v>0</v>
      </c>
      <c r="Q822" s="23" t="s">
        <v>42</v>
      </c>
      <c r="R822" s="24">
        <f>P822*(J822-(J822*L822)-((J822-(J822*L822))*M822))</f>
        <v>0</v>
      </c>
      <c r="S822" s="8">
        <f t="shared" si="143"/>
        <v>0</v>
      </c>
    </row>
    <row r="823" spans="1:19" s="19" customFormat="1">
      <c r="A823" s="18" t="s">
        <v>551</v>
      </c>
      <c r="B823" s="19" t="s">
        <v>18</v>
      </c>
      <c r="C823" s="20"/>
      <c r="D823" s="21" t="s">
        <v>42</v>
      </c>
      <c r="E823" s="26"/>
      <c r="F823" s="22">
        <v>24</v>
      </c>
      <c r="G823" s="23" t="s">
        <v>101</v>
      </c>
      <c r="H823" s="22">
        <v>2</v>
      </c>
      <c r="I823" s="23" t="s">
        <v>42</v>
      </c>
      <c r="J823" s="24">
        <f>4900*12</f>
        <v>58800</v>
      </c>
      <c r="K823" s="21" t="s">
        <v>42</v>
      </c>
      <c r="L823" s="25">
        <v>0.125</v>
      </c>
      <c r="M823" s="25">
        <v>0.05</v>
      </c>
      <c r="N823" s="22"/>
      <c r="O823" s="23" t="s">
        <v>42</v>
      </c>
      <c r="P823" s="20">
        <f>(C823+(E823*F823*H823))-N823</f>
        <v>0</v>
      </c>
      <c r="Q823" s="23" t="s">
        <v>42</v>
      </c>
      <c r="R823" s="24">
        <f>P823*(J823-(J823*L823)-((J823-(J823*L823))*M823))</f>
        <v>0</v>
      </c>
      <c r="S823" s="8">
        <f t="shared" si="143"/>
        <v>0</v>
      </c>
    </row>
    <row r="824" spans="1:19" s="19" customFormat="1">
      <c r="A824" s="18" t="s">
        <v>552</v>
      </c>
      <c r="B824" s="19" t="s">
        <v>18</v>
      </c>
      <c r="C824" s="20"/>
      <c r="D824" s="21" t="s">
        <v>42</v>
      </c>
      <c r="E824" s="26"/>
      <c r="F824" s="22">
        <v>18</v>
      </c>
      <c r="G824" s="23" t="s">
        <v>101</v>
      </c>
      <c r="H824" s="22">
        <v>1</v>
      </c>
      <c r="I824" s="23" t="s">
        <v>42</v>
      </c>
      <c r="J824" s="24">
        <f>6100*12</f>
        <v>73200</v>
      </c>
      <c r="K824" s="21" t="s">
        <v>42</v>
      </c>
      <c r="L824" s="25">
        <v>0.125</v>
      </c>
      <c r="M824" s="25">
        <v>0.05</v>
      </c>
      <c r="N824" s="22"/>
      <c r="O824" s="23" t="s">
        <v>42</v>
      </c>
      <c r="P824" s="20">
        <f>(C824+(E824*F824*H824))-N824</f>
        <v>0</v>
      </c>
      <c r="Q824" s="23" t="s">
        <v>42</v>
      </c>
      <c r="R824" s="24">
        <f>P824*(J824-(J824*L824)-((J824-(J824*L824))*M824))</f>
        <v>0</v>
      </c>
      <c r="S824" s="8">
        <f t="shared" si="143"/>
        <v>0</v>
      </c>
    </row>
    <row r="825" spans="1:19" s="19" customFormat="1">
      <c r="A825" s="18" t="s">
        <v>553</v>
      </c>
      <c r="B825" s="19" t="s">
        <v>18</v>
      </c>
      <c r="C825" s="20"/>
      <c r="D825" s="21" t="s">
        <v>42</v>
      </c>
      <c r="E825" s="26"/>
      <c r="F825" s="22">
        <v>24</v>
      </c>
      <c r="G825" s="23" t="s">
        <v>101</v>
      </c>
      <c r="H825" s="22">
        <v>6</v>
      </c>
      <c r="I825" s="23" t="s">
        <v>19</v>
      </c>
      <c r="J825" s="24">
        <v>12600</v>
      </c>
      <c r="K825" s="21" t="s">
        <v>19</v>
      </c>
      <c r="L825" s="25">
        <v>0.125</v>
      </c>
      <c r="M825" s="25">
        <v>0.05</v>
      </c>
      <c r="N825" s="22"/>
      <c r="O825" s="23" t="s">
        <v>19</v>
      </c>
      <c r="P825" s="20">
        <f>(C825+(E825*F825*H825))-N825</f>
        <v>0</v>
      </c>
      <c r="Q825" s="23" t="s">
        <v>19</v>
      </c>
      <c r="R825" s="24">
        <f>P825*(J825-(J825*L825)-((J825-(J825*L825))*M825))</f>
        <v>0</v>
      </c>
      <c r="S825" s="8">
        <f t="shared" si="143"/>
        <v>0</v>
      </c>
    </row>
    <row r="826" spans="1:19" s="19" customFormat="1">
      <c r="A826" s="18"/>
      <c r="C826" s="20"/>
      <c r="D826" s="21"/>
      <c r="E826" s="26"/>
      <c r="F826" s="22"/>
      <c r="G826" s="23"/>
      <c r="H826" s="22"/>
      <c r="I826" s="23"/>
      <c r="J826" s="24"/>
      <c r="K826" s="21"/>
      <c r="L826" s="25"/>
      <c r="M826" s="25"/>
      <c r="N826" s="22"/>
      <c r="O826" s="23"/>
      <c r="P826" s="20"/>
      <c r="Q826" s="23"/>
      <c r="R826" s="24"/>
      <c r="S826" s="8"/>
    </row>
    <row r="827" spans="1:19" s="19" customFormat="1">
      <c r="A827" s="18" t="s">
        <v>554</v>
      </c>
      <c r="B827" s="19" t="s">
        <v>25</v>
      </c>
      <c r="C827" s="20"/>
      <c r="D827" s="21" t="s">
        <v>42</v>
      </c>
      <c r="E827" s="26">
        <v>3</v>
      </c>
      <c r="F827" s="22">
        <v>1</v>
      </c>
      <c r="G827" s="23" t="s">
        <v>20</v>
      </c>
      <c r="H827" s="22">
        <v>18</v>
      </c>
      <c r="I827" s="23" t="s">
        <v>42</v>
      </c>
      <c r="J827" s="24">
        <f>1069200/18</f>
        <v>59400</v>
      </c>
      <c r="K827" s="21" t="s">
        <v>42</v>
      </c>
      <c r="L827" s="25"/>
      <c r="M827" s="25">
        <v>0.17</v>
      </c>
      <c r="N827" s="22"/>
      <c r="O827" s="23" t="s">
        <v>42</v>
      </c>
      <c r="P827" s="20">
        <f>(C827+(E827*F827*H827))-N827</f>
        <v>54</v>
      </c>
      <c r="Q827" s="23" t="s">
        <v>42</v>
      </c>
      <c r="R827" s="24">
        <f>P827*(J827-(J827*L827)-((J827-(J827*L827))*M827))</f>
        <v>2662308</v>
      </c>
      <c r="S827" s="24">
        <f t="shared" si="143"/>
        <v>2398475.6756756753</v>
      </c>
    </row>
    <row r="828" spans="1:19">
      <c r="A828" s="17" t="s">
        <v>555</v>
      </c>
      <c r="B828" s="2" t="s">
        <v>25</v>
      </c>
      <c r="D828" s="4" t="s">
        <v>42</v>
      </c>
      <c r="F828" s="6">
        <v>1</v>
      </c>
      <c r="G828" s="7" t="s">
        <v>20</v>
      </c>
      <c r="H828" s="6">
        <v>18</v>
      </c>
      <c r="I828" s="7" t="s">
        <v>42</v>
      </c>
      <c r="J828" s="8">
        <f>1274400/18</f>
        <v>70800</v>
      </c>
      <c r="K828" s="4" t="s">
        <v>42</v>
      </c>
      <c r="M828" s="9">
        <v>0.17</v>
      </c>
      <c r="O828" s="7" t="s">
        <v>42</v>
      </c>
      <c r="P828" s="3">
        <f>(C828+(E828*F828*H828))-N828</f>
        <v>0</v>
      </c>
      <c r="Q828" s="7" t="s">
        <v>42</v>
      </c>
      <c r="R828" s="8">
        <f>P828*(J828-(J828*L828)-((J828-(J828*L828))*M828))</f>
        <v>0</v>
      </c>
      <c r="S828" s="8">
        <f t="shared" si="143"/>
        <v>0</v>
      </c>
    </row>
    <row r="830" spans="1:19" ht="15.75">
      <c r="A830" s="14" t="s">
        <v>556</v>
      </c>
    </row>
    <row r="831" spans="1:19">
      <c r="A831" s="15" t="s">
        <v>557</v>
      </c>
    </row>
    <row r="832" spans="1:19">
      <c r="A832" s="17" t="s">
        <v>712</v>
      </c>
      <c r="B832" s="19" t="s">
        <v>18</v>
      </c>
      <c r="D832" s="4" t="s">
        <v>19</v>
      </c>
      <c r="E832" s="5">
        <v>1</v>
      </c>
      <c r="F832" s="6">
        <v>1</v>
      </c>
      <c r="G832" s="7" t="s">
        <v>20</v>
      </c>
      <c r="H832" s="6">
        <v>72</v>
      </c>
      <c r="I832" s="7" t="s">
        <v>19</v>
      </c>
      <c r="J832" s="8">
        <v>34500</v>
      </c>
      <c r="K832" s="4" t="s">
        <v>19</v>
      </c>
      <c r="L832" s="9">
        <v>0.125</v>
      </c>
      <c r="M832" s="9">
        <v>0.05</v>
      </c>
      <c r="O832" s="7" t="s">
        <v>19</v>
      </c>
      <c r="P832" s="3">
        <f>(C832+(E832*F832*H832))-N832</f>
        <v>72</v>
      </c>
      <c r="Q832" s="7" t="s">
        <v>19</v>
      </c>
      <c r="R832" s="8">
        <f>P832*(J832-(J832*L832)-((J832-(J832*L832))*M832))</f>
        <v>2064825</v>
      </c>
      <c r="S832" s="8">
        <f t="shared" ref="S832" si="147">R832/1.11</f>
        <v>1860202.7027027025</v>
      </c>
    </row>
    <row r="833" spans="1:19">
      <c r="A833" s="17" t="s">
        <v>558</v>
      </c>
      <c r="B833" s="19" t="s">
        <v>18</v>
      </c>
      <c r="D833" s="4" t="s">
        <v>19</v>
      </c>
      <c r="F833" s="6">
        <v>1</v>
      </c>
      <c r="G833" s="7" t="s">
        <v>20</v>
      </c>
      <c r="H833" s="6">
        <v>24</v>
      </c>
      <c r="I833" s="7" t="s">
        <v>19</v>
      </c>
      <c r="J833" s="8">
        <v>97000</v>
      </c>
      <c r="K833" s="4" t="s">
        <v>19</v>
      </c>
      <c r="L833" s="9">
        <v>0.125</v>
      </c>
      <c r="M833" s="9">
        <v>0.05</v>
      </c>
      <c r="O833" s="7" t="s">
        <v>19</v>
      </c>
      <c r="P833" s="3">
        <f>(C833+(E833*F833*H833))-N833</f>
        <v>0</v>
      </c>
      <c r="Q833" s="7" t="s">
        <v>19</v>
      </c>
      <c r="R833" s="8">
        <f>P833*(J833-(J833*L833)-((J833-(J833*L833))*M833))</f>
        <v>0</v>
      </c>
      <c r="S833" s="8">
        <f t="shared" si="143"/>
        <v>0</v>
      </c>
    </row>
    <row r="834" spans="1:19">
      <c r="B834" s="19"/>
    </row>
    <row r="835" spans="1:19">
      <c r="A835" s="17" t="s">
        <v>559</v>
      </c>
      <c r="B835" s="2" t="s">
        <v>25</v>
      </c>
      <c r="D835" s="4" t="s">
        <v>42</v>
      </c>
      <c r="F835" s="6">
        <v>1</v>
      </c>
      <c r="G835" s="7" t="s">
        <v>20</v>
      </c>
      <c r="H835" s="6">
        <v>48</v>
      </c>
      <c r="I835" s="7" t="s">
        <v>19</v>
      </c>
      <c r="J835" s="8">
        <f>2400000/48</f>
        <v>50000</v>
      </c>
      <c r="K835" s="4" t="s">
        <v>19</v>
      </c>
      <c r="M835" s="9">
        <v>0.17</v>
      </c>
      <c r="O835" s="7" t="s">
        <v>19</v>
      </c>
      <c r="P835" s="3">
        <f>(C835+(E835*F835*H835))-N835</f>
        <v>0</v>
      </c>
      <c r="Q835" s="7" t="s">
        <v>19</v>
      </c>
      <c r="R835" s="8">
        <f>P835*(J835-(J835*L835)-((J835-(J835*L835))*M835))</f>
        <v>0</v>
      </c>
      <c r="S835" s="8">
        <f t="shared" si="143"/>
        <v>0</v>
      </c>
    </row>
    <row r="837" spans="1:19">
      <c r="A837" s="15" t="s">
        <v>560</v>
      </c>
    </row>
    <row r="838" spans="1:19" s="19" customFormat="1">
      <c r="A838" s="18" t="s">
        <v>561</v>
      </c>
      <c r="B838" s="19" t="s">
        <v>18</v>
      </c>
      <c r="C838" s="20"/>
      <c r="D838" s="21" t="s">
        <v>42</v>
      </c>
      <c r="E838" s="26">
        <v>7</v>
      </c>
      <c r="F838" s="22">
        <v>1</v>
      </c>
      <c r="G838" s="23" t="s">
        <v>20</v>
      </c>
      <c r="H838" s="22">
        <v>20</v>
      </c>
      <c r="I838" s="23" t="s">
        <v>42</v>
      </c>
      <c r="J838" s="24">
        <v>85200</v>
      </c>
      <c r="K838" s="21" t="s">
        <v>42</v>
      </c>
      <c r="L838" s="25">
        <v>0.125</v>
      </c>
      <c r="M838" s="25">
        <v>0.05</v>
      </c>
      <c r="N838" s="22"/>
      <c r="O838" s="23" t="s">
        <v>42</v>
      </c>
      <c r="P838" s="20">
        <f t="shared" ref="P838:P850" si="148">(C838+(E838*F838*H838))-N838</f>
        <v>140</v>
      </c>
      <c r="Q838" s="23" t="s">
        <v>42</v>
      </c>
      <c r="R838" s="24">
        <f t="shared" ref="R838:R850" si="149">P838*(J838-(J838*L838)-((J838-(J838*L838))*M838))</f>
        <v>9915150</v>
      </c>
      <c r="S838" s="24">
        <f t="shared" si="143"/>
        <v>8932567.5675675664</v>
      </c>
    </row>
    <row r="839" spans="1:19">
      <c r="A839" s="17" t="s">
        <v>562</v>
      </c>
      <c r="B839" s="2" t="s">
        <v>18</v>
      </c>
      <c r="D839" s="4" t="s">
        <v>19</v>
      </c>
      <c r="F839" s="6">
        <v>24</v>
      </c>
      <c r="G839" s="7" t="s">
        <v>33</v>
      </c>
      <c r="H839" s="6">
        <v>10</v>
      </c>
      <c r="I839" s="7" t="s">
        <v>19</v>
      </c>
      <c r="J839" s="8">
        <v>9750</v>
      </c>
      <c r="K839" s="4" t="s">
        <v>19</v>
      </c>
      <c r="L839" s="9">
        <v>0.125</v>
      </c>
      <c r="M839" s="9">
        <v>0.05</v>
      </c>
      <c r="O839" s="7" t="s">
        <v>19</v>
      </c>
      <c r="P839" s="3">
        <f t="shared" si="148"/>
        <v>0</v>
      </c>
      <c r="Q839" s="7" t="s">
        <v>19</v>
      </c>
      <c r="R839" s="8">
        <f t="shared" si="149"/>
        <v>0</v>
      </c>
      <c r="S839" s="8">
        <f t="shared" si="143"/>
        <v>0</v>
      </c>
    </row>
    <row r="840" spans="1:19">
      <c r="A840" s="17" t="s">
        <v>563</v>
      </c>
      <c r="B840" s="2" t="s">
        <v>18</v>
      </c>
      <c r="D840" s="4" t="s">
        <v>42</v>
      </c>
      <c r="F840" s="6">
        <v>1</v>
      </c>
      <c r="G840" s="7" t="s">
        <v>20</v>
      </c>
      <c r="H840" s="6">
        <v>25</v>
      </c>
      <c r="I840" s="7" t="s">
        <v>42</v>
      </c>
      <c r="J840" s="8">
        <v>70800</v>
      </c>
      <c r="K840" s="4" t="s">
        <v>42</v>
      </c>
      <c r="L840" s="9">
        <v>0.125</v>
      </c>
      <c r="M840" s="9">
        <v>0.05</v>
      </c>
      <c r="O840" s="7" t="s">
        <v>42</v>
      </c>
      <c r="P840" s="3">
        <f t="shared" si="148"/>
        <v>0</v>
      </c>
      <c r="Q840" s="7" t="s">
        <v>42</v>
      </c>
      <c r="R840" s="8">
        <f t="shared" si="149"/>
        <v>0</v>
      </c>
      <c r="S840" s="8">
        <f t="shared" si="143"/>
        <v>0</v>
      </c>
    </row>
    <row r="841" spans="1:19" s="19" customFormat="1">
      <c r="A841" s="18" t="s">
        <v>564</v>
      </c>
      <c r="B841" s="19" t="s">
        <v>18</v>
      </c>
      <c r="C841" s="20"/>
      <c r="D841" s="21" t="s">
        <v>42</v>
      </c>
      <c r="E841" s="26"/>
      <c r="F841" s="22">
        <v>20</v>
      </c>
      <c r="G841" s="23" t="s">
        <v>33</v>
      </c>
      <c r="H841" s="22">
        <v>1</v>
      </c>
      <c r="I841" s="23" t="s">
        <v>42</v>
      </c>
      <c r="J841" s="24">
        <f>6800*12</f>
        <v>81600</v>
      </c>
      <c r="K841" s="21" t="s">
        <v>42</v>
      </c>
      <c r="L841" s="25">
        <v>0.125</v>
      </c>
      <c r="M841" s="25">
        <v>0.05</v>
      </c>
      <c r="N841" s="22"/>
      <c r="O841" s="23" t="s">
        <v>42</v>
      </c>
      <c r="P841" s="20">
        <f t="shared" si="148"/>
        <v>0</v>
      </c>
      <c r="Q841" s="23" t="s">
        <v>42</v>
      </c>
      <c r="R841" s="24">
        <f t="shared" si="149"/>
        <v>0</v>
      </c>
      <c r="S841" s="24">
        <f t="shared" si="143"/>
        <v>0</v>
      </c>
    </row>
    <row r="842" spans="1:19" s="19" customFormat="1">
      <c r="A842" s="18" t="s">
        <v>565</v>
      </c>
      <c r="B842" s="19" t="s">
        <v>18</v>
      </c>
      <c r="C842" s="20"/>
      <c r="D842" s="21" t="s">
        <v>19</v>
      </c>
      <c r="E842" s="26"/>
      <c r="F842" s="22">
        <v>20</v>
      </c>
      <c r="G842" s="23" t="s">
        <v>33</v>
      </c>
      <c r="H842" s="22">
        <v>6</v>
      </c>
      <c r="I842" s="23" t="s">
        <v>19</v>
      </c>
      <c r="J842" s="24">
        <v>18700</v>
      </c>
      <c r="K842" s="21" t="s">
        <v>19</v>
      </c>
      <c r="L842" s="25">
        <v>0.125</v>
      </c>
      <c r="M842" s="25">
        <v>0.05</v>
      </c>
      <c r="N842" s="22"/>
      <c r="O842" s="23" t="s">
        <v>19</v>
      </c>
      <c r="P842" s="20">
        <f t="shared" si="148"/>
        <v>0</v>
      </c>
      <c r="Q842" s="23" t="s">
        <v>19</v>
      </c>
      <c r="R842" s="24">
        <f t="shared" si="149"/>
        <v>0</v>
      </c>
      <c r="S842" s="24">
        <f t="shared" si="143"/>
        <v>0</v>
      </c>
    </row>
    <row r="843" spans="1:19" s="19" customFormat="1">
      <c r="A843" s="18" t="s">
        <v>566</v>
      </c>
      <c r="B843" s="19" t="s">
        <v>18</v>
      </c>
      <c r="C843" s="20"/>
      <c r="D843" s="21" t="s">
        <v>19</v>
      </c>
      <c r="E843" s="26"/>
      <c r="F843" s="22">
        <v>20</v>
      </c>
      <c r="G843" s="23" t="s">
        <v>33</v>
      </c>
      <c r="H843" s="22">
        <v>6</v>
      </c>
      <c r="I843" s="23" t="s">
        <v>19</v>
      </c>
      <c r="J843" s="24">
        <v>18000</v>
      </c>
      <c r="K843" s="21" t="s">
        <v>19</v>
      </c>
      <c r="L843" s="25">
        <v>0.125</v>
      </c>
      <c r="M843" s="25">
        <v>0.05</v>
      </c>
      <c r="N843" s="22"/>
      <c r="O843" s="23" t="s">
        <v>19</v>
      </c>
      <c r="P843" s="20">
        <f t="shared" si="148"/>
        <v>0</v>
      </c>
      <c r="Q843" s="23" t="s">
        <v>19</v>
      </c>
      <c r="R843" s="24">
        <f t="shared" si="149"/>
        <v>0</v>
      </c>
      <c r="S843" s="24">
        <f t="shared" si="143"/>
        <v>0</v>
      </c>
    </row>
    <row r="844" spans="1:19">
      <c r="A844" s="17" t="s">
        <v>567</v>
      </c>
      <c r="B844" s="2" t="s">
        <v>18</v>
      </c>
      <c r="D844" s="4" t="s">
        <v>19</v>
      </c>
      <c r="F844" s="6">
        <v>1</v>
      </c>
      <c r="G844" s="7" t="s">
        <v>20</v>
      </c>
      <c r="H844" s="6">
        <v>12</v>
      </c>
      <c r="I844" s="7" t="s">
        <v>19</v>
      </c>
      <c r="J844" s="8">
        <v>162000</v>
      </c>
      <c r="K844" s="4" t="s">
        <v>19</v>
      </c>
      <c r="L844" s="9">
        <v>0.125</v>
      </c>
      <c r="M844" s="9">
        <v>0.05</v>
      </c>
      <c r="O844" s="7" t="s">
        <v>19</v>
      </c>
      <c r="P844" s="3">
        <f t="shared" si="148"/>
        <v>0</v>
      </c>
      <c r="Q844" s="7" t="s">
        <v>19</v>
      </c>
      <c r="R844" s="8">
        <f t="shared" si="149"/>
        <v>0</v>
      </c>
      <c r="S844" s="8">
        <f t="shared" si="143"/>
        <v>0</v>
      </c>
    </row>
    <row r="845" spans="1:19">
      <c r="A845" s="17" t="s">
        <v>787</v>
      </c>
      <c r="B845" s="2" t="s">
        <v>18</v>
      </c>
      <c r="D845" s="4" t="s">
        <v>19</v>
      </c>
      <c r="F845" s="6">
        <v>1</v>
      </c>
      <c r="G845" s="7" t="s">
        <v>20</v>
      </c>
      <c r="H845" s="6">
        <v>12</v>
      </c>
      <c r="I845" s="7" t="s">
        <v>19</v>
      </c>
      <c r="J845" s="8">
        <v>200000</v>
      </c>
      <c r="K845" s="4" t="s">
        <v>19</v>
      </c>
      <c r="L845" s="9">
        <v>0.125</v>
      </c>
      <c r="M845" s="9">
        <v>0.05</v>
      </c>
      <c r="O845" s="7" t="s">
        <v>19</v>
      </c>
      <c r="P845" s="3">
        <f t="shared" si="148"/>
        <v>0</v>
      </c>
      <c r="Q845" s="7" t="s">
        <v>19</v>
      </c>
      <c r="R845" s="8">
        <f t="shared" si="149"/>
        <v>0</v>
      </c>
      <c r="S845" s="8">
        <f t="shared" si="143"/>
        <v>0</v>
      </c>
    </row>
    <row r="846" spans="1:19">
      <c r="A846" s="17" t="s">
        <v>568</v>
      </c>
      <c r="B846" s="2" t="s">
        <v>18</v>
      </c>
      <c r="D846" s="4" t="s">
        <v>19</v>
      </c>
      <c r="F846" s="6">
        <v>1</v>
      </c>
      <c r="G846" s="7" t="s">
        <v>20</v>
      </c>
      <c r="H846" s="6">
        <v>36</v>
      </c>
      <c r="I846" s="7" t="s">
        <v>19</v>
      </c>
      <c r="J846" s="8">
        <v>58000</v>
      </c>
      <c r="K846" s="4" t="s">
        <v>19</v>
      </c>
      <c r="L846" s="9">
        <v>0.125</v>
      </c>
      <c r="M846" s="9">
        <v>0.05</v>
      </c>
      <c r="O846" s="7" t="s">
        <v>19</v>
      </c>
      <c r="P846" s="3">
        <f t="shared" si="148"/>
        <v>0</v>
      </c>
      <c r="Q846" s="7" t="s">
        <v>19</v>
      </c>
      <c r="R846" s="8">
        <f t="shared" si="149"/>
        <v>0</v>
      </c>
      <c r="S846" s="8">
        <f t="shared" si="143"/>
        <v>0</v>
      </c>
    </row>
    <row r="847" spans="1:19">
      <c r="A847" s="17" t="s">
        <v>569</v>
      </c>
      <c r="B847" s="2" t="s">
        <v>18</v>
      </c>
      <c r="D847" s="4" t="s">
        <v>19</v>
      </c>
      <c r="F847" s="6">
        <v>1</v>
      </c>
      <c r="G847" s="7" t="s">
        <v>20</v>
      </c>
      <c r="H847" s="6">
        <v>12</v>
      </c>
      <c r="I847" s="7" t="s">
        <v>19</v>
      </c>
      <c r="J847" s="8">
        <v>97000</v>
      </c>
      <c r="K847" s="4" t="s">
        <v>19</v>
      </c>
      <c r="L847" s="9">
        <v>0.125</v>
      </c>
      <c r="M847" s="9">
        <v>0.05</v>
      </c>
      <c r="O847" s="7" t="s">
        <v>19</v>
      </c>
      <c r="P847" s="3">
        <f t="shared" si="148"/>
        <v>0</v>
      </c>
      <c r="Q847" s="7" t="s">
        <v>19</v>
      </c>
      <c r="R847" s="8">
        <f t="shared" si="149"/>
        <v>0</v>
      </c>
      <c r="S847" s="8">
        <f t="shared" si="143"/>
        <v>0</v>
      </c>
    </row>
    <row r="848" spans="1:19" s="19" customFormat="1">
      <c r="A848" s="18" t="s">
        <v>570</v>
      </c>
      <c r="B848" s="19" t="s">
        <v>18</v>
      </c>
      <c r="C848" s="20"/>
      <c r="D848" s="21" t="s">
        <v>19</v>
      </c>
      <c r="E848" s="26">
        <v>2</v>
      </c>
      <c r="F848" s="22">
        <v>1</v>
      </c>
      <c r="G848" s="23" t="s">
        <v>20</v>
      </c>
      <c r="H848" s="22">
        <v>12</v>
      </c>
      <c r="I848" s="23" t="s">
        <v>19</v>
      </c>
      <c r="J848" s="24">
        <v>97000</v>
      </c>
      <c r="K848" s="21" t="s">
        <v>19</v>
      </c>
      <c r="L848" s="25">
        <v>0.125</v>
      </c>
      <c r="M848" s="25">
        <v>0.05</v>
      </c>
      <c r="N848" s="22"/>
      <c r="O848" s="23" t="s">
        <v>19</v>
      </c>
      <c r="P848" s="20">
        <f t="shared" si="148"/>
        <v>24</v>
      </c>
      <c r="Q848" s="23" t="s">
        <v>19</v>
      </c>
      <c r="R848" s="24">
        <f t="shared" si="149"/>
        <v>1935150</v>
      </c>
      <c r="S848" s="24">
        <f t="shared" si="143"/>
        <v>1743378.3783783782</v>
      </c>
    </row>
    <row r="849" spans="1:19">
      <c r="A849" s="17" t="s">
        <v>571</v>
      </c>
      <c r="B849" s="2" t="s">
        <v>18</v>
      </c>
      <c r="D849" s="4" t="s">
        <v>19</v>
      </c>
      <c r="E849" s="5">
        <v>2</v>
      </c>
      <c r="F849" s="6">
        <v>1</v>
      </c>
      <c r="G849" s="7" t="s">
        <v>20</v>
      </c>
      <c r="H849" s="6">
        <v>6</v>
      </c>
      <c r="I849" s="7" t="s">
        <v>19</v>
      </c>
      <c r="J849" s="8">
        <v>187000</v>
      </c>
      <c r="K849" s="4" t="s">
        <v>19</v>
      </c>
      <c r="L849" s="9">
        <v>0.125</v>
      </c>
      <c r="M849" s="9">
        <v>0.05</v>
      </c>
      <c r="O849" s="7" t="s">
        <v>19</v>
      </c>
      <c r="P849" s="3">
        <f t="shared" si="148"/>
        <v>12</v>
      </c>
      <c r="Q849" s="7" t="s">
        <v>19</v>
      </c>
      <c r="R849" s="8">
        <f t="shared" si="149"/>
        <v>1865325</v>
      </c>
      <c r="S849" s="8">
        <f t="shared" si="143"/>
        <v>1680472.9729729728</v>
      </c>
    </row>
    <row r="850" spans="1:19">
      <c r="A850" s="17" t="s">
        <v>572</v>
      </c>
      <c r="B850" s="2" t="s">
        <v>18</v>
      </c>
      <c r="D850" s="4" t="s">
        <v>19</v>
      </c>
      <c r="F850" s="6">
        <v>1</v>
      </c>
      <c r="G850" s="7" t="s">
        <v>20</v>
      </c>
      <c r="H850" s="6">
        <v>6</v>
      </c>
      <c r="I850" s="7" t="s">
        <v>19</v>
      </c>
      <c r="J850" s="8">
        <v>420000</v>
      </c>
      <c r="K850" s="4" t="s">
        <v>19</v>
      </c>
      <c r="L850" s="9">
        <v>0.125</v>
      </c>
      <c r="M850" s="9">
        <v>0.05</v>
      </c>
      <c r="O850" s="7" t="s">
        <v>19</v>
      </c>
      <c r="P850" s="3">
        <f t="shared" si="148"/>
        <v>0</v>
      </c>
      <c r="Q850" s="7" t="s">
        <v>19</v>
      </c>
      <c r="R850" s="8">
        <f t="shared" si="149"/>
        <v>0</v>
      </c>
      <c r="S850" s="8">
        <f t="shared" si="143"/>
        <v>0</v>
      </c>
    </row>
    <row r="852" spans="1:19" s="19" customFormat="1">
      <c r="A852" s="31" t="s">
        <v>573</v>
      </c>
      <c r="B852" s="32" t="s">
        <v>25</v>
      </c>
      <c r="C852" s="33"/>
      <c r="D852" s="34" t="s">
        <v>42</v>
      </c>
      <c r="E852" s="35">
        <v>21</v>
      </c>
      <c r="F852" s="36">
        <v>1</v>
      </c>
      <c r="G852" s="37" t="s">
        <v>20</v>
      </c>
      <c r="H852" s="36">
        <v>20</v>
      </c>
      <c r="I852" s="37" t="s">
        <v>42</v>
      </c>
      <c r="J852" s="38">
        <f>1860000/20</f>
        <v>93000</v>
      </c>
      <c r="K852" s="34" t="s">
        <v>42</v>
      </c>
      <c r="L852" s="39"/>
      <c r="M852" s="39">
        <v>0.17</v>
      </c>
      <c r="N852" s="36"/>
      <c r="O852" s="37" t="s">
        <v>42</v>
      </c>
      <c r="P852" s="33">
        <f t="shared" ref="P852:P870" si="150">(C852+(E852*F852*H852))-N852</f>
        <v>420</v>
      </c>
      <c r="Q852" s="37" t="s">
        <v>42</v>
      </c>
      <c r="R852" s="38">
        <f t="shared" ref="R852:R870" si="151">P852*(J852-(J852*L852)-((J852-(J852*L852))*M852))</f>
        <v>32419800</v>
      </c>
      <c r="S852" s="38">
        <f t="shared" si="143"/>
        <v>29207027.027027026</v>
      </c>
    </row>
    <row r="853" spans="1:19">
      <c r="A853" s="31" t="s">
        <v>574</v>
      </c>
      <c r="B853" s="32" t="s">
        <v>25</v>
      </c>
      <c r="C853" s="33"/>
      <c r="D853" s="34" t="s">
        <v>42</v>
      </c>
      <c r="E853" s="35"/>
      <c r="F853" s="36">
        <v>1</v>
      </c>
      <c r="G853" s="37" t="s">
        <v>20</v>
      </c>
      <c r="H853" s="36">
        <v>20</v>
      </c>
      <c r="I853" s="37" t="s">
        <v>42</v>
      </c>
      <c r="J853" s="38">
        <f>1740000/20</f>
        <v>87000</v>
      </c>
      <c r="K853" s="34" t="s">
        <v>42</v>
      </c>
      <c r="L853" s="39"/>
      <c r="M853" s="39">
        <v>0.17</v>
      </c>
      <c r="N853" s="36"/>
      <c r="O853" s="37" t="s">
        <v>42</v>
      </c>
      <c r="P853" s="33">
        <f t="shared" si="150"/>
        <v>0</v>
      </c>
      <c r="Q853" s="37" t="s">
        <v>42</v>
      </c>
      <c r="R853" s="38">
        <f t="shared" si="151"/>
        <v>0</v>
      </c>
      <c r="S853" s="38">
        <f t="shared" si="143"/>
        <v>0</v>
      </c>
    </row>
    <row r="854" spans="1:19" s="19" customFormat="1">
      <c r="A854" s="31" t="s">
        <v>575</v>
      </c>
      <c r="B854" s="32" t="s">
        <v>25</v>
      </c>
      <c r="C854" s="33"/>
      <c r="D854" s="34" t="s">
        <v>42</v>
      </c>
      <c r="E854" s="35"/>
      <c r="F854" s="36">
        <v>1</v>
      </c>
      <c r="G854" s="37" t="s">
        <v>20</v>
      </c>
      <c r="H854" s="36">
        <v>20</v>
      </c>
      <c r="I854" s="37" t="s">
        <v>42</v>
      </c>
      <c r="J854" s="38">
        <f>1740000/20</f>
        <v>87000</v>
      </c>
      <c r="K854" s="34" t="s">
        <v>42</v>
      </c>
      <c r="L854" s="39"/>
      <c r="M854" s="39">
        <v>0.17</v>
      </c>
      <c r="N854" s="36"/>
      <c r="O854" s="37" t="s">
        <v>42</v>
      </c>
      <c r="P854" s="33">
        <f t="shared" si="150"/>
        <v>0</v>
      </c>
      <c r="Q854" s="37" t="s">
        <v>42</v>
      </c>
      <c r="R854" s="38">
        <f t="shared" si="151"/>
        <v>0</v>
      </c>
      <c r="S854" s="38">
        <f t="shared" si="143"/>
        <v>0</v>
      </c>
    </row>
    <row r="855" spans="1:19" s="19" customFormat="1">
      <c r="A855" s="47" t="s">
        <v>576</v>
      </c>
      <c r="B855" s="48" t="s">
        <v>25</v>
      </c>
      <c r="C855" s="49"/>
      <c r="D855" s="50" t="s">
        <v>42</v>
      </c>
      <c r="E855" s="51">
        <v>5</v>
      </c>
      <c r="F855" s="52">
        <v>1</v>
      </c>
      <c r="G855" s="53" t="s">
        <v>20</v>
      </c>
      <c r="H855" s="52">
        <v>20</v>
      </c>
      <c r="I855" s="53" t="s">
        <v>42</v>
      </c>
      <c r="J855" s="54">
        <f>2352000/20</f>
        <v>117600</v>
      </c>
      <c r="K855" s="50" t="s">
        <v>42</v>
      </c>
      <c r="L855" s="55"/>
      <c r="M855" s="55">
        <v>0.17</v>
      </c>
      <c r="N855" s="52"/>
      <c r="O855" s="81" t="s">
        <v>42</v>
      </c>
      <c r="P855" s="49">
        <f t="shared" si="150"/>
        <v>100</v>
      </c>
      <c r="Q855" s="53" t="s">
        <v>42</v>
      </c>
      <c r="R855" s="54">
        <f t="shared" si="151"/>
        <v>9760800</v>
      </c>
      <c r="S855" s="54">
        <f t="shared" si="143"/>
        <v>8793513.5135135129</v>
      </c>
    </row>
    <row r="856" spans="1:19" s="19" customFormat="1">
      <c r="A856" s="47" t="s">
        <v>661</v>
      </c>
      <c r="B856" s="48" t="s">
        <v>25</v>
      </c>
      <c r="C856" s="49"/>
      <c r="D856" s="50" t="s">
        <v>42</v>
      </c>
      <c r="E856" s="51"/>
      <c r="F856" s="52">
        <v>1</v>
      </c>
      <c r="G856" s="53" t="s">
        <v>20</v>
      </c>
      <c r="H856" s="52">
        <v>20</v>
      </c>
      <c r="I856" s="53" t="s">
        <v>42</v>
      </c>
      <c r="J856" s="54">
        <f>2352000/20</f>
        <v>117600</v>
      </c>
      <c r="K856" s="50" t="s">
        <v>42</v>
      </c>
      <c r="L856" s="55"/>
      <c r="M856" s="55">
        <v>0.17</v>
      </c>
      <c r="N856" s="52"/>
      <c r="O856" s="82" t="s">
        <v>42</v>
      </c>
      <c r="P856" s="49">
        <f t="shared" si="150"/>
        <v>0</v>
      </c>
      <c r="Q856" s="53" t="s">
        <v>42</v>
      </c>
      <c r="R856" s="54">
        <f t="shared" si="151"/>
        <v>0</v>
      </c>
      <c r="S856" s="54">
        <f t="shared" si="143"/>
        <v>0</v>
      </c>
    </row>
    <row r="857" spans="1:19" s="19" customFormat="1">
      <c r="A857" s="47" t="s">
        <v>577</v>
      </c>
      <c r="B857" s="48" t="s">
        <v>25</v>
      </c>
      <c r="C857" s="49"/>
      <c r="D857" s="50" t="s">
        <v>42</v>
      </c>
      <c r="E857" s="51"/>
      <c r="F857" s="52">
        <v>1</v>
      </c>
      <c r="G857" s="53" t="s">
        <v>20</v>
      </c>
      <c r="H857" s="52">
        <v>20</v>
      </c>
      <c r="I857" s="53" t="s">
        <v>42</v>
      </c>
      <c r="J857" s="54">
        <f>2352000/20</f>
        <v>117600</v>
      </c>
      <c r="K857" s="50" t="s">
        <v>42</v>
      </c>
      <c r="L857" s="55"/>
      <c r="M857" s="55">
        <v>0.17</v>
      </c>
      <c r="N857" s="52"/>
      <c r="O857" s="53" t="s">
        <v>42</v>
      </c>
      <c r="P857" s="49">
        <f t="shared" si="150"/>
        <v>0</v>
      </c>
      <c r="Q857" s="53" t="s">
        <v>42</v>
      </c>
      <c r="R857" s="54">
        <f t="shared" si="151"/>
        <v>0</v>
      </c>
      <c r="S857" s="54">
        <f t="shared" si="143"/>
        <v>0</v>
      </c>
    </row>
    <row r="858" spans="1:19" s="19" customFormat="1">
      <c r="A858" s="18" t="s">
        <v>812</v>
      </c>
      <c r="B858" s="19" t="s">
        <v>25</v>
      </c>
      <c r="C858" s="20"/>
      <c r="D858" s="21" t="s">
        <v>42</v>
      </c>
      <c r="E858" s="26"/>
      <c r="F858" s="22">
        <v>1</v>
      </c>
      <c r="G858" s="23" t="s">
        <v>20</v>
      </c>
      <c r="H858" s="22">
        <v>10</v>
      </c>
      <c r="I858" s="23" t="s">
        <v>42</v>
      </c>
      <c r="J858" s="24">
        <f>2400000/10</f>
        <v>240000</v>
      </c>
      <c r="K858" s="21" t="s">
        <v>42</v>
      </c>
      <c r="L858" s="25"/>
      <c r="M858" s="25">
        <v>0.17</v>
      </c>
      <c r="N858" s="22"/>
      <c r="O858" s="56" t="s">
        <v>42</v>
      </c>
      <c r="P858" s="20">
        <f t="shared" si="150"/>
        <v>0</v>
      </c>
      <c r="Q858" s="23" t="s">
        <v>42</v>
      </c>
      <c r="R858" s="24">
        <f t="shared" si="151"/>
        <v>0</v>
      </c>
      <c r="S858" s="24">
        <f t="shared" si="143"/>
        <v>0</v>
      </c>
    </row>
    <row r="859" spans="1:19">
      <c r="A859" s="17" t="s">
        <v>578</v>
      </c>
      <c r="B859" s="2" t="s">
        <v>25</v>
      </c>
      <c r="D859" s="4" t="s">
        <v>42</v>
      </c>
      <c r="F859" s="6">
        <v>1</v>
      </c>
      <c r="G859" s="7" t="s">
        <v>20</v>
      </c>
      <c r="H859" s="6">
        <v>40</v>
      </c>
      <c r="I859" s="7" t="s">
        <v>42</v>
      </c>
      <c r="J859" s="8">
        <f>2688000/40</f>
        <v>67200</v>
      </c>
      <c r="K859" s="4" t="s">
        <v>42</v>
      </c>
      <c r="M859" s="9">
        <v>0.17</v>
      </c>
      <c r="O859" s="7" t="s">
        <v>42</v>
      </c>
      <c r="P859" s="3">
        <f t="shared" si="150"/>
        <v>0</v>
      </c>
      <c r="Q859" s="7" t="s">
        <v>42</v>
      </c>
      <c r="R859" s="8">
        <f t="shared" si="151"/>
        <v>0</v>
      </c>
      <c r="S859" s="8">
        <f t="shared" si="143"/>
        <v>0</v>
      </c>
    </row>
    <row r="860" spans="1:19">
      <c r="A860" s="17" t="s">
        <v>579</v>
      </c>
      <c r="B860" s="2" t="s">
        <v>25</v>
      </c>
      <c r="D860" s="4" t="s">
        <v>42</v>
      </c>
      <c r="F860" s="6">
        <v>1</v>
      </c>
      <c r="G860" s="7" t="s">
        <v>20</v>
      </c>
      <c r="H860" s="6">
        <v>20</v>
      </c>
      <c r="I860" s="7" t="s">
        <v>42</v>
      </c>
      <c r="J860" s="8">
        <v>120000</v>
      </c>
      <c r="K860" s="4" t="s">
        <v>42</v>
      </c>
      <c r="M860" s="9">
        <v>0.17</v>
      </c>
      <c r="O860" s="7" t="s">
        <v>42</v>
      </c>
      <c r="P860" s="3">
        <f t="shared" si="150"/>
        <v>0</v>
      </c>
      <c r="Q860" s="7" t="s">
        <v>42</v>
      </c>
      <c r="R860" s="8">
        <f t="shared" si="151"/>
        <v>0</v>
      </c>
      <c r="S860" s="8">
        <f t="shared" si="143"/>
        <v>0</v>
      </c>
    </row>
    <row r="861" spans="1:19" s="19" customFormat="1">
      <c r="A861" s="18" t="s">
        <v>580</v>
      </c>
      <c r="B861" s="19" t="s">
        <v>25</v>
      </c>
      <c r="C861" s="20"/>
      <c r="D861" s="21" t="s">
        <v>42</v>
      </c>
      <c r="E861" s="26"/>
      <c r="F861" s="22">
        <v>1</v>
      </c>
      <c r="G861" s="23" t="s">
        <v>20</v>
      </c>
      <c r="H861" s="22">
        <v>25</v>
      </c>
      <c r="I861" s="23" t="s">
        <v>42</v>
      </c>
      <c r="J861" s="24">
        <f>1740000/25</f>
        <v>69600</v>
      </c>
      <c r="K861" s="21" t="s">
        <v>42</v>
      </c>
      <c r="L861" s="25"/>
      <c r="M861" s="25">
        <v>0.17</v>
      </c>
      <c r="N861" s="22"/>
      <c r="O861" s="23" t="s">
        <v>42</v>
      </c>
      <c r="P861" s="20">
        <f t="shared" si="150"/>
        <v>0</v>
      </c>
      <c r="Q861" s="23" t="s">
        <v>42</v>
      </c>
      <c r="R861" s="24">
        <f t="shared" si="151"/>
        <v>0</v>
      </c>
      <c r="S861" s="24">
        <f t="shared" si="143"/>
        <v>0</v>
      </c>
    </row>
    <row r="862" spans="1:19" s="19" customFormat="1">
      <c r="A862" s="18" t="s">
        <v>581</v>
      </c>
      <c r="B862" s="19" t="s">
        <v>25</v>
      </c>
      <c r="C862" s="20"/>
      <c r="D862" s="21" t="s">
        <v>42</v>
      </c>
      <c r="E862" s="26"/>
      <c r="F862" s="22">
        <v>1</v>
      </c>
      <c r="G862" s="23" t="s">
        <v>20</v>
      </c>
      <c r="H862" s="22">
        <v>10</v>
      </c>
      <c r="I862" s="23" t="s">
        <v>42</v>
      </c>
      <c r="J862" s="24">
        <f>2280000/10</f>
        <v>228000</v>
      </c>
      <c r="K862" s="21" t="s">
        <v>42</v>
      </c>
      <c r="L862" s="25"/>
      <c r="M862" s="25">
        <v>0.17</v>
      </c>
      <c r="N862" s="22"/>
      <c r="O862" s="23" t="s">
        <v>42</v>
      </c>
      <c r="P862" s="20">
        <f t="shared" si="150"/>
        <v>0</v>
      </c>
      <c r="Q862" s="23" t="s">
        <v>42</v>
      </c>
      <c r="R862" s="24">
        <f t="shared" si="151"/>
        <v>0</v>
      </c>
      <c r="S862" s="8">
        <f t="shared" si="143"/>
        <v>0</v>
      </c>
    </row>
    <row r="863" spans="1:19" s="19" customFormat="1">
      <c r="A863" s="31" t="s">
        <v>582</v>
      </c>
      <c r="B863" s="32" t="s">
        <v>25</v>
      </c>
      <c r="C863" s="33"/>
      <c r="D863" s="34" t="s">
        <v>42</v>
      </c>
      <c r="E863" s="35">
        <v>8</v>
      </c>
      <c r="F863" s="36">
        <v>1</v>
      </c>
      <c r="G863" s="37" t="s">
        <v>20</v>
      </c>
      <c r="H863" s="36">
        <v>10</v>
      </c>
      <c r="I863" s="37" t="s">
        <v>42</v>
      </c>
      <c r="J863" s="38">
        <f>2280000/10</f>
        <v>228000</v>
      </c>
      <c r="K863" s="34" t="s">
        <v>42</v>
      </c>
      <c r="L863" s="39"/>
      <c r="M863" s="39">
        <v>0.17</v>
      </c>
      <c r="N863" s="36"/>
      <c r="O863" s="83" t="s">
        <v>42</v>
      </c>
      <c r="P863" s="33">
        <f t="shared" si="150"/>
        <v>80</v>
      </c>
      <c r="Q863" s="37" t="s">
        <v>42</v>
      </c>
      <c r="R863" s="38">
        <f t="shared" si="151"/>
        <v>15139200</v>
      </c>
      <c r="S863" s="38">
        <f t="shared" si="143"/>
        <v>13638918.918918917</v>
      </c>
    </row>
    <row r="864" spans="1:19" s="19" customFormat="1">
      <c r="A864" s="31" t="s">
        <v>583</v>
      </c>
      <c r="B864" s="32" t="s">
        <v>25</v>
      </c>
      <c r="C864" s="33"/>
      <c r="D864" s="34" t="s">
        <v>42</v>
      </c>
      <c r="E864" s="35"/>
      <c r="F864" s="36">
        <v>1</v>
      </c>
      <c r="G864" s="37" t="s">
        <v>20</v>
      </c>
      <c r="H864" s="36">
        <v>10</v>
      </c>
      <c r="I864" s="37" t="s">
        <v>42</v>
      </c>
      <c r="J864" s="38">
        <f>2040000/10</f>
        <v>204000</v>
      </c>
      <c r="K864" s="34" t="s">
        <v>42</v>
      </c>
      <c r="L864" s="39"/>
      <c r="M864" s="39">
        <v>0.17</v>
      </c>
      <c r="N864" s="36"/>
      <c r="O864" s="37" t="s">
        <v>42</v>
      </c>
      <c r="P864" s="33">
        <f t="shared" si="150"/>
        <v>0</v>
      </c>
      <c r="Q864" s="37" t="s">
        <v>42</v>
      </c>
      <c r="R864" s="38">
        <f t="shared" si="151"/>
        <v>0</v>
      </c>
      <c r="S864" s="38">
        <f t="shared" si="143"/>
        <v>0</v>
      </c>
    </row>
    <row r="865" spans="1:19" s="19" customFormat="1">
      <c r="A865" s="31" t="s">
        <v>584</v>
      </c>
      <c r="B865" s="32" t="s">
        <v>25</v>
      </c>
      <c r="C865" s="33"/>
      <c r="D865" s="34" t="s">
        <v>42</v>
      </c>
      <c r="E865" s="35"/>
      <c r="F865" s="36">
        <v>1</v>
      </c>
      <c r="G865" s="37" t="s">
        <v>20</v>
      </c>
      <c r="H865" s="36">
        <v>10</v>
      </c>
      <c r="I865" s="37" t="s">
        <v>42</v>
      </c>
      <c r="J865" s="38">
        <f>2040000/10</f>
        <v>204000</v>
      </c>
      <c r="K865" s="34" t="s">
        <v>42</v>
      </c>
      <c r="L865" s="39"/>
      <c r="M865" s="39">
        <v>0.17</v>
      </c>
      <c r="N865" s="36"/>
      <c r="O865" s="37" t="s">
        <v>42</v>
      </c>
      <c r="P865" s="33">
        <f t="shared" si="150"/>
        <v>0</v>
      </c>
      <c r="Q865" s="37" t="s">
        <v>42</v>
      </c>
      <c r="R865" s="38">
        <f t="shared" si="151"/>
        <v>0</v>
      </c>
      <c r="S865" s="38">
        <f t="shared" si="143"/>
        <v>0</v>
      </c>
    </row>
    <row r="866" spans="1:19">
      <c r="A866" s="17" t="s">
        <v>585</v>
      </c>
      <c r="B866" s="2" t="s">
        <v>25</v>
      </c>
      <c r="D866" s="4" t="s">
        <v>19</v>
      </c>
      <c r="F866" s="6">
        <v>20</v>
      </c>
      <c r="G866" s="7" t="s">
        <v>33</v>
      </c>
      <c r="H866" s="6">
        <v>6</v>
      </c>
      <c r="I866" s="7" t="s">
        <v>19</v>
      </c>
      <c r="J866" s="8">
        <v>14500</v>
      </c>
      <c r="K866" s="4" t="s">
        <v>19</v>
      </c>
      <c r="M866" s="9">
        <v>0.17</v>
      </c>
      <c r="O866" s="7" t="s">
        <v>19</v>
      </c>
      <c r="P866" s="3">
        <f t="shared" si="150"/>
        <v>0</v>
      </c>
      <c r="Q866" s="7" t="s">
        <v>19</v>
      </c>
      <c r="R866" s="8">
        <f t="shared" si="151"/>
        <v>0</v>
      </c>
      <c r="S866" s="8">
        <f t="shared" si="143"/>
        <v>0</v>
      </c>
    </row>
    <row r="867" spans="1:19" s="19" customFormat="1">
      <c r="A867" s="18" t="s">
        <v>586</v>
      </c>
      <c r="B867" s="19" t="s">
        <v>25</v>
      </c>
      <c r="C867" s="20"/>
      <c r="D867" s="21" t="s">
        <v>19</v>
      </c>
      <c r="E867" s="26">
        <v>1</v>
      </c>
      <c r="F867" s="22">
        <v>1</v>
      </c>
      <c r="G867" s="23" t="s">
        <v>20</v>
      </c>
      <c r="H867" s="22">
        <v>6</v>
      </c>
      <c r="I867" s="23" t="s">
        <v>19</v>
      </c>
      <c r="J867" s="24">
        <f>2160000/6</f>
        <v>360000</v>
      </c>
      <c r="K867" s="21" t="s">
        <v>19</v>
      </c>
      <c r="L867" s="25"/>
      <c r="M867" s="25">
        <v>0.17</v>
      </c>
      <c r="N867" s="22"/>
      <c r="O867" s="23" t="s">
        <v>19</v>
      </c>
      <c r="P867" s="20">
        <f t="shared" si="150"/>
        <v>6</v>
      </c>
      <c r="Q867" s="23" t="s">
        <v>19</v>
      </c>
      <c r="R867" s="24">
        <f t="shared" si="151"/>
        <v>1792800</v>
      </c>
      <c r="S867" s="24">
        <f t="shared" si="143"/>
        <v>1615135.1351351349</v>
      </c>
    </row>
    <row r="868" spans="1:19" s="19" customFormat="1">
      <c r="A868" s="18" t="s">
        <v>587</v>
      </c>
      <c r="B868" s="19" t="s">
        <v>25</v>
      </c>
      <c r="C868" s="20"/>
      <c r="D868" s="21" t="s">
        <v>19</v>
      </c>
      <c r="E868" s="26"/>
      <c r="F868" s="22">
        <v>1</v>
      </c>
      <c r="G868" s="23" t="s">
        <v>20</v>
      </c>
      <c r="H868" s="22">
        <v>6</v>
      </c>
      <c r="I868" s="23" t="s">
        <v>19</v>
      </c>
      <c r="J868" s="24">
        <f>930000/6</f>
        <v>155000</v>
      </c>
      <c r="K868" s="21" t="s">
        <v>19</v>
      </c>
      <c r="L868" s="25"/>
      <c r="M868" s="25">
        <v>0.17</v>
      </c>
      <c r="N868" s="22"/>
      <c r="O868" s="23" t="s">
        <v>19</v>
      </c>
      <c r="P868" s="20">
        <f t="shared" si="150"/>
        <v>0</v>
      </c>
      <c r="Q868" s="23" t="s">
        <v>19</v>
      </c>
      <c r="R868" s="24">
        <f t="shared" si="151"/>
        <v>0</v>
      </c>
      <c r="S868" s="24">
        <f t="shared" si="143"/>
        <v>0</v>
      </c>
    </row>
    <row r="869" spans="1:19" s="19" customFormat="1">
      <c r="A869" s="18" t="s">
        <v>588</v>
      </c>
      <c r="B869" s="19" t="s">
        <v>25</v>
      </c>
      <c r="C869" s="20"/>
      <c r="D869" s="21" t="s">
        <v>19</v>
      </c>
      <c r="E869" s="26">
        <v>1</v>
      </c>
      <c r="F869" s="22">
        <v>1</v>
      </c>
      <c r="G869" s="23" t="s">
        <v>20</v>
      </c>
      <c r="H869" s="22">
        <v>6</v>
      </c>
      <c r="I869" s="23" t="s">
        <v>19</v>
      </c>
      <c r="J869" s="24">
        <f>504000/6</f>
        <v>84000</v>
      </c>
      <c r="K869" s="21" t="s">
        <v>19</v>
      </c>
      <c r="L869" s="25"/>
      <c r="M869" s="25">
        <v>0.17</v>
      </c>
      <c r="N869" s="22"/>
      <c r="O869" s="23" t="s">
        <v>19</v>
      </c>
      <c r="P869" s="20">
        <f t="shared" si="150"/>
        <v>6</v>
      </c>
      <c r="Q869" s="23" t="s">
        <v>19</v>
      </c>
      <c r="R869" s="24">
        <f t="shared" si="151"/>
        <v>418320</v>
      </c>
      <c r="S869" s="24">
        <f t="shared" ref="S869:S878" si="152">R869/1.11</f>
        <v>376864.86486486485</v>
      </c>
    </row>
    <row r="870" spans="1:19">
      <c r="A870" s="17" t="s">
        <v>589</v>
      </c>
      <c r="B870" s="2" t="s">
        <v>25</v>
      </c>
      <c r="D870" s="4" t="s">
        <v>19</v>
      </c>
      <c r="F870" s="6">
        <v>1</v>
      </c>
      <c r="G870" s="7" t="s">
        <v>20</v>
      </c>
      <c r="H870" s="6">
        <v>6</v>
      </c>
      <c r="I870" s="7" t="s">
        <v>19</v>
      </c>
      <c r="J870" s="8">
        <f>990000/6</f>
        <v>165000</v>
      </c>
      <c r="K870" s="4" t="s">
        <v>19</v>
      </c>
      <c r="M870" s="9">
        <v>0.17</v>
      </c>
      <c r="O870" s="7" t="s">
        <v>19</v>
      </c>
      <c r="P870" s="3">
        <f t="shared" si="150"/>
        <v>0</v>
      </c>
      <c r="Q870" s="7" t="s">
        <v>19</v>
      </c>
      <c r="R870" s="8">
        <f t="shared" si="151"/>
        <v>0</v>
      </c>
      <c r="S870" s="8">
        <f t="shared" si="152"/>
        <v>0</v>
      </c>
    </row>
    <row r="872" spans="1:19">
      <c r="A872" s="73" t="s">
        <v>590</v>
      </c>
      <c r="B872" s="2" t="s">
        <v>591</v>
      </c>
      <c r="D872" s="4" t="s">
        <v>42</v>
      </c>
      <c r="F872" s="6">
        <v>1</v>
      </c>
      <c r="G872" s="7" t="s">
        <v>20</v>
      </c>
      <c r="H872" s="6">
        <v>30</v>
      </c>
      <c r="I872" s="7" t="s">
        <v>42</v>
      </c>
      <c r="J872" s="8">
        <v>130000</v>
      </c>
      <c r="K872" s="4" t="s">
        <v>42</v>
      </c>
      <c r="L872" s="9">
        <v>0.17499999999999999</v>
      </c>
      <c r="M872" s="9">
        <v>0.03</v>
      </c>
      <c r="O872" s="7" t="s">
        <v>42</v>
      </c>
      <c r="P872" s="3">
        <f>(C872+(E872*F872*H872))-N872</f>
        <v>0</v>
      </c>
      <c r="Q872" s="7" t="s">
        <v>42</v>
      </c>
      <c r="R872" s="8">
        <f>P872*(J872-(J872*L872)-((J872-(J872*L872))*M872))</f>
        <v>0</v>
      </c>
      <c r="S872" s="8">
        <f t="shared" si="152"/>
        <v>0</v>
      </c>
    </row>
    <row r="873" spans="1:19">
      <c r="A873" s="73" t="s">
        <v>592</v>
      </c>
      <c r="B873" s="2" t="s">
        <v>591</v>
      </c>
      <c r="D873" s="4" t="s">
        <v>42</v>
      </c>
      <c r="F873" s="6">
        <v>1</v>
      </c>
      <c r="G873" s="7" t="s">
        <v>20</v>
      </c>
      <c r="H873" s="6">
        <v>30</v>
      </c>
      <c r="I873" s="7" t="s">
        <v>42</v>
      </c>
      <c r="J873" s="8">
        <v>216000</v>
      </c>
      <c r="K873" s="4" t="s">
        <v>42</v>
      </c>
      <c r="M873" s="9">
        <v>0.15</v>
      </c>
      <c r="O873" s="7" t="s">
        <v>42</v>
      </c>
      <c r="P873" s="3">
        <f>(C873+(E873*F873*H873))-N873</f>
        <v>0</v>
      </c>
      <c r="Q873" s="7" t="s">
        <v>42</v>
      </c>
      <c r="R873" s="8">
        <f>P873*(J873-(J873*L873)-((J873-(J873*L873))*M873))</f>
        <v>0</v>
      </c>
      <c r="S873" s="8">
        <f t="shared" si="152"/>
        <v>0</v>
      </c>
    </row>
    <row r="874" spans="1:19">
      <c r="A874" s="73" t="s">
        <v>593</v>
      </c>
      <c r="B874" s="2" t="s">
        <v>591</v>
      </c>
      <c r="D874" s="4" t="s">
        <v>42</v>
      </c>
      <c r="F874" s="6">
        <v>1</v>
      </c>
      <c r="G874" s="7" t="s">
        <v>20</v>
      </c>
      <c r="H874" s="6">
        <v>30</v>
      </c>
      <c r="I874" s="7" t="s">
        <v>42</v>
      </c>
      <c r="J874" s="8">
        <v>216000</v>
      </c>
      <c r="K874" s="4" t="s">
        <v>42</v>
      </c>
      <c r="M874" s="9">
        <v>0.15</v>
      </c>
      <c r="O874" s="7" t="s">
        <v>42</v>
      </c>
      <c r="P874" s="3">
        <f>(C874+(E874*F874*H874))-N874</f>
        <v>0</v>
      </c>
      <c r="Q874" s="7" t="s">
        <v>42</v>
      </c>
      <c r="R874" s="8">
        <f>P874*(J874-(J874*L874)-((J874-(J874*L874))*M874))</f>
        <v>0</v>
      </c>
      <c r="S874" s="8">
        <f t="shared" si="152"/>
        <v>0</v>
      </c>
    </row>
    <row r="875" spans="1:19">
      <c r="A875" s="73" t="s">
        <v>594</v>
      </c>
      <c r="B875" s="2" t="s">
        <v>591</v>
      </c>
      <c r="D875" s="4" t="s">
        <v>42</v>
      </c>
      <c r="F875" s="6">
        <v>1</v>
      </c>
      <c r="G875" s="7" t="s">
        <v>20</v>
      </c>
      <c r="H875" s="6">
        <v>30</v>
      </c>
      <c r="I875" s="7" t="s">
        <v>42</v>
      </c>
      <c r="J875" s="8">
        <v>220000</v>
      </c>
      <c r="K875" s="4" t="s">
        <v>42</v>
      </c>
      <c r="M875" s="9">
        <v>0.15</v>
      </c>
      <c r="O875" s="7" t="s">
        <v>42</v>
      </c>
      <c r="P875" s="3">
        <f>(C875+(E875*F875*H875))-N875</f>
        <v>0</v>
      </c>
      <c r="Q875" s="7" t="s">
        <v>42</v>
      </c>
      <c r="R875" s="8">
        <f>P875*(J875-(J875*L875)-((J875-(J875*L875))*M875))</f>
        <v>0</v>
      </c>
      <c r="S875" s="8">
        <f t="shared" si="152"/>
        <v>0</v>
      </c>
    </row>
    <row r="876" spans="1:19">
      <c r="A876" s="73" t="s">
        <v>595</v>
      </c>
      <c r="B876" s="2" t="s">
        <v>591</v>
      </c>
      <c r="D876" s="4" t="s">
        <v>42</v>
      </c>
      <c r="F876" s="6">
        <v>1</v>
      </c>
      <c r="G876" s="7" t="s">
        <v>20</v>
      </c>
      <c r="H876" s="6">
        <v>20</v>
      </c>
      <c r="I876" s="7" t="s">
        <v>42</v>
      </c>
      <c r="J876" s="8">
        <v>285600</v>
      </c>
      <c r="K876" s="4" t="s">
        <v>42</v>
      </c>
      <c r="L876" s="9">
        <v>0.17499999999999999</v>
      </c>
      <c r="M876" s="9">
        <v>0.03</v>
      </c>
      <c r="O876" s="7" t="s">
        <v>42</v>
      </c>
      <c r="P876" s="3">
        <f>(C876+(E876*F876*H876))-N876</f>
        <v>0</v>
      </c>
      <c r="Q876" s="7" t="s">
        <v>42</v>
      </c>
      <c r="R876" s="8">
        <f>P876*(J876-(J876*L876)-((J876-(J876*L876))*M876))</f>
        <v>0</v>
      </c>
      <c r="S876" s="8">
        <f t="shared" si="152"/>
        <v>0</v>
      </c>
    </row>
    <row r="877" spans="1:19">
      <c r="A877" s="73"/>
    </row>
    <row r="878" spans="1:19">
      <c r="A878" s="73" t="s">
        <v>596</v>
      </c>
      <c r="B878" s="19" t="s">
        <v>188</v>
      </c>
      <c r="D878" s="4" t="s">
        <v>42</v>
      </c>
      <c r="F878" s="6">
        <v>1</v>
      </c>
      <c r="G878" s="7" t="s">
        <v>20</v>
      </c>
      <c r="H878" s="6">
        <v>5</v>
      </c>
      <c r="I878" s="7" t="s">
        <v>42</v>
      </c>
      <c r="J878" s="8">
        <v>250000</v>
      </c>
      <c r="K878" s="4" t="s">
        <v>42</v>
      </c>
      <c r="O878" s="84" t="s">
        <v>42</v>
      </c>
      <c r="P878" s="3">
        <f>(C878+(E878*F878*H878))-N878</f>
        <v>0</v>
      </c>
      <c r="Q878" s="7" t="s">
        <v>42</v>
      </c>
      <c r="R878" s="8">
        <f>P878*(J878-(J878*L878)-((J878-(J878*L878))*M878))</f>
        <v>0</v>
      </c>
      <c r="S878" s="8">
        <f t="shared" si="152"/>
        <v>0</v>
      </c>
    </row>
    <row r="879" spans="1:19">
      <c r="A879" s="73"/>
      <c r="B879" s="19"/>
      <c r="O879" s="84"/>
    </row>
    <row r="880" spans="1:19">
      <c r="A880" s="15" t="s">
        <v>597</v>
      </c>
    </row>
    <row r="881" spans="1:19" s="19" customFormat="1">
      <c r="A881" s="18" t="s">
        <v>599</v>
      </c>
      <c r="B881" s="19" t="s">
        <v>591</v>
      </c>
      <c r="C881" s="20"/>
      <c r="D881" s="21" t="s">
        <v>101</v>
      </c>
      <c r="E881" s="26"/>
      <c r="F881" s="22">
        <v>1</v>
      </c>
      <c r="G881" s="23" t="s">
        <v>20</v>
      </c>
      <c r="H881" s="22">
        <v>100</v>
      </c>
      <c r="I881" s="23" t="s">
        <v>101</v>
      </c>
      <c r="J881" s="24">
        <v>14000</v>
      </c>
      <c r="K881" s="21" t="s">
        <v>101</v>
      </c>
      <c r="L881" s="25">
        <v>0.1</v>
      </c>
      <c r="M881" s="25"/>
      <c r="N881" s="22"/>
      <c r="O881" s="23" t="s">
        <v>101</v>
      </c>
      <c r="P881" s="20">
        <f>(C881+(E881*F881*H881))-N881</f>
        <v>0</v>
      </c>
      <c r="Q881" s="23" t="s">
        <v>101</v>
      </c>
      <c r="R881" s="24">
        <f>P881*(J881-(J881*L881)-((J881-(J881*L881))*M881))</f>
        <v>0</v>
      </c>
      <c r="S881" s="24">
        <f t="shared" ref="S881:S976" si="153">R881/1.11</f>
        <v>0</v>
      </c>
    </row>
    <row r="882" spans="1:19" s="19" customFormat="1">
      <c r="A882" s="18" t="s">
        <v>600</v>
      </c>
      <c r="B882" s="19" t="s">
        <v>591</v>
      </c>
      <c r="C882" s="20"/>
      <c r="D882" s="21" t="s">
        <v>101</v>
      </c>
      <c r="E882" s="26"/>
      <c r="F882" s="22">
        <v>1</v>
      </c>
      <c r="G882" s="23" t="s">
        <v>20</v>
      </c>
      <c r="H882" s="22">
        <v>50</v>
      </c>
      <c r="I882" s="23" t="s">
        <v>101</v>
      </c>
      <c r="J882" s="24">
        <v>24000</v>
      </c>
      <c r="K882" s="21" t="s">
        <v>101</v>
      </c>
      <c r="L882" s="25"/>
      <c r="M882" s="25"/>
      <c r="N882" s="22"/>
      <c r="O882" s="23" t="s">
        <v>101</v>
      </c>
      <c r="P882" s="20">
        <f>(C882+(E882*F882*H882))-N882</f>
        <v>0</v>
      </c>
      <c r="Q882" s="23" t="s">
        <v>101</v>
      </c>
      <c r="R882" s="24">
        <f>P882*(J882-(J882*L882)-((J882-(J882*L882))*M882))</f>
        <v>0</v>
      </c>
      <c r="S882" s="24">
        <f t="shared" si="153"/>
        <v>0</v>
      </c>
    </row>
    <row r="883" spans="1:19" s="19" customFormat="1">
      <c r="A883" s="18"/>
      <c r="C883" s="20"/>
      <c r="D883" s="21"/>
      <c r="E883" s="26"/>
      <c r="F883" s="22"/>
      <c r="G883" s="23"/>
      <c r="H883" s="22"/>
      <c r="I883" s="23"/>
      <c r="J883" s="24"/>
      <c r="K883" s="21"/>
      <c r="L883" s="25"/>
      <c r="M883" s="25"/>
      <c r="N883" s="22"/>
      <c r="O883" s="23"/>
      <c r="P883" s="20"/>
      <c r="Q883" s="23"/>
      <c r="R883" s="24"/>
      <c r="S883" s="24"/>
    </row>
    <row r="884" spans="1:19">
      <c r="A884" s="17" t="s">
        <v>598</v>
      </c>
      <c r="B884" s="2" t="s">
        <v>18</v>
      </c>
      <c r="D884" s="4" t="s">
        <v>33</v>
      </c>
      <c r="F884" s="6">
        <v>1</v>
      </c>
      <c r="G884" s="7" t="s">
        <v>20</v>
      </c>
      <c r="H884" s="6">
        <v>50</v>
      </c>
      <c r="I884" s="7" t="s">
        <v>33</v>
      </c>
      <c r="J884" s="8">
        <v>28000</v>
      </c>
      <c r="K884" s="4" t="s">
        <v>33</v>
      </c>
      <c r="L884" s="9">
        <v>0.125</v>
      </c>
      <c r="M884" s="9">
        <v>0.05</v>
      </c>
      <c r="O884" s="7" t="s">
        <v>33</v>
      </c>
      <c r="P884" s="3">
        <f>(C884+(E884*F884*H884))-N884</f>
        <v>0</v>
      </c>
      <c r="Q884" s="7" t="s">
        <v>33</v>
      </c>
      <c r="R884" s="8">
        <f>P884*(J884-(J884*L884)-((J884-(J884*L884))*M884))</f>
        <v>0</v>
      </c>
      <c r="S884" s="8">
        <f>R884/1.11</f>
        <v>0</v>
      </c>
    </row>
    <row r="886" spans="1:19">
      <c r="A886" s="68" t="s">
        <v>601</v>
      </c>
      <c r="B886" s="2" t="s">
        <v>25</v>
      </c>
      <c r="D886" s="4" t="s">
        <v>33</v>
      </c>
      <c r="F886" s="6">
        <v>40</v>
      </c>
      <c r="G886" s="7" t="s">
        <v>101</v>
      </c>
      <c r="H886" s="6">
        <v>20</v>
      </c>
      <c r="I886" s="7" t="s">
        <v>33</v>
      </c>
      <c r="J886" s="8">
        <f>840000/40/20</f>
        <v>1050</v>
      </c>
      <c r="K886" s="4" t="s">
        <v>33</v>
      </c>
      <c r="M886" s="9">
        <v>0.17</v>
      </c>
      <c r="O886" s="7" t="s">
        <v>33</v>
      </c>
      <c r="P886" s="3">
        <f>(C886+(E886*F886*H886))-N886</f>
        <v>0</v>
      </c>
      <c r="Q886" s="7" t="s">
        <v>33</v>
      </c>
      <c r="R886" s="8">
        <f>P886*(J886-(J886*L886)-((J886-(J886*L886))*M886))</f>
        <v>0</v>
      </c>
      <c r="S886" s="8">
        <f t="shared" si="153"/>
        <v>0</v>
      </c>
    </row>
    <row r="887" spans="1:19" s="19" customFormat="1">
      <c r="A887" s="68" t="s">
        <v>602</v>
      </c>
      <c r="B887" s="19" t="s">
        <v>25</v>
      </c>
      <c r="C887" s="20"/>
      <c r="D887" s="21" t="s">
        <v>101</v>
      </c>
      <c r="E887" s="26">
        <v>3</v>
      </c>
      <c r="F887" s="22">
        <v>1</v>
      </c>
      <c r="G887" s="23" t="s">
        <v>20</v>
      </c>
      <c r="H887" s="22">
        <v>20</v>
      </c>
      <c r="I887" s="23" t="s">
        <v>101</v>
      </c>
      <c r="J887" s="24">
        <f>840000/20</f>
        <v>42000</v>
      </c>
      <c r="K887" s="21" t="s">
        <v>101</v>
      </c>
      <c r="L887" s="25"/>
      <c r="M887" s="25">
        <v>0.17</v>
      </c>
      <c r="N887" s="22"/>
      <c r="O887" s="23" t="s">
        <v>101</v>
      </c>
      <c r="P887" s="20">
        <f>(C887+(E887*F887*H887))-N887</f>
        <v>60</v>
      </c>
      <c r="Q887" s="23" t="s">
        <v>101</v>
      </c>
      <c r="R887" s="24">
        <f>P887*(J887-(J887*L887)-((J887-(J887*L887))*M887))</f>
        <v>2091600</v>
      </c>
      <c r="S887" s="24">
        <f t="shared" si="153"/>
        <v>1884324.3243243243</v>
      </c>
    </row>
    <row r="888" spans="1:19" s="17" customFormat="1">
      <c r="A888" s="18" t="s">
        <v>603</v>
      </c>
      <c r="B888" s="17" t="s">
        <v>25</v>
      </c>
      <c r="C888" s="74"/>
      <c r="D888" s="75" t="s">
        <v>101</v>
      </c>
      <c r="E888" s="41"/>
      <c r="F888" s="76">
        <v>1</v>
      </c>
      <c r="G888" s="77" t="s">
        <v>20</v>
      </c>
      <c r="H888" s="76">
        <v>15</v>
      </c>
      <c r="I888" s="77" t="s">
        <v>101</v>
      </c>
      <c r="J888" s="78">
        <f>525000/15</f>
        <v>35000</v>
      </c>
      <c r="K888" s="75" t="s">
        <v>101</v>
      </c>
      <c r="L888" s="79"/>
      <c r="M888" s="79">
        <v>0.17</v>
      </c>
      <c r="N888" s="76"/>
      <c r="O888" s="77" t="s">
        <v>101</v>
      </c>
      <c r="P888" s="74">
        <f>(C888+(E888*F888*H888))-N888</f>
        <v>0</v>
      </c>
      <c r="Q888" s="77" t="s">
        <v>101</v>
      </c>
      <c r="R888" s="78">
        <f>P888*(J888-(J888*L888)-((J888-(J888*L888))*M888))</f>
        <v>0</v>
      </c>
      <c r="S888" s="78">
        <f t="shared" si="153"/>
        <v>0</v>
      </c>
    </row>
    <row r="889" spans="1:19" s="17" customFormat="1">
      <c r="A889" s="18"/>
      <c r="C889" s="74"/>
      <c r="D889" s="75"/>
      <c r="E889" s="41"/>
      <c r="F889" s="76"/>
      <c r="G889" s="77"/>
      <c r="H889" s="76"/>
      <c r="I889" s="77"/>
      <c r="J889" s="78"/>
      <c r="K889" s="75"/>
      <c r="L889" s="79"/>
      <c r="M889" s="79"/>
      <c r="N889" s="76"/>
      <c r="O889" s="77"/>
      <c r="P889" s="74"/>
      <c r="Q889" s="77"/>
      <c r="R889" s="78"/>
      <c r="S889" s="78"/>
    </row>
    <row r="890" spans="1:19" s="19" customFormat="1">
      <c r="A890" s="68" t="s">
        <v>836</v>
      </c>
      <c r="B890" s="19" t="s">
        <v>605</v>
      </c>
      <c r="C890" s="20"/>
      <c r="D890" s="21" t="s">
        <v>33</v>
      </c>
      <c r="E890" s="26"/>
      <c r="F890" s="22">
        <v>1</v>
      </c>
      <c r="G890" s="23" t="s">
        <v>20</v>
      </c>
      <c r="H890" s="22">
        <v>500</v>
      </c>
      <c r="I890" s="23" t="s">
        <v>33</v>
      </c>
      <c r="J890" s="24">
        <v>3000</v>
      </c>
      <c r="K890" s="21" t="s">
        <v>33</v>
      </c>
      <c r="L890" s="25">
        <v>0.17499999999999999</v>
      </c>
      <c r="M890" s="25"/>
      <c r="N890" s="22"/>
      <c r="O890" s="23" t="s">
        <v>33</v>
      </c>
      <c r="P890" s="20">
        <f>(C890+(E890*F890*H890))-N890</f>
        <v>0</v>
      </c>
      <c r="Q890" s="23" t="s">
        <v>33</v>
      </c>
      <c r="R890" s="24">
        <f>P890*(J890-(J890*L890)-((J890-(J890*L890))*M890))</f>
        <v>0</v>
      </c>
      <c r="S890" s="8">
        <f t="shared" ref="S890" si="154">R890/1.11</f>
        <v>0</v>
      </c>
    </row>
    <row r="891" spans="1:19" s="19" customFormat="1">
      <c r="A891" s="68" t="s">
        <v>604</v>
      </c>
      <c r="B891" s="19" t="s">
        <v>605</v>
      </c>
      <c r="C891" s="20"/>
      <c r="D891" s="21" t="s">
        <v>33</v>
      </c>
      <c r="E891" s="26"/>
      <c r="F891" s="22">
        <v>1</v>
      </c>
      <c r="G891" s="23" t="s">
        <v>20</v>
      </c>
      <c r="H891" s="22">
        <v>200</v>
      </c>
      <c r="I891" s="23" t="s">
        <v>33</v>
      </c>
      <c r="J891" s="24">
        <v>11500</v>
      </c>
      <c r="K891" s="21" t="s">
        <v>33</v>
      </c>
      <c r="L891" s="25">
        <v>0.17499999999999999</v>
      </c>
      <c r="M891" s="25"/>
      <c r="N891" s="22"/>
      <c r="O891" s="23" t="s">
        <v>33</v>
      </c>
      <c r="P891" s="20">
        <f>(C891+(E891*F891*H891))-N891</f>
        <v>0</v>
      </c>
      <c r="Q891" s="23" t="s">
        <v>33</v>
      </c>
      <c r="R891" s="24">
        <f>P891*(J891-(J891*L891)-((J891-(J891*L891))*M891))</f>
        <v>0</v>
      </c>
      <c r="S891" s="8">
        <f t="shared" si="153"/>
        <v>0</v>
      </c>
    </row>
    <row r="892" spans="1:19" s="19" customFormat="1">
      <c r="A892" s="68" t="s">
        <v>670</v>
      </c>
      <c r="B892" s="19" t="s">
        <v>605</v>
      </c>
      <c r="C892" s="20"/>
      <c r="D892" s="21" t="s">
        <v>33</v>
      </c>
      <c r="E892" s="26"/>
      <c r="F892" s="22">
        <v>1</v>
      </c>
      <c r="G892" s="23" t="s">
        <v>20</v>
      </c>
      <c r="H892" s="22">
        <v>200</v>
      </c>
      <c r="I892" s="23" t="s">
        <v>33</v>
      </c>
      <c r="J892" s="24">
        <v>13800</v>
      </c>
      <c r="K892" s="21" t="s">
        <v>33</v>
      </c>
      <c r="L892" s="25">
        <v>0.17499999999999999</v>
      </c>
      <c r="M892" s="25">
        <v>0.03</v>
      </c>
      <c r="N892" s="22"/>
      <c r="O892" s="23" t="s">
        <v>33</v>
      </c>
      <c r="P892" s="20">
        <f>(C892+(E892*F892*H892))-N892</f>
        <v>0</v>
      </c>
      <c r="Q892" s="23" t="s">
        <v>33</v>
      </c>
      <c r="R892" s="24">
        <f>P892*(J892-(J892*L892)-((J892-(J892*L892))*M892))</f>
        <v>0</v>
      </c>
      <c r="S892" s="8">
        <f t="shared" si="153"/>
        <v>0</v>
      </c>
    </row>
    <row r="893" spans="1:19">
      <c r="A893" s="73"/>
      <c r="B893" s="19"/>
      <c r="O893" s="84"/>
    </row>
    <row r="894" spans="1:19">
      <c r="A894" s="15" t="s">
        <v>769</v>
      </c>
    </row>
    <row r="895" spans="1:19" s="19" customFormat="1">
      <c r="A895" s="18" t="s">
        <v>770</v>
      </c>
      <c r="B895" s="19" t="s">
        <v>591</v>
      </c>
      <c r="C895" s="20"/>
      <c r="D895" s="21" t="s">
        <v>42</v>
      </c>
      <c r="E895" s="26"/>
      <c r="F895" s="22">
        <v>1</v>
      </c>
      <c r="G895" s="23" t="s">
        <v>20</v>
      </c>
      <c r="H895" s="22">
        <v>30</v>
      </c>
      <c r="I895" s="23" t="s">
        <v>42</v>
      </c>
      <c r="J895" s="24">
        <v>102000</v>
      </c>
      <c r="K895" s="21" t="s">
        <v>42</v>
      </c>
      <c r="L895" s="25">
        <v>0.17499999999999999</v>
      </c>
      <c r="M895" s="25">
        <v>0.03</v>
      </c>
      <c r="N895" s="22"/>
      <c r="O895" s="23" t="s">
        <v>42</v>
      </c>
      <c r="P895" s="20">
        <f>(C895+(E895*F895*H895))-N895</f>
        <v>0</v>
      </c>
      <c r="Q895" s="23" t="s">
        <v>42</v>
      </c>
      <c r="R895" s="24">
        <f>P895*(J895-(J895*L895)-((J895-(J895*L895))*M895))</f>
        <v>0</v>
      </c>
      <c r="S895" s="24">
        <f t="shared" ref="S895" si="155">R895/1.11</f>
        <v>0</v>
      </c>
    </row>
    <row r="897" spans="1:19" ht="15.75">
      <c r="A897" s="14" t="s">
        <v>606</v>
      </c>
    </row>
    <row r="898" spans="1:19">
      <c r="A898" s="59" t="s">
        <v>607</v>
      </c>
      <c r="B898" s="2" t="s">
        <v>178</v>
      </c>
      <c r="D898" s="4" t="s">
        <v>101</v>
      </c>
      <c r="F898" s="6">
        <v>1</v>
      </c>
      <c r="G898" s="7" t="s">
        <v>20</v>
      </c>
      <c r="H898" s="6">
        <v>60</v>
      </c>
      <c r="I898" s="7" t="s">
        <v>101</v>
      </c>
      <c r="J898" s="8">
        <v>8600</v>
      </c>
      <c r="K898" s="4" t="s">
        <v>101</v>
      </c>
      <c r="L898" s="9">
        <v>0.05</v>
      </c>
      <c r="O898" s="7" t="s">
        <v>101</v>
      </c>
      <c r="P898" s="3">
        <f>(C898+(E898*F898*H898))-N898</f>
        <v>0</v>
      </c>
      <c r="Q898" s="7" t="s">
        <v>101</v>
      </c>
      <c r="R898" s="8">
        <f>P898*(J898-(J898*L898)-((J898-(J898*L898))*M898))</f>
        <v>0</v>
      </c>
      <c r="S898" s="8">
        <f t="shared" si="153"/>
        <v>0</v>
      </c>
    </row>
    <row r="899" spans="1:19">
      <c r="A899" s="59"/>
    </row>
    <row r="900" spans="1:19">
      <c r="A900" s="59" t="s">
        <v>612</v>
      </c>
      <c r="B900" s="2" t="s">
        <v>18</v>
      </c>
      <c r="D900" s="4" t="s">
        <v>33</v>
      </c>
      <c r="F900" s="6">
        <v>1</v>
      </c>
      <c r="G900" s="7" t="s">
        <v>20</v>
      </c>
      <c r="H900" s="6">
        <v>50</v>
      </c>
      <c r="I900" s="7" t="s">
        <v>33</v>
      </c>
      <c r="J900" s="8">
        <v>32300</v>
      </c>
      <c r="K900" s="4" t="s">
        <v>33</v>
      </c>
      <c r="L900" s="9">
        <v>0.125</v>
      </c>
      <c r="M900" s="9">
        <v>0.05</v>
      </c>
      <c r="O900" s="7" t="s">
        <v>33</v>
      </c>
      <c r="P900" s="3">
        <f t="shared" ref="P900:P910" si="156">(C900+(E900*F900*H900))-N900</f>
        <v>0</v>
      </c>
      <c r="Q900" s="7" t="s">
        <v>33</v>
      </c>
      <c r="R900" s="8">
        <f t="shared" ref="R900:R910" si="157">P900*(J900-(J900*L900)-((J900-(J900*L900))*M900))</f>
        <v>0</v>
      </c>
      <c r="S900" s="8">
        <f>R900/1.11</f>
        <v>0</v>
      </c>
    </row>
    <row r="901" spans="1:19">
      <c r="A901" s="59" t="s">
        <v>613</v>
      </c>
      <c r="B901" s="2" t="s">
        <v>18</v>
      </c>
      <c r="D901" s="4" t="s">
        <v>33</v>
      </c>
      <c r="F901" s="6">
        <v>1</v>
      </c>
      <c r="G901" s="7" t="s">
        <v>20</v>
      </c>
      <c r="H901" s="6">
        <v>50</v>
      </c>
      <c r="I901" s="7" t="s">
        <v>33</v>
      </c>
      <c r="J901" s="8">
        <v>12000</v>
      </c>
      <c r="K901" s="4" t="s">
        <v>33</v>
      </c>
      <c r="L901" s="9">
        <v>0.125</v>
      </c>
      <c r="M901" s="9">
        <v>0.05</v>
      </c>
      <c r="O901" s="7" t="s">
        <v>33</v>
      </c>
      <c r="P901" s="3">
        <f t="shared" si="156"/>
        <v>0</v>
      </c>
      <c r="Q901" s="7" t="s">
        <v>33</v>
      </c>
      <c r="R901" s="8">
        <f t="shared" si="157"/>
        <v>0</v>
      </c>
      <c r="S901" s="8">
        <f>R901/1.11</f>
        <v>0</v>
      </c>
    </row>
    <row r="902" spans="1:19">
      <c r="A902" s="59" t="s">
        <v>755</v>
      </c>
      <c r="B902" s="2" t="s">
        <v>18</v>
      </c>
      <c r="D902" s="4" t="s">
        <v>33</v>
      </c>
      <c r="F902" s="6">
        <v>1</v>
      </c>
      <c r="G902" s="7" t="s">
        <v>20</v>
      </c>
      <c r="H902" s="6">
        <v>50</v>
      </c>
      <c r="I902" s="7" t="s">
        <v>33</v>
      </c>
      <c r="J902" s="8">
        <v>29100</v>
      </c>
      <c r="K902" s="4" t="s">
        <v>33</v>
      </c>
      <c r="L902" s="9">
        <v>0.125</v>
      </c>
      <c r="M902" s="9">
        <v>0.05</v>
      </c>
      <c r="O902" s="7" t="s">
        <v>33</v>
      </c>
      <c r="P902" s="3">
        <f t="shared" si="156"/>
        <v>0</v>
      </c>
      <c r="Q902" s="7" t="s">
        <v>33</v>
      </c>
      <c r="R902" s="8">
        <f t="shared" si="157"/>
        <v>0</v>
      </c>
      <c r="S902" s="8">
        <f>R902/1.11</f>
        <v>0</v>
      </c>
    </row>
    <row r="903" spans="1:19">
      <c r="A903" s="59" t="s">
        <v>614</v>
      </c>
      <c r="B903" s="2" t="s">
        <v>18</v>
      </c>
      <c r="D903" s="4" t="s">
        <v>33</v>
      </c>
      <c r="F903" s="6">
        <v>1</v>
      </c>
      <c r="G903" s="7" t="s">
        <v>20</v>
      </c>
      <c r="H903" s="6">
        <v>50</v>
      </c>
      <c r="I903" s="7" t="s">
        <v>33</v>
      </c>
      <c r="J903" s="8">
        <v>36200</v>
      </c>
      <c r="K903" s="4" t="s">
        <v>33</v>
      </c>
      <c r="L903" s="9">
        <v>0.125</v>
      </c>
      <c r="M903" s="9">
        <v>0.05</v>
      </c>
      <c r="O903" s="7" t="s">
        <v>33</v>
      </c>
      <c r="P903" s="3">
        <f t="shared" si="156"/>
        <v>0</v>
      </c>
      <c r="Q903" s="7" t="s">
        <v>33</v>
      </c>
      <c r="R903" s="8">
        <f t="shared" si="157"/>
        <v>0</v>
      </c>
      <c r="S903" s="8">
        <f>R903/1.11</f>
        <v>0</v>
      </c>
    </row>
    <row r="904" spans="1:19" s="19" customFormat="1">
      <c r="A904" s="59" t="s">
        <v>608</v>
      </c>
      <c r="B904" s="19" t="s">
        <v>18</v>
      </c>
      <c r="C904" s="20"/>
      <c r="D904" s="21" t="s">
        <v>33</v>
      </c>
      <c r="E904" s="26">
        <v>15</v>
      </c>
      <c r="F904" s="22">
        <v>1</v>
      </c>
      <c r="G904" s="23" t="s">
        <v>20</v>
      </c>
      <c r="H904" s="22">
        <v>50</v>
      </c>
      <c r="I904" s="23" t="s">
        <v>33</v>
      </c>
      <c r="J904" s="24">
        <v>34100</v>
      </c>
      <c r="K904" s="21" t="s">
        <v>33</v>
      </c>
      <c r="L904" s="25">
        <v>0.125</v>
      </c>
      <c r="M904" s="25">
        <v>0.05</v>
      </c>
      <c r="N904" s="22"/>
      <c r="O904" s="23" t="s">
        <v>33</v>
      </c>
      <c r="P904" s="20">
        <f t="shared" si="156"/>
        <v>750</v>
      </c>
      <c r="Q904" s="23" t="s">
        <v>33</v>
      </c>
      <c r="R904" s="24">
        <f t="shared" si="157"/>
        <v>21259218.75</v>
      </c>
      <c r="S904" s="8">
        <f t="shared" si="153"/>
        <v>19152449.324324321</v>
      </c>
    </row>
    <row r="905" spans="1:19" s="19" customFormat="1">
      <c r="A905" s="18" t="s">
        <v>609</v>
      </c>
      <c r="B905" s="19" t="s">
        <v>18</v>
      </c>
      <c r="C905" s="20"/>
      <c r="D905" s="21" t="s">
        <v>33</v>
      </c>
      <c r="E905" s="26">
        <v>6</v>
      </c>
      <c r="F905" s="22">
        <v>1</v>
      </c>
      <c r="G905" s="23" t="s">
        <v>20</v>
      </c>
      <c r="H905" s="22">
        <v>50</v>
      </c>
      <c r="I905" s="23" t="s">
        <v>33</v>
      </c>
      <c r="J905" s="24">
        <v>34100</v>
      </c>
      <c r="K905" s="21" t="s">
        <v>33</v>
      </c>
      <c r="L905" s="25">
        <v>0.125</v>
      </c>
      <c r="M905" s="25">
        <v>0.05</v>
      </c>
      <c r="N905" s="22"/>
      <c r="O905" s="23" t="s">
        <v>33</v>
      </c>
      <c r="P905" s="20">
        <f t="shared" si="156"/>
        <v>300</v>
      </c>
      <c r="Q905" s="23" t="s">
        <v>33</v>
      </c>
      <c r="R905" s="24">
        <f t="shared" si="157"/>
        <v>8503687.5</v>
      </c>
      <c r="S905" s="24">
        <f t="shared" si="153"/>
        <v>7660979.7297297288</v>
      </c>
    </row>
    <row r="906" spans="1:19" s="19" customFormat="1">
      <c r="A906" s="18" t="s">
        <v>610</v>
      </c>
      <c r="B906" s="19" t="s">
        <v>18</v>
      </c>
      <c r="C906" s="20"/>
      <c r="D906" s="21" t="s">
        <v>33</v>
      </c>
      <c r="E906" s="26"/>
      <c r="F906" s="22">
        <v>1</v>
      </c>
      <c r="G906" s="23" t="s">
        <v>20</v>
      </c>
      <c r="H906" s="22">
        <v>50</v>
      </c>
      <c r="I906" s="23" t="s">
        <v>33</v>
      </c>
      <c r="J906" s="24">
        <v>32000</v>
      </c>
      <c r="K906" s="21" t="s">
        <v>33</v>
      </c>
      <c r="L906" s="25">
        <v>0.125</v>
      </c>
      <c r="M906" s="25">
        <v>0.05</v>
      </c>
      <c r="N906" s="22"/>
      <c r="O906" s="23" t="s">
        <v>33</v>
      </c>
      <c r="P906" s="20">
        <f t="shared" si="156"/>
        <v>0</v>
      </c>
      <c r="Q906" s="23" t="s">
        <v>33</v>
      </c>
      <c r="R906" s="24">
        <f t="shared" si="157"/>
        <v>0</v>
      </c>
      <c r="S906" s="24">
        <f t="shared" si="153"/>
        <v>0</v>
      </c>
    </row>
    <row r="907" spans="1:19" s="19" customFormat="1">
      <c r="A907" s="59" t="s">
        <v>611</v>
      </c>
      <c r="B907" s="19" t="s">
        <v>18</v>
      </c>
      <c r="C907" s="20"/>
      <c r="D907" s="21" t="s">
        <v>33</v>
      </c>
      <c r="E907" s="26"/>
      <c r="F907" s="22">
        <v>1</v>
      </c>
      <c r="G907" s="23" t="s">
        <v>20</v>
      </c>
      <c r="H907" s="22">
        <v>50</v>
      </c>
      <c r="I907" s="23" t="s">
        <v>33</v>
      </c>
      <c r="J907" s="24">
        <v>32000</v>
      </c>
      <c r="K907" s="21" t="s">
        <v>33</v>
      </c>
      <c r="L907" s="25">
        <v>0.125</v>
      </c>
      <c r="M907" s="25">
        <v>0.05</v>
      </c>
      <c r="N907" s="22"/>
      <c r="O907" s="23" t="s">
        <v>33</v>
      </c>
      <c r="P907" s="20">
        <f t="shared" si="156"/>
        <v>0</v>
      </c>
      <c r="Q907" s="23" t="s">
        <v>33</v>
      </c>
      <c r="R907" s="24">
        <f t="shared" si="157"/>
        <v>0</v>
      </c>
      <c r="S907" s="8">
        <f t="shared" si="153"/>
        <v>0</v>
      </c>
    </row>
    <row r="908" spans="1:19" s="19" customFormat="1">
      <c r="A908" s="59" t="s">
        <v>615</v>
      </c>
      <c r="B908" s="19" t="s">
        <v>18</v>
      </c>
      <c r="C908" s="20"/>
      <c r="D908" s="21" t="s">
        <v>33</v>
      </c>
      <c r="E908" s="26">
        <v>16</v>
      </c>
      <c r="F908" s="22">
        <v>1</v>
      </c>
      <c r="G908" s="23" t="s">
        <v>20</v>
      </c>
      <c r="H908" s="22">
        <v>50</v>
      </c>
      <c r="I908" s="23" t="s">
        <v>33</v>
      </c>
      <c r="J908" s="24">
        <v>28300</v>
      </c>
      <c r="K908" s="21" t="s">
        <v>33</v>
      </c>
      <c r="L908" s="25">
        <v>0.125</v>
      </c>
      <c r="M908" s="25">
        <v>0.05</v>
      </c>
      <c r="N908" s="22"/>
      <c r="O908" s="23" t="s">
        <v>33</v>
      </c>
      <c r="P908" s="20">
        <f t="shared" si="156"/>
        <v>800</v>
      </c>
      <c r="Q908" s="23" t="s">
        <v>33</v>
      </c>
      <c r="R908" s="24">
        <f t="shared" si="157"/>
        <v>18819500</v>
      </c>
      <c r="S908" s="24">
        <f t="shared" si="153"/>
        <v>16954504.504504502</v>
      </c>
    </row>
    <row r="909" spans="1:19" s="19" customFormat="1">
      <c r="A909" s="59" t="s">
        <v>616</v>
      </c>
      <c r="B909" s="19" t="s">
        <v>18</v>
      </c>
      <c r="C909" s="20"/>
      <c r="D909" s="21" t="s">
        <v>33</v>
      </c>
      <c r="E909" s="26">
        <v>8</v>
      </c>
      <c r="F909" s="22">
        <v>1</v>
      </c>
      <c r="G909" s="23" t="s">
        <v>20</v>
      </c>
      <c r="H909" s="22">
        <v>50</v>
      </c>
      <c r="I909" s="23" t="s">
        <v>33</v>
      </c>
      <c r="J909" s="24">
        <v>28300</v>
      </c>
      <c r="K909" s="21" t="s">
        <v>33</v>
      </c>
      <c r="L909" s="25">
        <v>0.125</v>
      </c>
      <c r="M909" s="25">
        <v>0.05</v>
      </c>
      <c r="N909" s="22"/>
      <c r="O909" s="23" t="s">
        <v>33</v>
      </c>
      <c r="P909" s="20">
        <f t="shared" si="156"/>
        <v>400</v>
      </c>
      <c r="Q909" s="23" t="s">
        <v>33</v>
      </c>
      <c r="R909" s="24">
        <f t="shared" si="157"/>
        <v>9409750</v>
      </c>
      <c r="S909" s="24">
        <f t="shared" si="153"/>
        <v>8477252.2522522509</v>
      </c>
    </row>
    <row r="910" spans="1:19">
      <c r="A910" s="59" t="s">
        <v>617</v>
      </c>
      <c r="B910" s="2" t="s">
        <v>18</v>
      </c>
      <c r="D910" s="4" t="s">
        <v>33</v>
      </c>
      <c r="F910" s="6">
        <v>1</v>
      </c>
      <c r="G910" s="7" t="s">
        <v>20</v>
      </c>
      <c r="H910" s="6">
        <v>50</v>
      </c>
      <c r="I910" s="7" t="s">
        <v>33</v>
      </c>
      <c r="J910" s="8">
        <v>26500</v>
      </c>
      <c r="K910" s="4" t="s">
        <v>33</v>
      </c>
      <c r="L910" s="9">
        <v>0.125</v>
      </c>
      <c r="M910" s="9">
        <v>0.05</v>
      </c>
      <c r="O910" s="7" t="s">
        <v>33</v>
      </c>
      <c r="P910" s="3">
        <f t="shared" si="156"/>
        <v>0</v>
      </c>
      <c r="Q910" s="7" t="s">
        <v>33</v>
      </c>
      <c r="R910" s="8">
        <f t="shared" si="157"/>
        <v>0</v>
      </c>
      <c r="S910" s="8">
        <f t="shared" si="153"/>
        <v>0</v>
      </c>
    </row>
    <row r="911" spans="1:19">
      <c r="A911" s="59"/>
    </row>
    <row r="912" spans="1:19" s="19" customFormat="1">
      <c r="A912" s="66" t="s">
        <v>618</v>
      </c>
      <c r="B912" s="19" t="s">
        <v>25</v>
      </c>
      <c r="C912" s="20"/>
      <c r="D912" s="21" t="s">
        <v>33</v>
      </c>
      <c r="E912" s="26">
        <v>6</v>
      </c>
      <c r="F912" s="22">
        <v>1</v>
      </c>
      <c r="G912" s="23" t="s">
        <v>20</v>
      </c>
      <c r="H912" s="22">
        <v>50</v>
      </c>
      <c r="I912" s="23" t="s">
        <v>33</v>
      </c>
      <c r="J912" s="24">
        <f>1500000/50</f>
        <v>30000</v>
      </c>
      <c r="K912" s="21" t="s">
        <v>33</v>
      </c>
      <c r="L912" s="25"/>
      <c r="M912" s="25">
        <v>0.17</v>
      </c>
      <c r="N912" s="22"/>
      <c r="O912" s="23" t="s">
        <v>33</v>
      </c>
      <c r="P912" s="20">
        <f t="shared" ref="P912:P917" si="158">(C912+(E912*F912*H912))-N912</f>
        <v>300</v>
      </c>
      <c r="Q912" s="23" t="s">
        <v>33</v>
      </c>
      <c r="R912" s="24">
        <f t="shared" ref="R912:R917" si="159">P912*(J912-(J912*L912)-((J912-(J912*L912))*M912))</f>
        <v>7470000</v>
      </c>
      <c r="S912" s="24">
        <f t="shared" si="153"/>
        <v>6729729.7297297288</v>
      </c>
    </row>
    <row r="913" spans="1:19" s="19" customFormat="1">
      <c r="A913" s="66" t="s">
        <v>619</v>
      </c>
      <c r="B913" s="19" t="s">
        <v>25</v>
      </c>
      <c r="C913" s="20"/>
      <c r="D913" s="21" t="s">
        <v>33</v>
      </c>
      <c r="E913" s="26">
        <v>2</v>
      </c>
      <c r="F913" s="22">
        <v>1</v>
      </c>
      <c r="G913" s="23" t="s">
        <v>20</v>
      </c>
      <c r="H913" s="22">
        <v>50</v>
      </c>
      <c r="I913" s="23" t="s">
        <v>33</v>
      </c>
      <c r="J913" s="24">
        <f>1500000/50</f>
        <v>30000</v>
      </c>
      <c r="K913" s="21" t="s">
        <v>33</v>
      </c>
      <c r="L913" s="25"/>
      <c r="M913" s="25">
        <v>0.17</v>
      </c>
      <c r="N913" s="22"/>
      <c r="O913" s="23" t="s">
        <v>33</v>
      </c>
      <c r="P913" s="20">
        <f t="shared" si="158"/>
        <v>100</v>
      </c>
      <c r="Q913" s="23" t="s">
        <v>33</v>
      </c>
      <c r="R913" s="24">
        <f t="shared" si="159"/>
        <v>2490000</v>
      </c>
      <c r="S913" s="24">
        <f t="shared" si="153"/>
        <v>2243243.2432432431</v>
      </c>
    </row>
    <row r="914" spans="1:19">
      <c r="A914" s="59" t="s">
        <v>758</v>
      </c>
      <c r="B914" s="2" t="s">
        <v>25</v>
      </c>
      <c r="C914" s="20"/>
      <c r="D914" s="4" t="s">
        <v>33</v>
      </c>
      <c r="F914" s="6">
        <v>1</v>
      </c>
      <c r="G914" s="7" t="s">
        <v>20</v>
      </c>
      <c r="H914" s="6">
        <v>50</v>
      </c>
      <c r="I914" s="7" t="s">
        <v>33</v>
      </c>
      <c r="J914" s="8">
        <v>32400</v>
      </c>
      <c r="K914" s="4" t="s">
        <v>33</v>
      </c>
      <c r="M914" s="9">
        <v>0.17</v>
      </c>
      <c r="O914" s="7" t="s">
        <v>33</v>
      </c>
      <c r="P914" s="3">
        <f t="shared" si="158"/>
        <v>0</v>
      </c>
      <c r="Q914" s="7" t="s">
        <v>33</v>
      </c>
      <c r="R914" s="8">
        <f t="shared" si="159"/>
        <v>0</v>
      </c>
      <c r="S914" s="8">
        <f t="shared" si="153"/>
        <v>0</v>
      </c>
    </row>
    <row r="915" spans="1:19">
      <c r="A915" s="59" t="s">
        <v>620</v>
      </c>
      <c r="B915" s="2" t="s">
        <v>25</v>
      </c>
      <c r="C915" s="20"/>
      <c r="D915" s="4" t="s">
        <v>33</v>
      </c>
      <c r="F915" s="6">
        <v>1</v>
      </c>
      <c r="G915" s="7" t="s">
        <v>20</v>
      </c>
      <c r="H915" s="6">
        <v>50</v>
      </c>
      <c r="I915" s="7" t="s">
        <v>33</v>
      </c>
      <c r="J915" s="8">
        <v>28500</v>
      </c>
      <c r="K915" s="4" t="s">
        <v>33</v>
      </c>
      <c r="M915" s="9">
        <v>0.17</v>
      </c>
      <c r="O915" s="7" t="s">
        <v>33</v>
      </c>
      <c r="P915" s="3">
        <f t="shared" si="158"/>
        <v>0</v>
      </c>
      <c r="Q915" s="7" t="s">
        <v>33</v>
      </c>
      <c r="R915" s="8">
        <f t="shared" si="159"/>
        <v>0</v>
      </c>
      <c r="S915" s="8">
        <f t="shared" si="153"/>
        <v>0</v>
      </c>
    </row>
    <row r="916" spans="1:19" s="19" customFormat="1">
      <c r="A916" s="66" t="s">
        <v>621</v>
      </c>
      <c r="B916" s="19" t="s">
        <v>25</v>
      </c>
      <c r="C916" s="20"/>
      <c r="D916" s="21" t="s">
        <v>33</v>
      </c>
      <c r="E916" s="26">
        <v>5</v>
      </c>
      <c r="F916" s="22">
        <v>1</v>
      </c>
      <c r="G916" s="23" t="s">
        <v>20</v>
      </c>
      <c r="H916" s="22">
        <v>50</v>
      </c>
      <c r="I916" s="23" t="s">
        <v>33</v>
      </c>
      <c r="J916" s="24">
        <f>1375000/50</f>
        <v>27500</v>
      </c>
      <c r="K916" s="21" t="s">
        <v>33</v>
      </c>
      <c r="L916" s="25"/>
      <c r="M916" s="25">
        <v>0.17</v>
      </c>
      <c r="N916" s="22"/>
      <c r="O916" s="23" t="s">
        <v>33</v>
      </c>
      <c r="P916" s="20">
        <f t="shared" si="158"/>
        <v>250</v>
      </c>
      <c r="Q916" s="23" t="s">
        <v>33</v>
      </c>
      <c r="R916" s="24">
        <f t="shared" si="159"/>
        <v>5706250</v>
      </c>
      <c r="S916" s="24">
        <f t="shared" si="153"/>
        <v>5140765.7657657657</v>
      </c>
    </row>
    <row r="917" spans="1:19" s="19" customFormat="1">
      <c r="A917" s="66" t="s">
        <v>622</v>
      </c>
      <c r="B917" s="19" t="s">
        <v>25</v>
      </c>
      <c r="C917" s="20"/>
      <c r="D917" s="21" t="s">
        <v>33</v>
      </c>
      <c r="E917" s="26">
        <v>3</v>
      </c>
      <c r="F917" s="22">
        <v>1</v>
      </c>
      <c r="G917" s="23" t="s">
        <v>20</v>
      </c>
      <c r="H917" s="22">
        <v>50</v>
      </c>
      <c r="I917" s="23" t="s">
        <v>33</v>
      </c>
      <c r="J917" s="24">
        <f>1375000/50</f>
        <v>27500</v>
      </c>
      <c r="K917" s="21" t="s">
        <v>33</v>
      </c>
      <c r="L917" s="25"/>
      <c r="M917" s="25">
        <v>0.17</v>
      </c>
      <c r="N917" s="22"/>
      <c r="O917" s="23" t="s">
        <v>33</v>
      </c>
      <c r="P917" s="20">
        <f t="shared" si="158"/>
        <v>150</v>
      </c>
      <c r="Q917" s="23" t="s">
        <v>33</v>
      </c>
      <c r="R917" s="24">
        <f t="shared" si="159"/>
        <v>3423750</v>
      </c>
      <c r="S917" s="24">
        <f t="shared" si="153"/>
        <v>3084459.4594594594</v>
      </c>
    </row>
    <row r="919" spans="1:19" ht="15.75">
      <c r="A919" s="14" t="s">
        <v>788</v>
      </c>
    </row>
    <row r="920" spans="1:19">
      <c r="A920" s="17" t="s">
        <v>790</v>
      </c>
      <c r="B920" s="2" t="s">
        <v>178</v>
      </c>
      <c r="D920" s="4" t="s">
        <v>19</v>
      </c>
      <c r="F920" s="6">
        <v>50</v>
      </c>
      <c r="G920" s="7" t="s">
        <v>101</v>
      </c>
      <c r="H920" s="6">
        <v>100</v>
      </c>
      <c r="I920" s="7" t="s">
        <v>19</v>
      </c>
      <c r="J920" s="8">
        <f>39500/100</f>
        <v>395</v>
      </c>
      <c r="K920" s="4" t="s">
        <v>19</v>
      </c>
      <c r="L920" s="9">
        <v>0.05</v>
      </c>
      <c r="O920" s="7" t="s">
        <v>19</v>
      </c>
      <c r="P920" s="3">
        <f>(C920+(E920*F920*H920))-N920</f>
        <v>0</v>
      </c>
      <c r="Q920" s="7" t="s">
        <v>19</v>
      </c>
      <c r="R920" s="8">
        <f>P920*(J920-(J920*L920)-((J920-(J920*L920))*M920))</f>
        <v>0</v>
      </c>
      <c r="S920" s="8">
        <f t="shared" ref="S920" si="160">R920/1.11</f>
        <v>0</v>
      </c>
    </row>
    <row r="922" spans="1:19" ht="15.75">
      <c r="A922" s="14" t="s">
        <v>623</v>
      </c>
    </row>
    <row r="923" spans="1:19">
      <c r="A923" s="15" t="s">
        <v>624</v>
      </c>
    </row>
    <row r="924" spans="1:19" s="19" customFormat="1">
      <c r="A924" s="66" t="s">
        <v>625</v>
      </c>
      <c r="B924" s="19" t="s">
        <v>188</v>
      </c>
      <c r="C924" s="20"/>
      <c r="D924" s="21" t="s">
        <v>284</v>
      </c>
      <c r="E924" s="26"/>
      <c r="F924" s="22">
        <v>1</v>
      </c>
      <c r="G924" s="23" t="s">
        <v>20</v>
      </c>
      <c r="H924" s="22">
        <v>720</v>
      </c>
      <c r="I924" s="23" t="s">
        <v>284</v>
      </c>
      <c r="J924" s="24">
        <v>3100</v>
      </c>
      <c r="K924" s="21" t="s">
        <v>284</v>
      </c>
      <c r="L924" s="25"/>
      <c r="M924" s="25">
        <v>0.15</v>
      </c>
      <c r="N924" s="22"/>
      <c r="O924" s="23" t="s">
        <v>284</v>
      </c>
      <c r="P924" s="20">
        <f>(C924+(E924*F924*H924))-N924</f>
        <v>0</v>
      </c>
      <c r="Q924" s="23" t="s">
        <v>284</v>
      </c>
      <c r="R924" s="24">
        <f>P924*(J924-(J924*L924)-((J924-(J924*L924))*M924))</f>
        <v>0</v>
      </c>
      <c r="S924" s="8">
        <f t="shared" si="153"/>
        <v>0</v>
      </c>
    </row>
    <row r="925" spans="1:19" s="19" customFormat="1">
      <c r="A925" s="66" t="s">
        <v>626</v>
      </c>
      <c r="B925" s="19" t="s">
        <v>188</v>
      </c>
      <c r="C925" s="20"/>
      <c r="D925" s="21" t="s">
        <v>284</v>
      </c>
      <c r="E925" s="26"/>
      <c r="F925" s="22">
        <v>1</v>
      </c>
      <c r="G925" s="23" t="s">
        <v>20</v>
      </c>
      <c r="H925" s="22">
        <v>480</v>
      </c>
      <c r="I925" s="23" t="s">
        <v>284</v>
      </c>
      <c r="J925" s="24">
        <v>4750</v>
      </c>
      <c r="K925" s="21" t="s">
        <v>284</v>
      </c>
      <c r="L925" s="25"/>
      <c r="M925" s="25">
        <v>0.15</v>
      </c>
      <c r="N925" s="22"/>
      <c r="O925" s="23" t="s">
        <v>284</v>
      </c>
      <c r="P925" s="20">
        <f>(C925+(E925*F925*H925))-N925</f>
        <v>0</v>
      </c>
      <c r="Q925" s="23" t="s">
        <v>284</v>
      </c>
      <c r="R925" s="24">
        <f>P925*(J925-(J925*L925)-((J925-(J925*L925))*M925))</f>
        <v>0</v>
      </c>
      <c r="S925" s="8">
        <f t="shared" si="153"/>
        <v>0</v>
      </c>
    </row>
    <row r="926" spans="1:19">
      <c r="A926" s="66" t="s">
        <v>627</v>
      </c>
      <c r="B926" s="19" t="s">
        <v>188</v>
      </c>
      <c r="C926" s="20"/>
      <c r="D926" s="4" t="s">
        <v>284</v>
      </c>
      <c r="F926" s="6">
        <v>1</v>
      </c>
      <c r="G926" s="7" t="s">
        <v>20</v>
      </c>
      <c r="H926" s="6">
        <v>360</v>
      </c>
      <c r="I926" s="7" t="s">
        <v>284</v>
      </c>
      <c r="J926" s="8">
        <v>6000</v>
      </c>
      <c r="K926" s="4" t="s">
        <v>284</v>
      </c>
      <c r="M926" s="9">
        <v>0.15</v>
      </c>
      <c r="N926" s="22"/>
      <c r="O926" s="7" t="s">
        <v>284</v>
      </c>
      <c r="P926" s="3">
        <f>(C926+(E926*F926*H926))-N926</f>
        <v>0</v>
      </c>
      <c r="Q926" s="7" t="s">
        <v>284</v>
      </c>
      <c r="R926" s="8">
        <f>P926*(J926-(J926*L926)-((J926-(J926*L926))*M926))</f>
        <v>0</v>
      </c>
      <c r="S926" s="8">
        <f t="shared" si="153"/>
        <v>0</v>
      </c>
    </row>
    <row r="927" spans="1:19">
      <c r="A927" s="59"/>
      <c r="B927" s="19"/>
      <c r="C927" s="20"/>
      <c r="N927" s="22"/>
    </row>
    <row r="928" spans="1:19">
      <c r="A928" s="59" t="s">
        <v>628</v>
      </c>
      <c r="B928" s="2" t="s">
        <v>18</v>
      </c>
      <c r="C928" s="20"/>
      <c r="D928" s="4" t="s">
        <v>284</v>
      </c>
      <c r="F928" s="6">
        <v>10</v>
      </c>
      <c r="G928" s="7" t="s">
        <v>101</v>
      </c>
      <c r="H928" s="6">
        <v>24</v>
      </c>
      <c r="I928" s="7" t="s">
        <v>284</v>
      </c>
      <c r="J928" s="8">
        <v>2300</v>
      </c>
      <c r="K928" s="4" t="s">
        <v>284</v>
      </c>
      <c r="L928" s="9">
        <v>0.125</v>
      </c>
      <c r="M928" s="9">
        <v>0.05</v>
      </c>
      <c r="O928" s="7" t="s">
        <v>284</v>
      </c>
      <c r="P928" s="3">
        <f>(C928+(E928*F928*H928))-N928</f>
        <v>0</v>
      </c>
      <c r="Q928" s="7" t="s">
        <v>284</v>
      </c>
      <c r="R928" s="8">
        <f>P928*(J928-(J928*L928)-((J928-(J928*L928))*M928))</f>
        <v>0</v>
      </c>
      <c r="S928" s="8">
        <f t="shared" si="153"/>
        <v>0</v>
      </c>
    </row>
    <row r="929" spans="1:19">
      <c r="A929" s="59" t="s">
        <v>629</v>
      </c>
      <c r="B929" s="2" t="s">
        <v>18</v>
      </c>
      <c r="C929" s="20"/>
      <c r="D929" s="4" t="s">
        <v>284</v>
      </c>
      <c r="F929" s="6">
        <v>10</v>
      </c>
      <c r="G929" s="7" t="s">
        <v>101</v>
      </c>
      <c r="H929" s="6">
        <v>12</v>
      </c>
      <c r="I929" s="7" t="s">
        <v>284</v>
      </c>
      <c r="J929" s="8">
        <v>4600</v>
      </c>
      <c r="K929" s="4" t="s">
        <v>284</v>
      </c>
      <c r="L929" s="9">
        <v>0.125</v>
      </c>
      <c r="M929" s="9">
        <v>0.05</v>
      </c>
      <c r="O929" s="7" t="s">
        <v>284</v>
      </c>
      <c r="P929" s="3">
        <f>(C929+(E929*F929*H929))-N929</f>
        <v>0</v>
      </c>
      <c r="Q929" s="7" t="s">
        <v>284</v>
      </c>
      <c r="R929" s="8">
        <f>P929*(J929-(J929*L929)-((J929-(J929*L929))*M929))</f>
        <v>0</v>
      </c>
      <c r="S929" s="8">
        <f t="shared" si="153"/>
        <v>0</v>
      </c>
    </row>
    <row r="930" spans="1:19">
      <c r="A930" s="59"/>
      <c r="C930" s="20"/>
    </row>
    <row r="931" spans="1:19">
      <c r="A931" s="68" t="s">
        <v>630</v>
      </c>
      <c r="B931" s="2" t="s">
        <v>25</v>
      </c>
      <c r="C931" s="20"/>
      <c r="D931" s="4" t="s">
        <v>284</v>
      </c>
      <c r="F931" s="6">
        <v>1</v>
      </c>
      <c r="G931" s="7" t="s">
        <v>20</v>
      </c>
      <c r="H931" s="6">
        <v>480</v>
      </c>
      <c r="I931" s="7" t="s">
        <v>284</v>
      </c>
      <c r="J931" s="8">
        <f>588000/480</f>
        <v>1225</v>
      </c>
      <c r="K931" s="4" t="s">
        <v>284</v>
      </c>
      <c r="M931" s="9">
        <v>0.17</v>
      </c>
      <c r="O931" s="7" t="s">
        <v>284</v>
      </c>
      <c r="P931" s="3">
        <f>(C931+(E931*F931*H931))-N931</f>
        <v>0</v>
      </c>
      <c r="Q931" s="7" t="s">
        <v>284</v>
      </c>
      <c r="R931" s="8">
        <f>P931*(J931-(J931*L931)-((J931-(J931*L931))*M931))</f>
        <v>0</v>
      </c>
      <c r="S931" s="8">
        <f t="shared" si="153"/>
        <v>0</v>
      </c>
    </row>
    <row r="932" spans="1:19">
      <c r="A932" s="68" t="s">
        <v>631</v>
      </c>
      <c r="B932" s="2" t="s">
        <v>25</v>
      </c>
      <c r="C932" s="20"/>
      <c r="D932" s="4" t="s">
        <v>284</v>
      </c>
      <c r="F932" s="6">
        <v>1</v>
      </c>
      <c r="G932" s="7" t="s">
        <v>20</v>
      </c>
      <c r="H932" s="6">
        <v>240</v>
      </c>
      <c r="I932" s="7" t="s">
        <v>284</v>
      </c>
      <c r="J932" s="8">
        <f>588000/240</f>
        <v>2450</v>
      </c>
      <c r="K932" s="4" t="s">
        <v>284</v>
      </c>
      <c r="M932" s="9">
        <v>0.17</v>
      </c>
      <c r="O932" s="7" t="s">
        <v>284</v>
      </c>
      <c r="P932" s="3">
        <f>(C932+(E932*F932*H932))-N932</f>
        <v>0</v>
      </c>
      <c r="Q932" s="7" t="s">
        <v>284</v>
      </c>
      <c r="R932" s="8">
        <f>P932*(J932-(J932*L932)-((J932-(J932*L932))*M932))</f>
        <v>0</v>
      </c>
      <c r="S932" s="8">
        <f t="shared" si="153"/>
        <v>0</v>
      </c>
    </row>
    <row r="933" spans="1:19">
      <c r="A933" s="68" t="s">
        <v>632</v>
      </c>
      <c r="B933" s="2" t="s">
        <v>25</v>
      </c>
      <c r="C933" s="20"/>
      <c r="D933" s="4" t="s">
        <v>284</v>
      </c>
      <c r="F933" s="6">
        <v>1</v>
      </c>
      <c r="G933" s="7" t="s">
        <v>20</v>
      </c>
      <c r="H933" s="6">
        <v>120</v>
      </c>
      <c r="I933" s="7" t="s">
        <v>284</v>
      </c>
      <c r="J933" s="8">
        <v>4800</v>
      </c>
      <c r="K933" s="4" t="s">
        <v>284</v>
      </c>
      <c r="M933" s="9">
        <v>0.17</v>
      </c>
      <c r="O933" s="7" t="s">
        <v>284</v>
      </c>
      <c r="P933" s="3">
        <f>(C933+(E933*F933*H933))-N933</f>
        <v>0</v>
      </c>
      <c r="Q933" s="7" t="s">
        <v>284</v>
      </c>
      <c r="R933" s="8">
        <f>P933*(J933-(J933*L933)-((J933-(J933*L933))*M933))</f>
        <v>0</v>
      </c>
      <c r="S933" s="8">
        <f t="shared" si="153"/>
        <v>0</v>
      </c>
    </row>
    <row r="934" spans="1:19">
      <c r="A934" s="68" t="s">
        <v>633</v>
      </c>
      <c r="B934" s="2" t="s">
        <v>25</v>
      </c>
      <c r="C934" s="20"/>
      <c r="D934" s="4" t="s">
        <v>284</v>
      </c>
      <c r="E934" s="5">
        <v>1</v>
      </c>
      <c r="F934" s="6">
        <v>1</v>
      </c>
      <c r="G934" s="7" t="s">
        <v>20</v>
      </c>
      <c r="H934" s="6">
        <v>60</v>
      </c>
      <c r="I934" s="7" t="s">
        <v>284</v>
      </c>
      <c r="J934" s="8">
        <v>9500</v>
      </c>
      <c r="K934" s="4" t="s">
        <v>284</v>
      </c>
      <c r="M934" s="9">
        <v>0.17</v>
      </c>
      <c r="O934" s="7" t="s">
        <v>284</v>
      </c>
      <c r="P934" s="3">
        <f>(C934+(E934*F934*H934))-N934</f>
        <v>60</v>
      </c>
      <c r="Q934" s="7" t="s">
        <v>284</v>
      </c>
      <c r="R934" s="8">
        <f>P934*(J934-(J934*L934)-((J934-(J934*L934))*M934))</f>
        <v>473100</v>
      </c>
      <c r="S934" s="8">
        <f t="shared" si="153"/>
        <v>426216.21621621615</v>
      </c>
    </row>
    <row r="936" spans="1:19">
      <c r="A936" s="15" t="s">
        <v>820</v>
      </c>
      <c r="S936" s="8">
        <f t="shared" ref="S936:S937" si="161">R936/1.11</f>
        <v>0</v>
      </c>
    </row>
    <row r="937" spans="1:19" s="19" customFormat="1">
      <c r="A937" s="17" t="s">
        <v>821</v>
      </c>
      <c r="B937" s="19" t="s">
        <v>18</v>
      </c>
      <c r="C937" s="20"/>
      <c r="D937" s="21" t="s">
        <v>284</v>
      </c>
      <c r="E937" s="26"/>
      <c r="F937" s="22">
        <v>1</v>
      </c>
      <c r="G937" s="23" t="s">
        <v>20</v>
      </c>
      <c r="H937" s="22">
        <v>120</v>
      </c>
      <c r="I937" s="23" t="s">
        <v>284</v>
      </c>
      <c r="J937" s="24">
        <v>5500</v>
      </c>
      <c r="K937" s="21" t="s">
        <v>284</v>
      </c>
      <c r="L937" s="25">
        <v>0.125</v>
      </c>
      <c r="M937" s="25">
        <v>0.05</v>
      </c>
      <c r="N937" s="22"/>
      <c r="O937" s="23" t="s">
        <v>284</v>
      </c>
      <c r="P937" s="20">
        <f t="shared" ref="P937" si="162">(C937+(E937*F937*H937))-N937</f>
        <v>0</v>
      </c>
      <c r="Q937" s="23" t="s">
        <v>284</v>
      </c>
      <c r="R937" s="24">
        <f t="shared" ref="R937" si="163">P937*(J937-(J937*L937)-((J937-(J937*L937))*M937))</f>
        <v>0</v>
      </c>
      <c r="S937" s="24">
        <f t="shared" si="161"/>
        <v>0</v>
      </c>
    </row>
    <row r="938" spans="1:19">
      <c r="A938" s="58"/>
    </row>
    <row r="939" spans="1:19">
      <c r="A939" s="15" t="s">
        <v>634</v>
      </c>
    </row>
    <row r="940" spans="1:19" s="19" customFormat="1">
      <c r="A940" s="18" t="s">
        <v>714</v>
      </c>
      <c r="B940" s="19" t="s">
        <v>25</v>
      </c>
      <c r="C940" s="20"/>
      <c r="D940" s="21" t="s">
        <v>284</v>
      </c>
      <c r="E940" s="26"/>
      <c r="F940" s="22">
        <v>1</v>
      </c>
      <c r="G940" s="23" t="s">
        <v>20</v>
      </c>
      <c r="H940" s="22">
        <v>72</v>
      </c>
      <c r="I940" s="23" t="s">
        <v>284</v>
      </c>
      <c r="J940" s="24">
        <f>900000/72</f>
        <v>12500</v>
      </c>
      <c r="K940" s="21" t="s">
        <v>284</v>
      </c>
      <c r="L940" s="25"/>
      <c r="M940" s="25">
        <v>0.17</v>
      </c>
      <c r="N940" s="22"/>
      <c r="O940" s="23" t="s">
        <v>284</v>
      </c>
      <c r="P940" s="20">
        <f>(C940+(E940*F940*H940))-N940</f>
        <v>0</v>
      </c>
      <c r="Q940" s="23" t="s">
        <v>284</v>
      </c>
      <c r="R940" s="24">
        <f>P940*(J940-(J940*L940)-((J940-(J940*L940))*M940))</f>
        <v>0</v>
      </c>
      <c r="S940" s="24">
        <f t="shared" si="153"/>
        <v>0</v>
      </c>
    </row>
    <row r="941" spans="1:19">
      <c r="A941" s="17" t="s">
        <v>635</v>
      </c>
      <c r="B941" s="2" t="s">
        <v>25</v>
      </c>
      <c r="D941" s="4" t="s">
        <v>284</v>
      </c>
      <c r="F941" s="6">
        <v>1</v>
      </c>
      <c r="G941" s="7" t="s">
        <v>20</v>
      </c>
      <c r="H941" s="6">
        <v>72</v>
      </c>
      <c r="I941" s="7" t="s">
        <v>284</v>
      </c>
      <c r="J941" s="24">
        <f>900000/72</f>
        <v>12500</v>
      </c>
      <c r="K941" s="4" t="s">
        <v>284</v>
      </c>
      <c r="M941" s="9">
        <v>0.17</v>
      </c>
      <c r="O941" s="7" t="s">
        <v>284</v>
      </c>
      <c r="P941" s="3">
        <f>(C941+(E941*F941*H941))-N941</f>
        <v>0</v>
      </c>
      <c r="Q941" s="7" t="s">
        <v>284</v>
      </c>
      <c r="R941" s="8">
        <f>P941*(J941-(J941*L941)-((J941-(J941*L941))*M941))</f>
        <v>0</v>
      </c>
      <c r="S941" s="8">
        <f t="shared" si="153"/>
        <v>0</v>
      </c>
    </row>
    <row r="942" spans="1:19">
      <c r="A942" s="17" t="s">
        <v>842</v>
      </c>
      <c r="B942" s="2" t="s">
        <v>25</v>
      </c>
      <c r="D942" s="4" t="s">
        <v>284</v>
      </c>
      <c r="F942" s="6">
        <v>1</v>
      </c>
      <c r="G942" s="7" t="s">
        <v>20</v>
      </c>
      <c r="H942" s="6">
        <v>72</v>
      </c>
      <c r="I942" s="7" t="s">
        <v>284</v>
      </c>
      <c r="J942" s="8">
        <f>705600/72</f>
        <v>9800</v>
      </c>
      <c r="K942" s="4" t="s">
        <v>284</v>
      </c>
      <c r="M942" s="9">
        <v>0.17</v>
      </c>
      <c r="O942" s="7" t="s">
        <v>284</v>
      </c>
      <c r="P942" s="3">
        <f>(C942+(E942*F942*H942))-N942</f>
        <v>0</v>
      </c>
      <c r="Q942" s="7" t="s">
        <v>284</v>
      </c>
      <c r="R942" s="8">
        <f>P942*(J942-(J942*L942)-((J942-(J942*L942))*M942))</f>
        <v>0</v>
      </c>
      <c r="S942" s="8">
        <f t="shared" si="153"/>
        <v>0</v>
      </c>
    </row>
    <row r="943" spans="1:19">
      <c r="A943" s="17" t="s">
        <v>843</v>
      </c>
      <c r="B943" s="2" t="s">
        <v>25</v>
      </c>
      <c r="D943" s="4" t="s">
        <v>284</v>
      </c>
      <c r="F943" s="6">
        <v>1</v>
      </c>
      <c r="G943" s="7" t="s">
        <v>20</v>
      </c>
      <c r="H943" s="6">
        <v>72</v>
      </c>
      <c r="I943" s="7" t="s">
        <v>284</v>
      </c>
      <c r="J943" s="8">
        <f>705600/72</f>
        <v>9800</v>
      </c>
      <c r="K943" s="4" t="s">
        <v>284</v>
      </c>
      <c r="M943" s="9">
        <v>0.17</v>
      </c>
      <c r="O943" s="7" t="s">
        <v>284</v>
      </c>
      <c r="P943" s="3">
        <f>(C943+(E943*F943*H943))-N943</f>
        <v>0</v>
      </c>
      <c r="Q943" s="7" t="s">
        <v>284</v>
      </c>
      <c r="R943" s="8">
        <f>P943*(J943-(J943*L943)-((J943-(J943*L943))*M943))</f>
        <v>0</v>
      </c>
      <c r="S943" s="8">
        <f t="shared" si="153"/>
        <v>0</v>
      </c>
    </row>
    <row r="945" spans="1:19">
      <c r="A945" s="15" t="s">
        <v>636</v>
      </c>
      <c r="S945" s="8">
        <f t="shared" si="153"/>
        <v>0</v>
      </c>
    </row>
    <row r="946" spans="1:19" s="19" customFormat="1">
      <c r="A946" s="17" t="s">
        <v>818</v>
      </c>
      <c r="B946" s="19" t="s">
        <v>18</v>
      </c>
      <c r="C946" s="20"/>
      <c r="D946" s="21" t="s">
        <v>284</v>
      </c>
      <c r="E946" s="26"/>
      <c r="F946" s="22">
        <v>1</v>
      </c>
      <c r="G946" s="23" t="s">
        <v>20</v>
      </c>
      <c r="H946" s="22">
        <v>120</v>
      </c>
      <c r="I946" s="23" t="s">
        <v>284</v>
      </c>
      <c r="J946" s="24">
        <v>13800</v>
      </c>
      <c r="K946" s="21" t="s">
        <v>284</v>
      </c>
      <c r="L946" s="25">
        <v>0.125</v>
      </c>
      <c r="M946" s="25">
        <v>0.05</v>
      </c>
      <c r="N946" s="22"/>
      <c r="O946" s="23" t="s">
        <v>284</v>
      </c>
      <c r="P946" s="20">
        <f t="shared" ref="P946" si="164">(C946+(E946*F946*H946))-N946</f>
        <v>0</v>
      </c>
      <c r="Q946" s="23" t="s">
        <v>284</v>
      </c>
      <c r="R946" s="24">
        <f t="shared" ref="R946" si="165">P946*(J946-(J946*L946)-((J946-(J946*L946))*M946))</f>
        <v>0</v>
      </c>
      <c r="S946" s="24">
        <f t="shared" si="153"/>
        <v>0</v>
      </c>
    </row>
    <row r="947" spans="1:19" s="19" customFormat="1">
      <c r="A947" s="18"/>
      <c r="C947" s="20"/>
      <c r="D947" s="21"/>
      <c r="E947" s="26"/>
      <c r="F947" s="22"/>
      <c r="G947" s="23"/>
      <c r="H947" s="22"/>
      <c r="I947" s="23"/>
      <c r="J947" s="24"/>
      <c r="K947" s="21"/>
      <c r="L947" s="25"/>
      <c r="M947" s="25"/>
      <c r="N947" s="22"/>
      <c r="O947" s="23"/>
      <c r="P947" s="20"/>
      <c r="Q947" s="23"/>
      <c r="R947" s="24"/>
      <c r="S947" s="24"/>
    </row>
    <row r="948" spans="1:19">
      <c r="A948" s="17" t="s">
        <v>844</v>
      </c>
      <c r="B948" s="2" t="s">
        <v>25</v>
      </c>
      <c r="D948" s="4" t="s">
        <v>284</v>
      </c>
      <c r="E948" s="5">
        <v>1</v>
      </c>
      <c r="F948" s="6">
        <v>1</v>
      </c>
      <c r="G948" s="7" t="s">
        <v>20</v>
      </c>
      <c r="H948" s="6">
        <v>120</v>
      </c>
      <c r="I948" s="7" t="s">
        <v>284</v>
      </c>
      <c r="J948" s="8">
        <f>762000/120</f>
        <v>6350</v>
      </c>
      <c r="K948" s="4" t="s">
        <v>284</v>
      </c>
      <c r="M948" s="9">
        <v>0.17</v>
      </c>
      <c r="O948" s="7" t="s">
        <v>284</v>
      </c>
      <c r="P948" s="3">
        <f>(C948+(E948*F948*H948))-N948</f>
        <v>120</v>
      </c>
      <c r="Q948" s="7" t="s">
        <v>284</v>
      </c>
      <c r="R948" s="8">
        <f>P948*(J948-(J948*L948)-((J948-(J948*L948))*M948))</f>
        <v>632460</v>
      </c>
      <c r="S948" s="8">
        <f t="shared" si="153"/>
        <v>569783.78378378379</v>
      </c>
    </row>
    <row r="949" spans="1:19">
      <c r="A949" s="17" t="s">
        <v>637</v>
      </c>
      <c r="B949" s="2" t="s">
        <v>25</v>
      </c>
      <c r="D949" s="4" t="s">
        <v>284</v>
      </c>
      <c r="E949" s="5">
        <v>2</v>
      </c>
      <c r="F949" s="6">
        <v>1</v>
      </c>
      <c r="G949" s="7" t="s">
        <v>20</v>
      </c>
      <c r="H949" s="6">
        <v>80</v>
      </c>
      <c r="I949" s="7" t="s">
        <v>284</v>
      </c>
      <c r="J949" s="8">
        <f>732000/80</f>
        <v>9150</v>
      </c>
      <c r="K949" s="4" t="s">
        <v>284</v>
      </c>
      <c r="M949" s="9">
        <v>0.17</v>
      </c>
      <c r="O949" s="7" t="s">
        <v>284</v>
      </c>
      <c r="P949" s="3">
        <f>(C949+(E949*F949*H949))-N949</f>
        <v>160</v>
      </c>
      <c r="Q949" s="7" t="s">
        <v>284</v>
      </c>
      <c r="R949" s="8">
        <f>P949*(J949-(J949*L949)-((J949-(J949*L949))*M949))</f>
        <v>1215120</v>
      </c>
      <c r="S949" s="8">
        <f t="shared" si="153"/>
        <v>1094702.7027027027</v>
      </c>
    </row>
    <row r="950" spans="1:19">
      <c r="A950" s="17" t="s">
        <v>845</v>
      </c>
      <c r="B950" s="2" t="s">
        <v>25</v>
      </c>
      <c r="D950" s="4" t="s">
        <v>284</v>
      </c>
      <c r="E950" s="5">
        <v>2</v>
      </c>
      <c r="F950" s="6">
        <v>1</v>
      </c>
      <c r="G950" s="7" t="s">
        <v>20</v>
      </c>
      <c r="H950" s="6">
        <v>60</v>
      </c>
      <c r="I950" s="7" t="s">
        <v>284</v>
      </c>
      <c r="J950" s="8">
        <f>732000/60</f>
        <v>12200</v>
      </c>
      <c r="K950" s="4" t="s">
        <v>284</v>
      </c>
      <c r="M950" s="9">
        <v>0.17</v>
      </c>
      <c r="O950" s="7" t="s">
        <v>284</v>
      </c>
      <c r="P950" s="3">
        <f>(C950+(E950*F950*H950))-N950</f>
        <v>120</v>
      </c>
      <c r="Q950" s="7" t="s">
        <v>284</v>
      </c>
      <c r="R950" s="8">
        <f>P950*(J950-(J950*L950)-((J950-(J950*L950))*M950))</f>
        <v>1215120</v>
      </c>
      <c r="S950" s="8">
        <f t="shared" si="153"/>
        <v>1094702.7027027027</v>
      </c>
    </row>
    <row r="951" spans="1:19">
      <c r="A951" s="17" t="s">
        <v>662</v>
      </c>
      <c r="B951" s="2" t="s">
        <v>25</v>
      </c>
      <c r="D951" s="4" t="s">
        <v>284</v>
      </c>
      <c r="F951" s="6">
        <v>1</v>
      </c>
      <c r="G951" s="7" t="s">
        <v>20</v>
      </c>
      <c r="H951" s="6">
        <v>80</v>
      </c>
      <c r="I951" s="7" t="s">
        <v>284</v>
      </c>
      <c r="J951" s="8">
        <f>848000/80</f>
        <v>10600</v>
      </c>
      <c r="K951" s="4" t="s">
        <v>284</v>
      </c>
      <c r="M951" s="9">
        <v>0.17</v>
      </c>
      <c r="O951" s="7" t="s">
        <v>284</v>
      </c>
      <c r="P951" s="3">
        <f>(C951+(E951*F951*H951))-N951</f>
        <v>0</v>
      </c>
      <c r="Q951" s="7" t="s">
        <v>284</v>
      </c>
      <c r="R951" s="8">
        <f>P951*(J951-(J951*L951)-((J951-(J951*L951))*M951))</f>
        <v>0</v>
      </c>
      <c r="S951" s="8">
        <f t="shared" si="153"/>
        <v>0</v>
      </c>
    </row>
    <row r="952" spans="1:19">
      <c r="A952" s="17" t="s">
        <v>638</v>
      </c>
      <c r="B952" s="2" t="s">
        <v>25</v>
      </c>
      <c r="D952" s="4" t="s">
        <v>284</v>
      </c>
      <c r="F952" s="6">
        <v>1</v>
      </c>
      <c r="G952" s="7" t="s">
        <v>20</v>
      </c>
      <c r="H952" s="6">
        <v>60</v>
      </c>
      <c r="I952" s="7" t="s">
        <v>284</v>
      </c>
      <c r="J952" s="8">
        <f>852000/60</f>
        <v>14200</v>
      </c>
      <c r="K952" s="4" t="s">
        <v>284</v>
      </c>
      <c r="M952" s="9">
        <v>0.17</v>
      </c>
      <c r="O952" s="7" t="s">
        <v>284</v>
      </c>
      <c r="P952" s="3">
        <f>(C952+(E952*F952*H952))-N952</f>
        <v>0</v>
      </c>
      <c r="Q952" s="7" t="s">
        <v>284</v>
      </c>
      <c r="R952" s="8">
        <f>P952*(J952-(J952*L952)-((J952-(J952*L952))*M952))</f>
        <v>0</v>
      </c>
      <c r="S952" s="8">
        <f t="shared" si="153"/>
        <v>0</v>
      </c>
    </row>
    <row r="954" spans="1:19" ht="15.75">
      <c r="A954" s="14" t="s">
        <v>639</v>
      </c>
    </row>
    <row r="955" spans="1:19">
      <c r="A955" s="17" t="s">
        <v>641</v>
      </c>
      <c r="B955" s="2" t="s">
        <v>18</v>
      </c>
      <c r="D955" s="4" t="s">
        <v>19</v>
      </c>
      <c r="F955" s="6">
        <v>1</v>
      </c>
      <c r="G955" s="7" t="s">
        <v>20</v>
      </c>
      <c r="H955" s="6">
        <v>24</v>
      </c>
      <c r="I955" s="7" t="s">
        <v>19</v>
      </c>
      <c r="J955" s="8">
        <v>21500</v>
      </c>
      <c r="K955" s="4" t="s">
        <v>19</v>
      </c>
      <c r="L955" s="9">
        <v>0.125</v>
      </c>
      <c r="M955" s="9">
        <v>0.05</v>
      </c>
      <c r="O955" s="7" t="s">
        <v>19</v>
      </c>
      <c r="P955" s="3">
        <f t="shared" ref="P955:P966" si="166">(C955+(E955*F955*H955))-N955</f>
        <v>0</v>
      </c>
      <c r="Q955" s="7" t="s">
        <v>19</v>
      </c>
      <c r="R955" s="8">
        <f t="shared" ref="R955:R966" si="167">P955*(J955-(J955*L955)-((J955-(J955*L955))*M955))</f>
        <v>0</v>
      </c>
      <c r="S955" s="8">
        <f t="shared" si="153"/>
        <v>0</v>
      </c>
    </row>
    <row r="956" spans="1:19">
      <c r="A956" s="17" t="s">
        <v>642</v>
      </c>
      <c r="B956" s="2" t="s">
        <v>18</v>
      </c>
      <c r="D956" s="4" t="s">
        <v>19</v>
      </c>
      <c r="F956" s="6">
        <v>1</v>
      </c>
      <c r="G956" s="7" t="s">
        <v>20</v>
      </c>
      <c r="H956" s="6">
        <v>24</v>
      </c>
      <c r="I956" s="7" t="s">
        <v>19</v>
      </c>
      <c r="J956" s="8">
        <v>23100</v>
      </c>
      <c r="K956" s="4" t="s">
        <v>19</v>
      </c>
      <c r="L956" s="9">
        <v>0.125</v>
      </c>
      <c r="M956" s="9">
        <v>0.05</v>
      </c>
      <c r="O956" s="7" t="s">
        <v>19</v>
      </c>
      <c r="P956" s="3">
        <f t="shared" si="166"/>
        <v>0</v>
      </c>
      <c r="Q956" s="7" t="s">
        <v>19</v>
      </c>
      <c r="R956" s="8">
        <f t="shared" si="167"/>
        <v>0</v>
      </c>
      <c r="S956" s="8">
        <f t="shared" si="153"/>
        <v>0</v>
      </c>
    </row>
    <row r="957" spans="1:19" s="19" customFormat="1">
      <c r="A957" s="18" t="s">
        <v>643</v>
      </c>
      <c r="B957" s="19" t="s">
        <v>18</v>
      </c>
      <c r="C957" s="20"/>
      <c r="D957" s="21" t="s">
        <v>19</v>
      </c>
      <c r="E957" s="26"/>
      <c r="F957" s="22">
        <v>1</v>
      </c>
      <c r="G957" s="23" t="s">
        <v>20</v>
      </c>
      <c r="H957" s="22">
        <v>24</v>
      </c>
      <c r="I957" s="23" t="s">
        <v>19</v>
      </c>
      <c r="J957" s="24">
        <v>10600</v>
      </c>
      <c r="K957" s="21" t="s">
        <v>19</v>
      </c>
      <c r="L957" s="25">
        <v>0.125</v>
      </c>
      <c r="M957" s="25">
        <v>0.05</v>
      </c>
      <c r="N957" s="22"/>
      <c r="O957" s="23" t="s">
        <v>19</v>
      </c>
      <c r="P957" s="20">
        <f t="shared" si="166"/>
        <v>0</v>
      </c>
      <c r="Q957" s="23" t="s">
        <v>19</v>
      </c>
      <c r="R957" s="24">
        <f t="shared" si="167"/>
        <v>0</v>
      </c>
      <c r="S957" s="24">
        <f t="shared" si="153"/>
        <v>0</v>
      </c>
    </row>
    <row r="958" spans="1:19" s="19" customFormat="1">
      <c r="A958" s="18" t="s">
        <v>644</v>
      </c>
      <c r="B958" s="19" t="s">
        <v>18</v>
      </c>
      <c r="C958" s="20"/>
      <c r="D958" s="21" t="s">
        <v>19</v>
      </c>
      <c r="E958" s="26">
        <v>2</v>
      </c>
      <c r="F958" s="22">
        <v>1</v>
      </c>
      <c r="G958" s="23" t="s">
        <v>20</v>
      </c>
      <c r="H958" s="22">
        <v>24</v>
      </c>
      <c r="I958" s="23" t="s">
        <v>19</v>
      </c>
      <c r="J958" s="24">
        <v>19000</v>
      </c>
      <c r="K958" s="21" t="s">
        <v>19</v>
      </c>
      <c r="L958" s="25">
        <v>0.125</v>
      </c>
      <c r="M958" s="25">
        <v>0.05</v>
      </c>
      <c r="N958" s="22"/>
      <c r="O958" s="23" t="s">
        <v>19</v>
      </c>
      <c r="P958" s="20">
        <f t="shared" si="166"/>
        <v>48</v>
      </c>
      <c r="Q958" s="23" t="s">
        <v>19</v>
      </c>
      <c r="R958" s="24">
        <f t="shared" si="167"/>
        <v>758100</v>
      </c>
      <c r="S958" s="24">
        <f t="shared" si="153"/>
        <v>682972.9729729729</v>
      </c>
    </row>
    <row r="959" spans="1:19" s="19" customFormat="1">
      <c r="A959" s="18" t="s">
        <v>760</v>
      </c>
      <c r="B959" s="19" t="s">
        <v>18</v>
      </c>
      <c r="C959" s="20"/>
      <c r="D959" s="21" t="s">
        <v>19</v>
      </c>
      <c r="E959" s="26"/>
      <c r="F959" s="22">
        <v>1</v>
      </c>
      <c r="G959" s="23" t="s">
        <v>20</v>
      </c>
      <c r="H959" s="22">
        <v>12</v>
      </c>
      <c r="I959" s="23" t="s">
        <v>19</v>
      </c>
      <c r="J959" s="24">
        <v>31000</v>
      </c>
      <c r="K959" s="21" t="s">
        <v>19</v>
      </c>
      <c r="L959" s="25">
        <v>0.125</v>
      </c>
      <c r="M959" s="25">
        <v>0.05</v>
      </c>
      <c r="N959" s="22"/>
      <c r="O959" s="23" t="s">
        <v>19</v>
      </c>
      <c r="P959" s="20">
        <f t="shared" si="166"/>
        <v>0</v>
      </c>
      <c r="Q959" s="23" t="s">
        <v>19</v>
      </c>
      <c r="R959" s="24">
        <f t="shared" si="167"/>
        <v>0</v>
      </c>
      <c r="S959" s="24">
        <f t="shared" si="153"/>
        <v>0</v>
      </c>
    </row>
    <row r="960" spans="1:19" s="19" customFormat="1">
      <c r="A960" s="18" t="s">
        <v>759</v>
      </c>
      <c r="B960" s="19" t="s">
        <v>18</v>
      </c>
      <c r="C960" s="20"/>
      <c r="D960" s="21" t="s">
        <v>19</v>
      </c>
      <c r="E960" s="26"/>
      <c r="F960" s="22">
        <v>1</v>
      </c>
      <c r="G960" s="23" t="s">
        <v>20</v>
      </c>
      <c r="H960" s="22">
        <v>24</v>
      </c>
      <c r="I960" s="23" t="s">
        <v>19</v>
      </c>
      <c r="J960" s="24">
        <v>12300</v>
      </c>
      <c r="K960" s="21" t="s">
        <v>19</v>
      </c>
      <c r="L960" s="25">
        <v>0.125</v>
      </c>
      <c r="M960" s="25">
        <v>0.05</v>
      </c>
      <c r="N960" s="22"/>
      <c r="O960" s="23" t="s">
        <v>19</v>
      </c>
      <c r="P960" s="20">
        <f t="shared" si="166"/>
        <v>0</v>
      </c>
      <c r="Q960" s="23" t="s">
        <v>19</v>
      </c>
      <c r="R960" s="24">
        <f t="shared" si="167"/>
        <v>0</v>
      </c>
      <c r="S960" s="8">
        <f t="shared" si="153"/>
        <v>0</v>
      </c>
    </row>
    <row r="961" spans="1:19" s="19" customFormat="1">
      <c r="A961" s="18" t="s">
        <v>645</v>
      </c>
      <c r="B961" s="19" t="s">
        <v>18</v>
      </c>
      <c r="C961" s="20"/>
      <c r="D961" s="21" t="s">
        <v>19</v>
      </c>
      <c r="E961" s="26"/>
      <c r="F961" s="22">
        <v>1</v>
      </c>
      <c r="G961" s="23" t="s">
        <v>20</v>
      </c>
      <c r="H961" s="22">
        <v>24</v>
      </c>
      <c r="I961" s="23" t="s">
        <v>19</v>
      </c>
      <c r="J961" s="24">
        <v>15000</v>
      </c>
      <c r="K961" s="21" t="s">
        <v>19</v>
      </c>
      <c r="L961" s="25">
        <v>0.125</v>
      </c>
      <c r="M961" s="25">
        <v>0.05</v>
      </c>
      <c r="N961" s="22"/>
      <c r="O961" s="23" t="s">
        <v>19</v>
      </c>
      <c r="P961" s="20">
        <f t="shared" si="166"/>
        <v>0</v>
      </c>
      <c r="Q961" s="23" t="s">
        <v>19</v>
      </c>
      <c r="R961" s="24">
        <f t="shared" si="167"/>
        <v>0</v>
      </c>
      <c r="S961" s="8">
        <f t="shared" si="153"/>
        <v>0</v>
      </c>
    </row>
    <row r="962" spans="1:19">
      <c r="A962" s="17" t="s">
        <v>640</v>
      </c>
      <c r="B962" s="2" t="s">
        <v>18</v>
      </c>
      <c r="D962" s="4" t="s">
        <v>19</v>
      </c>
      <c r="F962" s="6">
        <v>1</v>
      </c>
      <c r="G962" s="7" t="s">
        <v>20</v>
      </c>
      <c r="H962" s="6">
        <v>24</v>
      </c>
      <c r="I962" s="7" t="s">
        <v>19</v>
      </c>
      <c r="J962" s="8">
        <v>17200</v>
      </c>
      <c r="K962" s="4" t="s">
        <v>19</v>
      </c>
      <c r="L962" s="9">
        <v>0.125</v>
      </c>
      <c r="M962" s="9">
        <v>0.05</v>
      </c>
      <c r="O962" s="7" t="s">
        <v>19</v>
      </c>
      <c r="P962" s="3">
        <f t="shared" si="166"/>
        <v>0</v>
      </c>
      <c r="Q962" s="7" t="s">
        <v>19</v>
      </c>
      <c r="R962" s="8">
        <f t="shared" si="167"/>
        <v>0</v>
      </c>
      <c r="S962" s="8">
        <f>R962/1.11</f>
        <v>0</v>
      </c>
    </row>
    <row r="963" spans="1:19" s="19" customFormat="1">
      <c r="A963" s="18" t="s">
        <v>656</v>
      </c>
      <c r="B963" s="19" t="s">
        <v>18</v>
      </c>
      <c r="C963" s="20"/>
      <c r="D963" s="21" t="s">
        <v>19</v>
      </c>
      <c r="E963" s="26"/>
      <c r="F963" s="22">
        <v>12</v>
      </c>
      <c r="G963" s="23" t="s">
        <v>33</v>
      </c>
      <c r="H963" s="22">
        <v>20</v>
      </c>
      <c r="I963" s="23" t="s">
        <v>19</v>
      </c>
      <c r="J963" s="24">
        <v>5150</v>
      </c>
      <c r="K963" s="21" t="s">
        <v>19</v>
      </c>
      <c r="L963" s="25">
        <v>0.125</v>
      </c>
      <c r="M963" s="25">
        <v>0.05</v>
      </c>
      <c r="N963" s="22"/>
      <c r="O963" s="23" t="s">
        <v>19</v>
      </c>
      <c r="P963" s="20">
        <f t="shared" si="166"/>
        <v>0</v>
      </c>
      <c r="Q963" s="23" t="s">
        <v>19</v>
      </c>
      <c r="R963" s="24">
        <f t="shared" si="167"/>
        <v>0</v>
      </c>
      <c r="S963" s="24">
        <f t="shared" ref="S963" si="168">R963/1.11</f>
        <v>0</v>
      </c>
    </row>
    <row r="964" spans="1:19" s="19" customFormat="1">
      <c r="A964" s="18" t="s">
        <v>646</v>
      </c>
      <c r="B964" s="19" t="s">
        <v>18</v>
      </c>
      <c r="C964" s="20"/>
      <c r="D964" s="21" t="s">
        <v>19</v>
      </c>
      <c r="E964" s="26"/>
      <c r="F964" s="22">
        <v>1</v>
      </c>
      <c r="G964" s="23" t="s">
        <v>20</v>
      </c>
      <c r="H964" s="22">
        <v>96</v>
      </c>
      <c r="I964" s="23" t="s">
        <v>19</v>
      </c>
      <c r="J964" s="24">
        <v>14200</v>
      </c>
      <c r="K964" s="21" t="s">
        <v>19</v>
      </c>
      <c r="L964" s="25">
        <v>0.125</v>
      </c>
      <c r="M964" s="25">
        <v>0.05</v>
      </c>
      <c r="N964" s="22"/>
      <c r="O964" s="23" t="s">
        <v>19</v>
      </c>
      <c r="P964" s="20">
        <f t="shared" si="166"/>
        <v>0</v>
      </c>
      <c r="Q964" s="23" t="s">
        <v>19</v>
      </c>
      <c r="R964" s="24">
        <f t="shared" si="167"/>
        <v>0</v>
      </c>
      <c r="S964" s="24">
        <f t="shared" si="153"/>
        <v>0</v>
      </c>
    </row>
    <row r="965" spans="1:19">
      <c r="A965" s="17" t="s">
        <v>647</v>
      </c>
      <c r="B965" s="2" t="s">
        <v>18</v>
      </c>
      <c r="D965" s="4" t="s">
        <v>19</v>
      </c>
      <c r="F965" s="6">
        <v>1</v>
      </c>
      <c r="G965" s="7" t="s">
        <v>20</v>
      </c>
      <c r="H965" s="6">
        <v>24</v>
      </c>
      <c r="I965" s="7" t="s">
        <v>19</v>
      </c>
      <c r="J965" s="8">
        <v>41000</v>
      </c>
      <c r="K965" s="4" t="s">
        <v>19</v>
      </c>
      <c r="L965" s="9">
        <v>0.125</v>
      </c>
      <c r="M965" s="9">
        <v>0.05</v>
      </c>
      <c r="O965" s="7" t="s">
        <v>19</v>
      </c>
      <c r="P965" s="3">
        <f t="shared" si="166"/>
        <v>0</v>
      </c>
      <c r="Q965" s="7" t="s">
        <v>19</v>
      </c>
      <c r="R965" s="8">
        <f t="shared" si="167"/>
        <v>0</v>
      </c>
      <c r="S965" s="8">
        <f t="shared" si="153"/>
        <v>0</v>
      </c>
    </row>
    <row r="966" spans="1:19">
      <c r="A966" s="17" t="s">
        <v>648</v>
      </c>
      <c r="B966" s="2" t="s">
        <v>18</v>
      </c>
      <c r="D966" s="4" t="s">
        <v>19</v>
      </c>
      <c r="F966" s="6">
        <v>1</v>
      </c>
      <c r="G966" s="7" t="s">
        <v>20</v>
      </c>
      <c r="H966" s="6">
        <v>100</v>
      </c>
      <c r="I966" s="7" t="s">
        <v>19</v>
      </c>
      <c r="J966" s="8">
        <v>15500</v>
      </c>
      <c r="K966" s="4" t="s">
        <v>19</v>
      </c>
      <c r="L966" s="9">
        <v>0.125</v>
      </c>
      <c r="M966" s="9">
        <v>0.05</v>
      </c>
      <c r="O966" s="7" t="s">
        <v>19</v>
      </c>
      <c r="P966" s="3">
        <f t="shared" si="166"/>
        <v>0</v>
      </c>
      <c r="Q966" s="7" t="s">
        <v>19</v>
      </c>
      <c r="R966" s="8">
        <f t="shared" si="167"/>
        <v>0</v>
      </c>
      <c r="S966" s="8">
        <f t="shared" si="153"/>
        <v>0</v>
      </c>
    </row>
    <row r="968" spans="1:19" s="19" customFormat="1">
      <c r="A968" s="66" t="s">
        <v>685</v>
      </c>
      <c r="B968" s="19" t="s">
        <v>25</v>
      </c>
      <c r="C968" s="20"/>
      <c r="D968" s="21" t="s">
        <v>19</v>
      </c>
      <c r="E968" s="26"/>
      <c r="F968" s="22">
        <v>1</v>
      </c>
      <c r="G968" s="23" t="s">
        <v>20</v>
      </c>
      <c r="H968" s="22">
        <v>24</v>
      </c>
      <c r="I968" s="23" t="s">
        <v>19</v>
      </c>
      <c r="J968" s="24">
        <f>372000/24</f>
        <v>15500</v>
      </c>
      <c r="K968" s="21" t="s">
        <v>19</v>
      </c>
      <c r="L968" s="25"/>
      <c r="M968" s="25">
        <v>0.17</v>
      </c>
      <c r="N968" s="22"/>
      <c r="O968" s="23" t="s">
        <v>19</v>
      </c>
      <c r="P968" s="20">
        <f t="shared" ref="P968:P976" si="169">(C968+(E968*F968*H968))-N968</f>
        <v>0</v>
      </c>
      <c r="Q968" s="23" t="s">
        <v>19</v>
      </c>
      <c r="R968" s="24">
        <f t="shared" ref="R968:R976" si="170">P968*(J968-(J968*L968)-((J968-(J968*L968))*M968))</f>
        <v>0</v>
      </c>
      <c r="S968" s="24">
        <f t="shared" si="153"/>
        <v>0</v>
      </c>
    </row>
    <row r="969" spans="1:19">
      <c r="A969" s="66" t="s">
        <v>649</v>
      </c>
      <c r="B969" s="2" t="s">
        <v>25</v>
      </c>
      <c r="D969" s="4" t="s">
        <v>19</v>
      </c>
      <c r="F969" s="6">
        <v>1</v>
      </c>
      <c r="G969" s="7" t="s">
        <v>20</v>
      </c>
      <c r="H969" s="6">
        <v>24</v>
      </c>
      <c r="I969" s="7" t="s">
        <v>19</v>
      </c>
      <c r="J969" s="8">
        <f>444000/24</f>
        <v>18500</v>
      </c>
      <c r="K969" s="4" t="s">
        <v>19</v>
      </c>
      <c r="M969" s="9">
        <v>0.17</v>
      </c>
      <c r="O969" s="7" t="s">
        <v>19</v>
      </c>
      <c r="P969" s="3">
        <f t="shared" si="169"/>
        <v>0</v>
      </c>
      <c r="Q969" s="7" t="s">
        <v>19</v>
      </c>
      <c r="R969" s="8">
        <f t="shared" si="170"/>
        <v>0</v>
      </c>
      <c r="S969" s="8">
        <f t="shared" si="153"/>
        <v>0</v>
      </c>
    </row>
    <row r="970" spans="1:19" s="19" customFormat="1">
      <c r="A970" s="66" t="s">
        <v>650</v>
      </c>
      <c r="B970" s="19" t="s">
        <v>25</v>
      </c>
      <c r="C970" s="20"/>
      <c r="D970" s="21" t="s">
        <v>19</v>
      </c>
      <c r="E970" s="26">
        <v>8</v>
      </c>
      <c r="F970" s="22">
        <v>1</v>
      </c>
      <c r="G970" s="23" t="s">
        <v>20</v>
      </c>
      <c r="H970" s="22">
        <v>24</v>
      </c>
      <c r="I970" s="23" t="s">
        <v>19</v>
      </c>
      <c r="J970" s="24">
        <f>462000/24</f>
        <v>19250</v>
      </c>
      <c r="K970" s="21" t="s">
        <v>19</v>
      </c>
      <c r="L970" s="25"/>
      <c r="M970" s="25">
        <v>0.17</v>
      </c>
      <c r="N970" s="22"/>
      <c r="O970" s="23" t="s">
        <v>19</v>
      </c>
      <c r="P970" s="20">
        <f t="shared" si="169"/>
        <v>192</v>
      </c>
      <c r="Q970" s="23" t="s">
        <v>19</v>
      </c>
      <c r="R970" s="24">
        <f t="shared" si="170"/>
        <v>3067680</v>
      </c>
      <c r="S970" s="8">
        <f t="shared" si="153"/>
        <v>2763675.6756756753</v>
      </c>
    </row>
    <row r="971" spans="1:19" s="19" customFormat="1">
      <c r="A971" s="66" t="s">
        <v>717</v>
      </c>
      <c r="B971" s="19" t="s">
        <v>25</v>
      </c>
      <c r="C971" s="20"/>
      <c r="D971" s="21" t="s">
        <v>19</v>
      </c>
      <c r="E971" s="26"/>
      <c r="F971" s="22">
        <v>1</v>
      </c>
      <c r="G971" s="23" t="s">
        <v>20</v>
      </c>
      <c r="H971" s="22">
        <v>24</v>
      </c>
      <c r="I971" s="23" t="s">
        <v>19</v>
      </c>
      <c r="J971" s="24">
        <f>462000/24</f>
        <v>19250</v>
      </c>
      <c r="K971" s="21" t="s">
        <v>19</v>
      </c>
      <c r="L971" s="25"/>
      <c r="M971" s="25">
        <v>0.17</v>
      </c>
      <c r="N971" s="22"/>
      <c r="O971" s="23" t="s">
        <v>19</v>
      </c>
      <c r="P971" s="20">
        <f t="shared" si="169"/>
        <v>0</v>
      </c>
      <c r="Q971" s="23" t="s">
        <v>19</v>
      </c>
      <c r="R971" s="24">
        <f t="shared" si="170"/>
        <v>0</v>
      </c>
      <c r="S971" s="8">
        <f t="shared" si="153"/>
        <v>0</v>
      </c>
    </row>
    <row r="972" spans="1:19">
      <c r="A972" s="66" t="s">
        <v>651</v>
      </c>
      <c r="B972" s="2" t="s">
        <v>25</v>
      </c>
      <c r="D972" s="4" t="s">
        <v>19</v>
      </c>
      <c r="F972" s="6">
        <v>1</v>
      </c>
      <c r="G972" s="7" t="s">
        <v>20</v>
      </c>
      <c r="H972" s="6">
        <v>24</v>
      </c>
      <c r="I972" s="7" t="s">
        <v>19</v>
      </c>
      <c r="J972" s="8">
        <v>17250</v>
      </c>
      <c r="K972" s="4" t="s">
        <v>19</v>
      </c>
      <c r="M972" s="9">
        <v>0.17</v>
      </c>
      <c r="O972" s="7" t="s">
        <v>19</v>
      </c>
      <c r="P972" s="3">
        <f t="shared" si="169"/>
        <v>0</v>
      </c>
      <c r="Q972" s="7" t="s">
        <v>19</v>
      </c>
      <c r="R972" s="8">
        <f t="shared" si="170"/>
        <v>0</v>
      </c>
      <c r="S972" s="8">
        <f t="shared" si="153"/>
        <v>0</v>
      </c>
    </row>
    <row r="973" spans="1:19">
      <c r="A973" s="66" t="s">
        <v>720</v>
      </c>
      <c r="B973" s="2" t="s">
        <v>25</v>
      </c>
      <c r="D973" s="4" t="s">
        <v>19</v>
      </c>
      <c r="F973" s="6">
        <v>1</v>
      </c>
      <c r="G973" s="7" t="s">
        <v>20</v>
      </c>
      <c r="H973" s="6">
        <v>24</v>
      </c>
      <c r="I973" s="7" t="s">
        <v>19</v>
      </c>
      <c r="J973" s="8">
        <f>420000/24</f>
        <v>17500</v>
      </c>
      <c r="K973" s="4" t="s">
        <v>19</v>
      </c>
      <c r="M973" s="9">
        <v>0.17</v>
      </c>
      <c r="O973" s="7" t="s">
        <v>19</v>
      </c>
      <c r="P973" s="3">
        <f t="shared" si="169"/>
        <v>0</v>
      </c>
      <c r="Q973" s="7" t="s">
        <v>19</v>
      </c>
      <c r="R973" s="8">
        <f t="shared" si="170"/>
        <v>0</v>
      </c>
      <c r="S973" s="8">
        <f t="shared" si="153"/>
        <v>0</v>
      </c>
    </row>
    <row r="974" spans="1:19">
      <c r="A974" s="66" t="s">
        <v>652</v>
      </c>
      <c r="B974" s="2" t="s">
        <v>25</v>
      </c>
      <c r="D974" s="4" t="s">
        <v>19</v>
      </c>
      <c r="F974" s="6">
        <v>1</v>
      </c>
      <c r="G974" s="7" t="s">
        <v>20</v>
      </c>
      <c r="H974" s="6">
        <v>12</v>
      </c>
      <c r="I974" s="7" t="s">
        <v>19</v>
      </c>
      <c r="J974" s="8">
        <f>342000/12</f>
        <v>28500</v>
      </c>
      <c r="K974" s="4" t="s">
        <v>19</v>
      </c>
      <c r="M974" s="9">
        <v>0.17</v>
      </c>
      <c r="O974" s="7" t="s">
        <v>19</v>
      </c>
      <c r="P974" s="3">
        <f t="shared" si="169"/>
        <v>0</v>
      </c>
      <c r="Q974" s="7" t="s">
        <v>19</v>
      </c>
      <c r="R974" s="8">
        <f t="shared" si="170"/>
        <v>0</v>
      </c>
      <c r="S974" s="8">
        <f t="shared" si="153"/>
        <v>0</v>
      </c>
    </row>
    <row r="975" spans="1:19">
      <c r="A975" s="66" t="s">
        <v>653</v>
      </c>
      <c r="B975" s="2" t="s">
        <v>25</v>
      </c>
      <c r="C975" s="20"/>
      <c r="D975" s="4" t="s">
        <v>19</v>
      </c>
      <c r="F975" s="6">
        <v>1</v>
      </c>
      <c r="G975" s="7" t="s">
        <v>20</v>
      </c>
      <c r="H975" s="6">
        <v>12</v>
      </c>
      <c r="I975" s="7" t="s">
        <v>19</v>
      </c>
      <c r="J975" s="8">
        <f>348000/12</f>
        <v>29000</v>
      </c>
      <c r="K975" s="4" t="s">
        <v>19</v>
      </c>
      <c r="M975" s="9">
        <v>0.17</v>
      </c>
      <c r="O975" s="7" t="s">
        <v>19</v>
      </c>
      <c r="P975" s="3">
        <f t="shared" si="169"/>
        <v>0</v>
      </c>
      <c r="Q975" s="7" t="s">
        <v>19</v>
      </c>
      <c r="R975" s="8">
        <f t="shared" si="170"/>
        <v>0</v>
      </c>
      <c r="S975" s="8">
        <f t="shared" si="153"/>
        <v>0</v>
      </c>
    </row>
    <row r="976" spans="1:19">
      <c r="A976" s="66" t="s">
        <v>665</v>
      </c>
      <c r="B976" s="2" t="s">
        <v>25</v>
      </c>
      <c r="C976" s="20"/>
      <c r="D976" s="4" t="s">
        <v>19</v>
      </c>
      <c r="F976" s="6">
        <v>8</v>
      </c>
      <c r="G976" s="7" t="s">
        <v>42</v>
      </c>
      <c r="H976" s="6">
        <v>12</v>
      </c>
      <c r="I976" s="7" t="s">
        <v>19</v>
      </c>
      <c r="J976" s="8">
        <f>2112000/8/12</f>
        <v>22000</v>
      </c>
      <c r="K976" s="4" t="s">
        <v>19</v>
      </c>
      <c r="M976" s="9">
        <v>0.17</v>
      </c>
      <c r="O976" s="7" t="s">
        <v>19</v>
      </c>
      <c r="P976" s="3">
        <f t="shared" si="169"/>
        <v>0</v>
      </c>
      <c r="Q976" s="7" t="s">
        <v>19</v>
      </c>
      <c r="R976" s="8">
        <f t="shared" si="170"/>
        <v>0</v>
      </c>
      <c r="S976" s="8">
        <f t="shared" si="153"/>
        <v>0</v>
      </c>
    </row>
    <row r="977" spans="1:21">
      <c r="A977" s="66"/>
      <c r="C977" s="20"/>
    </row>
    <row r="978" spans="1:21" s="19" customFormat="1">
      <c r="A978" s="66" t="s">
        <v>654</v>
      </c>
      <c r="B978" s="19" t="s">
        <v>188</v>
      </c>
      <c r="C978" s="20"/>
      <c r="D978" s="21" t="s">
        <v>42</v>
      </c>
      <c r="E978" s="26"/>
      <c r="F978" s="22">
        <v>48</v>
      </c>
      <c r="G978" s="23" t="s">
        <v>33</v>
      </c>
      <c r="H978" s="22">
        <v>1</v>
      </c>
      <c r="I978" s="23" t="s">
        <v>42</v>
      </c>
      <c r="J978" s="24">
        <v>91000</v>
      </c>
      <c r="K978" s="21" t="s">
        <v>42</v>
      </c>
      <c r="L978" s="25"/>
      <c r="M978" s="25"/>
      <c r="N978" s="22"/>
      <c r="O978" s="23" t="s">
        <v>42</v>
      </c>
      <c r="P978" s="20">
        <f>(C978+(E978*F978*H978))-N978</f>
        <v>0</v>
      </c>
      <c r="Q978" s="23" t="s">
        <v>42</v>
      </c>
      <c r="R978" s="24">
        <f>P978*(J978-(J978*L978)-((J978-(J978*L978))*M978))</f>
        <v>0</v>
      </c>
      <c r="S978" s="8">
        <f t="shared" ref="S978:S980" si="171">R978/1.11</f>
        <v>0</v>
      </c>
    </row>
    <row r="979" spans="1:21" s="19" customFormat="1">
      <c r="A979" s="66"/>
      <c r="C979" s="20"/>
      <c r="D979" s="21"/>
      <c r="E979" s="26"/>
      <c r="F979" s="22"/>
      <c r="G979" s="23"/>
      <c r="H979" s="22"/>
      <c r="I979" s="23"/>
      <c r="J979" s="24"/>
      <c r="K979" s="21"/>
      <c r="L979" s="25"/>
      <c r="M979" s="25"/>
      <c r="N979" s="22"/>
      <c r="O979" s="23"/>
      <c r="P979" s="20"/>
      <c r="Q979" s="23"/>
      <c r="R979" s="24"/>
      <c r="S979" s="8"/>
    </row>
    <row r="980" spans="1:21">
      <c r="A980" s="66" t="s">
        <v>655</v>
      </c>
      <c r="B980" s="2" t="s">
        <v>605</v>
      </c>
      <c r="C980" s="20"/>
      <c r="D980" s="4" t="s">
        <v>19</v>
      </c>
      <c r="F980" s="6">
        <v>1</v>
      </c>
      <c r="G980" s="7" t="s">
        <v>20</v>
      </c>
      <c r="H980" s="6">
        <v>24</v>
      </c>
      <c r="I980" s="7" t="s">
        <v>19</v>
      </c>
      <c r="J980" s="8">
        <v>18200</v>
      </c>
      <c r="K980" s="4" t="s">
        <v>19</v>
      </c>
      <c r="L980" s="9">
        <v>0.15</v>
      </c>
      <c r="M980" s="9">
        <v>0.03</v>
      </c>
      <c r="O980" s="7" t="s">
        <v>19</v>
      </c>
      <c r="P980" s="3">
        <f>(C980+(E980*F980*H980))-N980</f>
        <v>0</v>
      </c>
      <c r="Q980" s="7" t="s">
        <v>19</v>
      </c>
      <c r="R980" s="8">
        <f>P980*(J980-(J980*L980)-((J980-(J980*L980))*M980))</f>
        <v>0</v>
      </c>
      <c r="S980" s="8">
        <f t="shared" si="171"/>
        <v>0</v>
      </c>
    </row>
    <row r="981" spans="1:21">
      <c r="C981" s="20"/>
    </row>
    <row r="982" spans="1:21" ht="15.75">
      <c r="A982" s="14" t="s">
        <v>659</v>
      </c>
      <c r="C982" s="20"/>
    </row>
    <row r="983" spans="1:21" s="19" customFormat="1">
      <c r="A983" s="18" t="s">
        <v>660</v>
      </c>
      <c r="B983" s="19" t="s">
        <v>18</v>
      </c>
      <c r="C983" s="20"/>
      <c r="D983" s="21" t="s">
        <v>19</v>
      </c>
      <c r="E983" s="26"/>
      <c r="F983" s="22">
        <v>1</v>
      </c>
      <c r="G983" s="23" t="s">
        <v>20</v>
      </c>
      <c r="H983" s="22">
        <v>100</v>
      </c>
      <c r="I983" s="23" t="s">
        <v>19</v>
      </c>
      <c r="J983" s="24">
        <v>8400</v>
      </c>
      <c r="K983" s="21" t="s">
        <v>19</v>
      </c>
      <c r="L983" s="25">
        <v>0.125</v>
      </c>
      <c r="M983" s="25">
        <v>0.05</v>
      </c>
      <c r="N983" s="22"/>
      <c r="O983" s="23" t="s">
        <v>19</v>
      </c>
      <c r="P983" s="20">
        <f>(C983+(E983*F983*H983))-N983</f>
        <v>0</v>
      </c>
      <c r="Q983" s="23" t="s">
        <v>19</v>
      </c>
      <c r="R983" s="24">
        <f>P983*(J983-(J983*L983)-((J983-(J983*L983))*M983))</f>
        <v>0</v>
      </c>
      <c r="S983" s="24">
        <f t="shared" ref="S983" si="172">R983/1.11</f>
        <v>0</v>
      </c>
    </row>
    <row r="984" spans="1:21">
      <c r="C984" s="20"/>
    </row>
    <row r="985" spans="1:21" ht="15.75">
      <c r="A985" s="14" t="s">
        <v>834</v>
      </c>
      <c r="C985" s="20"/>
    </row>
    <row r="986" spans="1:21" s="19" customFormat="1">
      <c r="A986" s="18" t="s">
        <v>846</v>
      </c>
      <c r="B986" s="19" t="s">
        <v>48</v>
      </c>
      <c r="C986" s="20"/>
      <c r="D986" s="21" t="s">
        <v>19</v>
      </c>
      <c r="E986" s="26"/>
      <c r="F986" s="22">
        <v>4</v>
      </c>
      <c r="G986" s="23" t="s">
        <v>33</v>
      </c>
      <c r="H986" s="22">
        <v>12</v>
      </c>
      <c r="I986" s="23" t="s">
        <v>19</v>
      </c>
      <c r="J986" s="24"/>
      <c r="K986" s="21" t="s">
        <v>19</v>
      </c>
      <c r="L986" s="25">
        <v>0.1</v>
      </c>
      <c r="M986" s="25">
        <v>0.05</v>
      </c>
      <c r="N986" s="22"/>
      <c r="O986" s="23" t="s">
        <v>19</v>
      </c>
      <c r="P986" s="20">
        <f>(C986+(E986*F986*H986))-N986</f>
        <v>0</v>
      </c>
      <c r="Q986" s="23" t="s">
        <v>19</v>
      </c>
      <c r="R986" s="24">
        <f>P986*(J986-(J986*L986)-((J986-(J986*L986))*M986))</f>
        <v>0</v>
      </c>
      <c r="S986" s="24">
        <f t="shared" ref="S986" si="173">R986/1.11</f>
        <v>0</v>
      </c>
    </row>
    <row r="987" spans="1:21">
      <c r="A987" s="2"/>
      <c r="R987" s="16"/>
      <c r="S987" s="16"/>
    </row>
    <row r="989" spans="1:21" ht="16.5">
      <c r="R989" s="27" t="e">
        <f>SUM(R6:R987)</f>
        <v>#VALUE!</v>
      </c>
      <c r="S989" s="27" t="e">
        <f>SUM(S6:S987)</f>
        <v>#VALUE!</v>
      </c>
    </row>
    <row r="990" spans="1:21">
      <c r="R990" s="30"/>
      <c r="S990" s="28"/>
      <c r="U990" s="8"/>
    </row>
    <row r="991" spans="1:21">
      <c r="R991" s="86"/>
      <c r="S991" s="85"/>
      <c r="U991" s="43"/>
    </row>
    <row r="992" spans="1:21" ht="15.75">
      <c r="R992" s="87"/>
      <c r="S992" s="87"/>
      <c r="U992" s="43"/>
    </row>
    <row r="993" spans="18:19">
      <c r="R993" s="29"/>
      <c r="S993" s="29"/>
    </row>
    <row r="994" spans="18:19">
      <c r="S994" s="45"/>
    </row>
    <row r="995" spans="18:19">
      <c r="R995" s="46"/>
    </row>
  </sheetData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2023-01-14T06:26:10Z</dcterms:modified>
</cp:coreProperties>
</file>